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0255732\Desktop\"/>
    </mc:Choice>
  </mc:AlternateContent>
  <bookViews>
    <workbookView xWindow="0" yWindow="0" windowWidth="28665" windowHeight="11955" activeTab="5"/>
  </bookViews>
  <sheets>
    <sheet name="Résultats" sheetId="1" r:id="rId1"/>
    <sheet name="Global" sheetId="9" r:id="rId2"/>
    <sheet name="2020" sheetId="8" r:id="rId3"/>
    <sheet name="2019" sheetId="7" r:id="rId4"/>
    <sheet name="2018" sheetId="2" r:id="rId5"/>
    <sheet name="Classement" sheetId="10" r:id="rId6"/>
    <sheet name="Diagramme classement" sheetId="11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1" l="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I5" i="10"/>
  <c r="I1" i="10"/>
  <c r="I27" i="10"/>
  <c r="I23" i="10"/>
  <c r="I19" i="10"/>
  <c r="I15" i="10"/>
  <c r="I11" i="10"/>
  <c r="H3" i="10"/>
  <c r="H29" i="10"/>
  <c r="J29" i="10" s="1"/>
  <c r="H25" i="10"/>
  <c r="J25" i="10" s="1"/>
  <c r="H21" i="10"/>
  <c r="H17" i="10"/>
  <c r="J17" i="10" s="1"/>
  <c r="H13" i="10"/>
  <c r="J13" i="10" s="1"/>
  <c r="H9" i="10"/>
  <c r="J9" i="10" s="1"/>
  <c r="G29" i="10"/>
  <c r="I29" i="10" s="1"/>
  <c r="G28" i="10"/>
  <c r="H28" i="10" s="1"/>
  <c r="G27" i="10"/>
  <c r="H27" i="10" s="1"/>
  <c r="J27" i="10" s="1"/>
  <c r="G26" i="10"/>
  <c r="I26" i="10" s="1"/>
  <c r="G25" i="10"/>
  <c r="I25" i="10" s="1"/>
  <c r="G24" i="10"/>
  <c r="H24" i="10" s="1"/>
  <c r="G23" i="10"/>
  <c r="H23" i="10" s="1"/>
  <c r="J23" i="10" s="1"/>
  <c r="G22" i="10"/>
  <c r="I22" i="10" s="1"/>
  <c r="G21" i="10"/>
  <c r="I21" i="10" s="1"/>
  <c r="G20" i="10"/>
  <c r="H20" i="10" s="1"/>
  <c r="G19" i="10"/>
  <c r="H19" i="10" s="1"/>
  <c r="J19" i="10" s="1"/>
  <c r="G18" i="10"/>
  <c r="I18" i="10" s="1"/>
  <c r="G17" i="10"/>
  <c r="I17" i="10" s="1"/>
  <c r="G16" i="10"/>
  <c r="H16" i="10" s="1"/>
  <c r="G15" i="10"/>
  <c r="H15" i="10" s="1"/>
  <c r="J15" i="10" s="1"/>
  <c r="G14" i="10"/>
  <c r="I14" i="10" s="1"/>
  <c r="G13" i="10"/>
  <c r="I13" i="10" s="1"/>
  <c r="G12" i="10"/>
  <c r="H12" i="10" s="1"/>
  <c r="G11" i="10"/>
  <c r="H11" i="10" s="1"/>
  <c r="J11" i="10" s="1"/>
  <c r="G10" i="10"/>
  <c r="I10" i="10" s="1"/>
  <c r="G9" i="10"/>
  <c r="I9" i="10" s="1"/>
  <c r="G8" i="10"/>
  <c r="H8" i="10" s="1"/>
  <c r="G7" i="10"/>
  <c r="I7" i="10" s="1"/>
  <c r="G6" i="10"/>
  <c r="H6" i="10" s="1"/>
  <c r="G5" i="10"/>
  <c r="H5" i="10" s="1"/>
  <c r="J5" i="10" s="1"/>
  <c r="G4" i="10"/>
  <c r="I4" i="10" s="1"/>
  <c r="G3" i="10"/>
  <c r="I3" i="10" s="1"/>
  <c r="G2" i="10"/>
  <c r="H2" i="10" s="1"/>
  <c r="G1" i="10"/>
  <c r="H1" i="10" s="1"/>
  <c r="J1" i="10" s="1"/>
  <c r="G30" i="10"/>
  <c r="I30" i="10" s="1"/>
  <c r="I73" i="1"/>
  <c r="O73" i="1" s="1"/>
  <c r="J73" i="1"/>
  <c r="K73" i="1"/>
  <c r="L73" i="1"/>
  <c r="M73" i="1"/>
  <c r="Q73" i="1" s="1"/>
  <c r="N73" i="1"/>
  <c r="U73" i="1"/>
  <c r="I74" i="1"/>
  <c r="J74" i="1"/>
  <c r="U74" i="1" s="1"/>
  <c r="K74" i="1"/>
  <c r="P74" i="1" s="1"/>
  <c r="L74" i="1"/>
  <c r="M74" i="1"/>
  <c r="N74" i="1"/>
  <c r="I75" i="1"/>
  <c r="J75" i="1"/>
  <c r="K75" i="1"/>
  <c r="P75" i="1" s="1"/>
  <c r="L75" i="1"/>
  <c r="M75" i="1"/>
  <c r="N75" i="1"/>
  <c r="Q75" i="1" s="1"/>
  <c r="O75" i="1"/>
  <c r="I76" i="1"/>
  <c r="J76" i="1"/>
  <c r="K76" i="1"/>
  <c r="P76" i="1" s="1"/>
  <c r="L76" i="1"/>
  <c r="M76" i="1"/>
  <c r="N76" i="1"/>
  <c r="I77" i="1"/>
  <c r="O77" i="1" s="1"/>
  <c r="J77" i="1"/>
  <c r="K77" i="1"/>
  <c r="L77" i="1"/>
  <c r="U77" i="1" s="1"/>
  <c r="M77" i="1"/>
  <c r="Q77" i="1" s="1"/>
  <c r="N77" i="1"/>
  <c r="I78" i="1"/>
  <c r="J78" i="1"/>
  <c r="K78" i="1"/>
  <c r="P78" i="1" s="1"/>
  <c r="L78" i="1"/>
  <c r="M78" i="1"/>
  <c r="N78" i="1"/>
  <c r="I79" i="1"/>
  <c r="J79" i="1"/>
  <c r="K79" i="1"/>
  <c r="L79" i="1"/>
  <c r="M79" i="1"/>
  <c r="N79" i="1"/>
  <c r="I80" i="1"/>
  <c r="J80" i="1"/>
  <c r="K80" i="1"/>
  <c r="L80" i="1"/>
  <c r="M80" i="1"/>
  <c r="N80" i="1"/>
  <c r="I81" i="1"/>
  <c r="O81" i="1" s="1"/>
  <c r="J81" i="1"/>
  <c r="K81" i="1"/>
  <c r="L81" i="1"/>
  <c r="U81" i="1" s="1"/>
  <c r="M81" i="1"/>
  <c r="N81" i="1"/>
  <c r="Q81" i="1"/>
  <c r="I82" i="1"/>
  <c r="J82" i="1"/>
  <c r="K82" i="1"/>
  <c r="L82" i="1"/>
  <c r="M82" i="1"/>
  <c r="N82" i="1"/>
  <c r="I83" i="1"/>
  <c r="J83" i="1"/>
  <c r="O83" i="1" s="1"/>
  <c r="K83" i="1"/>
  <c r="P83" i="1" s="1"/>
  <c r="L83" i="1"/>
  <c r="M83" i="1"/>
  <c r="N83" i="1"/>
  <c r="Q83" i="1" s="1"/>
  <c r="I84" i="1"/>
  <c r="O84" i="1" s="1"/>
  <c r="J84" i="1"/>
  <c r="K84" i="1"/>
  <c r="L84" i="1"/>
  <c r="M84" i="1"/>
  <c r="Q84" i="1" s="1"/>
  <c r="N84" i="1"/>
  <c r="I85" i="1"/>
  <c r="J85" i="1"/>
  <c r="K85" i="1"/>
  <c r="L85" i="1"/>
  <c r="M85" i="1"/>
  <c r="N85" i="1"/>
  <c r="Q85" i="1"/>
  <c r="I86" i="1"/>
  <c r="J86" i="1"/>
  <c r="K86" i="1"/>
  <c r="L86" i="1"/>
  <c r="M86" i="1"/>
  <c r="N86" i="1"/>
  <c r="Q86" i="1" s="1"/>
  <c r="I87" i="1"/>
  <c r="J87" i="1"/>
  <c r="U87" i="1" s="1"/>
  <c r="K87" i="1"/>
  <c r="P87" i="1" s="1"/>
  <c r="L87" i="1"/>
  <c r="M87" i="1"/>
  <c r="N87" i="1"/>
  <c r="I88" i="1"/>
  <c r="J88" i="1"/>
  <c r="U88" i="1" s="1"/>
  <c r="K88" i="1"/>
  <c r="P88" i="1" s="1"/>
  <c r="L88" i="1"/>
  <c r="M88" i="1"/>
  <c r="N88" i="1"/>
  <c r="Q88" i="1"/>
  <c r="I89" i="1"/>
  <c r="J89" i="1"/>
  <c r="K89" i="1"/>
  <c r="P89" i="1" s="1"/>
  <c r="L89" i="1"/>
  <c r="M89" i="1"/>
  <c r="N89" i="1"/>
  <c r="Q89" i="1" s="1"/>
  <c r="I90" i="1"/>
  <c r="J90" i="1"/>
  <c r="K90" i="1"/>
  <c r="L90" i="1"/>
  <c r="M90" i="1"/>
  <c r="N90" i="1"/>
  <c r="I91" i="1"/>
  <c r="J91" i="1"/>
  <c r="K91" i="1"/>
  <c r="P91" i="1" s="1"/>
  <c r="L91" i="1"/>
  <c r="M91" i="1"/>
  <c r="N91" i="1"/>
  <c r="I92" i="1"/>
  <c r="J92" i="1"/>
  <c r="K92" i="1"/>
  <c r="L92" i="1"/>
  <c r="M92" i="1"/>
  <c r="N92" i="1"/>
  <c r="I93" i="1"/>
  <c r="J93" i="1"/>
  <c r="K93" i="1"/>
  <c r="P93" i="1" s="1"/>
  <c r="L93" i="1"/>
  <c r="M93" i="1"/>
  <c r="N93" i="1"/>
  <c r="I94" i="1"/>
  <c r="O94" i="1" s="1"/>
  <c r="J94" i="1"/>
  <c r="U94" i="1" s="1"/>
  <c r="K94" i="1"/>
  <c r="L94" i="1"/>
  <c r="M94" i="1"/>
  <c r="Q94" i="1" s="1"/>
  <c r="N94" i="1"/>
  <c r="I95" i="1"/>
  <c r="J95" i="1"/>
  <c r="K95" i="1"/>
  <c r="L95" i="1"/>
  <c r="M95" i="1"/>
  <c r="N95" i="1"/>
  <c r="I96" i="1"/>
  <c r="J96" i="1"/>
  <c r="K96" i="1"/>
  <c r="L96" i="1"/>
  <c r="U96" i="1" s="1"/>
  <c r="M96" i="1"/>
  <c r="Q96" i="1" s="1"/>
  <c r="N96" i="1"/>
  <c r="I97" i="1"/>
  <c r="J97" i="1"/>
  <c r="K97" i="1"/>
  <c r="P97" i="1" s="1"/>
  <c r="L97" i="1"/>
  <c r="M97" i="1"/>
  <c r="Q97" i="1" s="1"/>
  <c r="N97" i="1"/>
  <c r="I98" i="1"/>
  <c r="J98" i="1"/>
  <c r="U98" i="1" s="1"/>
  <c r="K98" i="1"/>
  <c r="P98" i="1" s="1"/>
  <c r="L98" i="1"/>
  <c r="M98" i="1"/>
  <c r="N98" i="1"/>
  <c r="Q98" i="1" s="1"/>
  <c r="O98" i="1"/>
  <c r="I99" i="1"/>
  <c r="J99" i="1"/>
  <c r="K99" i="1"/>
  <c r="P99" i="1" s="1"/>
  <c r="L99" i="1"/>
  <c r="M99" i="1"/>
  <c r="N99" i="1"/>
  <c r="Q99" i="1" s="1"/>
  <c r="M9" i="9"/>
  <c r="N9" i="9"/>
  <c r="M10" i="9"/>
  <c r="N10" i="9"/>
  <c r="H9" i="9"/>
  <c r="I9" i="9"/>
  <c r="H10" i="9"/>
  <c r="I10" i="9"/>
  <c r="C3" i="9"/>
  <c r="D3" i="9"/>
  <c r="C4" i="9"/>
  <c r="D4" i="9"/>
  <c r="C5" i="9"/>
  <c r="D5" i="9"/>
  <c r="C6" i="9"/>
  <c r="D6" i="9"/>
  <c r="C7" i="9"/>
  <c r="D7" i="9"/>
  <c r="C8" i="9"/>
  <c r="D8" i="9"/>
  <c r="C9" i="9"/>
  <c r="D9" i="9"/>
  <c r="C10" i="9"/>
  <c r="D10" i="9"/>
  <c r="D2" i="9"/>
  <c r="C2" i="9"/>
  <c r="B3" i="9"/>
  <c r="B4" i="9"/>
  <c r="B5" i="9"/>
  <c r="B6" i="9"/>
  <c r="B7" i="9"/>
  <c r="B8" i="9"/>
  <c r="B9" i="9"/>
  <c r="B10" i="9"/>
  <c r="B2" i="9"/>
  <c r="J8" i="10" l="1"/>
  <c r="J24" i="10"/>
  <c r="J3" i="10"/>
  <c r="J21" i="10"/>
  <c r="H10" i="10"/>
  <c r="J10" i="10" s="1"/>
  <c r="H14" i="10"/>
  <c r="J14" i="10" s="1"/>
  <c r="H18" i="10"/>
  <c r="J18" i="10" s="1"/>
  <c r="H22" i="10"/>
  <c r="J22" i="10" s="1"/>
  <c r="H26" i="10"/>
  <c r="J26" i="10" s="1"/>
  <c r="H7" i="10"/>
  <c r="J7" i="10" s="1"/>
  <c r="H4" i="10"/>
  <c r="J4" i="10" s="1"/>
  <c r="I8" i="10"/>
  <c r="I12" i="10"/>
  <c r="J12" i="10" s="1"/>
  <c r="I16" i="10"/>
  <c r="J16" i="10" s="1"/>
  <c r="I20" i="10"/>
  <c r="J20" i="10" s="1"/>
  <c r="I24" i="10"/>
  <c r="I28" i="10"/>
  <c r="J28" i="10" s="1"/>
  <c r="I2" i="10"/>
  <c r="J2" i="10" s="1"/>
  <c r="I6" i="10"/>
  <c r="J6" i="10" s="1"/>
  <c r="H30" i="10"/>
  <c r="J30" i="10" s="1"/>
  <c r="R98" i="1"/>
  <c r="U97" i="1"/>
  <c r="T96" i="1"/>
  <c r="T92" i="1"/>
  <c r="T90" i="1"/>
  <c r="U80" i="1"/>
  <c r="U78" i="1"/>
  <c r="R75" i="1"/>
  <c r="U99" i="1"/>
  <c r="O97" i="1"/>
  <c r="U95" i="1"/>
  <c r="U93" i="1"/>
  <c r="U91" i="1"/>
  <c r="U89" i="1"/>
  <c r="Q87" i="1"/>
  <c r="P86" i="1"/>
  <c r="S86" i="1" s="1"/>
  <c r="Q80" i="1"/>
  <c r="O80" i="1"/>
  <c r="P79" i="1"/>
  <c r="U76" i="1"/>
  <c r="Q74" i="1"/>
  <c r="T98" i="1"/>
  <c r="Q95" i="1"/>
  <c r="O95" i="1"/>
  <c r="S95" i="1" s="1"/>
  <c r="P94" i="1"/>
  <c r="Q93" i="1"/>
  <c r="O93" i="1"/>
  <c r="P92" i="1"/>
  <c r="Q91" i="1"/>
  <c r="O91" i="1"/>
  <c r="P90" i="1"/>
  <c r="O88" i="1"/>
  <c r="R88" i="1" s="1"/>
  <c r="U86" i="1"/>
  <c r="O85" i="1"/>
  <c r="P82" i="1"/>
  <c r="Q79" i="1"/>
  <c r="S79" i="1" s="1"/>
  <c r="O79" i="1"/>
  <c r="Q76" i="1"/>
  <c r="O76" i="1"/>
  <c r="Q92" i="1"/>
  <c r="O92" i="1"/>
  <c r="S92" i="1" s="1"/>
  <c r="Q90" i="1"/>
  <c r="O90" i="1"/>
  <c r="R90" i="1" s="1"/>
  <c r="U85" i="1"/>
  <c r="U84" i="1"/>
  <c r="U82" i="1"/>
  <c r="U75" i="1"/>
  <c r="R94" i="1"/>
  <c r="R83" i="1"/>
  <c r="S98" i="1"/>
  <c r="T87" i="1"/>
  <c r="S75" i="1"/>
  <c r="U92" i="1"/>
  <c r="U90" i="1"/>
  <c r="O99" i="1"/>
  <c r="S99" i="1" s="1"/>
  <c r="O96" i="1"/>
  <c r="P96" i="1"/>
  <c r="P95" i="1"/>
  <c r="O89" i="1"/>
  <c r="R89" i="1" s="1"/>
  <c r="O86" i="1"/>
  <c r="R86" i="1" s="1"/>
  <c r="P85" i="1"/>
  <c r="S85" i="1" s="1"/>
  <c r="P84" i="1"/>
  <c r="U83" i="1"/>
  <c r="T83" i="1"/>
  <c r="Q82" i="1"/>
  <c r="O82" i="1"/>
  <c r="P81" i="1"/>
  <c r="S81" i="1" s="1"/>
  <c r="P80" i="1"/>
  <c r="R80" i="1" s="1"/>
  <c r="U79" i="1"/>
  <c r="T79" i="1"/>
  <c r="Q78" i="1"/>
  <c r="S78" i="1" s="1"/>
  <c r="O78" i="1"/>
  <c r="P77" i="1"/>
  <c r="S77" i="1" s="1"/>
  <c r="T94" i="1"/>
  <c r="S94" i="1"/>
  <c r="O87" i="1"/>
  <c r="R87" i="1" s="1"/>
  <c r="T75" i="1"/>
  <c r="O74" i="1"/>
  <c r="R74" i="1" s="1"/>
  <c r="P73" i="1"/>
  <c r="S73" i="1" s="1"/>
  <c r="S90" i="1"/>
  <c r="T85" i="1"/>
  <c r="S83" i="1"/>
  <c r="T81" i="1"/>
  <c r="T77" i="1"/>
  <c r="T99" i="1"/>
  <c r="T97" i="1"/>
  <c r="T95" i="1"/>
  <c r="T93" i="1"/>
  <c r="T91" i="1"/>
  <c r="T89" i="1"/>
  <c r="R93" i="1"/>
  <c r="S93" i="1"/>
  <c r="R95" i="1"/>
  <c r="R84" i="1"/>
  <c r="S84" i="1"/>
  <c r="S80" i="1"/>
  <c r="R97" i="1"/>
  <c r="S97" i="1"/>
  <c r="R76" i="1"/>
  <c r="S76" i="1"/>
  <c r="R91" i="1"/>
  <c r="S91" i="1"/>
  <c r="R99" i="1"/>
  <c r="R78" i="1"/>
  <c r="T88" i="1"/>
  <c r="T86" i="1"/>
  <c r="T84" i="1"/>
  <c r="T82" i="1"/>
  <c r="T80" i="1"/>
  <c r="T78" i="1"/>
  <c r="T76" i="1"/>
  <c r="T74" i="1"/>
  <c r="R73" i="1"/>
  <c r="T73" i="1"/>
  <c r="L10" i="9"/>
  <c r="P10" i="9" s="1"/>
  <c r="G10" i="9"/>
  <c r="E10" i="9"/>
  <c r="L9" i="9"/>
  <c r="O9" i="9" s="1"/>
  <c r="G9" i="9"/>
  <c r="J9" i="9" s="1"/>
  <c r="E9" i="9"/>
  <c r="F9" i="9"/>
  <c r="E8" i="9"/>
  <c r="E7" i="9"/>
  <c r="F5" i="9"/>
  <c r="E4" i="9"/>
  <c r="F3" i="9"/>
  <c r="C11" i="9"/>
  <c r="N10" i="8"/>
  <c r="M10" i="8"/>
  <c r="I10" i="8"/>
  <c r="H10" i="8"/>
  <c r="N9" i="8"/>
  <c r="M9" i="8"/>
  <c r="L9" i="8" s="1"/>
  <c r="O9" i="8" s="1"/>
  <c r="I9" i="8"/>
  <c r="H9" i="8"/>
  <c r="N10" i="7"/>
  <c r="M10" i="7"/>
  <c r="L10" i="7" s="1"/>
  <c r="P10" i="7" s="1"/>
  <c r="I10" i="7"/>
  <c r="H10" i="7"/>
  <c r="N9" i="7"/>
  <c r="M9" i="7"/>
  <c r="I9" i="7"/>
  <c r="H9" i="7"/>
  <c r="H10" i="2"/>
  <c r="I10" i="2"/>
  <c r="M10" i="2"/>
  <c r="N10" i="2"/>
  <c r="M9" i="2"/>
  <c r="N9" i="2"/>
  <c r="I9" i="2"/>
  <c r="H9" i="2"/>
  <c r="M1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1" i="1"/>
  <c r="M2" i="1"/>
  <c r="Q2" i="1" s="1"/>
  <c r="M3" i="1"/>
  <c r="Q3" i="1" s="1"/>
  <c r="M4" i="1"/>
  <c r="Q4" i="1" s="1"/>
  <c r="M5" i="1"/>
  <c r="Q5" i="1" s="1"/>
  <c r="M6" i="1"/>
  <c r="Q6" i="1" s="1"/>
  <c r="M7" i="1"/>
  <c r="Q7" i="1" s="1"/>
  <c r="M8" i="1"/>
  <c r="Q8" i="1" s="1"/>
  <c r="M9" i="1"/>
  <c r="Q9" i="1" s="1"/>
  <c r="M10" i="1"/>
  <c r="Q10" i="1" s="1"/>
  <c r="M11" i="1"/>
  <c r="Q11" i="1" s="1"/>
  <c r="M12" i="1"/>
  <c r="Q12" i="1" s="1"/>
  <c r="M13" i="1"/>
  <c r="Q13" i="1" s="1"/>
  <c r="M14" i="1"/>
  <c r="Q14" i="1" s="1"/>
  <c r="M15" i="1"/>
  <c r="Q15" i="1" s="1"/>
  <c r="M16" i="1"/>
  <c r="Q16" i="1" s="1"/>
  <c r="M17" i="1"/>
  <c r="Q17" i="1" s="1"/>
  <c r="M18" i="1"/>
  <c r="Q18" i="1" s="1"/>
  <c r="M19" i="1"/>
  <c r="Q19" i="1" s="1"/>
  <c r="M20" i="1"/>
  <c r="Q20" i="1" s="1"/>
  <c r="M21" i="1"/>
  <c r="Q21" i="1" s="1"/>
  <c r="M22" i="1"/>
  <c r="Q22" i="1" s="1"/>
  <c r="M23" i="1"/>
  <c r="Q23" i="1" s="1"/>
  <c r="M24" i="1"/>
  <c r="Q24" i="1" s="1"/>
  <c r="M25" i="1"/>
  <c r="Q25" i="1" s="1"/>
  <c r="M26" i="1"/>
  <c r="Q26" i="1" s="1"/>
  <c r="M27" i="1"/>
  <c r="Q27" i="1" s="1"/>
  <c r="M28" i="1"/>
  <c r="Q28" i="1" s="1"/>
  <c r="M29" i="1"/>
  <c r="Q29" i="1" s="1"/>
  <c r="M30" i="1"/>
  <c r="Q30" i="1" s="1"/>
  <c r="M31" i="1"/>
  <c r="Q31" i="1" s="1"/>
  <c r="M32" i="1"/>
  <c r="Q32" i="1" s="1"/>
  <c r="M33" i="1"/>
  <c r="Q33" i="1" s="1"/>
  <c r="M34" i="1"/>
  <c r="Q34" i="1" s="1"/>
  <c r="M35" i="1"/>
  <c r="Q35" i="1" s="1"/>
  <c r="M36" i="1"/>
  <c r="Q36" i="1" s="1"/>
  <c r="M37" i="1"/>
  <c r="M38" i="1"/>
  <c r="Q38" i="1" s="1"/>
  <c r="M39" i="1"/>
  <c r="Q39" i="1" s="1"/>
  <c r="M40" i="1"/>
  <c r="Q40" i="1" s="1"/>
  <c r="M41" i="1"/>
  <c r="Q41" i="1" s="1"/>
  <c r="M42" i="1"/>
  <c r="Q42" i="1" s="1"/>
  <c r="M43" i="1"/>
  <c r="Q43" i="1" s="1"/>
  <c r="M44" i="1"/>
  <c r="Q44" i="1" s="1"/>
  <c r="M45" i="1"/>
  <c r="Q45" i="1" s="1"/>
  <c r="M46" i="1"/>
  <c r="Q46" i="1" s="1"/>
  <c r="M47" i="1"/>
  <c r="Q47" i="1" s="1"/>
  <c r="M48" i="1"/>
  <c r="Q48" i="1" s="1"/>
  <c r="M49" i="1"/>
  <c r="Q49" i="1" s="1"/>
  <c r="M50" i="1"/>
  <c r="Q50" i="1" s="1"/>
  <c r="M51" i="1"/>
  <c r="Q51" i="1" s="1"/>
  <c r="M52" i="1"/>
  <c r="Q52" i="1" s="1"/>
  <c r="M53" i="1"/>
  <c r="Q53" i="1" s="1"/>
  <c r="M54" i="1"/>
  <c r="Q54" i="1" s="1"/>
  <c r="M55" i="1"/>
  <c r="Q55" i="1" s="1"/>
  <c r="M56" i="1"/>
  <c r="Q56" i="1" s="1"/>
  <c r="M57" i="1"/>
  <c r="Q57" i="1" s="1"/>
  <c r="M58" i="1"/>
  <c r="Q58" i="1" s="1"/>
  <c r="M59" i="1"/>
  <c r="Q59" i="1" s="1"/>
  <c r="M60" i="1"/>
  <c r="Q60" i="1" s="1"/>
  <c r="M61" i="1"/>
  <c r="Q61" i="1" s="1"/>
  <c r="M62" i="1"/>
  <c r="Q62" i="1" s="1"/>
  <c r="M63" i="1"/>
  <c r="Q63" i="1" s="1"/>
  <c r="M64" i="1"/>
  <c r="Q64" i="1" s="1"/>
  <c r="M65" i="1"/>
  <c r="Q65" i="1" s="1"/>
  <c r="M66" i="1"/>
  <c r="Q66" i="1" s="1"/>
  <c r="M67" i="1"/>
  <c r="Q67" i="1" s="1"/>
  <c r="M68" i="1"/>
  <c r="Q68" i="1" s="1"/>
  <c r="M69" i="1"/>
  <c r="Q69" i="1" s="1"/>
  <c r="M70" i="1"/>
  <c r="Q70" i="1" s="1"/>
  <c r="M71" i="1"/>
  <c r="Q71" i="1" s="1"/>
  <c r="M72" i="1"/>
  <c r="Q72" i="1" s="1"/>
  <c r="S74" i="1" l="1"/>
  <c r="R81" i="1"/>
  <c r="S89" i="1"/>
  <c r="S88" i="1"/>
  <c r="S87" i="1"/>
  <c r="R82" i="1"/>
  <c r="S96" i="1"/>
  <c r="G9" i="8"/>
  <c r="J9" i="8" s="1"/>
  <c r="R92" i="1"/>
  <c r="R79" i="1"/>
  <c r="R77" i="1"/>
  <c r="S82" i="1"/>
  <c r="R96" i="1"/>
  <c r="R85" i="1"/>
  <c r="L10" i="8"/>
  <c r="P10" i="8" s="1"/>
  <c r="G9" i="7"/>
  <c r="J9" i="7" s="1"/>
  <c r="L9" i="7"/>
  <c r="O9" i="7" s="1"/>
  <c r="D11" i="9"/>
  <c r="B11" i="9"/>
  <c r="E3" i="9"/>
  <c r="F4" i="9"/>
  <c r="K10" i="9"/>
  <c r="E5" i="9"/>
  <c r="E6" i="9"/>
  <c r="F10" i="9"/>
  <c r="O10" i="9"/>
  <c r="F6" i="9"/>
  <c r="F7" i="9"/>
  <c r="P9" i="9"/>
  <c r="F8" i="9"/>
  <c r="K9" i="9"/>
  <c r="F2" i="9"/>
  <c r="E2" i="9"/>
  <c r="J10" i="9"/>
  <c r="O10" i="8"/>
  <c r="G10" i="8"/>
  <c r="K10" i="8" s="1"/>
  <c r="O10" i="7"/>
  <c r="G10" i="7"/>
  <c r="K10" i="7" s="1"/>
  <c r="P9" i="8"/>
  <c r="K9" i="8"/>
  <c r="P9" i="7"/>
  <c r="J10" i="7"/>
  <c r="L9" i="2"/>
  <c r="P9" i="2" s="1"/>
  <c r="L10" i="2"/>
  <c r="G10" i="2"/>
  <c r="J10" i="2" s="1"/>
  <c r="G9" i="2"/>
  <c r="Q37" i="1"/>
  <c r="Q1" i="1"/>
  <c r="K9" i="7" l="1"/>
  <c r="J10" i="8"/>
  <c r="K10" i="2"/>
  <c r="O9" i="2"/>
  <c r="K9" i="2"/>
  <c r="J9" i="2"/>
  <c r="P10" i="2"/>
  <c r="O10" i="2"/>
  <c r="F11" i="9"/>
  <c r="E11" i="9"/>
  <c r="L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1" i="1"/>
  <c r="K2" i="1"/>
  <c r="K3" i="1"/>
  <c r="P3" i="1" s="1"/>
  <c r="K4" i="1"/>
  <c r="P4" i="1" s="1"/>
  <c r="K5" i="1"/>
  <c r="K6" i="1"/>
  <c r="K7" i="1"/>
  <c r="P7" i="1" s="1"/>
  <c r="K8" i="1"/>
  <c r="P8" i="1" s="1"/>
  <c r="K9" i="1"/>
  <c r="K10" i="1"/>
  <c r="K11" i="1"/>
  <c r="P11" i="1" s="1"/>
  <c r="K12" i="1"/>
  <c r="P12" i="1" s="1"/>
  <c r="K13" i="1"/>
  <c r="K14" i="1"/>
  <c r="K15" i="1"/>
  <c r="P15" i="1" s="1"/>
  <c r="K16" i="1"/>
  <c r="P16" i="1" s="1"/>
  <c r="K17" i="1"/>
  <c r="K18" i="1"/>
  <c r="K19" i="1"/>
  <c r="P19" i="1" s="1"/>
  <c r="K20" i="1"/>
  <c r="P20" i="1" s="1"/>
  <c r="K21" i="1"/>
  <c r="K22" i="1"/>
  <c r="P22" i="1" s="1"/>
  <c r="K23" i="1"/>
  <c r="P23" i="1" s="1"/>
  <c r="K24" i="1"/>
  <c r="K25" i="1"/>
  <c r="K26" i="1"/>
  <c r="P26" i="1" s="1"/>
  <c r="K27" i="1"/>
  <c r="P27" i="1" s="1"/>
  <c r="K28" i="1"/>
  <c r="K29" i="1"/>
  <c r="K30" i="1"/>
  <c r="P30" i="1" s="1"/>
  <c r="K31" i="1"/>
  <c r="P31" i="1" s="1"/>
  <c r="K32" i="1"/>
  <c r="K33" i="1"/>
  <c r="K34" i="1"/>
  <c r="P34" i="1" s="1"/>
  <c r="K35" i="1"/>
  <c r="P35" i="1" s="1"/>
  <c r="K36" i="1"/>
  <c r="K37" i="1"/>
  <c r="K38" i="1"/>
  <c r="P38" i="1" s="1"/>
  <c r="K39" i="1"/>
  <c r="P39" i="1" s="1"/>
  <c r="K40" i="1"/>
  <c r="K41" i="1"/>
  <c r="K42" i="1"/>
  <c r="P42" i="1" s="1"/>
  <c r="K43" i="1"/>
  <c r="P43" i="1" s="1"/>
  <c r="K44" i="1"/>
  <c r="K45" i="1"/>
  <c r="K46" i="1"/>
  <c r="P46" i="1" s="1"/>
  <c r="K47" i="1"/>
  <c r="P47" i="1" s="1"/>
  <c r="K48" i="1"/>
  <c r="K49" i="1"/>
  <c r="K50" i="1"/>
  <c r="P50" i="1" s="1"/>
  <c r="K51" i="1"/>
  <c r="P51" i="1" s="1"/>
  <c r="K52" i="1"/>
  <c r="K53" i="1"/>
  <c r="K54" i="1"/>
  <c r="P54" i="1" s="1"/>
  <c r="K55" i="1"/>
  <c r="P55" i="1" s="1"/>
  <c r="K56" i="1"/>
  <c r="K57" i="1"/>
  <c r="K58" i="1"/>
  <c r="P58" i="1" s="1"/>
  <c r="K59" i="1"/>
  <c r="P59" i="1" s="1"/>
  <c r="K60" i="1"/>
  <c r="K61" i="1"/>
  <c r="K62" i="1"/>
  <c r="P62" i="1" s="1"/>
  <c r="K63" i="1"/>
  <c r="P63" i="1" s="1"/>
  <c r="K64" i="1"/>
  <c r="K65" i="1"/>
  <c r="K66" i="1"/>
  <c r="P66" i="1" s="1"/>
  <c r="K67" i="1"/>
  <c r="P67" i="1" s="1"/>
  <c r="K68" i="1"/>
  <c r="K69" i="1"/>
  <c r="K70" i="1"/>
  <c r="P70" i="1" s="1"/>
  <c r="K71" i="1"/>
  <c r="P71" i="1" s="1"/>
  <c r="K72" i="1"/>
  <c r="K1" i="1"/>
  <c r="J2" i="1"/>
  <c r="U2" i="1" s="1"/>
  <c r="J3" i="1"/>
  <c r="U3" i="1" s="1"/>
  <c r="N2" i="9" s="1"/>
  <c r="J4" i="1"/>
  <c r="U4" i="1" s="1"/>
  <c r="J5" i="1"/>
  <c r="U5" i="1" s="1"/>
  <c r="J6" i="1"/>
  <c r="U6" i="1" s="1"/>
  <c r="J7" i="1"/>
  <c r="U7" i="1" s="1"/>
  <c r="J8" i="1"/>
  <c r="U8" i="1" s="1"/>
  <c r="J9" i="1"/>
  <c r="U9" i="1" s="1"/>
  <c r="J10" i="1"/>
  <c r="J11" i="1"/>
  <c r="U11" i="1" s="1"/>
  <c r="J12" i="1"/>
  <c r="U12" i="1" s="1"/>
  <c r="J13" i="1"/>
  <c r="U13" i="1" s="1"/>
  <c r="J14" i="1"/>
  <c r="U14" i="1" s="1"/>
  <c r="J15" i="1"/>
  <c r="U15" i="1" s="1"/>
  <c r="J16" i="1"/>
  <c r="U16" i="1" s="1"/>
  <c r="J17" i="1"/>
  <c r="U17" i="1" s="1"/>
  <c r="J18" i="1"/>
  <c r="U18" i="1" s="1"/>
  <c r="J19" i="1"/>
  <c r="U19" i="1" s="1"/>
  <c r="J20" i="1"/>
  <c r="U20" i="1" s="1"/>
  <c r="J21" i="1"/>
  <c r="U21" i="1" s="1"/>
  <c r="J22" i="1"/>
  <c r="U22" i="1" s="1"/>
  <c r="J23" i="1"/>
  <c r="U23" i="1" s="1"/>
  <c r="J24" i="1"/>
  <c r="U24" i="1" s="1"/>
  <c r="J25" i="1"/>
  <c r="U25" i="1" s="1"/>
  <c r="J26" i="1"/>
  <c r="U26" i="1" s="1"/>
  <c r="J27" i="1"/>
  <c r="U27" i="1" s="1"/>
  <c r="J28" i="1"/>
  <c r="U28" i="1" s="1"/>
  <c r="J29" i="1"/>
  <c r="U29" i="1" s="1"/>
  <c r="J30" i="1"/>
  <c r="U30" i="1" s="1"/>
  <c r="J31" i="1"/>
  <c r="U31" i="1" s="1"/>
  <c r="J32" i="1"/>
  <c r="U32" i="1" s="1"/>
  <c r="J33" i="1"/>
  <c r="U33" i="1" s="1"/>
  <c r="J34" i="1"/>
  <c r="U34" i="1" s="1"/>
  <c r="J35" i="1"/>
  <c r="U35" i="1" s="1"/>
  <c r="J36" i="1"/>
  <c r="U36" i="1" s="1"/>
  <c r="J37" i="1"/>
  <c r="U37" i="1" s="1"/>
  <c r="J38" i="1"/>
  <c r="U38" i="1" s="1"/>
  <c r="J39" i="1"/>
  <c r="U39" i="1" s="1"/>
  <c r="J40" i="1"/>
  <c r="U40" i="1" s="1"/>
  <c r="J41" i="1"/>
  <c r="U41" i="1" s="1"/>
  <c r="J42" i="1"/>
  <c r="U42" i="1" s="1"/>
  <c r="J43" i="1"/>
  <c r="U43" i="1" s="1"/>
  <c r="J44" i="1"/>
  <c r="U44" i="1" s="1"/>
  <c r="J45" i="1"/>
  <c r="U45" i="1" s="1"/>
  <c r="J46" i="1"/>
  <c r="U46" i="1" s="1"/>
  <c r="J47" i="1"/>
  <c r="U47" i="1" s="1"/>
  <c r="J48" i="1"/>
  <c r="U48" i="1" s="1"/>
  <c r="J49" i="1"/>
  <c r="U49" i="1" s="1"/>
  <c r="J50" i="1"/>
  <c r="U50" i="1" s="1"/>
  <c r="J51" i="1"/>
  <c r="U51" i="1" s="1"/>
  <c r="J52" i="1"/>
  <c r="U52" i="1" s="1"/>
  <c r="N7" i="9" s="1"/>
  <c r="J53" i="1"/>
  <c r="U53" i="1" s="1"/>
  <c r="J54" i="1"/>
  <c r="U54" i="1" s="1"/>
  <c r="J55" i="1"/>
  <c r="U55" i="1" s="1"/>
  <c r="J56" i="1"/>
  <c r="U56" i="1" s="1"/>
  <c r="J57" i="1"/>
  <c r="U57" i="1" s="1"/>
  <c r="J58" i="1"/>
  <c r="U58" i="1" s="1"/>
  <c r="J59" i="1"/>
  <c r="U59" i="1" s="1"/>
  <c r="J60" i="1"/>
  <c r="U60" i="1" s="1"/>
  <c r="J61" i="1"/>
  <c r="U61" i="1" s="1"/>
  <c r="J62" i="1"/>
  <c r="U62" i="1" s="1"/>
  <c r="J63" i="1"/>
  <c r="U63" i="1" s="1"/>
  <c r="J64" i="1"/>
  <c r="U64" i="1" s="1"/>
  <c r="J65" i="1"/>
  <c r="U65" i="1" s="1"/>
  <c r="J66" i="1"/>
  <c r="U66" i="1" s="1"/>
  <c r="J67" i="1"/>
  <c r="U67" i="1" s="1"/>
  <c r="J68" i="1"/>
  <c r="U68" i="1" s="1"/>
  <c r="J69" i="1"/>
  <c r="U69" i="1" s="1"/>
  <c r="J70" i="1"/>
  <c r="U70" i="1" s="1"/>
  <c r="N8" i="9" s="1"/>
  <c r="J71" i="1"/>
  <c r="U71" i="1" s="1"/>
  <c r="J72" i="1"/>
  <c r="U72" i="1" s="1"/>
  <c r="J1" i="1"/>
  <c r="U1" i="1" s="1"/>
  <c r="I2" i="1"/>
  <c r="T2" i="1" s="1"/>
  <c r="I3" i="1"/>
  <c r="I4" i="1"/>
  <c r="I5" i="1"/>
  <c r="I6" i="1"/>
  <c r="T6" i="1" s="1"/>
  <c r="I7" i="1"/>
  <c r="I8" i="1"/>
  <c r="I9" i="1"/>
  <c r="I10" i="1"/>
  <c r="T10" i="1" s="1"/>
  <c r="I11" i="1"/>
  <c r="I12" i="1"/>
  <c r="I13" i="1"/>
  <c r="I14" i="1"/>
  <c r="T14" i="1" s="1"/>
  <c r="I15" i="1"/>
  <c r="I16" i="1"/>
  <c r="I17" i="1"/>
  <c r="I18" i="1"/>
  <c r="T18" i="1" s="1"/>
  <c r="I19" i="1"/>
  <c r="I20" i="1"/>
  <c r="I21" i="1"/>
  <c r="I22" i="1"/>
  <c r="I23" i="1"/>
  <c r="I24" i="1"/>
  <c r="I25" i="1"/>
  <c r="T25" i="1" s="1"/>
  <c r="I26" i="1"/>
  <c r="I27" i="1"/>
  <c r="I28" i="1"/>
  <c r="I29" i="1"/>
  <c r="T29" i="1" s="1"/>
  <c r="I30" i="1"/>
  <c r="I31" i="1"/>
  <c r="I32" i="1"/>
  <c r="I33" i="1"/>
  <c r="T33" i="1" s="1"/>
  <c r="I34" i="1"/>
  <c r="I35" i="1"/>
  <c r="I36" i="1"/>
  <c r="I37" i="1"/>
  <c r="T37" i="1" s="1"/>
  <c r="I38" i="1"/>
  <c r="I39" i="1"/>
  <c r="I40" i="1"/>
  <c r="I41" i="1"/>
  <c r="I42" i="1"/>
  <c r="I43" i="1"/>
  <c r="I44" i="1"/>
  <c r="I45" i="1"/>
  <c r="T45" i="1" s="1"/>
  <c r="I46" i="1"/>
  <c r="I47" i="1"/>
  <c r="I48" i="1"/>
  <c r="I49" i="1"/>
  <c r="I50" i="1"/>
  <c r="I51" i="1"/>
  <c r="I52" i="1"/>
  <c r="I53" i="1"/>
  <c r="T53" i="1" s="1"/>
  <c r="I54" i="1"/>
  <c r="I55" i="1"/>
  <c r="I56" i="1"/>
  <c r="I57" i="1"/>
  <c r="I58" i="1"/>
  <c r="I59" i="1"/>
  <c r="I60" i="1"/>
  <c r="I61" i="1"/>
  <c r="T61" i="1" s="1"/>
  <c r="I62" i="1"/>
  <c r="I63" i="1"/>
  <c r="I64" i="1"/>
  <c r="I65" i="1"/>
  <c r="I66" i="1"/>
  <c r="I67" i="1"/>
  <c r="I68" i="1"/>
  <c r="I69" i="1"/>
  <c r="T69" i="1" s="1"/>
  <c r="I70" i="1"/>
  <c r="I71" i="1"/>
  <c r="I72" i="1"/>
  <c r="T72" i="1" s="1"/>
  <c r="I1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1" i="1"/>
  <c r="N8" i="7" l="1"/>
  <c r="H8" i="2"/>
  <c r="N8" i="8"/>
  <c r="M8" i="7"/>
  <c r="I8" i="7"/>
  <c r="M8" i="2"/>
  <c r="I8" i="2"/>
  <c r="H8" i="7"/>
  <c r="G8" i="7" s="1"/>
  <c r="J8" i="7" s="1"/>
  <c r="N8" i="2"/>
  <c r="N5" i="7"/>
  <c r="N5" i="8"/>
  <c r="I2" i="7"/>
  <c r="H2" i="7"/>
  <c r="N2" i="7"/>
  <c r="N2" i="2"/>
  <c r="N2" i="8"/>
  <c r="M2" i="7"/>
  <c r="C10" i="8"/>
  <c r="B9" i="8"/>
  <c r="D7" i="8"/>
  <c r="C6" i="8"/>
  <c r="B5" i="8"/>
  <c r="N3" i="8"/>
  <c r="D3" i="8"/>
  <c r="C2" i="8"/>
  <c r="B10" i="7"/>
  <c r="D8" i="7"/>
  <c r="C7" i="7"/>
  <c r="B6" i="7"/>
  <c r="D4" i="7"/>
  <c r="C3" i="7"/>
  <c r="B2" i="7"/>
  <c r="B10" i="8"/>
  <c r="D8" i="8"/>
  <c r="C7" i="8"/>
  <c r="B6" i="8"/>
  <c r="D4" i="8"/>
  <c r="C3" i="8"/>
  <c r="B2" i="8"/>
  <c r="D9" i="7"/>
  <c r="C8" i="7"/>
  <c r="B7" i="7"/>
  <c r="D5" i="7"/>
  <c r="C4" i="7"/>
  <c r="B3" i="7"/>
  <c r="B10" i="2"/>
  <c r="N3" i="2"/>
  <c r="D9" i="8"/>
  <c r="F9" i="8" s="1"/>
  <c r="C8" i="8"/>
  <c r="B7" i="8"/>
  <c r="D5" i="8"/>
  <c r="F5" i="8" s="1"/>
  <c r="C4" i="8"/>
  <c r="B3" i="8"/>
  <c r="D10" i="7"/>
  <c r="F10" i="7" s="1"/>
  <c r="C9" i="7"/>
  <c r="B8" i="7"/>
  <c r="D6" i="7"/>
  <c r="F6" i="7" s="1"/>
  <c r="C5" i="7"/>
  <c r="B4" i="7"/>
  <c r="D2" i="7"/>
  <c r="C10" i="2"/>
  <c r="E10" i="2" s="1"/>
  <c r="D10" i="8"/>
  <c r="F10" i="8" s="1"/>
  <c r="C9" i="8"/>
  <c r="E9" i="8" s="1"/>
  <c r="B8" i="8"/>
  <c r="F8" i="8" s="1"/>
  <c r="D6" i="8"/>
  <c r="F6" i="8" s="1"/>
  <c r="C5" i="8"/>
  <c r="E5" i="8" s="1"/>
  <c r="B4" i="8"/>
  <c r="F4" i="8" s="1"/>
  <c r="D2" i="8"/>
  <c r="C10" i="7"/>
  <c r="E10" i="7" s="1"/>
  <c r="B9" i="7"/>
  <c r="D7" i="7"/>
  <c r="F7" i="7" s="1"/>
  <c r="C6" i="7"/>
  <c r="E6" i="7" s="1"/>
  <c r="B5" i="7"/>
  <c r="N3" i="7"/>
  <c r="D3" i="7"/>
  <c r="F3" i="7" s="1"/>
  <c r="C2" i="7"/>
  <c r="D10" i="2"/>
  <c r="F10" i="2" s="1"/>
  <c r="M6" i="8"/>
  <c r="I6" i="8"/>
  <c r="H6" i="8"/>
  <c r="N6" i="7"/>
  <c r="M6" i="2"/>
  <c r="N6" i="2"/>
  <c r="N6" i="8"/>
  <c r="M6" i="7"/>
  <c r="N3" i="9"/>
  <c r="N6" i="9"/>
  <c r="N7" i="8"/>
  <c r="M7" i="2"/>
  <c r="H7" i="2"/>
  <c r="M7" i="8"/>
  <c r="N7" i="2"/>
  <c r="I7" i="2"/>
  <c r="N7" i="7"/>
  <c r="N4" i="7"/>
  <c r="N4" i="8"/>
  <c r="N4" i="2"/>
  <c r="N4" i="9"/>
  <c r="O1" i="1"/>
  <c r="T1" i="1"/>
  <c r="M3" i="9" s="1"/>
  <c r="U10" i="1"/>
  <c r="N5" i="2" s="1"/>
  <c r="O66" i="1"/>
  <c r="T66" i="1"/>
  <c r="O58" i="1"/>
  <c r="T58" i="1"/>
  <c r="O50" i="1"/>
  <c r="T50" i="1"/>
  <c r="O42" i="1"/>
  <c r="T42" i="1"/>
  <c r="O34" i="1"/>
  <c r="T34" i="1"/>
  <c r="M6" i="9" s="1"/>
  <c r="L6" i="9" s="1"/>
  <c r="O6" i="9" s="1"/>
  <c r="O26" i="1"/>
  <c r="T26" i="1"/>
  <c r="O22" i="1"/>
  <c r="T22" i="1"/>
  <c r="O65" i="1"/>
  <c r="T65" i="1"/>
  <c r="O49" i="1"/>
  <c r="T49" i="1"/>
  <c r="O41" i="1"/>
  <c r="T41" i="1"/>
  <c r="O17" i="1"/>
  <c r="T17" i="1"/>
  <c r="O68" i="1"/>
  <c r="T68" i="1"/>
  <c r="O60" i="1"/>
  <c r="T60" i="1"/>
  <c r="M4" i="8" s="1"/>
  <c r="O52" i="1"/>
  <c r="T52" i="1"/>
  <c r="M7" i="9" s="1"/>
  <c r="O44" i="1"/>
  <c r="T44" i="1"/>
  <c r="O36" i="1"/>
  <c r="T36" i="1"/>
  <c r="O28" i="1"/>
  <c r="T28" i="1"/>
  <c r="O20" i="1"/>
  <c r="T20" i="1"/>
  <c r="O8" i="1"/>
  <c r="T8" i="1"/>
  <c r="O70" i="1"/>
  <c r="T70" i="1"/>
  <c r="M8" i="9" s="1"/>
  <c r="O62" i="1"/>
  <c r="T62" i="1"/>
  <c r="M3" i="8" s="1"/>
  <c r="O54" i="1"/>
  <c r="T54" i="1"/>
  <c r="O46" i="1"/>
  <c r="T46" i="1"/>
  <c r="O38" i="1"/>
  <c r="T38" i="1"/>
  <c r="M5" i="7" s="1"/>
  <c r="L5" i="7" s="1"/>
  <c r="O5" i="7" s="1"/>
  <c r="O30" i="1"/>
  <c r="T30" i="1"/>
  <c r="O57" i="1"/>
  <c r="T57" i="1"/>
  <c r="O21" i="1"/>
  <c r="T21" i="1"/>
  <c r="O13" i="1"/>
  <c r="T13" i="1"/>
  <c r="O9" i="1"/>
  <c r="T9" i="1"/>
  <c r="O5" i="1"/>
  <c r="T5" i="1"/>
  <c r="M5" i="9" s="1"/>
  <c r="O64" i="1"/>
  <c r="T64" i="1"/>
  <c r="O56" i="1"/>
  <c r="T56" i="1"/>
  <c r="O48" i="1"/>
  <c r="T48" i="1"/>
  <c r="O40" i="1"/>
  <c r="T40" i="1"/>
  <c r="O32" i="1"/>
  <c r="T32" i="1"/>
  <c r="O24" i="1"/>
  <c r="T24" i="1"/>
  <c r="O16" i="1"/>
  <c r="T16" i="1"/>
  <c r="O12" i="1"/>
  <c r="T12" i="1"/>
  <c r="O4" i="1"/>
  <c r="T4" i="1"/>
  <c r="O71" i="1"/>
  <c r="T71" i="1"/>
  <c r="O67" i="1"/>
  <c r="T67" i="1"/>
  <c r="O63" i="1"/>
  <c r="T63" i="1"/>
  <c r="M5" i="8" s="1"/>
  <c r="L5" i="8" s="1"/>
  <c r="O5" i="8" s="1"/>
  <c r="O59" i="1"/>
  <c r="T59" i="1"/>
  <c r="M2" i="8" s="1"/>
  <c r="O55" i="1"/>
  <c r="T55" i="1"/>
  <c r="O51" i="1"/>
  <c r="T51" i="1"/>
  <c r="O47" i="1"/>
  <c r="T47" i="1"/>
  <c r="O43" i="1"/>
  <c r="T43" i="1"/>
  <c r="M3" i="7" s="1"/>
  <c r="O39" i="1"/>
  <c r="T39" i="1"/>
  <c r="M4" i="7" s="1"/>
  <c r="O35" i="1"/>
  <c r="T35" i="1"/>
  <c r="O31" i="1"/>
  <c r="T31" i="1"/>
  <c r="O27" i="1"/>
  <c r="T27" i="1"/>
  <c r="O23" i="1"/>
  <c r="T23" i="1"/>
  <c r="O19" i="1"/>
  <c r="T19" i="1"/>
  <c r="O15" i="1"/>
  <c r="T15" i="1"/>
  <c r="M4" i="2" s="1"/>
  <c r="O11" i="1"/>
  <c r="T11" i="1"/>
  <c r="O7" i="1"/>
  <c r="T7" i="1"/>
  <c r="O3" i="1"/>
  <c r="T3" i="1"/>
  <c r="C6" i="2"/>
  <c r="O53" i="1"/>
  <c r="O25" i="1"/>
  <c r="O69" i="1"/>
  <c r="O45" i="1"/>
  <c r="O33" i="1"/>
  <c r="D5" i="2"/>
  <c r="O72" i="1"/>
  <c r="D8" i="2"/>
  <c r="D9" i="2"/>
  <c r="O61" i="1"/>
  <c r="O37" i="1"/>
  <c r="O29" i="1"/>
  <c r="O18" i="1"/>
  <c r="O14" i="1"/>
  <c r="O10" i="1"/>
  <c r="O6" i="1"/>
  <c r="O2" i="1"/>
  <c r="C3" i="2"/>
  <c r="P69" i="1"/>
  <c r="P61" i="1"/>
  <c r="P53" i="1"/>
  <c r="P45" i="1"/>
  <c r="P37" i="1"/>
  <c r="P29" i="1"/>
  <c r="P14" i="1"/>
  <c r="P2" i="1"/>
  <c r="C2" i="2"/>
  <c r="D4" i="2"/>
  <c r="P1" i="1"/>
  <c r="P65" i="1"/>
  <c r="P57" i="1"/>
  <c r="P49" i="1"/>
  <c r="P41" i="1"/>
  <c r="P33" i="1"/>
  <c r="P25" i="1"/>
  <c r="P18" i="1"/>
  <c r="P10" i="1"/>
  <c r="P6" i="1"/>
  <c r="D6" i="2"/>
  <c r="P72" i="1"/>
  <c r="P68" i="1"/>
  <c r="P64" i="1"/>
  <c r="P60" i="1"/>
  <c r="P56" i="1"/>
  <c r="P52" i="1"/>
  <c r="P48" i="1"/>
  <c r="P44" i="1"/>
  <c r="P40" i="1"/>
  <c r="P36" i="1"/>
  <c r="P32" i="1"/>
  <c r="P28" i="1"/>
  <c r="P24" i="1"/>
  <c r="P21" i="1"/>
  <c r="P17" i="1"/>
  <c r="P13" i="1"/>
  <c r="P9" i="1"/>
  <c r="P5" i="1"/>
  <c r="C7" i="2"/>
  <c r="C9" i="2"/>
  <c r="C5" i="2"/>
  <c r="D2" i="2"/>
  <c r="D7" i="2"/>
  <c r="D3" i="2"/>
  <c r="C8" i="2"/>
  <c r="C4" i="2"/>
  <c r="B3" i="2"/>
  <c r="B6" i="2"/>
  <c r="B5" i="2"/>
  <c r="B9" i="2"/>
  <c r="B8" i="2"/>
  <c r="B4" i="2"/>
  <c r="B2" i="2"/>
  <c r="B7" i="2"/>
  <c r="G8" i="2" l="1"/>
  <c r="J8" i="2" s="1"/>
  <c r="L4" i="7"/>
  <c r="P4" i="7" s="1"/>
  <c r="L3" i="7"/>
  <c r="O3" i="7" s="1"/>
  <c r="L3" i="8"/>
  <c r="P3" i="8" s="1"/>
  <c r="O3" i="8"/>
  <c r="L2" i="8"/>
  <c r="L4" i="8"/>
  <c r="P4" i="8" s="1"/>
  <c r="L4" i="2"/>
  <c r="O4" i="2" s="1"/>
  <c r="L8" i="9"/>
  <c r="P8" i="9" s="1"/>
  <c r="L7" i="9"/>
  <c r="P7" i="9" s="1"/>
  <c r="G7" i="2"/>
  <c r="J7" i="2" s="1"/>
  <c r="P6" i="9"/>
  <c r="G6" i="8"/>
  <c r="K6" i="8" s="1"/>
  <c r="C11" i="7"/>
  <c r="E2" i="7"/>
  <c r="D11" i="8"/>
  <c r="F2" i="8"/>
  <c r="E5" i="7"/>
  <c r="E8" i="7"/>
  <c r="B11" i="7"/>
  <c r="C11" i="8"/>
  <c r="E2" i="8"/>
  <c r="E6" i="8"/>
  <c r="L2" i="7"/>
  <c r="P2" i="7" s="1"/>
  <c r="N11" i="7"/>
  <c r="N5" i="9"/>
  <c r="N11" i="9" s="1"/>
  <c r="P5" i="8"/>
  <c r="M5" i="2"/>
  <c r="K8" i="7"/>
  <c r="L3" i="9"/>
  <c r="P3" i="9" s="1"/>
  <c r="L7" i="2"/>
  <c r="O7" i="2" s="1"/>
  <c r="D11" i="7"/>
  <c r="F11" i="7" s="1"/>
  <c r="F2" i="7"/>
  <c r="E4" i="7"/>
  <c r="F9" i="7"/>
  <c r="E3" i="7"/>
  <c r="E7" i="7"/>
  <c r="F3" i="8"/>
  <c r="F7" i="8"/>
  <c r="N11" i="8"/>
  <c r="M8" i="8"/>
  <c r="M2" i="9"/>
  <c r="M4" i="9"/>
  <c r="M7" i="7"/>
  <c r="M11" i="7" s="1"/>
  <c r="L6" i="2"/>
  <c r="P6" i="2" s="1"/>
  <c r="O6" i="2"/>
  <c r="L6" i="8"/>
  <c r="P6" i="8" s="1"/>
  <c r="E8" i="8"/>
  <c r="F5" i="7"/>
  <c r="B11" i="8"/>
  <c r="E11" i="8" s="1"/>
  <c r="F8" i="7"/>
  <c r="M2" i="2"/>
  <c r="L2" i="2" s="1"/>
  <c r="P2" i="2" s="1"/>
  <c r="G2" i="7"/>
  <c r="P5" i="7"/>
  <c r="K8" i="2"/>
  <c r="L8" i="7"/>
  <c r="O8" i="7" s="1"/>
  <c r="L7" i="8"/>
  <c r="P7" i="8" s="1"/>
  <c r="L6" i="7"/>
  <c r="P6" i="7" s="1"/>
  <c r="E9" i="7"/>
  <c r="E4" i="8"/>
  <c r="E3" i="8"/>
  <c r="E7" i="8"/>
  <c r="M3" i="2"/>
  <c r="F4" i="7"/>
  <c r="E10" i="8"/>
  <c r="N11" i="2"/>
  <c r="L8" i="2"/>
  <c r="P8" i="2" s="1"/>
  <c r="F7" i="2"/>
  <c r="E7" i="2"/>
  <c r="E3" i="2"/>
  <c r="F5" i="2"/>
  <c r="E4" i="2"/>
  <c r="F2" i="2"/>
  <c r="D11" i="2"/>
  <c r="F9" i="2"/>
  <c r="E8" i="2"/>
  <c r="E5" i="2"/>
  <c r="F4" i="2"/>
  <c r="F8" i="2"/>
  <c r="E6" i="2"/>
  <c r="F3" i="2"/>
  <c r="E9" i="2"/>
  <c r="F6" i="2"/>
  <c r="E2" i="2"/>
  <c r="B11" i="2"/>
  <c r="C11" i="2"/>
  <c r="S1" i="1"/>
  <c r="R1" i="1"/>
  <c r="S45" i="1"/>
  <c r="R45" i="1"/>
  <c r="R7" i="1"/>
  <c r="S7" i="1"/>
  <c r="R15" i="1"/>
  <c r="S15" i="1"/>
  <c r="S23" i="1"/>
  <c r="R23" i="1"/>
  <c r="S31" i="1"/>
  <c r="R31" i="1"/>
  <c r="S39" i="1"/>
  <c r="R39" i="1"/>
  <c r="S47" i="1"/>
  <c r="R47" i="1"/>
  <c r="R55" i="1"/>
  <c r="S55" i="1"/>
  <c r="S63" i="1"/>
  <c r="R63" i="1"/>
  <c r="S71" i="1"/>
  <c r="R71" i="1"/>
  <c r="R12" i="1"/>
  <c r="S12" i="1"/>
  <c r="R24" i="1"/>
  <c r="S24" i="1"/>
  <c r="R40" i="1"/>
  <c r="S40" i="1"/>
  <c r="R56" i="1"/>
  <c r="S56" i="1"/>
  <c r="S5" i="1"/>
  <c r="R5" i="1"/>
  <c r="S13" i="1"/>
  <c r="R13" i="1"/>
  <c r="S57" i="1"/>
  <c r="R57" i="1"/>
  <c r="R38" i="1"/>
  <c r="S38" i="1"/>
  <c r="R54" i="1"/>
  <c r="S54" i="1"/>
  <c r="R70" i="1"/>
  <c r="S70" i="1"/>
  <c r="R20" i="1"/>
  <c r="S20" i="1"/>
  <c r="R36" i="1"/>
  <c r="S36" i="1"/>
  <c r="R52" i="1"/>
  <c r="S52" i="1"/>
  <c r="R68" i="1"/>
  <c r="S68" i="1"/>
  <c r="S41" i="1"/>
  <c r="R41" i="1"/>
  <c r="S65" i="1"/>
  <c r="R65" i="1"/>
  <c r="R26" i="1"/>
  <c r="S26" i="1"/>
  <c r="R42" i="1"/>
  <c r="S42" i="1"/>
  <c r="R58" i="1"/>
  <c r="H7" i="8" s="1"/>
  <c r="S58" i="1"/>
  <c r="I7" i="8" s="1"/>
  <c r="R10" i="1"/>
  <c r="S10" i="1"/>
  <c r="R37" i="1"/>
  <c r="S37" i="1"/>
  <c r="R72" i="1"/>
  <c r="S72" i="1"/>
  <c r="S69" i="1"/>
  <c r="R69" i="1"/>
  <c r="R14" i="1"/>
  <c r="S14" i="1"/>
  <c r="R61" i="1"/>
  <c r="S61" i="1"/>
  <c r="S25" i="1"/>
  <c r="R25" i="1"/>
  <c r="S3" i="1"/>
  <c r="R3" i="1"/>
  <c r="S11" i="1"/>
  <c r="R11" i="1"/>
  <c r="S19" i="1"/>
  <c r="R19" i="1"/>
  <c r="R27" i="1"/>
  <c r="S27" i="1"/>
  <c r="S35" i="1"/>
  <c r="R35" i="1"/>
  <c r="R43" i="1"/>
  <c r="S43" i="1"/>
  <c r="S51" i="1"/>
  <c r="R51" i="1"/>
  <c r="S59" i="1"/>
  <c r="I2" i="8" s="1"/>
  <c r="R59" i="1"/>
  <c r="H2" i="8" s="1"/>
  <c r="R67" i="1"/>
  <c r="S67" i="1"/>
  <c r="R4" i="1"/>
  <c r="S4" i="1"/>
  <c r="R16" i="1"/>
  <c r="S16" i="1"/>
  <c r="R32" i="1"/>
  <c r="S32" i="1"/>
  <c r="R48" i="1"/>
  <c r="S48" i="1"/>
  <c r="R64" i="1"/>
  <c r="S64" i="1"/>
  <c r="S9" i="1"/>
  <c r="R9" i="1"/>
  <c r="R21" i="1"/>
  <c r="S21" i="1"/>
  <c r="R30" i="1"/>
  <c r="S30" i="1"/>
  <c r="R46" i="1"/>
  <c r="S46" i="1"/>
  <c r="R62" i="1"/>
  <c r="H3" i="8" s="1"/>
  <c r="S62" i="1"/>
  <c r="I3" i="8" s="1"/>
  <c r="R8" i="1"/>
  <c r="S8" i="1"/>
  <c r="R28" i="1"/>
  <c r="S28" i="1"/>
  <c r="R44" i="1"/>
  <c r="S44" i="1"/>
  <c r="R60" i="1"/>
  <c r="S60" i="1"/>
  <c r="S17" i="1"/>
  <c r="R17" i="1"/>
  <c r="R49" i="1"/>
  <c r="S49" i="1"/>
  <c r="R22" i="1"/>
  <c r="S22" i="1"/>
  <c r="R34" i="1"/>
  <c r="S34" i="1"/>
  <c r="R50" i="1"/>
  <c r="S50" i="1"/>
  <c r="R66" i="1"/>
  <c r="S66" i="1"/>
  <c r="R6" i="1"/>
  <c r="S6" i="1"/>
  <c r="S29" i="1"/>
  <c r="R29" i="1"/>
  <c r="R2" i="1"/>
  <c r="S2" i="1"/>
  <c r="R18" i="1"/>
  <c r="S18" i="1"/>
  <c r="R33" i="1"/>
  <c r="H6" i="7" s="1"/>
  <c r="S33" i="1"/>
  <c r="S53" i="1"/>
  <c r="R53" i="1"/>
  <c r="O8" i="2" l="1"/>
  <c r="O7" i="9"/>
  <c r="O4" i="7"/>
  <c r="P8" i="7"/>
  <c r="P7" i="2"/>
  <c r="J6" i="8"/>
  <c r="O4" i="8"/>
  <c r="O6" i="7"/>
  <c r="P3" i="7"/>
  <c r="O8" i="9"/>
  <c r="L8" i="8"/>
  <c r="P8" i="8" s="1"/>
  <c r="O8" i="8"/>
  <c r="O3" i="9"/>
  <c r="K7" i="2"/>
  <c r="M11" i="8"/>
  <c r="H5" i="7"/>
  <c r="I3" i="9"/>
  <c r="I3" i="2"/>
  <c r="L5" i="2"/>
  <c r="P5" i="2" s="1"/>
  <c r="O5" i="2"/>
  <c r="O2" i="8"/>
  <c r="L11" i="8"/>
  <c r="H6" i="9"/>
  <c r="H6" i="2"/>
  <c r="I4" i="8"/>
  <c r="H4" i="7"/>
  <c r="H2" i="9"/>
  <c r="H2" i="2"/>
  <c r="I5" i="8"/>
  <c r="I7" i="9"/>
  <c r="I7" i="7"/>
  <c r="K2" i="7"/>
  <c r="O6" i="8"/>
  <c r="P4" i="2"/>
  <c r="I6" i="9"/>
  <c r="I6" i="2"/>
  <c r="H4" i="8"/>
  <c r="G4" i="8" s="1"/>
  <c r="J4" i="8" s="1"/>
  <c r="G3" i="8"/>
  <c r="J3" i="8" s="1"/>
  <c r="I4" i="7"/>
  <c r="I2" i="9"/>
  <c r="I2" i="2"/>
  <c r="H5" i="8"/>
  <c r="G7" i="8"/>
  <c r="J7" i="8" s="1"/>
  <c r="H7" i="9"/>
  <c r="H7" i="7"/>
  <c r="O7" i="8"/>
  <c r="O2" i="2"/>
  <c r="L4" i="9"/>
  <c r="P4" i="9" s="1"/>
  <c r="P2" i="8"/>
  <c r="O2" i="7"/>
  <c r="E11" i="7"/>
  <c r="F11" i="8"/>
  <c r="L5" i="9"/>
  <c r="O5" i="9" s="1"/>
  <c r="H5" i="9"/>
  <c r="H5" i="2"/>
  <c r="H4" i="9"/>
  <c r="H4" i="2"/>
  <c r="H3" i="7"/>
  <c r="H8" i="9"/>
  <c r="H8" i="8"/>
  <c r="L7" i="7"/>
  <c r="P7" i="7" s="1"/>
  <c r="K3" i="8"/>
  <c r="I6" i="7"/>
  <c r="G6" i="7" s="1"/>
  <c r="J6" i="7" s="1"/>
  <c r="I5" i="9"/>
  <c r="I5" i="2"/>
  <c r="I4" i="9"/>
  <c r="I4" i="2"/>
  <c r="H11" i="8"/>
  <c r="G2" i="8"/>
  <c r="I3" i="7"/>
  <c r="I8" i="9"/>
  <c r="I8" i="8"/>
  <c r="I11" i="8" s="1"/>
  <c r="I5" i="7"/>
  <c r="H3" i="9"/>
  <c r="H3" i="2"/>
  <c r="M11" i="2"/>
  <c r="L3" i="2"/>
  <c r="P3" i="2" s="1"/>
  <c r="J2" i="7"/>
  <c r="M11" i="9"/>
  <c r="L2" i="9"/>
  <c r="O2" i="9" s="1"/>
  <c r="P11" i="8"/>
  <c r="E11" i="2"/>
  <c r="F11" i="2"/>
  <c r="O3" i="2" l="1"/>
  <c r="G4" i="2"/>
  <c r="J4" i="2" s="1"/>
  <c r="G6" i="2"/>
  <c r="K6" i="2" s="1"/>
  <c r="J6" i="2"/>
  <c r="K6" i="7"/>
  <c r="G8" i="8"/>
  <c r="J8" i="8" s="1"/>
  <c r="L11" i="7"/>
  <c r="O4" i="9"/>
  <c r="G5" i="8"/>
  <c r="K5" i="8" s="1"/>
  <c r="J5" i="8"/>
  <c r="G2" i="9"/>
  <c r="J2" i="9" s="1"/>
  <c r="H11" i="9"/>
  <c r="G6" i="9"/>
  <c r="K6" i="9" s="1"/>
  <c r="J6" i="9"/>
  <c r="O11" i="8"/>
  <c r="I11" i="7"/>
  <c r="G4" i="9"/>
  <c r="J4" i="9" s="1"/>
  <c r="G8" i="9"/>
  <c r="J8" i="9" s="1"/>
  <c r="G5" i="2"/>
  <c r="J5" i="2" s="1"/>
  <c r="G7" i="7"/>
  <c r="J7" i="7" s="1"/>
  <c r="I11" i="2"/>
  <c r="K7" i="8"/>
  <c r="G4" i="7"/>
  <c r="J4" i="7" s="1"/>
  <c r="G5" i="7"/>
  <c r="J5" i="7" s="1"/>
  <c r="G2" i="2"/>
  <c r="J2" i="2" s="1"/>
  <c r="H11" i="2"/>
  <c r="G3" i="2"/>
  <c r="K3" i="2" s="1"/>
  <c r="G3" i="9"/>
  <c r="K3" i="9" s="1"/>
  <c r="J3" i="9"/>
  <c r="P2" i="9"/>
  <c r="L11" i="9"/>
  <c r="P11" i="9" s="1"/>
  <c r="K5" i="7"/>
  <c r="J2" i="8"/>
  <c r="O7" i="7"/>
  <c r="G3" i="7"/>
  <c r="H11" i="7"/>
  <c r="G5" i="9"/>
  <c r="J5" i="9" s="1"/>
  <c r="P5" i="9"/>
  <c r="L11" i="2"/>
  <c r="P11" i="2" s="1"/>
  <c r="G7" i="9"/>
  <c r="K7" i="9" s="1"/>
  <c r="J7" i="9"/>
  <c r="I11" i="9"/>
  <c r="K2" i="9"/>
  <c r="K4" i="8"/>
  <c r="K2" i="8"/>
  <c r="K4" i="7" l="1"/>
  <c r="K4" i="2"/>
  <c r="K4" i="9"/>
  <c r="J3" i="2"/>
  <c r="O11" i="9"/>
  <c r="J3" i="7"/>
  <c r="G11" i="7"/>
  <c r="J11" i="7" s="1"/>
  <c r="K8" i="8"/>
  <c r="K3" i="7"/>
  <c r="K2" i="2"/>
  <c r="G11" i="2"/>
  <c r="K11" i="2" s="1"/>
  <c r="K7" i="7"/>
  <c r="G11" i="9"/>
  <c r="J11" i="9" s="1"/>
  <c r="K5" i="9"/>
  <c r="K11" i="7"/>
  <c r="K5" i="2"/>
  <c r="G11" i="8"/>
  <c r="O11" i="2"/>
  <c r="P11" i="7"/>
  <c r="O11" i="7"/>
  <c r="K8" i="9"/>
  <c r="K11" i="9" l="1"/>
  <c r="K11" i="8"/>
  <c r="J11" i="8"/>
  <c r="J11" i="2"/>
</calcChain>
</file>

<file path=xl/sharedStrings.xml><?xml version="1.0" encoding="utf-8"?>
<sst xmlns="http://schemas.openxmlformats.org/spreadsheetml/2006/main" count="524" uniqueCount="250">
  <si>
    <t>IC 2L</t>
  </si>
  <si>
    <t>Gasser Stephane</t>
  </si>
  <si>
    <t>R8</t>
  </si>
  <si>
    <t>6:2 6:3</t>
  </si>
  <si>
    <t>S</t>
  </si>
  <si>
    <t>Gil Cristiano Gaspar</t>
  </si>
  <si>
    <t>R6</t>
  </si>
  <si>
    <t>1:6 6:1 6:3</t>
  </si>
  <si>
    <t>Bongard Loïc</t>
  </si>
  <si>
    <t>R9</t>
  </si>
  <si>
    <t>6:2 6:4</t>
  </si>
  <si>
    <t>Allenbach David</t>
  </si>
  <si>
    <t>6:1 4:6 6:1</t>
  </si>
  <si>
    <t>Moser Urs</t>
  </si>
  <si>
    <t>3:6 6:2 2:6</t>
  </si>
  <si>
    <t>N</t>
  </si>
  <si>
    <t>Date</t>
  </si>
  <si>
    <t>111172 GLANE OPEN</t>
  </si>
  <si>
    <t>Cretegny Daniel</t>
  </si>
  <si>
    <t>1:6 4:6</t>
  </si>
  <si>
    <t>112443 Open PQH du printemps - Aiglon - Fribourg</t>
  </si>
  <si>
    <t>Dellenbach Yann</t>
  </si>
  <si>
    <t>0:6 0:6</t>
  </si>
  <si>
    <t>112889 Tournoi ACTIFS WILSON</t>
  </si>
  <si>
    <t>Perroud Perroud</t>
  </si>
  <si>
    <t>R7</t>
  </si>
  <si>
    <t>3:6 6:7</t>
  </si>
  <si>
    <t>Gillet Valentin</t>
  </si>
  <si>
    <t>6:1 6:4</t>
  </si>
  <si>
    <t>112935 Tournoi d'été</t>
  </si>
  <si>
    <t>Dominguez José</t>
  </si>
  <si>
    <t>3:6 3:6</t>
  </si>
  <si>
    <t>Zosso Christian</t>
  </si>
  <si>
    <t>7:5 7:5</t>
  </si>
  <si>
    <t>111252 Tournoi de Payerne</t>
  </si>
  <si>
    <t>Bezençon Axel</t>
  </si>
  <si>
    <t>2:6 1:6</t>
  </si>
  <si>
    <t>Bakker Daniel</t>
  </si>
  <si>
    <t>6:3 4:6 6:1</t>
  </si>
  <si>
    <t>111594 TC GROLLEY TROPHY **LABEL FRIJUNE**</t>
  </si>
  <si>
    <t>Delfino Adrien</t>
  </si>
  <si>
    <t>Wolf Christian</t>
  </si>
  <si>
    <t>6:4 6:3</t>
  </si>
  <si>
    <t xml:space="preserve">112695 OPEN DE MARLY, Hospitality (N1-R1) **Label </t>
  </si>
  <si>
    <t>Kaussler Maxime</t>
  </si>
  <si>
    <t>5:7 7:6 3:6</t>
  </si>
  <si>
    <t>Progin Grégoire</t>
  </si>
  <si>
    <t>6:1 6:2</t>
  </si>
  <si>
    <t>110479 G-P DE LA GRUYERE 2018 juniors et actifs **</t>
  </si>
  <si>
    <t>Uldry Jonathan</t>
  </si>
  <si>
    <t>1:6 0:6</t>
  </si>
  <si>
    <t>Ding Jean-Claude</t>
  </si>
  <si>
    <t>6:4 6:4</t>
  </si>
  <si>
    <t>Gebistorf Claude</t>
  </si>
  <si>
    <t>6:2 6:2</t>
  </si>
  <si>
    <t>110408 OPEN DANY SPORT DE L'AIGLON 2018 **LABEL FR</t>
  </si>
  <si>
    <t>Marchesi Steve</t>
  </si>
  <si>
    <t>2:6 5:7</t>
  </si>
  <si>
    <t>W</t>
  </si>
  <si>
    <t>113345 OPEN GIVISIEZ 2018 **LABEL FRIJUNE**</t>
  </si>
  <si>
    <t>Morel Gaëtan</t>
  </si>
  <si>
    <t>3:6 6:3 6:2</t>
  </si>
  <si>
    <t>112771 Tournoi des écureuils X **LABEL FRIJUNE**</t>
  </si>
  <si>
    <t>Lopez-Moreno Jose Antonio</t>
  </si>
  <si>
    <t>1:6 1:6</t>
  </si>
  <si>
    <t>Currat Killian</t>
  </si>
  <si>
    <t>6:1 6:0</t>
  </si>
  <si>
    <t>112036 Cornèrcard Club Champion Trophy TC Bulle</t>
  </si>
  <si>
    <t>Blanc Didier</t>
  </si>
  <si>
    <t>0:6 4:6</t>
  </si>
  <si>
    <t>113583 GRAND-PRIX FRIBOURG 2018-2019 (tournoi 1/6)</t>
  </si>
  <si>
    <t>Rothenbühler Igor</t>
  </si>
  <si>
    <t>4:6 4:6</t>
  </si>
  <si>
    <t>Décotterd José</t>
  </si>
  <si>
    <t>7:5 6:3</t>
  </si>
  <si>
    <t>113677 GRAND-PRIX FRIBOURG 2018-2019 (tournoi 2/6)</t>
  </si>
  <si>
    <t>Charles Nils</t>
  </si>
  <si>
    <t>R5</t>
  </si>
  <si>
    <t>3:6 2:6</t>
  </si>
  <si>
    <t>Demont Olivier</t>
  </si>
  <si>
    <t>6:4 6:1</t>
  </si>
  <si>
    <t>116268 GLANE OPEN (sur 1 jour)</t>
  </si>
  <si>
    <t>Mabillard Patrice</t>
  </si>
  <si>
    <t>4:6 6:4 6:0</t>
  </si>
  <si>
    <t>Jaccard Christian</t>
  </si>
  <si>
    <t>6:4 6:0</t>
  </si>
  <si>
    <t>Rohrbach Damien</t>
  </si>
  <si>
    <t>116271 GLANE OPEN (sur 1 jour)</t>
  </si>
  <si>
    <t>Charrière Gaël</t>
  </si>
  <si>
    <t>3:6 0:6</t>
  </si>
  <si>
    <t>Monti Alexandre</t>
  </si>
  <si>
    <t>6:4 7:6</t>
  </si>
  <si>
    <t>116273 GLANE OPEN</t>
  </si>
  <si>
    <t>Michel Loris</t>
  </si>
  <si>
    <t>1:6 2:6</t>
  </si>
  <si>
    <t>114400 Tournoi Tecnifibre de la Veyre</t>
  </si>
  <si>
    <t>Waldmeyer Damien</t>
  </si>
  <si>
    <t>4:6 5:7</t>
  </si>
  <si>
    <t>Reuse Arnaud</t>
  </si>
  <si>
    <t>Di Méo Gaetano</t>
  </si>
  <si>
    <t>6:2 1:1</t>
  </si>
  <si>
    <t>Vuichoud Jacques</t>
  </si>
  <si>
    <t>6:1 6:1</t>
  </si>
  <si>
    <t>116877 GLANE OPEN prize money 700.-</t>
  </si>
  <si>
    <t>Michaud David</t>
  </si>
  <si>
    <t>7:6 7:6</t>
  </si>
  <si>
    <t>Siegenthaler Sacha</t>
  </si>
  <si>
    <t>6:2 6:1</t>
  </si>
  <si>
    <t>Surdez Bertrand</t>
  </si>
  <si>
    <t>116651 Tournoi de Payerne</t>
  </si>
  <si>
    <t>6:7 6:4 6:0</t>
  </si>
  <si>
    <t>Rapin Michaël</t>
  </si>
  <si>
    <t>Schmid Nicolas</t>
  </si>
  <si>
    <t>6:3 0:6 7:5</t>
  </si>
  <si>
    <t>Celato Giovanni</t>
  </si>
  <si>
    <t>117688 TC GROLLEY TROPHY **LABEL FRIJUNE**</t>
  </si>
  <si>
    <t>Bisel Jérôme</t>
  </si>
  <si>
    <t>117680 OPEN DE MARLY, Hospitality+5000 CHF (N1-R1)</t>
  </si>
  <si>
    <t>Sulmoni Mario</t>
  </si>
  <si>
    <t>117890 G-P DE LA GRUYERE 2019 juniors et actifs **</t>
  </si>
  <si>
    <t>Vonlanthen Michel</t>
  </si>
  <si>
    <t>7:6 5:7 4:6</t>
  </si>
  <si>
    <t>Michel Alexandre</t>
  </si>
  <si>
    <t>6:0 6:2</t>
  </si>
  <si>
    <t>Pehlivanlar Valentin</t>
  </si>
  <si>
    <t>R4</t>
  </si>
  <si>
    <t>2:6 6:1 1:6</t>
  </si>
  <si>
    <t>119599 Tournoi des Noisettes **LABEL FRIJUNE**</t>
  </si>
  <si>
    <t>Favre Yoann</t>
  </si>
  <si>
    <t>5:7 5:7</t>
  </si>
  <si>
    <t>6:0 6:0</t>
  </si>
  <si>
    <t>117500 Rado Club Champion Trophy TC Bulle</t>
  </si>
  <si>
    <t>Nicolet Sylvain</t>
  </si>
  <si>
    <t>5:7 1:6</t>
  </si>
  <si>
    <t>Genilloud Claude</t>
  </si>
  <si>
    <t>6:4 4:6 7:6</t>
  </si>
  <si>
    <t>Python Arthur</t>
  </si>
  <si>
    <t>118993 Tournoi d'Eté CASH PRIZE Fr. 300.-</t>
  </si>
  <si>
    <t>Weber Cédric</t>
  </si>
  <si>
    <t>2:6 0:6</t>
  </si>
  <si>
    <t>Arm Matthieu</t>
  </si>
  <si>
    <t>6:4 7:5</t>
  </si>
  <si>
    <t>123769 Tournoi de Payerne</t>
  </si>
  <si>
    <t>Chevalley Florian</t>
  </si>
  <si>
    <t>Jacquier Maxime</t>
  </si>
  <si>
    <t>6:2 6:0</t>
  </si>
  <si>
    <t>Yerly Samuel</t>
  </si>
  <si>
    <t>6:1 7:5</t>
  </si>
  <si>
    <t>122698 G-P DE LA GRUYERE juniors &amp; actifs / 20 000</t>
  </si>
  <si>
    <t>Cotting Jonathan</t>
  </si>
  <si>
    <t>0:6 2:6</t>
  </si>
  <si>
    <t>6:7 3:0</t>
  </si>
  <si>
    <t>Grandjean Pierre-Olivier</t>
  </si>
  <si>
    <t>6:4 6:2</t>
  </si>
  <si>
    <t>Sudan Philippe</t>
  </si>
  <si>
    <t>6:1 1:6 6:4</t>
  </si>
  <si>
    <t>122966 OPEN DANY SPORT DE L'AIGLON 2020 **LABEL FR</t>
  </si>
  <si>
    <t>Guillet Alexandre</t>
  </si>
  <si>
    <t>Hayoz Samuel</t>
  </si>
  <si>
    <t>Vorlet Guillaume</t>
  </si>
  <si>
    <t>6:2 3:6 4:6</t>
  </si>
  <si>
    <t xml:space="preserve">123756 OPEN GIVISIEZ 2020 **LABEL FRIJUNE** Early </t>
  </si>
  <si>
    <t>Morard Pierre - Alain</t>
  </si>
  <si>
    <t>R3</t>
  </si>
  <si>
    <t>2:6 2:6</t>
  </si>
  <si>
    <t>Ivanovic Marko</t>
  </si>
  <si>
    <t>0:6 6:4 6:2</t>
  </si>
  <si>
    <t>122192 Tournoi des écureuils XI **LABEL FRIJUNE**</t>
  </si>
  <si>
    <t>Rothenfluh Fabian</t>
  </si>
  <si>
    <t>R2</t>
  </si>
  <si>
    <t>R1</t>
  </si>
  <si>
    <t>Nombre de matchs</t>
  </si>
  <si>
    <t>% victoires</t>
  </si>
  <si>
    <t>Sets gagnés</t>
  </si>
  <si>
    <t>Sets perdus</t>
  </si>
  <si>
    <t>% sets gagnés</t>
  </si>
  <si>
    <t>Jeux gagnés</t>
  </si>
  <si>
    <t>Jeux perdus</t>
  </si>
  <si>
    <t>% jeux gagnés</t>
  </si>
  <si>
    <t>Matchs gagnés</t>
  </si>
  <si>
    <t>Matchs perdus</t>
  </si>
  <si>
    <t>Nombre de sets</t>
  </si>
  <si>
    <t>Nombre de jeux</t>
  </si>
  <si>
    <t>Total</t>
  </si>
  <si>
    <t>% défaites</t>
  </si>
  <si>
    <t>% sets perdus</t>
  </si>
  <si>
    <t>% jeux perdus</t>
  </si>
  <si>
    <t>Global</t>
  </si>
  <si>
    <t>R6 (7 806)</t>
  </si>
  <si>
    <t>R6 (8 475)</t>
  </si>
  <si>
    <t>R6 (8 611)</t>
  </si>
  <si>
    <t>R6 (9 108)</t>
  </si>
  <si>
    <t>R6 (9 281)</t>
  </si>
  <si>
    <t>R6 (9 082)</t>
  </si>
  <si>
    <t>R7 (11 247)</t>
  </si>
  <si>
    <t>R7 (10 514)</t>
  </si>
  <si>
    <t>R6 (10 188)</t>
  </si>
  <si>
    <t>R7 (13 006)</t>
  </si>
  <si>
    <t>R7 (13 153)</t>
  </si>
  <si>
    <t>R8 (26 405)</t>
  </si>
  <si>
    <t>R9 (31 605)</t>
  </si>
  <si>
    <t>R5 (4 990)</t>
  </si>
  <si>
    <t>R5 (4 763)</t>
  </si>
  <si>
    <t>R6 (5 951)</t>
  </si>
  <si>
    <t>R6 (8 862)</t>
  </si>
  <si>
    <t>R6 (8 842)</t>
  </si>
  <si>
    <t>R6 (7 435)</t>
  </si>
  <si>
    <t>R6 (7 357)</t>
  </si>
  <si>
    <t>R6 (7 297)</t>
  </si>
  <si>
    <t>R6 (7 216)</t>
  </si>
  <si>
    <t>R6 (6 997)</t>
  </si>
  <si>
    <t>R6 (6 910)</t>
  </si>
  <si>
    <t>R6 (6 339)</t>
  </si>
  <si>
    <t>R6 (5 985)</t>
  </si>
  <si>
    <t>R6 (5 678)</t>
  </si>
  <si>
    <t>R6 (5 399)</t>
  </si>
  <si>
    <t>R6 (5 664)</t>
  </si>
  <si>
    <t>R5 (4 896)</t>
  </si>
  <si>
    <t>31605</t>
  </si>
  <si>
    <t>26405</t>
  </si>
  <si>
    <t>13153</t>
  </si>
  <si>
    <t>13006</t>
  </si>
  <si>
    <t>10188</t>
  </si>
  <si>
    <t>10514</t>
  </si>
  <si>
    <t>11247</t>
  </si>
  <si>
    <t>9082</t>
  </si>
  <si>
    <t>9281</t>
  </si>
  <si>
    <t>9108</t>
  </si>
  <si>
    <t>8611</t>
  </si>
  <si>
    <t>8475</t>
  </si>
  <si>
    <t>7806</t>
  </si>
  <si>
    <t>4896</t>
  </si>
  <si>
    <t>5664</t>
  </si>
  <si>
    <t>5399</t>
  </si>
  <si>
    <t>5678</t>
  </si>
  <si>
    <t>5985</t>
  </si>
  <si>
    <t>6339</t>
  </si>
  <si>
    <t>6910</t>
  </si>
  <si>
    <t>6997</t>
  </si>
  <si>
    <t>7216</t>
  </si>
  <si>
    <t>7297</t>
  </si>
  <si>
    <t>7357</t>
  </si>
  <si>
    <t>7435</t>
  </si>
  <si>
    <t>8842</t>
  </si>
  <si>
    <t>8862</t>
  </si>
  <si>
    <t>5951</t>
  </si>
  <si>
    <t>4763</t>
  </si>
  <si>
    <t>4990</t>
  </si>
  <si>
    <t>Variation</t>
  </si>
  <si>
    <t>Ranking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</si>
</sst>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3" formatCode="mm/yyyy"/>
  </numFmts>
  <fonts count="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00385B"/>
      <name val="Arial"/>
      <family val="2"/>
    </font>
    <font>
      <u/>
      <sz val="10"/>
      <color theme="10"/>
      <name val="Arial"/>
      <family val="2"/>
    </font>
    <font>
      <b/>
      <sz val="16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rgb="FFD5DDE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61">
    <xf numFmtId="0" fontId="0" fillId="0" borderId="0" xfId="0"/>
    <xf numFmtId="14" fontId="0" fillId="0" borderId="0" xfId="0" applyNumberFormat="1"/>
    <xf numFmtId="1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2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/>
    <xf numFmtId="2" fontId="0" fillId="5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1" fontId="2" fillId="6" borderId="20" xfId="1" applyNumberFormat="1" applyFont="1" applyFill="1" applyBorder="1" applyAlignment="1">
      <alignment horizontal="center" vertical="center"/>
    </xf>
    <xf numFmtId="1" fontId="2" fillId="6" borderId="21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1" fontId="2" fillId="6" borderId="24" xfId="1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9" fontId="0" fillId="0" borderId="10" xfId="1" applyNumberFormat="1" applyFont="1" applyBorder="1" applyAlignment="1">
      <alignment horizontal="center" vertical="center"/>
    </xf>
    <xf numFmtId="9" fontId="0" fillId="0" borderId="11" xfId="1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9" fontId="0" fillId="0" borderId="3" xfId="1" applyNumberFormat="1" applyFont="1" applyBorder="1" applyAlignment="1">
      <alignment horizontal="center" vertical="center"/>
    </xf>
    <xf numFmtId="9" fontId="0" fillId="0" borderId="6" xfId="1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/>
    </xf>
    <xf numFmtId="9" fontId="0" fillId="0" borderId="26" xfId="1" applyNumberFormat="1" applyFont="1" applyBorder="1" applyAlignment="1">
      <alignment horizontal="center" vertical="center"/>
    </xf>
    <xf numFmtId="9" fontId="0" fillId="0" borderId="27" xfId="1" applyNumberFormat="1" applyFont="1" applyBorder="1" applyAlignment="1">
      <alignment horizontal="center" vertical="center"/>
    </xf>
    <xf numFmtId="173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2" fontId="0" fillId="0" borderId="0" xfId="0" applyNumberFormat="1" applyAlignment="1">
      <alignment horizontal="right" vertical="center"/>
    </xf>
    <xf numFmtId="2" fontId="0" fillId="0" borderId="0" xfId="0" applyNumberFormat="1" applyAlignment="1">
      <alignment horizontal="right"/>
    </xf>
    <xf numFmtId="2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173" fontId="0" fillId="0" borderId="2" xfId="0" applyNumberFormat="1" applyBorder="1" applyAlignment="1">
      <alignment horizontal="right"/>
    </xf>
    <xf numFmtId="173" fontId="2" fillId="2" borderId="2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31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comp.swisstennis.ch/advantage/servlet/DisplayDraw?eventId=480140&amp;Lang=F" TargetMode="External"/><Relationship Id="rId117" Type="http://schemas.openxmlformats.org/officeDocument/2006/relationships/hyperlink" Target="https://comp.swisstennis.ch/advantage/servlet/DisplayDraw?eventId=555884&amp;Lang=F" TargetMode="External"/><Relationship Id="rId21" Type="http://schemas.openxmlformats.org/officeDocument/2006/relationships/hyperlink" Target="https://www.mytennis.ch/fr/user/103133/results-summary" TargetMode="External"/><Relationship Id="rId42" Type="http://schemas.openxmlformats.org/officeDocument/2006/relationships/hyperlink" Target="https://comp.swisstennis.ch/advantage/servlet/DisplayDraw?eventId=480668&amp;Lang=F" TargetMode="External"/><Relationship Id="rId47" Type="http://schemas.openxmlformats.org/officeDocument/2006/relationships/hyperlink" Target="https://www.mytennis.ch/fr/user/70571/results-summary" TargetMode="External"/><Relationship Id="rId63" Type="http://schemas.openxmlformats.org/officeDocument/2006/relationships/hyperlink" Target="https://comp.swisstennis.ch/advantage/servlet/DisplayDraw?eventId=507918&amp;Lang=F" TargetMode="External"/><Relationship Id="rId68" Type="http://schemas.openxmlformats.org/officeDocument/2006/relationships/hyperlink" Target="https://www.mytennis.ch/fr/user/9309/results-summary" TargetMode="External"/><Relationship Id="rId84" Type="http://schemas.openxmlformats.org/officeDocument/2006/relationships/hyperlink" Target="https://www.mytennis.ch/fr/user/30606/results-summary" TargetMode="External"/><Relationship Id="rId89" Type="http://schemas.openxmlformats.org/officeDocument/2006/relationships/hyperlink" Target="https://comp.swisstennis.ch/advantage/servlet/DisplayDraw?eventId=514160&amp;Lang=F" TargetMode="External"/><Relationship Id="rId112" Type="http://schemas.openxmlformats.org/officeDocument/2006/relationships/hyperlink" Target="https://www.mytennis.ch/fr/user/165825/results-summary" TargetMode="External"/><Relationship Id="rId133" Type="http://schemas.openxmlformats.org/officeDocument/2006/relationships/hyperlink" Target="https://comp.swisstennis.ch/advantage/servlet/DisplayDraw?eventId=555808&amp;Lang=F" TargetMode="External"/><Relationship Id="rId138" Type="http://schemas.openxmlformats.org/officeDocument/2006/relationships/hyperlink" Target="https://www.mytennis.ch/fr/user/105591/results-summary" TargetMode="External"/><Relationship Id="rId16" Type="http://schemas.openxmlformats.org/officeDocument/2006/relationships/hyperlink" Target="https://comp.swisstennis.ch/advantage/servlet/DisplayDraw?eventId=481821&amp;Lang=F" TargetMode="External"/><Relationship Id="rId107" Type="http://schemas.openxmlformats.org/officeDocument/2006/relationships/hyperlink" Target="https://comp.swisstennis.ch/advantage/servlet/DisplayDraw?eventId=512906&amp;Lang=F" TargetMode="External"/><Relationship Id="rId11" Type="http://schemas.openxmlformats.org/officeDocument/2006/relationships/hyperlink" Target="https://www.mytennis.ch/fr/user/38593/results-summary" TargetMode="External"/><Relationship Id="rId32" Type="http://schemas.openxmlformats.org/officeDocument/2006/relationships/hyperlink" Target="https://comp.swisstennis.ch/advantage/servlet/DisplayDraw?eventId=478079&amp;Lang=F" TargetMode="External"/><Relationship Id="rId37" Type="http://schemas.openxmlformats.org/officeDocument/2006/relationships/hyperlink" Target="https://www.mytennis.ch/fr/user/74365/results-summary" TargetMode="External"/><Relationship Id="rId53" Type="http://schemas.openxmlformats.org/officeDocument/2006/relationships/hyperlink" Target="https://www.mytennis.ch/fr/user/149802/results-summary" TargetMode="External"/><Relationship Id="rId58" Type="http://schemas.openxmlformats.org/officeDocument/2006/relationships/hyperlink" Target="https://comp.swisstennis.ch/advantage/servlet/DisplayPools?eventId=503778&amp;Lang=F" TargetMode="External"/><Relationship Id="rId74" Type="http://schemas.openxmlformats.org/officeDocument/2006/relationships/hyperlink" Target="https://www.mytennis.ch/fr/user/33313/results-summary" TargetMode="External"/><Relationship Id="rId79" Type="http://schemas.openxmlformats.org/officeDocument/2006/relationships/hyperlink" Target="https://comp.swisstennis.ch/advantage/servlet/DisplayDraw?eventId=508508&amp;Lang=F" TargetMode="External"/><Relationship Id="rId102" Type="http://schemas.openxmlformats.org/officeDocument/2006/relationships/hyperlink" Target="https://www.mytennis.ch/fr/user/25043/results-summary" TargetMode="External"/><Relationship Id="rId123" Type="http://schemas.openxmlformats.org/officeDocument/2006/relationships/hyperlink" Target="https://comp.swisstennis.ch/advantage/servlet/DisplayDraw?eventId=547550&amp;Lang=F" TargetMode="External"/><Relationship Id="rId128" Type="http://schemas.openxmlformats.org/officeDocument/2006/relationships/hyperlink" Target="https://www.mytennis.ch/fr/user/5579/results-summary" TargetMode="External"/><Relationship Id="rId5" Type="http://schemas.openxmlformats.org/officeDocument/2006/relationships/hyperlink" Target="https://www.mytennis.ch/fr/user/6437/results-summary" TargetMode="External"/><Relationship Id="rId90" Type="http://schemas.openxmlformats.org/officeDocument/2006/relationships/hyperlink" Target="https://www.mytennis.ch/fr/user/117955/results-summary" TargetMode="External"/><Relationship Id="rId95" Type="http://schemas.openxmlformats.org/officeDocument/2006/relationships/hyperlink" Target="https://comp.swisstennis.ch/advantage/servlet/DisplayDraw?eventId=515477&amp;Lang=F" TargetMode="External"/><Relationship Id="rId22" Type="http://schemas.openxmlformats.org/officeDocument/2006/relationships/hyperlink" Target="https://comp.swisstennis.ch/advantage/servlet/DisplayDraw?eventId=472965&amp;Lang=F" TargetMode="External"/><Relationship Id="rId27" Type="http://schemas.openxmlformats.org/officeDocument/2006/relationships/hyperlink" Target="https://www.mytennis.ch/fr/user/27684/results-summary" TargetMode="External"/><Relationship Id="rId43" Type="http://schemas.openxmlformats.org/officeDocument/2006/relationships/hyperlink" Target="https://www.mytennis.ch/fr/user/27898/results-summary" TargetMode="External"/><Relationship Id="rId48" Type="http://schemas.openxmlformats.org/officeDocument/2006/relationships/hyperlink" Target="https://comp.swisstennis.ch/advantage/servlet/DisplayDraw?eventId=486676&amp;Lang=F" TargetMode="External"/><Relationship Id="rId64" Type="http://schemas.openxmlformats.org/officeDocument/2006/relationships/hyperlink" Target="https://www.mytennis.ch/fr/user/131862/results-summary" TargetMode="External"/><Relationship Id="rId69" Type="http://schemas.openxmlformats.org/officeDocument/2006/relationships/hyperlink" Target="https://comp.swisstennis.ch/advantage/servlet/DisplayDraw?eventId=492551&amp;Lang=F" TargetMode="External"/><Relationship Id="rId113" Type="http://schemas.openxmlformats.org/officeDocument/2006/relationships/hyperlink" Target="https://comp.swisstennis.ch/advantage/servlet/DisplayDraw?eventId=555884&amp;Lang=F" TargetMode="External"/><Relationship Id="rId118" Type="http://schemas.openxmlformats.org/officeDocument/2006/relationships/hyperlink" Target="https://www.mytennis.ch/fr/user/47004/results-summary" TargetMode="External"/><Relationship Id="rId134" Type="http://schemas.openxmlformats.org/officeDocument/2006/relationships/hyperlink" Target="https://www.mytennis.ch/fr/user/5729/results-summary" TargetMode="External"/><Relationship Id="rId139" Type="http://schemas.openxmlformats.org/officeDocument/2006/relationships/printerSettings" Target="../printerSettings/printerSettings1.bin"/><Relationship Id="rId8" Type="http://schemas.openxmlformats.org/officeDocument/2006/relationships/hyperlink" Target="https://comp.swisstennis.ch/advantage/servlet/DisplayDraw?eventId=478485&amp;Lang=F" TargetMode="External"/><Relationship Id="rId51" Type="http://schemas.openxmlformats.org/officeDocument/2006/relationships/hyperlink" Target="https://www.mytennis.ch/fr/user/25043/results-summary" TargetMode="External"/><Relationship Id="rId72" Type="http://schemas.openxmlformats.org/officeDocument/2006/relationships/hyperlink" Target="https://www.mytennis.ch/fr/user/20107/results-summary" TargetMode="External"/><Relationship Id="rId80" Type="http://schemas.openxmlformats.org/officeDocument/2006/relationships/hyperlink" Target="https://www.mytennis.ch/fr/user/10012/results-summary" TargetMode="External"/><Relationship Id="rId85" Type="http://schemas.openxmlformats.org/officeDocument/2006/relationships/hyperlink" Target="https://comp.swisstennis.ch/advantage/servlet/DisplayDraw?eventId=506683&amp;Lang=F" TargetMode="External"/><Relationship Id="rId93" Type="http://schemas.openxmlformats.org/officeDocument/2006/relationships/hyperlink" Target="https://comp.swisstennis.ch/advantage/servlet/DisplayDraw?eventId=515477&amp;Lang=F" TargetMode="External"/><Relationship Id="rId98" Type="http://schemas.openxmlformats.org/officeDocument/2006/relationships/hyperlink" Target="https://www.mytennis.ch/fr/user/23286/results-summary" TargetMode="External"/><Relationship Id="rId121" Type="http://schemas.openxmlformats.org/officeDocument/2006/relationships/hyperlink" Target="https://comp.swisstennis.ch/advantage/servlet/DisplayDraw?eventId=547550&amp;Lang=F" TargetMode="External"/><Relationship Id="rId3" Type="http://schemas.openxmlformats.org/officeDocument/2006/relationships/hyperlink" Target="https://www.mytennis.ch/fr/user/25372/results-summary" TargetMode="External"/><Relationship Id="rId12" Type="http://schemas.openxmlformats.org/officeDocument/2006/relationships/hyperlink" Target="https://comp.swisstennis.ch/advantage/servlet/DisplayDraw?eventId=481510&amp;Lang=F" TargetMode="External"/><Relationship Id="rId17" Type="http://schemas.openxmlformats.org/officeDocument/2006/relationships/hyperlink" Target="https://www.mytennis.ch/fr/user/146151/results-summary" TargetMode="External"/><Relationship Id="rId25" Type="http://schemas.openxmlformats.org/officeDocument/2006/relationships/hyperlink" Target="https://www.mytennis.ch/fr/user/29485/results-summary" TargetMode="External"/><Relationship Id="rId33" Type="http://schemas.openxmlformats.org/officeDocument/2006/relationships/hyperlink" Target="https://www.mytennis.ch/fr/user/54748/results-summary" TargetMode="External"/><Relationship Id="rId38" Type="http://schemas.openxmlformats.org/officeDocument/2006/relationships/hyperlink" Target="https://comp.swisstennis.ch/advantage/servlet/DisplayDraw?eventId=484942&amp;Lang=F" TargetMode="External"/><Relationship Id="rId46" Type="http://schemas.openxmlformats.org/officeDocument/2006/relationships/hyperlink" Target="https://comp.swisstennis.ch/advantage/servlet/DisplayDraw?eventId=475870&amp;Lang=F" TargetMode="External"/><Relationship Id="rId59" Type="http://schemas.openxmlformats.org/officeDocument/2006/relationships/hyperlink" Target="https://www.mytennis.ch/fr/user/5000/results-summary" TargetMode="External"/><Relationship Id="rId67" Type="http://schemas.openxmlformats.org/officeDocument/2006/relationships/hyperlink" Target="https://comp.swisstennis.ch/advantage/servlet/DisplayDraw?eventId=492551&amp;Lang=F" TargetMode="External"/><Relationship Id="rId103" Type="http://schemas.openxmlformats.org/officeDocument/2006/relationships/hyperlink" Target="https://comp.swisstennis.ch/advantage/servlet/DisplayDraw?eventId=512905&amp;Lang=F" TargetMode="External"/><Relationship Id="rId108" Type="http://schemas.openxmlformats.org/officeDocument/2006/relationships/hyperlink" Target="https://www.mytennis.ch/fr/user/15680/results-summary" TargetMode="External"/><Relationship Id="rId116" Type="http://schemas.openxmlformats.org/officeDocument/2006/relationships/hyperlink" Target="https://www.mytennis.ch/fr/user/101989/results-summary" TargetMode="External"/><Relationship Id="rId124" Type="http://schemas.openxmlformats.org/officeDocument/2006/relationships/hyperlink" Target="https://www.mytennis.ch/fr/user/10352/results-summary" TargetMode="External"/><Relationship Id="rId129" Type="http://schemas.openxmlformats.org/officeDocument/2006/relationships/hyperlink" Target="https://comp.swisstennis.ch/advantage/servlet/DisplayDraw?eventId=549965&amp;Lang=F" TargetMode="External"/><Relationship Id="rId137" Type="http://schemas.openxmlformats.org/officeDocument/2006/relationships/hyperlink" Target="https://comp.swisstennis.ch/advantage/servlet/DisplayDraw?eventId=564134&amp;Lang=F" TargetMode="External"/><Relationship Id="rId20" Type="http://schemas.openxmlformats.org/officeDocument/2006/relationships/hyperlink" Target="https://comp.swisstennis.ch/advantage/servlet/DisplayDraw?eventId=470409&amp;Lang=F" TargetMode="External"/><Relationship Id="rId41" Type="http://schemas.openxmlformats.org/officeDocument/2006/relationships/hyperlink" Target="https://www.mytennis.ch/fr/user/40325/results-summary" TargetMode="External"/><Relationship Id="rId54" Type="http://schemas.openxmlformats.org/officeDocument/2006/relationships/hyperlink" Target="https://comp.swisstennis.ch/advantage/servlet/DisplayDraw?eventId=487638&amp;Lang=F" TargetMode="External"/><Relationship Id="rId62" Type="http://schemas.openxmlformats.org/officeDocument/2006/relationships/hyperlink" Target="https://www.mytennis.ch/fr/user/110950/results-summary" TargetMode="External"/><Relationship Id="rId70" Type="http://schemas.openxmlformats.org/officeDocument/2006/relationships/hyperlink" Target="https://www.mytennis.ch/fr/user/23358/results-summary" TargetMode="External"/><Relationship Id="rId75" Type="http://schemas.openxmlformats.org/officeDocument/2006/relationships/hyperlink" Target="https://comp.swisstennis.ch/advantage/servlet/DisplayDraw?eventId=508508&amp;Lang=F" TargetMode="External"/><Relationship Id="rId83" Type="http://schemas.openxmlformats.org/officeDocument/2006/relationships/hyperlink" Target="https://comp.swisstennis.ch/advantage/servlet/DisplayDraw?eventId=506683&amp;Lang=F" TargetMode="External"/><Relationship Id="rId88" Type="http://schemas.openxmlformats.org/officeDocument/2006/relationships/hyperlink" Target="https://www.mytennis.ch/fr/user/111004/results-summary" TargetMode="External"/><Relationship Id="rId91" Type="http://schemas.openxmlformats.org/officeDocument/2006/relationships/hyperlink" Target="https://comp.swisstennis.ch/advantage/servlet/DisplayDraw?eventId=514086&amp;Lang=F" TargetMode="External"/><Relationship Id="rId96" Type="http://schemas.openxmlformats.org/officeDocument/2006/relationships/hyperlink" Target="https://www.mytennis.ch/fr/user/119688/results-summary" TargetMode="External"/><Relationship Id="rId111" Type="http://schemas.openxmlformats.org/officeDocument/2006/relationships/hyperlink" Target="https://comp.swisstennis.ch/advantage/servlet/DisplayDraw?eventId=562701&amp;Lang=F" TargetMode="External"/><Relationship Id="rId132" Type="http://schemas.openxmlformats.org/officeDocument/2006/relationships/hyperlink" Target="https://www.mytennis.ch/fr/user/22098/results-summary" TargetMode="External"/><Relationship Id="rId1" Type="http://schemas.openxmlformats.org/officeDocument/2006/relationships/hyperlink" Target="https://www.mytennis.ch/fr/user/7534/results-summary" TargetMode="External"/><Relationship Id="rId6" Type="http://schemas.openxmlformats.org/officeDocument/2006/relationships/hyperlink" Target="https://comp.swisstennis.ch/advantage/servlet/DisplayDraw?eventId=469865&amp;Lang=F" TargetMode="External"/><Relationship Id="rId15" Type="http://schemas.openxmlformats.org/officeDocument/2006/relationships/hyperlink" Target="https://www.mytennis.ch/fr/user/23549/results-summary" TargetMode="External"/><Relationship Id="rId23" Type="http://schemas.openxmlformats.org/officeDocument/2006/relationships/hyperlink" Target="https://www.mytennis.ch/fr/user/7402/results-summary" TargetMode="External"/><Relationship Id="rId28" Type="http://schemas.openxmlformats.org/officeDocument/2006/relationships/hyperlink" Target="https://comp.swisstennis.ch/advantage/servlet/DisplayDraw?eventId=480140&amp;Lang=F" TargetMode="External"/><Relationship Id="rId36" Type="http://schemas.openxmlformats.org/officeDocument/2006/relationships/hyperlink" Target="https://comp.swisstennis.ch/advantage/servlet/DisplayDraw?eventId=463575&amp;Lang=F" TargetMode="External"/><Relationship Id="rId49" Type="http://schemas.openxmlformats.org/officeDocument/2006/relationships/hyperlink" Target="https://www.mytennis.ch/fr/user/9806/results-summary" TargetMode="External"/><Relationship Id="rId57" Type="http://schemas.openxmlformats.org/officeDocument/2006/relationships/hyperlink" Target="https://www.mytennis.ch/fr/user/17542/results-summary" TargetMode="External"/><Relationship Id="rId106" Type="http://schemas.openxmlformats.org/officeDocument/2006/relationships/hyperlink" Target="https://www.mytennis.ch/fr/user/52382/results-summary" TargetMode="External"/><Relationship Id="rId114" Type="http://schemas.openxmlformats.org/officeDocument/2006/relationships/hyperlink" Target="https://www.mytennis.ch/fr/user/4032/results-summary" TargetMode="External"/><Relationship Id="rId119" Type="http://schemas.openxmlformats.org/officeDocument/2006/relationships/hyperlink" Target="https://comp.swisstennis.ch/advantage/servlet/DisplayDraw?eventId=547550&amp;Lang=F" TargetMode="External"/><Relationship Id="rId127" Type="http://schemas.openxmlformats.org/officeDocument/2006/relationships/hyperlink" Target="https://comp.swisstennis.ch/advantage/servlet/DisplayDraw?eventId=549965&amp;Lang=F" TargetMode="External"/><Relationship Id="rId10" Type="http://schemas.openxmlformats.org/officeDocument/2006/relationships/hyperlink" Target="https://comp.swisstennis.ch/advantage/servlet/DisplayDraw?eventId=481510&amp;Lang=F" TargetMode="External"/><Relationship Id="rId31" Type="http://schemas.openxmlformats.org/officeDocument/2006/relationships/hyperlink" Target="https://www.mytennis.ch/fr/user/127926/results-summary" TargetMode="External"/><Relationship Id="rId44" Type="http://schemas.openxmlformats.org/officeDocument/2006/relationships/hyperlink" Target="https://comp.swisstennis.ch/advantage/servlet/DisplayDraw?eventId=480668&amp;Lang=F" TargetMode="External"/><Relationship Id="rId52" Type="http://schemas.openxmlformats.org/officeDocument/2006/relationships/hyperlink" Target="https://comp.swisstennis.ch/advantage/servlet/DisplayDraw?eventId=487638&amp;Lang=F" TargetMode="External"/><Relationship Id="rId60" Type="http://schemas.openxmlformats.org/officeDocument/2006/relationships/hyperlink" Target="https://www.mytennis.ch/fr/user/52812/results-summary" TargetMode="External"/><Relationship Id="rId65" Type="http://schemas.openxmlformats.org/officeDocument/2006/relationships/hyperlink" Target="https://comp.swisstennis.ch/advantage/servlet/DisplayDraw?eventId=503799&amp;Lang=F" TargetMode="External"/><Relationship Id="rId73" Type="http://schemas.openxmlformats.org/officeDocument/2006/relationships/hyperlink" Target="https://comp.swisstennis.ch/advantage/servlet/DisplayDraw?eventId=492551&amp;Lang=F" TargetMode="External"/><Relationship Id="rId78" Type="http://schemas.openxmlformats.org/officeDocument/2006/relationships/hyperlink" Target="https://www.mytennis.ch/fr/user/129261/results-summary" TargetMode="External"/><Relationship Id="rId81" Type="http://schemas.openxmlformats.org/officeDocument/2006/relationships/hyperlink" Target="https://comp.swisstennis.ch/advantage/servlet/DisplayDraw?eventId=506683&amp;Lang=F" TargetMode="External"/><Relationship Id="rId86" Type="http://schemas.openxmlformats.org/officeDocument/2006/relationships/hyperlink" Target="https://www.mytennis.ch/fr/user/72012/results-summary" TargetMode="External"/><Relationship Id="rId94" Type="http://schemas.openxmlformats.org/officeDocument/2006/relationships/hyperlink" Target="https://www.mytennis.ch/fr/user/146161/results-summary" TargetMode="External"/><Relationship Id="rId99" Type="http://schemas.openxmlformats.org/officeDocument/2006/relationships/hyperlink" Target="https://comp.swisstennis.ch/advantage/servlet/DisplayDraw?eventId=527695&amp;Lang=F" TargetMode="External"/><Relationship Id="rId101" Type="http://schemas.openxmlformats.org/officeDocument/2006/relationships/hyperlink" Target="https://comp.swisstennis.ch/advantage/servlet/DisplayDraw?eventId=527695&amp;Lang=F" TargetMode="External"/><Relationship Id="rId122" Type="http://schemas.openxmlformats.org/officeDocument/2006/relationships/hyperlink" Target="https://www.mytennis.ch/fr/user/74365/results-summary" TargetMode="External"/><Relationship Id="rId130" Type="http://schemas.openxmlformats.org/officeDocument/2006/relationships/hyperlink" Target="https://www.mytennis.ch/fr/user/3964/results-summary" TargetMode="External"/><Relationship Id="rId135" Type="http://schemas.openxmlformats.org/officeDocument/2006/relationships/hyperlink" Target="https://comp.swisstennis.ch/advantage/servlet/DisplayDraw?eventId=555808&amp;Lang=F" TargetMode="External"/><Relationship Id="rId4" Type="http://schemas.openxmlformats.org/officeDocument/2006/relationships/hyperlink" Target="https://www.mytennis.ch/fr/user/24213/results-summary" TargetMode="External"/><Relationship Id="rId9" Type="http://schemas.openxmlformats.org/officeDocument/2006/relationships/hyperlink" Target="https://www.mytennis.ch/fr/user/8046/results-summary" TargetMode="External"/><Relationship Id="rId13" Type="http://schemas.openxmlformats.org/officeDocument/2006/relationships/hyperlink" Target="https://www.mytennis.ch/fr/user/131704/results-summary" TargetMode="External"/><Relationship Id="rId18" Type="http://schemas.openxmlformats.org/officeDocument/2006/relationships/hyperlink" Target="https://comp.swisstennis.ch/advantage/servlet/DisplayDraw?eventId=470409&amp;Lang=F" TargetMode="External"/><Relationship Id="rId39" Type="http://schemas.openxmlformats.org/officeDocument/2006/relationships/hyperlink" Target="https://www.mytennis.ch/fr/user/74365/results-summary" TargetMode="External"/><Relationship Id="rId109" Type="http://schemas.openxmlformats.org/officeDocument/2006/relationships/hyperlink" Target="https://comp.swisstennis.ch/advantage/servlet/DisplayDraw?eventId=562701&amp;Lang=F" TargetMode="External"/><Relationship Id="rId34" Type="http://schemas.openxmlformats.org/officeDocument/2006/relationships/hyperlink" Target="https://comp.swisstennis.ch/advantage/servlet/DisplayDraw?eventId=478079&amp;Lang=F" TargetMode="External"/><Relationship Id="rId50" Type="http://schemas.openxmlformats.org/officeDocument/2006/relationships/hyperlink" Target="https://comp.swisstennis.ch/advantage/servlet/DisplayDraw?eventId=486676&amp;Lang=F" TargetMode="External"/><Relationship Id="rId55" Type="http://schemas.openxmlformats.org/officeDocument/2006/relationships/hyperlink" Target="https://www.mytennis.ch/fr/user/54236/results-summary" TargetMode="External"/><Relationship Id="rId76" Type="http://schemas.openxmlformats.org/officeDocument/2006/relationships/hyperlink" Target="https://www.mytennis.ch/fr/user/20576/results-summary" TargetMode="External"/><Relationship Id="rId97" Type="http://schemas.openxmlformats.org/officeDocument/2006/relationships/hyperlink" Target="https://comp.swisstennis.ch/advantage/servlet/DisplayDraw?eventId=515489&amp;Lang=F" TargetMode="External"/><Relationship Id="rId104" Type="http://schemas.openxmlformats.org/officeDocument/2006/relationships/hyperlink" Target="https://www.mytennis.ch/fr/user/33616/results-summary" TargetMode="External"/><Relationship Id="rId120" Type="http://schemas.openxmlformats.org/officeDocument/2006/relationships/hyperlink" Target="https://www.mytennis.ch/fr/user/8018/results-summary" TargetMode="External"/><Relationship Id="rId125" Type="http://schemas.openxmlformats.org/officeDocument/2006/relationships/hyperlink" Target="https://comp.swisstennis.ch/advantage/servlet/DisplayDraw?eventId=547550&amp;Lang=F" TargetMode="External"/><Relationship Id="rId7" Type="http://schemas.openxmlformats.org/officeDocument/2006/relationships/hyperlink" Target="https://www.mytennis.ch/fr/user/44824/results-summary" TargetMode="External"/><Relationship Id="rId71" Type="http://schemas.openxmlformats.org/officeDocument/2006/relationships/hyperlink" Target="https://comp.swisstennis.ch/advantage/servlet/DisplayDraw?eventId=492551&amp;Lang=F" TargetMode="External"/><Relationship Id="rId92" Type="http://schemas.openxmlformats.org/officeDocument/2006/relationships/hyperlink" Target="https://www.mytennis.ch/fr/user/29453/results-summary" TargetMode="External"/><Relationship Id="rId2" Type="http://schemas.openxmlformats.org/officeDocument/2006/relationships/hyperlink" Target="https://www.mytennis.ch/fr/user/136426/results-summary" TargetMode="External"/><Relationship Id="rId29" Type="http://schemas.openxmlformats.org/officeDocument/2006/relationships/hyperlink" Target="https://www.mytennis.ch/fr/user/113636/results-summary" TargetMode="External"/><Relationship Id="rId24" Type="http://schemas.openxmlformats.org/officeDocument/2006/relationships/hyperlink" Target="https://comp.swisstennis.ch/advantage/servlet/DisplayDraw?eventId=472965&amp;Lang=F" TargetMode="External"/><Relationship Id="rId40" Type="http://schemas.openxmlformats.org/officeDocument/2006/relationships/hyperlink" Target="https://comp.swisstennis.ch/advantage/servlet/DisplayDraw?eventId=484942&amp;Lang=F" TargetMode="External"/><Relationship Id="rId45" Type="http://schemas.openxmlformats.org/officeDocument/2006/relationships/hyperlink" Target="https://www.mytennis.ch/fr/user/118003/results-summary" TargetMode="External"/><Relationship Id="rId66" Type="http://schemas.openxmlformats.org/officeDocument/2006/relationships/hyperlink" Target="https://www.mytennis.ch/fr/user/25256/results-summary" TargetMode="External"/><Relationship Id="rId87" Type="http://schemas.openxmlformats.org/officeDocument/2006/relationships/hyperlink" Target="https://comp.swisstennis.ch/advantage/servlet/DisplayDraw?eventId=506683&amp;Lang=F" TargetMode="External"/><Relationship Id="rId110" Type="http://schemas.openxmlformats.org/officeDocument/2006/relationships/hyperlink" Target="https://www.mytennis.ch/fr/user/19609/results-summary" TargetMode="External"/><Relationship Id="rId115" Type="http://schemas.openxmlformats.org/officeDocument/2006/relationships/hyperlink" Target="https://comp.swisstennis.ch/advantage/servlet/DisplayDraw?eventId=555884&amp;Lang=F" TargetMode="External"/><Relationship Id="rId131" Type="http://schemas.openxmlformats.org/officeDocument/2006/relationships/hyperlink" Target="https://comp.swisstennis.ch/advantage/servlet/DisplayDraw?eventId=549966&amp;Lang=F" TargetMode="External"/><Relationship Id="rId136" Type="http://schemas.openxmlformats.org/officeDocument/2006/relationships/hyperlink" Target="https://www.mytennis.ch/fr/user/17288/results-summary" TargetMode="External"/><Relationship Id="rId61" Type="http://schemas.openxmlformats.org/officeDocument/2006/relationships/hyperlink" Target="https://comp.swisstennis.ch/advantage/servlet/DisplayDraw?eventId=503789&amp;Lang=F" TargetMode="External"/><Relationship Id="rId82" Type="http://schemas.openxmlformats.org/officeDocument/2006/relationships/hyperlink" Target="https://www.mytennis.ch/fr/user/136426/results-summary" TargetMode="External"/><Relationship Id="rId19" Type="http://schemas.openxmlformats.org/officeDocument/2006/relationships/hyperlink" Target="https://www.mytennis.ch/fr/user/3468/results-summary" TargetMode="External"/><Relationship Id="rId14" Type="http://schemas.openxmlformats.org/officeDocument/2006/relationships/hyperlink" Target="https://comp.swisstennis.ch/advantage/servlet/DisplayDraw?eventId=481821&amp;Lang=F" TargetMode="External"/><Relationship Id="rId30" Type="http://schemas.openxmlformats.org/officeDocument/2006/relationships/hyperlink" Target="https://comp.swisstennis.ch/advantage/servlet/DisplayDraw?eventId=478079&amp;Lang=F" TargetMode="External"/><Relationship Id="rId35" Type="http://schemas.openxmlformats.org/officeDocument/2006/relationships/hyperlink" Target="https://www.mytennis.ch/fr/user/79667/results-summary" TargetMode="External"/><Relationship Id="rId56" Type="http://schemas.openxmlformats.org/officeDocument/2006/relationships/hyperlink" Target="https://comp.swisstennis.ch/advantage/servlet/DisplayPools?eventId=503778&amp;Lang=F" TargetMode="External"/><Relationship Id="rId77" Type="http://schemas.openxmlformats.org/officeDocument/2006/relationships/hyperlink" Target="https://comp.swisstennis.ch/advantage/servlet/DisplayDraw?eventId=508508&amp;Lang=F" TargetMode="External"/><Relationship Id="rId100" Type="http://schemas.openxmlformats.org/officeDocument/2006/relationships/hyperlink" Target="https://www.mytennis.ch/fr/user/3162/results-summary" TargetMode="External"/><Relationship Id="rId105" Type="http://schemas.openxmlformats.org/officeDocument/2006/relationships/hyperlink" Target="https://comp.swisstennis.ch/advantage/servlet/DisplayDraw?eventId=512905&amp;Lang=F" TargetMode="External"/><Relationship Id="rId126" Type="http://schemas.openxmlformats.org/officeDocument/2006/relationships/hyperlink" Target="https://www.mytennis.ch/fr/user/101927/results-summary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99"/>
  <sheetViews>
    <sheetView showZeros="0" workbookViewId="0"/>
  </sheetViews>
  <sheetFormatPr baseColWidth="10" defaultRowHeight="12.75" x14ac:dyDescent="0.2"/>
  <cols>
    <col min="1" max="1" width="32.5703125" bestFit="1" customWidth="1"/>
    <col min="6" max="6" width="18.28515625" customWidth="1"/>
    <col min="8" max="8" width="11.42578125" style="8"/>
    <col min="9" max="14" width="6" style="10" customWidth="1"/>
    <col min="15" max="17" width="5.28515625" style="11" customWidth="1"/>
    <col min="18" max="19" width="5.28515625" style="12" customWidth="1"/>
    <col min="20" max="21" width="11.42578125" style="14"/>
  </cols>
  <sheetData>
    <row r="1" spans="1:21" ht="46.5" customHeight="1" thickBot="1" x14ac:dyDescent="0.25">
      <c r="A1" s="2">
        <v>43226</v>
      </c>
      <c r="B1" s="3" t="s">
        <v>0</v>
      </c>
      <c r="C1" s="4" t="s">
        <v>1</v>
      </c>
      <c r="D1" s="3">
        <v>1.371</v>
      </c>
      <c r="E1" s="3" t="s">
        <v>2</v>
      </c>
      <c r="F1" s="3" t="s">
        <v>3</v>
      </c>
      <c r="G1" s="3" t="s">
        <v>4</v>
      </c>
      <c r="H1" s="8">
        <f>YEAR(A1)</f>
        <v>2018</v>
      </c>
      <c r="I1" s="10" t="str">
        <f>LEFT(F1)</f>
        <v>6</v>
      </c>
      <c r="J1" s="10" t="str">
        <f>MID(F1,3,1)</f>
        <v>2</v>
      </c>
      <c r="K1" s="10" t="str">
        <f>MID($F1,5,1)</f>
        <v>6</v>
      </c>
      <c r="L1" s="10" t="str">
        <f>MID($F1,7,1)</f>
        <v>3</v>
      </c>
      <c r="M1" s="10">
        <f t="shared" ref="M1:M33" si="0">IF(MID($F1,9,1)="",0,(MID($F1,9,1)))</f>
        <v>0</v>
      </c>
      <c r="N1" s="10">
        <f>IF(MID($F1,11,1)="",0,(MID($F1,11,1)))</f>
        <v>0</v>
      </c>
      <c r="O1" s="11">
        <f>IF(I1&gt;J1,1,-1)</f>
        <v>1</v>
      </c>
      <c r="P1" s="11">
        <f>IF(K1&gt;L1,1,-1)</f>
        <v>1</v>
      </c>
      <c r="Q1" s="11">
        <f>IF(M1&gt;N1,1,IF(N1&gt;M1,-1,0))</f>
        <v>0</v>
      </c>
      <c r="R1" s="12">
        <f>COUNTIF(O1:Q1,1)</f>
        <v>2</v>
      </c>
      <c r="S1" s="12">
        <f>COUNTIF(O1:Q1,-1)</f>
        <v>0</v>
      </c>
      <c r="T1" s="13">
        <f>I1+K1+M1</f>
        <v>12</v>
      </c>
      <c r="U1" s="13">
        <f>J1+L1+N1</f>
        <v>5</v>
      </c>
    </row>
    <row r="2" spans="1:21" ht="46.5" customHeight="1" thickBot="1" x14ac:dyDescent="0.25">
      <c r="A2" s="2">
        <v>43232</v>
      </c>
      <c r="B2" s="3" t="s">
        <v>0</v>
      </c>
      <c r="C2" s="4" t="s">
        <v>5</v>
      </c>
      <c r="D2" s="3">
        <v>3.2080000000000002</v>
      </c>
      <c r="E2" s="3" t="s">
        <v>6</v>
      </c>
      <c r="F2" s="3" t="s">
        <v>7</v>
      </c>
      <c r="G2" s="3" t="s">
        <v>4</v>
      </c>
      <c r="H2" s="8">
        <f t="shared" ref="H2:H57" si="1">YEAR(A2)</f>
        <v>2018</v>
      </c>
      <c r="I2" s="10" t="str">
        <f t="shared" ref="I2:I57" si="2">LEFT(F2)</f>
        <v>1</v>
      </c>
      <c r="J2" s="10" t="str">
        <f t="shared" ref="J2:J57" si="3">MID(F2,3,1)</f>
        <v>6</v>
      </c>
      <c r="K2" s="10" t="str">
        <f t="shared" ref="K2:K57" si="4">MID($F2,5,1)</f>
        <v>6</v>
      </c>
      <c r="L2" s="10" t="str">
        <f t="shared" ref="L2:L57" si="5">MID($F2,7,1)</f>
        <v>1</v>
      </c>
      <c r="M2" s="10" t="str">
        <f t="shared" si="0"/>
        <v>6</v>
      </c>
      <c r="N2" s="10" t="str">
        <f t="shared" ref="N2:N65" si="6">IF(MID($F2,11,1)="",0,(MID($F2,11,1)))</f>
        <v>3</v>
      </c>
      <c r="O2" s="11">
        <f t="shared" ref="O2:O62" si="7">IF(I2&gt;J2,1,-1)</f>
        <v>-1</v>
      </c>
      <c r="P2" s="11">
        <f t="shared" ref="P2:P62" si="8">IF(K2&gt;L2,1,-1)</f>
        <v>1</v>
      </c>
      <c r="Q2" s="11">
        <f t="shared" ref="Q2:Q65" si="9">IF(M2&gt;N2,1,IF(N2&gt;M2,-1,0))</f>
        <v>1</v>
      </c>
      <c r="R2" s="12">
        <f t="shared" ref="R2:R65" si="10">COUNTIF(O2:Q2,1)</f>
        <v>2</v>
      </c>
      <c r="S2" s="12">
        <f t="shared" ref="S2:S65" si="11">COUNTIF(O2:Q2,-1)</f>
        <v>1</v>
      </c>
      <c r="T2" s="13">
        <f t="shared" ref="T2:T4" si="12">I2+K2+M2</f>
        <v>13</v>
      </c>
      <c r="U2" s="13">
        <f t="shared" ref="U2:U4" si="13">J2+L2+N2</f>
        <v>10</v>
      </c>
    </row>
    <row r="3" spans="1:21" ht="46.5" customHeight="1" thickBot="1" x14ac:dyDescent="0.25">
      <c r="A3" s="2">
        <v>43247</v>
      </c>
      <c r="B3" s="3" t="s">
        <v>0</v>
      </c>
      <c r="C3" s="4" t="s">
        <v>8</v>
      </c>
      <c r="D3" s="3">
        <v>1</v>
      </c>
      <c r="E3" s="3" t="s">
        <v>9</v>
      </c>
      <c r="F3" s="3" t="s">
        <v>10</v>
      </c>
      <c r="G3" s="3" t="s">
        <v>4</v>
      </c>
      <c r="H3" s="8">
        <f t="shared" si="1"/>
        <v>2018</v>
      </c>
      <c r="I3" s="10" t="str">
        <f t="shared" si="2"/>
        <v>6</v>
      </c>
      <c r="J3" s="10" t="str">
        <f t="shared" si="3"/>
        <v>2</v>
      </c>
      <c r="K3" s="10" t="str">
        <f t="shared" si="4"/>
        <v>6</v>
      </c>
      <c r="L3" s="10" t="str">
        <f t="shared" si="5"/>
        <v>4</v>
      </c>
      <c r="M3" s="10">
        <f t="shared" si="0"/>
        <v>0</v>
      </c>
      <c r="N3" s="10">
        <f t="shared" si="6"/>
        <v>0</v>
      </c>
      <c r="O3" s="11">
        <f t="shared" si="7"/>
        <v>1</v>
      </c>
      <c r="P3" s="11">
        <f t="shared" si="8"/>
        <v>1</v>
      </c>
      <c r="Q3" s="11">
        <f t="shared" si="9"/>
        <v>0</v>
      </c>
      <c r="R3" s="12">
        <f t="shared" si="10"/>
        <v>2</v>
      </c>
      <c r="S3" s="12">
        <f t="shared" si="11"/>
        <v>0</v>
      </c>
      <c r="T3" s="13">
        <f t="shared" si="12"/>
        <v>12</v>
      </c>
      <c r="U3" s="13">
        <f t="shared" si="13"/>
        <v>6</v>
      </c>
    </row>
    <row r="4" spans="1:21" ht="46.5" customHeight="1" thickBot="1" x14ac:dyDescent="0.25">
      <c r="A4" s="2">
        <v>43254</v>
      </c>
      <c r="B4" s="3" t="s">
        <v>0</v>
      </c>
      <c r="C4" s="4" t="s">
        <v>11</v>
      </c>
      <c r="D4" s="3">
        <v>0.442</v>
      </c>
      <c r="E4" s="3" t="s">
        <v>9</v>
      </c>
      <c r="F4" s="3" t="s">
        <v>12</v>
      </c>
      <c r="G4" s="3" t="s">
        <v>4</v>
      </c>
      <c r="H4" s="8">
        <f t="shared" si="1"/>
        <v>2018</v>
      </c>
      <c r="I4" s="10" t="str">
        <f t="shared" si="2"/>
        <v>6</v>
      </c>
      <c r="J4" s="10" t="str">
        <f t="shared" si="3"/>
        <v>1</v>
      </c>
      <c r="K4" s="10" t="str">
        <f t="shared" si="4"/>
        <v>4</v>
      </c>
      <c r="L4" s="10" t="str">
        <f t="shared" si="5"/>
        <v>6</v>
      </c>
      <c r="M4" s="10" t="str">
        <f t="shared" si="0"/>
        <v>6</v>
      </c>
      <c r="N4" s="10" t="str">
        <f t="shared" si="6"/>
        <v>1</v>
      </c>
      <c r="O4" s="11">
        <f t="shared" si="7"/>
        <v>1</v>
      </c>
      <c r="P4" s="11">
        <f t="shared" si="8"/>
        <v>-1</v>
      </c>
      <c r="Q4" s="11">
        <f t="shared" si="9"/>
        <v>1</v>
      </c>
      <c r="R4" s="12">
        <f t="shared" si="10"/>
        <v>2</v>
      </c>
      <c r="S4" s="12">
        <f t="shared" si="11"/>
        <v>1</v>
      </c>
      <c r="T4" s="13">
        <f t="shared" si="12"/>
        <v>16</v>
      </c>
      <c r="U4" s="13">
        <f t="shared" si="13"/>
        <v>8</v>
      </c>
    </row>
    <row r="5" spans="1:21" ht="46.5" customHeight="1" thickBot="1" x14ac:dyDescent="0.25">
      <c r="A5" s="2">
        <v>43261</v>
      </c>
      <c r="B5" s="3" t="s">
        <v>0</v>
      </c>
      <c r="C5" s="4" t="s">
        <v>13</v>
      </c>
      <c r="D5" s="3">
        <v>3.9729999999999999</v>
      </c>
      <c r="E5" s="3" t="s">
        <v>6</v>
      </c>
      <c r="F5" s="3" t="s">
        <v>14</v>
      </c>
      <c r="G5" s="3" t="s">
        <v>15</v>
      </c>
      <c r="H5" s="8">
        <f t="shared" si="1"/>
        <v>2018</v>
      </c>
      <c r="I5" s="10" t="str">
        <f t="shared" si="2"/>
        <v>3</v>
      </c>
      <c r="J5" s="10" t="str">
        <f t="shared" si="3"/>
        <v>6</v>
      </c>
      <c r="K5" s="10" t="str">
        <f t="shared" si="4"/>
        <v>6</v>
      </c>
      <c r="L5" s="10" t="str">
        <f t="shared" si="5"/>
        <v>2</v>
      </c>
      <c r="M5" s="10" t="str">
        <f t="shared" si="0"/>
        <v>2</v>
      </c>
      <c r="N5" s="10" t="str">
        <f t="shared" si="6"/>
        <v>6</v>
      </c>
      <c r="O5" s="11">
        <f t="shared" si="7"/>
        <v>-1</v>
      </c>
      <c r="P5" s="11">
        <f t="shared" si="8"/>
        <v>1</v>
      </c>
      <c r="Q5" s="11">
        <f t="shared" si="9"/>
        <v>-1</v>
      </c>
      <c r="R5" s="12">
        <f t="shared" si="10"/>
        <v>1</v>
      </c>
      <c r="S5" s="12">
        <f t="shared" si="11"/>
        <v>2</v>
      </c>
      <c r="T5" s="13">
        <f t="shared" ref="T5:T68" si="14">I5+K5+M5</f>
        <v>11</v>
      </c>
      <c r="U5" s="13">
        <f t="shared" ref="U5:U68" si="15">J5+L5+N5</f>
        <v>14</v>
      </c>
    </row>
    <row r="6" spans="1:21" ht="46.5" customHeight="1" thickBot="1" x14ac:dyDescent="0.25">
      <c r="A6" s="2">
        <v>43212</v>
      </c>
      <c r="B6" s="4" t="s">
        <v>17</v>
      </c>
      <c r="C6" s="4" t="s">
        <v>18</v>
      </c>
      <c r="D6" s="3">
        <v>3.2280000000000002</v>
      </c>
      <c r="E6" s="3" t="s">
        <v>6</v>
      </c>
      <c r="F6" s="3" t="s">
        <v>19</v>
      </c>
      <c r="G6" s="3" t="s">
        <v>15</v>
      </c>
      <c r="H6" s="8">
        <f t="shared" si="1"/>
        <v>2018</v>
      </c>
      <c r="I6" s="10" t="str">
        <f t="shared" si="2"/>
        <v>1</v>
      </c>
      <c r="J6" s="10" t="str">
        <f t="shared" si="3"/>
        <v>6</v>
      </c>
      <c r="K6" s="10" t="str">
        <f t="shared" si="4"/>
        <v>4</v>
      </c>
      <c r="L6" s="10" t="str">
        <f t="shared" si="5"/>
        <v>6</v>
      </c>
      <c r="M6" s="10">
        <f t="shared" si="0"/>
        <v>0</v>
      </c>
      <c r="N6" s="10">
        <f t="shared" si="6"/>
        <v>0</v>
      </c>
      <c r="O6" s="11">
        <f t="shared" si="7"/>
        <v>-1</v>
      </c>
      <c r="P6" s="11">
        <f t="shared" si="8"/>
        <v>-1</v>
      </c>
      <c r="Q6" s="11">
        <f t="shared" si="9"/>
        <v>0</v>
      </c>
      <c r="R6" s="12">
        <f t="shared" si="10"/>
        <v>0</v>
      </c>
      <c r="S6" s="12">
        <f t="shared" si="11"/>
        <v>2</v>
      </c>
      <c r="T6" s="13">
        <f t="shared" si="14"/>
        <v>5</v>
      </c>
      <c r="U6" s="13">
        <f t="shared" si="15"/>
        <v>12</v>
      </c>
    </row>
    <row r="7" spans="1:21" ht="46.5" customHeight="1" thickBot="1" x14ac:dyDescent="0.25">
      <c r="A7" s="2">
        <v>43219</v>
      </c>
      <c r="B7" s="4" t="s">
        <v>20</v>
      </c>
      <c r="C7" s="4" t="s">
        <v>21</v>
      </c>
      <c r="D7" s="3">
        <v>3.7970000000000002</v>
      </c>
      <c r="E7" s="3" t="s">
        <v>6</v>
      </c>
      <c r="F7" s="3" t="s">
        <v>22</v>
      </c>
      <c r="G7" s="3" t="s">
        <v>15</v>
      </c>
      <c r="H7" s="8">
        <f t="shared" si="1"/>
        <v>2018</v>
      </c>
      <c r="I7" s="10" t="str">
        <f t="shared" si="2"/>
        <v>0</v>
      </c>
      <c r="J7" s="10" t="str">
        <f t="shared" si="3"/>
        <v>6</v>
      </c>
      <c r="K7" s="10" t="str">
        <f t="shared" si="4"/>
        <v>0</v>
      </c>
      <c r="L7" s="10" t="str">
        <f t="shared" si="5"/>
        <v>6</v>
      </c>
      <c r="M7" s="10">
        <f t="shared" si="0"/>
        <v>0</v>
      </c>
      <c r="N7" s="10">
        <f t="shared" si="6"/>
        <v>0</v>
      </c>
      <c r="O7" s="11">
        <f t="shared" si="7"/>
        <v>-1</v>
      </c>
      <c r="P7" s="11">
        <f t="shared" si="8"/>
        <v>-1</v>
      </c>
      <c r="Q7" s="11">
        <f t="shared" si="9"/>
        <v>0</v>
      </c>
      <c r="R7" s="12">
        <f t="shared" si="10"/>
        <v>0</v>
      </c>
      <c r="S7" s="12">
        <f t="shared" si="11"/>
        <v>2</v>
      </c>
      <c r="T7" s="13">
        <f t="shared" si="14"/>
        <v>0</v>
      </c>
      <c r="U7" s="13">
        <f t="shared" si="15"/>
        <v>12</v>
      </c>
    </row>
    <row r="8" spans="1:21" ht="46.5" customHeight="1" thickBot="1" x14ac:dyDescent="0.25">
      <c r="A8" s="2">
        <v>43240</v>
      </c>
      <c r="B8" s="4" t="s">
        <v>23</v>
      </c>
      <c r="C8" s="4" t="s">
        <v>24</v>
      </c>
      <c r="D8" s="3">
        <v>2.4769999999999999</v>
      </c>
      <c r="E8" s="3" t="s">
        <v>25</v>
      </c>
      <c r="F8" s="3" t="s">
        <v>26</v>
      </c>
      <c r="G8" s="3" t="s">
        <v>15</v>
      </c>
      <c r="H8" s="8">
        <f t="shared" si="1"/>
        <v>2018</v>
      </c>
      <c r="I8" s="10" t="str">
        <f t="shared" si="2"/>
        <v>3</v>
      </c>
      <c r="J8" s="10" t="str">
        <f t="shared" si="3"/>
        <v>6</v>
      </c>
      <c r="K8" s="10" t="str">
        <f t="shared" si="4"/>
        <v>6</v>
      </c>
      <c r="L8" s="10" t="str">
        <f t="shared" si="5"/>
        <v>7</v>
      </c>
      <c r="M8" s="10">
        <f t="shared" si="0"/>
        <v>0</v>
      </c>
      <c r="N8" s="10">
        <f t="shared" si="6"/>
        <v>0</v>
      </c>
      <c r="O8" s="11">
        <f t="shared" si="7"/>
        <v>-1</v>
      </c>
      <c r="P8" s="11">
        <f t="shared" si="8"/>
        <v>-1</v>
      </c>
      <c r="Q8" s="11">
        <f t="shared" si="9"/>
        <v>0</v>
      </c>
      <c r="R8" s="12">
        <f t="shared" si="10"/>
        <v>0</v>
      </c>
      <c r="S8" s="12">
        <f t="shared" si="11"/>
        <v>2</v>
      </c>
      <c r="T8" s="13">
        <f t="shared" si="14"/>
        <v>9</v>
      </c>
      <c r="U8" s="13">
        <f t="shared" si="15"/>
        <v>13</v>
      </c>
    </row>
    <row r="9" spans="1:21" ht="46.5" customHeight="1" thickBot="1" x14ac:dyDescent="0.25">
      <c r="A9" s="2">
        <v>43240</v>
      </c>
      <c r="B9" s="4" t="s">
        <v>23</v>
      </c>
      <c r="C9" s="4" t="s">
        <v>27</v>
      </c>
      <c r="D9" s="3">
        <v>0.67200000000000004</v>
      </c>
      <c r="E9" s="3" t="s">
        <v>9</v>
      </c>
      <c r="F9" s="3" t="s">
        <v>28</v>
      </c>
      <c r="G9" s="3" t="s">
        <v>4</v>
      </c>
      <c r="H9" s="8">
        <f t="shared" si="1"/>
        <v>2018</v>
      </c>
      <c r="I9" s="10" t="str">
        <f t="shared" si="2"/>
        <v>6</v>
      </c>
      <c r="J9" s="10" t="str">
        <f t="shared" si="3"/>
        <v>1</v>
      </c>
      <c r="K9" s="10" t="str">
        <f t="shared" si="4"/>
        <v>6</v>
      </c>
      <c r="L9" s="10" t="str">
        <f t="shared" si="5"/>
        <v>4</v>
      </c>
      <c r="M9" s="10">
        <f t="shared" si="0"/>
        <v>0</v>
      </c>
      <c r="N9" s="10">
        <f t="shared" si="6"/>
        <v>0</v>
      </c>
      <c r="O9" s="11">
        <f t="shared" si="7"/>
        <v>1</v>
      </c>
      <c r="P9" s="11">
        <f t="shared" si="8"/>
        <v>1</v>
      </c>
      <c r="Q9" s="11">
        <f t="shared" si="9"/>
        <v>0</v>
      </c>
      <c r="R9" s="12">
        <f t="shared" si="10"/>
        <v>2</v>
      </c>
      <c r="S9" s="12">
        <f t="shared" si="11"/>
        <v>0</v>
      </c>
      <c r="T9" s="13">
        <f t="shared" si="14"/>
        <v>12</v>
      </c>
      <c r="U9" s="13">
        <f t="shared" si="15"/>
        <v>5</v>
      </c>
    </row>
    <row r="10" spans="1:21" ht="46.5" customHeight="1" thickBot="1" x14ac:dyDescent="0.25">
      <c r="A10" s="2">
        <v>43275</v>
      </c>
      <c r="B10" s="4" t="s">
        <v>29</v>
      </c>
      <c r="C10" s="4" t="s">
        <v>30</v>
      </c>
      <c r="D10" s="3">
        <v>4.0780000000000003</v>
      </c>
      <c r="E10" s="3" t="s">
        <v>6</v>
      </c>
      <c r="F10" s="3" t="s">
        <v>31</v>
      </c>
      <c r="G10" s="3" t="s">
        <v>15</v>
      </c>
      <c r="H10" s="8">
        <f t="shared" si="1"/>
        <v>2018</v>
      </c>
      <c r="I10" s="10" t="str">
        <f t="shared" si="2"/>
        <v>3</v>
      </c>
      <c r="J10" s="10" t="str">
        <f t="shared" si="3"/>
        <v>6</v>
      </c>
      <c r="K10" s="10" t="str">
        <f t="shared" si="4"/>
        <v>3</v>
      </c>
      <c r="L10" s="10" t="str">
        <f t="shared" si="5"/>
        <v>6</v>
      </c>
      <c r="M10" s="10">
        <f t="shared" si="0"/>
        <v>0</v>
      </c>
      <c r="N10" s="10">
        <f t="shared" si="6"/>
        <v>0</v>
      </c>
      <c r="O10" s="11">
        <f t="shared" si="7"/>
        <v>-1</v>
      </c>
      <c r="P10" s="11">
        <f t="shared" si="8"/>
        <v>-1</v>
      </c>
      <c r="Q10" s="11">
        <f t="shared" si="9"/>
        <v>0</v>
      </c>
      <c r="R10" s="12">
        <f t="shared" si="10"/>
        <v>0</v>
      </c>
      <c r="S10" s="12">
        <f t="shared" si="11"/>
        <v>2</v>
      </c>
      <c r="T10" s="13">
        <f t="shared" si="14"/>
        <v>6</v>
      </c>
      <c r="U10" s="13">
        <f t="shared" si="15"/>
        <v>12</v>
      </c>
    </row>
    <row r="11" spans="1:21" ht="46.5" customHeight="1" thickBot="1" x14ac:dyDescent="0.25">
      <c r="A11" s="2">
        <v>43275</v>
      </c>
      <c r="B11" s="4" t="s">
        <v>29</v>
      </c>
      <c r="C11" s="4" t="s">
        <v>32</v>
      </c>
      <c r="D11" s="3">
        <v>2.9529999999999998</v>
      </c>
      <c r="E11" s="3" t="s">
        <v>25</v>
      </c>
      <c r="F11" s="3" t="s">
        <v>33</v>
      </c>
      <c r="G11" s="3" t="s">
        <v>4</v>
      </c>
      <c r="H11" s="8">
        <f t="shared" si="1"/>
        <v>2018</v>
      </c>
      <c r="I11" s="10" t="str">
        <f t="shared" si="2"/>
        <v>7</v>
      </c>
      <c r="J11" s="10" t="str">
        <f t="shared" si="3"/>
        <v>5</v>
      </c>
      <c r="K11" s="10" t="str">
        <f t="shared" si="4"/>
        <v>7</v>
      </c>
      <c r="L11" s="10" t="str">
        <f t="shared" si="5"/>
        <v>5</v>
      </c>
      <c r="M11" s="10">
        <f t="shared" si="0"/>
        <v>0</v>
      </c>
      <c r="N11" s="10">
        <f t="shared" si="6"/>
        <v>0</v>
      </c>
      <c r="O11" s="11">
        <f t="shared" si="7"/>
        <v>1</v>
      </c>
      <c r="P11" s="11">
        <f t="shared" si="8"/>
        <v>1</v>
      </c>
      <c r="Q11" s="11">
        <f t="shared" si="9"/>
        <v>0</v>
      </c>
      <c r="R11" s="12">
        <f t="shared" si="10"/>
        <v>2</v>
      </c>
      <c r="S11" s="12">
        <f t="shared" si="11"/>
        <v>0</v>
      </c>
      <c r="T11" s="13">
        <f t="shared" si="14"/>
        <v>14</v>
      </c>
      <c r="U11" s="13">
        <f t="shared" si="15"/>
        <v>10</v>
      </c>
    </row>
    <row r="12" spans="1:21" ht="46.5" customHeight="1" thickBot="1" x14ac:dyDescent="0.25">
      <c r="A12" s="2">
        <v>43289</v>
      </c>
      <c r="B12" s="4" t="s">
        <v>34</v>
      </c>
      <c r="C12" s="4" t="s">
        <v>35</v>
      </c>
      <c r="D12" s="3">
        <v>3.7389999999999999</v>
      </c>
      <c r="E12" s="3" t="s">
        <v>6</v>
      </c>
      <c r="F12" s="3" t="s">
        <v>36</v>
      </c>
      <c r="G12" s="3" t="s">
        <v>15</v>
      </c>
      <c r="H12" s="8">
        <f t="shared" si="1"/>
        <v>2018</v>
      </c>
      <c r="I12" s="10" t="str">
        <f t="shared" si="2"/>
        <v>2</v>
      </c>
      <c r="J12" s="10" t="str">
        <f t="shared" si="3"/>
        <v>6</v>
      </c>
      <c r="K12" s="10" t="str">
        <f t="shared" si="4"/>
        <v>1</v>
      </c>
      <c r="L12" s="10" t="str">
        <f t="shared" si="5"/>
        <v>6</v>
      </c>
      <c r="M12" s="10">
        <f t="shared" si="0"/>
        <v>0</v>
      </c>
      <c r="N12" s="10">
        <f t="shared" si="6"/>
        <v>0</v>
      </c>
      <c r="O12" s="11">
        <f t="shared" si="7"/>
        <v>-1</v>
      </c>
      <c r="P12" s="11">
        <f t="shared" si="8"/>
        <v>-1</v>
      </c>
      <c r="Q12" s="11">
        <f t="shared" si="9"/>
        <v>0</v>
      </c>
      <c r="R12" s="12">
        <f t="shared" si="10"/>
        <v>0</v>
      </c>
      <c r="S12" s="12">
        <f t="shared" si="11"/>
        <v>2</v>
      </c>
      <c r="T12" s="13">
        <f t="shared" si="14"/>
        <v>3</v>
      </c>
      <c r="U12" s="13">
        <f t="shared" si="15"/>
        <v>12</v>
      </c>
    </row>
    <row r="13" spans="1:21" ht="46.5" customHeight="1" thickBot="1" x14ac:dyDescent="0.25">
      <c r="A13" s="2">
        <v>43289</v>
      </c>
      <c r="B13" s="4" t="s">
        <v>34</v>
      </c>
      <c r="C13" s="4" t="s">
        <v>37</v>
      </c>
      <c r="D13" s="3">
        <v>1</v>
      </c>
      <c r="E13" s="3" t="s">
        <v>9</v>
      </c>
      <c r="F13" s="3" t="s">
        <v>38</v>
      </c>
      <c r="G13" s="3" t="s">
        <v>4</v>
      </c>
      <c r="H13" s="8">
        <f t="shared" si="1"/>
        <v>2018</v>
      </c>
      <c r="I13" s="10" t="str">
        <f t="shared" si="2"/>
        <v>6</v>
      </c>
      <c r="J13" s="10" t="str">
        <f t="shared" si="3"/>
        <v>3</v>
      </c>
      <c r="K13" s="10" t="str">
        <f t="shared" si="4"/>
        <v>4</v>
      </c>
      <c r="L13" s="10" t="str">
        <f t="shared" si="5"/>
        <v>6</v>
      </c>
      <c r="M13" s="10" t="str">
        <f t="shared" si="0"/>
        <v>6</v>
      </c>
      <c r="N13" s="10" t="str">
        <f t="shared" si="6"/>
        <v>1</v>
      </c>
      <c r="O13" s="11">
        <f t="shared" si="7"/>
        <v>1</v>
      </c>
      <c r="P13" s="11">
        <f t="shared" si="8"/>
        <v>-1</v>
      </c>
      <c r="Q13" s="11">
        <f t="shared" si="9"/>
        <v>1</v>
      </c>
      <c r="R13" s="12">
        <f t="shared" si="10"/>
        <v>2</v>
      </c>
      <c r="S13" s="12">
        <f t="shared" si="11"/>
        <v>1</v>
      </c>
      <c r="T13" s="13">
        <f t="shared" si="14"/>
        <v>16</v>
      </c>
      <c r="U13" s="13">
        <f t="shared" si="15"/>
        <v>10</v>
      </c>
    </row>
    <row r="14" spans="1:21" ht="46.5" customHeight="1" thickBot="1" x14ac:dyDescent="0.25">
      <c r="A14" s="2">
        <v>43289</v>
      </c>
      <c r="B14" s="4" t="s">
        <v>39</v>
      </c>
      <c r="C14" s="4" t="s">
        <v>40</v>
      </c>
      <c r="D14" s="3">
        <v>4.077</v>
      </c>
      <c r="E14" s="3" t="s">
        <v>6</v>
      </c>
      <c r="F14" s="3" t="s">
        <v>36</v>
      </c>
      <c r="G14" s="3" t="s">
        <v>15</v>
      </c>
      <c r="H14" s="8">
        <f t="shared" si="1"/>
        <v>2018</v>
      </c>
      <c r="I14" s="10" t="str">
        <f t="shared" si="2"/>
        <v>2</v>
      </c>
      <c r="J14" s="10" t="str">
        <f t="shared" si="3"/>
        <v>6</v>
      </c>
      <c r="K14" s="10" t="str">
        <f t="shared" si="4"/>
        <v>1</v>
      </c>
      <c r="L14" s="10" t="str">
        <f t="shared" si="5"/>
        <v>6</v>
      </c>
      <c r="M14" s="10">
        <f t="shared" si="0"/>
        <v>0</v>
      </c>
      <c r="N14" s="10">
        <f t="shared" si="6"/>
        <v>0</v>
      </c>
      <c r="O14" s="11">
        <f t="shared" si="7"/>
        <v>-1</v>
      </c>
      <c r="P14" s="11">
        <f t="shared" si="8"/>
        <v>-1</v>
      </c>
      <c r="Q14" s="11">
        <f t="shared" si="9"/>
        <v>0</v>
      </c>
      <c r="R14" s="12">
        <f t="shared" si="10"/>
        <v>0</v>
      </c>
      <c r="S14" s="12">
        <f t="shared" si="11"/>
        <v>2</v>
      </c>
      <c r="T14" s="13">
        <f t="shared" si="14"/>
        <v>3</v>
      </c>
      <c r="U14" s="13">
        <f t="shared" si="15"/>
        <v>12</v>
      </c>
    </row>
    <row r="15" spans="1:21" ht="46.5" customHeight="1" thickBot="1" x14ac:dyDescent="0.25">
      <c r="A15" s="2">
        <v>43289</v>
      </c>
      <c r="B15" s="4" t="s">
        <v>39</v>
      </c>
      <c r="C15" s="4" t="s">
        <v>41</v>
      </c>
      <c r="D15" s="3">
        <v>2.6989999999999998</v>
      </c>
      <c r="E15" s="3" t="s">
        <v>25</v>
      </c>
      <c r="F15" s="3" t="s">
        <v>42</v>
      </c>
      <c r="G15" s="3" t="s">
        <v>4</v>
      </c>
      <c r="H15" s="8">
        <f t="shared" si="1"/>
        <v>2018</v>
      </c>
      <c r="I15" s="10" t="str">
        <f t="shared" si="2"/>
        <v>6</v>
      </c>
      <c r="J15" s="10" t="str">
        <f t="shared" si="3"/>
        <v>4</v>
      </c>
      <c r="K15" s="10" t="str">
        <f t="shared" si="4"/>
        <v>6</v>
      </c>
      <c r="L15" s="10" t="str">
        <f t="shared" si="5"/>
        <v>3</v>
      </c>
      <c r="M15" s="10">
        <f t="shared" si="0"/>
        <v>0</v>
      </c>
      <c r="N15" s="10">
        <f t="shared" si="6"/>
        <v>0</v>
      </c>
      <c r="O15" s="11">
        <f t="shared" si="7"/>
        <v>1</v>
      </c>
      <c r="P15" s="11">
        <f t="shared" si="8"/>
        <v>1</v>
      </c>
      <c r="Q15" s="11">
        <f t="shared" si="9"/>
        <v>0</v>
      </c>
      <c r="R15" s="12">
        <f t="shared" si="10"/>
        <v>2</v>
      </c>
      <c r="S15" s="12">
        <f t="shared" si="11"/>
        <v>0</v>
      </c>
      <c r="T15" s="13">
        <f t="shared" si="14"/>
        <v>12</v>
      </c>
      <c r="U15" s="13">
        <f t="shared" si="15"/>
        <v>7</v>
      </c>
    </row>
    <row r="16" spans="1:21" ht="46.5" customHeight="1" thickBot="1" x14ac:dyDescent="0.25">
      <c r="A16" s="2">
        <v>43296</v>
      </c>
      <c r="B16" s="4" t="s">
        <v>43</v>
      </c>
      <c r="C16" s="4" t="s">
        <v>44</v>
      </c>
      <c r="D16" s="3">
        <v>3.7519999999999998</v>
      </c>
      <c r="E16" s="3" t="s">
        <v>6</v>
      </c>
      <c r="F16" s="3" t="s">
        <v>45</v>
      </c>
      <c r="G16" s="3" t="s">
        <v>15</v>
      </c>
      <c r="H16" s="8">
        <f t="shared" si="1"/>
        <v>2018</v>
      </c>
      <c r="I16" s="10" t="str">
        <f t="shared" si="2"/>
        <v>5</v>
      </c>
      <c r="J16" s="10" t="str">
        <f t="shared" si="3"/>
        <v>7</v>
      </c>
      <c r="K16" s="10" t="str">
        <f t="shared" si="4"/>
        <v>7</v>
      </c>
      <c r="L16" s="10" t="str">
        <f t="shared" si="5"/>
        <v>6</v>
      </c>
      <c r="M16" s="10" t="str">
        <f t="shared" si="0"/>
        <v>3</v>
      </c>
      <c r="N16" s="10" t="str">
        <f t="shared" si="6"/>
        <v>6</v>
      </c>
      <c r="O16" s="11">
        <f t="shared" si="7"/>
        <v>-1</v>
      </c>
      <c r="P16" s="11">
        <f t="shared" si="8"/>
        <v>1</v>
      </c>
      <c r="Q16" s="11">
        <f t="shared" si="9"/>
        <v>-1</v>
      </c>
      <c r="R16" s="12">
        <f t="shared" si="10"/>
        <v>1</v>
      </c>
      <c r="S16" s="12">
        <f t="shared" si="11"/>
        <v>2</v>
      </c>
      <c r="T16" s="13">
        <f t="shared" si="14"/>
        <v>15</v>
      </c>
      <c r="U16" s="13">
        <f t="shared" si="15"/>
        <v>19</v>
      </c>
    </row>
    <row r="17" spans="1:21" ht="46.5" customHeight="1" thickBot="1" x14ac:dyDescent="0.25">
      <c r="A17" s="2">
        <v>43296</v>
      </c>
      <c r="B17" s="4" t="s">
        <v>43</v>
      </c>
      <c r="C17" s="4" t="s">
        <v>46</v>
      </c>
      <c r="D17" s="3">
        <v>2.347</v>
      </c>
      <c r="E17" s="3" t="s">
        <v>25</v>
      </c>
      <c r="F17" s="3" t="s">
        <v>47</v>
      </c>
      <c r="G17" s="3" t="s">
        <v>4</v>
      </c>
      <c r="H17" s="8">
        <f t="shared" si="1"/>
        <v>2018</v>
      </c>
      <c r="I17" s="10" t="str">
        <f t="shared" si="2"/>
        <v>6</v>
      </c>
      <c r="J17" s="10" t="str">
        <f t="shared" si="3"/>
        <v>1</v>
      </c>
      <c r="K17" s="10" t="str">
        <f t="shared" si="4"/>
        <v>6</v>
      </c>
      <c r="L17" s="10" t="str">
        <f t="shared" si="5"/>
        <v>2</v>
      </c>
      <c r="M17" s="10">
        <f t="shared" si="0"/>
        <v>0</v>
      </c>
      <c r="N17" s="10">
        <f t="shared" si="6"/>
        <v>0</v>
      </c>
      <c r="O17" s="11">
        <f t="shared" si="7"/>
        <v>1</v>
      </c>
      <c r="P17" s="11">
        <f t="shared" si="8"/>
        <v>1</v>
      </c>
      <c r="Q17" s="11">
        <f t="shared" si="9"/>
        <v>0</v>
      </c>
      <c r="R17" s="12">
        <f t="shared" si="10"/>
        <v>2</v>
      </c>
      <c r="S17" s="12">
        <f t="shared" si="11"/>
        <v>0</v>
      </c>
      <c r="T17" s="13">
        <f t="shared" si="14"/>
        <v>12</v>
      </c>
      <c r="U17" s="13">
        <f t="shared" si="15"/>
        <v>3</v>
      </c>
    </row>
    <row r="18" spans="1:21" ht="46.5" customHeight="1" thickBot="1" x14ac:dyDescent="0.25">
      <c r="A18" s="2">
        <v>43311</v>
      </c>
      <c r="B18" s="4" t="s">
        <v>48</v>
      </c>
      <c r="C18" s="4" t="s">
        <v>49</v>
      </c>
      <c r="D18" s="3">
        <v>3.99</v>
      </c>
      <c r="E18" s="3" t="s">
        <v>6</v>
      </c>
      <c r="F18" s="3" t="s">
        <v>50</v>
      </c>
      <c r="G18" s="3" t="s">
        <v>15</v>
      </c>
      <c r="H18" s="8">
        <f t="shared" si="1"/>
        <v>2018</v>
      </c>
      <c r="I18" s="10" t="str">
        <f t="shared" si="2"/>
        <v>1</v>
      </c>
      <c r="J18" s="10" t="str">
        <f t="shared" si="3"/>
        <v>6</v>
      </c>
      <c r="K18" s="10" t="str">
        <f t="shared" si="4"/>
        <v>0</v>
      </c>
      <c r="L18" s="10" t="str">
        <f t="shared" si="5"/>
        <v>6</v>
      </c>
      <c r="M18" s="10">
        <f t="shared" si="0"/>
        <v>0</v>
      </c>
      <c r="N18" s="10">
        <f t="shared" si="6"/>
        <v>0</v>
      </c>
      <c r="O18" s="11">
        <f t="shared" si="7"/>
        <v>-1</v>
      </c>
      <c r="P18" s="11">
        <f t="shared" si="8"/>
        <v>-1</v>
      </c>
      <c r="Q18" s="11">
        <f t="shared" si="9"/>
        <v>0</v>
      </c>
      <c r="R18" s="12">
        <f t="shared" si="10"/>
        <v>0</v>
      </c>
      <c r="S18" s="12">
        <f t="shared" si="11"/>
        <v>2</v>
      </c>
      <c r="T18" s="13">
        <f t="shared" si="14"/>
        <v>1</v>
      </c>
      <c r="U18" s="13">
        <f t="shared" si="15"/>
        <v>12</v>
      </c>
    </row>
    <row r="19" spans="1:21" ht="46.5" customHeight="1" thickBot="1" x14ac:dyDescent="0.25">
      <c r="A19" s="2">
        <v>43311</v>
      </c>
      <c r="B19" s="4" t="s">
        <v>48</v>
      </c>
      <c r="C19" s="4" t="s">
        <v>51</v>
      </c>
      <c r="D19" s="3">
        <v>3.23</v>
      </c>
      <c r="E19" s="3" t="s">
        <v>6</v>
      </c>
      <c r="F19" s="3" t="s">
        <v>52</v>
      </c>
      <c r="G19" s="3" t="s">
        <v>4</v>
      </c>
      <c r="H19" s="8">
        <f t="shared" si="1"/>
        <v>2018</v>
      </c>
      <c r="I19" s="10" t="str">
        <f t="shared" si="2"/>
        <v>6</v>
      </c>
      <c r="J19" s="10" t="str">
        <f t="shared" si="3"/>
        <v>4</v>
      </c>
      <c r="K19" s="10" t="str">
        <f t="shared" si="4"/>
        <v>6</v>
      </c>
      <c r="L19" s="10" t="str">
        <f t="shared" si="5"/>
        <v>4</v>
      </c>
      <c r="M19" s="10">
        <f t="shared" si="0"/>
        <v>0</v>
      </c>
      <c r="N19" s="10">
        <f t="shared" si="6"/>
        <v>0</v>
      </c>
      <c r="O19" s="11">
        <f t="shared" si="7"/>
        <v>1</v>
      </c>
      <c r="P19" s="11">
        <f t="shared" si="8"/>
        <v>1</v>
      </c>
      <c r="Q19" s="11">
        <f t="shared" si="9"/>
        <v>0</v>
      </c>
      <c r="R19" s="12">
        <f t="shared" si="10"/>
        <v>2</v>
      </c>
      <c r="S19" s="12">
        <f t="shared" si="11"/>
        <v>0</v>
      </c>
      <c r="T19" s="13">
        <f t="shared" si="14"/>
        <v>12</v>
      </c>
      <c r="U19" s="13">
        <f t="shared" si="15"/>
        <v>8</v>
      </c>
    </row>
    <row r="20" spans="1:21" ht="46.5" customHeight="1" thickBot="1" x14ac:dyDescent="0.25">
      <c r="A20" s="2">
        <v>43311</v>
      </c>
      <c r="B20" s="4" t="s">
        <v>48</v>
      </c>
      <c r="C20" s="4" t="s">
        <v>53</v>
      </c>
      <c r="D20" s="3">
        <v>0.88200000000000001</v>
      </c>
      <c r="E20" s="3" t="s">
        <v>2</v>
      </c>
      <c r="F20" s="3" t="s">
        <v>54</v>
      </c>
      <c r="G20" s="3" t="s">
        <v>4</v>
      </c>
      <c r="H20" s="8">
        <f t="shared" si="1"/>
        <v>2018</v>
      </c>
      <c r="I20" s="10" t="str">
        <f t="shared" si="2"/>
        <v>6</v>
      </c>
      <c r="J20" s="10" t="str">
        <f t="shared" si="3"/>
        <v>2</v>
      </c>
      <c r="K20" s="10" t="str">
        <f t="shared" si="4"/>
        <v>6</v>
      </c>
      <c r="L20" s="10" t="str">
        <f t="shared" si="5"/>
        <v>2</v>
      </c>
      <c r="M20" s="10">
        <f t="shared" si="0"/>
        <v>0</v>
      </c>
      <c r="N20" s="10">
        <f t="shared" si="6"/>
        <v>0</v>
      </c>
      <c r="O20" s="11">
        <f t="shared" si="7"/>
        <v>1</v>
      </c>
      <c r="P20" s="11">
        <f t="shared" si="8"/>
        <v>1</v>
      </c>
      <c r="Q20" s="11">
        <f t="shared" si="9"/>
        <v>0</v>
      </c>
      <c r="R20" s="12">
        <f t="shared" si="10"/>
        <v>2</v>
      </c>
      <c r="S20" s="12">
        <f t="shared" si="11"/>
        <v>0</v>
      </c>
      <c r="T20" s="13">
        <f t="shared" si="14"/>
        <v>12</v>
      </c>
      <c r="U20" s="13">
        <f t="shared" si="15"/>
        <v>4</v>
      </c>
    </row>
    <row r="21" spans="1:21" ht="46.5" customHeight="1" thickBot="1" x14ac:dyDescent="0.25">
      <c r="A21" s="2">
        <v>43324</v>
      </c>
      <c r="B21" s="4" t="s">
        <v>55</v>
      </c>
      <c r="C21" s="4" t="s">
        <v>56</v>
      </c>
      <c r="D21" s="3">
        <v>3.1080000000000001</v>
      </c>
      <c r="E21" s="3" t="s">
        <v>25</v>
      </c>
      <c r="F21" s="3" t="s">
        <v>57</v>
      </c>
      <c r="G21" s="3" t="s">
        <v>15</v>
      </c>
      <c r="H21" s="8">
        <f t="shared" si="1"/>
        <v>2018</v>
      </c>
      <c r="I21" s="10" t="str">
        <f t="shared" si="2"/>
        <v>2</v>
      </c>
      <c r="J21" s="10" t="str">
        <f t="shared" si="3"/>
        <v>6</v>
      </c>
      <c r="K21" s="10" t="str">
        <f t="shared" si="4"/>
        <v>5</v>
      </c>
      <c r="L21" s="10" t="str">
        <f t="shared" si="5"/>
        <v>7</v>
      </c>
      <c r="M21" s="10">
        <f t="shared" si="0"/>
        <v>0</v>
      </c>
      <c r="N21" s="10">
        <f t="shared" si="6"/>
        <v>0</v>
      </c>
      <c r="O21" s="11">
        <f t="shared" si="7"/>
        <v>-1</v>
      </c>
      <c r="P21" s="11">
        <f t="shared" si="8"/>
        <v>-1</v>
      </c>
      <c r="Q21" s="11">
        <f t="shared" si="9"/>
        <v>0</v>
      </c>
      <c r="R21" s="12">
        <f t="shared" si="10"/>
        <v>0</v>
      </c>
      <c r="S21" s="12">
        <f t="shared" si="11"/>
        <v>2</v>
      </c>
      <c r="T21" s="13">
        <f t="shared" si="14"/>
        <v>7</v>
      </c>
      <c r="U21" s="13">
        <f t="shared" si="15"/>
        <v>13</v>
      </c>
    </row>
    <row r="22" spans="1:21" ht="46.5" customHeight="1" thickBot="1" x14ac:dyDescent="0.25">
      <c r="A22" s="2">
        <v>43331</v>
      </c>
      <c r="B22" s="4" t="s">
        <v>59</v>
      </c>
      <c r="C22" s="4" t="s">
        <v>56</v>
      </c>
      <c r="D22" s="3">
        <v>3.1080000000000001</v>
      </c>
      <c r="E22" s="3" t="s">
        <v>25</v>
      </c>
      <c r="F22" s="3" t="s">
        <v>19</v>
      </c>
      <c r="G22" s="3" t="s">
        <v>15</v>
      </c>
      <c r="H22" s="8">
        <f t="shared" si="1"/>
        <v>2018</v>
      </c>
      <c r="I22" s="10" t="str">
        <f t="shared" si="2"/>
        <v>1</v>
      </c>
      <c r="J22" s="10" t="str">
        <f t="shared" si="3"/>
        <v>6</v>
      </c>
      <c r="K22" s="10" t="str">
        <f t="shared" si="4"/>
        <v>4</v>
      </c>
      <c r="L22" s="10" t="str">
        <f t="shared" si="5"/>
        <v>6</v>
      </c>
      <c r="M22" s="10">
        <f t="shared" si="0"/>
        <v>0</v>
      </c>
      <c r="N22" s="10">
        <f t="shared" si="6"/>
        <v>0</v>
      </c>
      <c r="O22" s="11">
        <f t="shared" si="7"/>
        <v>-1</v>
      </c>
      <c r="P22" s="11">
        <f t="shared" si="8"/>
        <v>-1</v>
      </c>
      <c r="Q22" s="11">
        <f t="shared" si="9"/>
        <v>0</v>
      </c>
      <c r="R22" s="12">
        <f t="shared" si="10"/>
        <v>0</v>
      </c>
      <c r="S22" s="12">
        <f t="shared" si="11"/>
        <v>2</v>
      </c>
      <c r="T22" s="13">
        <f t="shared" si="14"/>
        <v>5</v>
      </c>
      <c r="U22" s="13">
        <f t="shared" si="15"/>
        <v>12</v>
      </c>
    </row>
    <row r="23" spans="1:21" ht="46.5" customHeight="1" thickBot="1" x14ac:dyDescent="0.25">
      <c r="A23" s="2">
        <v>43331</v>
      </c>
      <c r="B23" s="4" t="s">
        <v>59</v>
      </c>
      <c r="C23" s="4" t="s">
        <v>60</v>
      </c>
      <c r="D23" s="3">
        <v>1.143</v>
      </c>
      <c r="E23" s="3" t="s">
        <v>2</v>
      </c>
      <c r="F23" s="3" t="s">
        <v>61</v>
      </c>
      <c r="G23" s="3" t="s">
        <v>4</v>
      </c>
      <c r="H23" s="8">
        <f t="shared" si="1"/>
        <v>2018</v>
      </c>
      <c r="I23" s="10" t="str">
        <f t="shared" si="2"/>
        <v>3</v>
      </c>
      <c r="J23" s="10" t="str">
        <f t="shared" si="3"/>
        <v>6</v>
      </c>
      <c r="K23" s="10" t="str">
        <f t="shared" si="4"/>
        <v>6</v>
      </c>
      <c r="L23" s="10" t="str">
        <f t="shared" si="5"/>
        <v>3</v>
      </c>
      <c r="M23" s="10" t="str">
        <f t="shared" si="0"/>
        <v>6</v>
      </c>
      <c r="N23" s="10" t="str">
        <f t="shared" si="6"/>
        <v>2</v>
      </c>
      <c r="O23" s="11">
        <f t="shared" si="7"/>
        <v>-1</v>
      </c>
      <c r="P23" s="11">
        <f t="shared" si="8"/>
        <v>1</v>
      </c>
      <c r="Q23" s="11">
        <f t="shared" si="9"/>
        <v>1</v>
      </c>
      <c r="R23" s="12">
        <f t="shared" si="10"/>
        <v>2</v>
      </c>
      <c r="S23" s="12">
        <f t="shared" si="11"/>
        <v>1</v>
      </c>
      <c r="T23" s="13">
        <f t="shared" si="14"/>
        <v>15</v>
      </c>
      <c r="U23" s="13">
        <f t="shared" si="15"/>
        <v>11</v>
      </c>
    </row>
    <row r="24" spans="1:21" ht="46.5" customHeight="1" thickBot="1" x14ac:dyDescent="0.25">
      <c r="A24" s="2">
        <v>43338</v>
      </c>
      <c r="B24" s="4" t="s">
        <v>62</v>
      </c>
      <c r="C24" s="4" t="s">
        <v>63</v>
      </c>
      <c r="D24" s="3">
        <v>3.5960000000000001</v>
      </c>
      <c r="E24" s="3" t="s">
        <v>6</v>
      </c>
      <c r="F24" s="3" t="s">
        <v>64</v>
      </c>
      <c r="G24" s="3" t="s">
        <v>15</v>
      </c>
      <c r="H24" s="8">
        <f t="shared" si="1"/>
        <v>2018</v>
      </c>
      <c r="I24" s="10" t="str">
        <f t="shared" si="2"/>
        <v>1</v>
      </c>
      <c r="J24" s="10" t="str">
        <f t="shared" si="3"/>
        <v>6</v>
      </c>
      <c r="K24" s="10" t="str">
        <f t="shared" si="4"/>
        <v>1</v>
      </c>
      <c r="L24" s="10" t="str">
        <f t="shared" si="5"/>
        <v>6</v>
      </c>
      <c r="M24" s="10">
        <f t="shared" si="0"/>
        <v>0</v>
      </c>
      <c r="N24" s="10">
        <f t="shared" si="6"/>
        <v>0</v>
      </c>
      <c r="O24" s="11">
        <f t="shared" si="7"/>
        <v>-1</v>
      </c>
      <c r="P24" s="11">
        <f t="shared" si="8"/>
        <v>-1</v>
      </c>
      <c r="Q24" s="11">
        <f t="shared" si="9"/>
        <v>0</v>
      </c>
      <c r="R24" s="12">
        <f t="shared" si="10"/>
        <v>0</v>
      </c>
      <c r="S24" s="12">
        <f t="shared" si="11"/>
        <v>2</v>
      </c>
      <c r="T24" s="13">
        <f t="shared" si="14"/>
        <v>2</v>
      </c>
      <c r="U24" s="13">
        <f t="shared" si="15"/>
        <v>12</v>
      </c>
    </row>
    <row r="25" spans="1:21" ht="46.5" customHeight="1" thickBot="1" x14ac:dyDescent="0.25">
      <c r="A25" s="2">
        <v>43338</v>
      </c>
      <c r="B25" s="4" t="s">
        <v>62</v>
      </c>
      <c r="C25" s="4" t="s">
        <v>65</v>
      </c>
      <c r="D25" s="3">
        <v>1</v>
      </c>
      <c r="E25" s="3" t="s">
        <v>9</v>
      </c>
      <c r="F25" s="3" t="s">
        <v>66</v>
      </c>
      <c r="G25" s="3" t="s">
        <v>4</v>
      </c>
      <c r="H25" s="8">
        <f t="shared" si="1"/>
        <v>2018</v>
      </c>
      <c r="I25" s="10" t="str">
        <f t="shared" si="2"/>
        <v>6</v>
      </c>
      <c r="J25" s="10" t="str">
        <f t="shared" si="3"/>
        <v>1</v>
      </c>
      <c r="K25" s="10" t="str">
        <f t="shared" si="4"/>
        <v>6</v>
      </c>
      <c r="L25" s="10" t="str">
        <f t="shared" si="5"/>
        <v>0</v>
      </c>
      <c r="M25" s="10">
        <f t="shared" si="0"/>
        <v>0</v>
      </c>
      <c r="N25" s="10">
        <f t="shared" si="6"/>
        <v>0</v>
      </c>
      <c r="O25" s="11">
        <f t="shared" si="7"/>
        <v>1</v>
      </c>
      <c r="P25" s="11">
        <f t="shared" si="8"/>
        <v>1</v>
      </c>
      <c r="Q25" s="11">
        <f t="shared" si="9"/>
        <v>0</v>
      </c>
      <c r="R25" s="12">
        <f t="shared" si="10"/>
        <v>2</v>
      </c>
      <c r="S25" s="12">
        <f t="shared" si="11"/>
        <v>0</v>
      </c>
      <c r="T25" s="13">
        <f t="shared" si="14"/>
        <v>12</v>
      </c>
      <c r="U25" s="13">
        <f t="shared" si="15"/>
        <v>1</v>
      </c>
    </row>
    <row r="26" spans="1:21" ht="46.5" customHeight="1" thickBot="1" x14ac:dyDescent="0.25">
      <c r="A26" s="2">
        <v>43365</v>
      </c>
      <c r="B26" s="4" t="s">
        <v>67</v>
      </c>
      <c r="C26" s="4" t="s">
        <v>68</v>
      </c>
      <c r="D26" s="3">
        <v>2.129</v>
      </c>
      <c r="E26" s="3" t="s">
        <v>25</v>
      </c>
      <c r="F26" s="3" t="s">
        <v>69</v>
      </c>
      <c r="G26" s="3" t="s">
        <v>15</v>
      </c>
      <c r="H26" s="8">
        <f t="shared" si="1"/>
        <v>2018</v>
      </c>
      <c r="I26" s="10" t="str">
        <f t="shared" si="2"/>
        <v>0</v>
      </c>
      <c r="J26" s="10" t="str">
        <f t="shared" si="3"/>
        <v>6</v>
      </c>
      <c r="K26" s="10" t="str">
        <f t="shared" si="4"/>
        <v>4</v>
      </c>
      <c r="L26" s="10" t="str">
        <f t="shared" si="5"/>
        <v>6</v>
      </c>
      <c r="M26" s="10">
        <f t="shared" si="0"/>
        <v>0</v>
      </c>
      <c r="N26" s="10">
        <f t="shared" si="6"/>
        <v>0</v>
      </c>
      <c r="O26" s="11">
        <f t="shared" si="7"/>
        <v>-1</v>
      </c>
      <c r="P26" s="11">
        <f t="shared" si="8"/>
        <v>-1</v>
      </c>
      <c r="Q26" s="11">
        <f t="shared" si="9"/>
        <v>0</v>
      </c>
      <c r="R26" s="12">
        <f t="shared" si="10"/>
        <v>0</v>
      </c>
      <c r="S26" s="12">
        <f t="shared" si="11"/>
        <v>2</v>
      </c>
      <c r="T26" s="13">
        <f t="shared" si="14"/>
        <v>4</v>
      </c>
      <c r="U26" s="13">
        <f t="shared" si="15"/>
        <v>12</v>
      </c>
    </row>
    <row r="27" spans="1:21" ht="46.5" customHeight="1" thickBot="1" x14ac:dyDescent="0.25">
      <c r="A27" s="2">
        <v>43401</v>
      </c>
      <c r="B27" s="4" t="s">
        <v>70</v>
      </c>
      <c r="C27" s="4" t="s">
        <v>71</v>
      </c>
      <c r="D27" s="3">
        <v>2.8690000000000002</v>
      </c>
      <c r="E27" s="3" t="s">
        <v>25</v>
      </c>
      <c r="F27" s="3" t="s">
        <v>72</v>
      </c>
      <c r="G27" s="3" t="s">
        <v>15</v>
      </c>
      <c r="H27" s="8">
        <f t="shared" si="1"/>
        <v>2018</v>
      </c>
      <c r="I27" s="10" t="str">
        <f t="shared" si="2"/>
        <v>4</v>
      </c>
      <c r="J27" s="10" t="str">
        <f t="shared" si="3"/>
        <v>6</v>
      </c>
      <c r="K27" s="10" t="str">
        <f t="shared" si="4"/>
        <v>4</v>
      </c>
      <c r="L27" s="10" t="str">
        <f t="shared" si="5"/>
        <v>6</v>
      </c>
      <c r="M27" s="10">
        <f t="shared" si="0"/>
        <v>0</v>
      </c>
      <c r="N27" s="10">
        <f t="shared" si="6"/>
        <v>0</v>
      </c>
      <c r="O27" s="11">
        <f t="shared" si="7"/>
        <v>-1</v>
      </c>
      <c r="P27" s="11">
        <f t="shared" si="8"/>
        <v>-1</v>
      </c>
      <c r="Q27" s="11">
        <f t="shared" si="9"/>
        <v>0</v>
      </c>
      <c r="R27" s="12">
        <f t="shared" si="10"/>
        <v>0</v>
      </c>
      <c r="S27" s="12">
        <f t="shared" si="11"/>
        <v>2</v>
      </c>
      <c r="T27" s="13">
        <f t="shared" si="14"/>
        <v>8</v>
      </c>
      <c r="U27" s="13">
        <f t="shared" si="15"/>
        <v>12</v>
      </c>
    </row>
    <row r="28" spans="1:21" ht="46.5" customHeight="1" thickBot="1" x14ac:dyDescent="0.25">
      <c r="A28" s="2">
        <v>43401</v>
      </c>
      <c r="B28" s="4" t="s">
        <v>70</v>
      </c>
      <c r="C28" s="4" t="s">
        <v>73</v>
      </c>
      <c r="D28" s="3">
        <v>2.887</v>
      </c>
      <c r="E28" s="3" t="s">
        <v>25</v>
      </c>
      <c r="F28" s="3" t="s">
        <v>74</v>
      </c>
      <c r="G28" s="3" t="s">
        <v>4</v>
      </c>
      <c r="H28" s="8">
        <f t="shared" si="1"/>
        <v>2018</v>
      </c>
      <c r="I28" s="10" t="str">
        <f t="shared" si="2"/>
        <v>7</v>
      </c>
      <c r="J28" s="10" t="str">
        <f t="shared" si="3"/>
        <v>5</v>
      </c>
      <c r="K28" s="10" t="str">
        <f t="shared" si="4"/>
        <v>6</v>
      </c>
      <c r="L28" s="10" t="str">
        <f t="shared" si="5"/>
        <v>3</v>
      </c>
      <c r="M28" s="10">
        <f t="shared" si="0"/>
        <v>0</v>
      </c>
      <c r="N28" s="10">
        <f t="shared" si="6"/>
        <v>0</v>
      </c>
      <c r="O28" s="11">
        <f t="shared" si="7"/>
        <v>1</v>
      </c>
      <c r="P28" s="11">
        <f t="shared" si="8"/>
        <v>1</v>
      </c>
      <c r="Q28" s="11">
        <f t="shared" si="9"/>
        <v>0</v>
      </c>
      <c r="R28" s="12">
        <f t="shared" si="10"/>
        <v>2</v>
      </c>
      <c r="S28" s="12">
        <f t="shared" si="11"/>
        <v>0</v>
      </c>
      <c r="T28" s="13">
        <f t="shared" si="14"/>
        <v>13</v>
      </c>
      <c r="U28" s="13">
        <f t="shared" si="15"/>
        <v>8</v>
      </c>
    </row>
    <row r="29" spans="1:21" ht="46.5" customHeight="1" thickBot="1" x14ac:dyDescent="0.25">
      <c r="A29" s="2">
        <v>43422</v>
      </c>
      <c r="B29" s="4" t="s">
        <v>75</v>
      </c>
      <c r="C29" s="4" t="s">
        <v>76</v>
      </c>
      <c r="D29" s="3">
        <v>4.7300000000000004</v>
      </c>
      <c r="E29" s="3" t="s">
        <v>77</v>
      </c>
      <c r="F29" s="3" t="s">
        <v>78</v>
      </c>
      <c r="G29" s="3" t="s">
        <v>15</v>
      </c>
      <c r="H29" s="8">
        <f t="shared" si="1"/>
        <v>2018</v>
      </c>
      <c r="I29" s="10" t="str">
        <f t="shared" si="2"/>
        <v>3</v>
      </c>
      <c r="J29" s="10" t="str">
        <f t="shared" si="3"/>
        <v>6</v>
      </c>
      <c r="K29" s="10" t="str">
        <f t="shared" si="4"/>
        <v>2</v>
      </c>
      <c r="L29" s="10" t="str">
        <f t="shared" si="5"/>
        <v>6</v>
      </c>
      <c r="M29" s="10">
        <f t="shared" si="0"/>
        <v>0</v>
      </c>
      <c r="N29" s="10">
        <f t="shared" si="6"/>
        <v>0</v>
      </c>
      <c r="O29" s="11">
        <f t="shared" si="7"/>
        <v>-1</v>
      </c>
      <c r="P29" s="11">
        <f t="shared" si="8"/>
        <v>-1</v>
      </c>
      <c r="Q29" s="11">
        <f t="shared" si="9"/>
        <v>0</v>
      </c>
      <c r="R29" s="12">
        <f t="shared" si="10"/>
        <v>0</v>
      </c>
      <c r="S29" s="12">
        <f t="shared" si="11"/>
        <v>2</v>
      </c>
      <c r="T29" s="13">
        <f t="shared" si="14"/>
        <v>5</v>
      </c>
      <c r="U29" s="13">
        <f t="shared" si="15"/>
        <v>12</v>
      </c>
    </row>
    <row r="30" spans="1:21" ht="46.5" customHeight="1" thickBot="1" x14ac:dyDescent="0.25">
      <c r="A30" s="2">
        <v>43422</v>
      </c>
      <c r="B30" s="4" t="s">
        <v>75</v>
      </c>
      <c r="C30" s="4" t="s">
        <v>79</v>
      </c>
      <c r="D30" s="3">
        <v>1.7949999999999999</v>
      </c>
      <c r="E30" s="3" t="s">
        <v>25</v>
      </c>
      <c r="F30" s="3" t="s">
        <v>80</v>
      </c>
      <c r="G30" s="3" t="s">
        <v>4</v>
      </c>
      <c r="H30" s="8">
        <f t="shared" si="1"/>
        <v>2018</v>
      </c>
      <c r="I30" s="10" t="str">
        <f t="shared" si="2"/>
        <v>6</v>
      </c>
      <c r="J30" s="10" t="str">
        <f t="shared" si="3"/>
        <v>4</v>
      </c>
      <c r="K30" s="10" t="str">
        <f t="shared" si="4"/>
        <v>6</v>
      </c>
      <c r="L30" s="10" t="str">
        <f t="shared" si="5"/>
        <v>1</v>
      </c>
      <c r="M30" s="10">
        <f t="shared" si="0"/>
        <v>0</v>
      </c>
      <c r="N30" s="10">
        <f t="shared" si="6"/>
        <v>0</v>
      </c>
      <c r="O30" s="11">
        <f t="shared" si="7"/>
        <v>1</v>
      </c>
      <c r="P30" s="11">
        <f t="shared" si="8"/>
        <v>1</v>
      </c>
      <c r="Q30" s="11">
        <f t="shared" si="9"/>
        <v>0</v>
      </c>
      <c r="R30" s="12">
        <f t="shared" si="10"/>
        <v>2</v>
      </c>
      <c r="S30" s="12">
        <f t="shared" si="11"/>
        <v>0</v>
      </c>
      <c r="T30" s="13">
        <f t="shared" si="14"/>
        <v>12</v>
      </c>
      <c r="U30" s="13">
        <f t="shared" si="15"/>
        <v>5</v>
      </c>
    </row>
    <row r="31" spans="1:21" ht="46.5" customHeight="1" thickBot="1" x14ac:dyDescent="0.25">
      <c r="A31" s="2">
        <v>43435</v>
      </c>
      <c r="B31" s="4" t="s">
        <v>81</v>
      </c>
      <c r="C31" s="4" t="s">
        <v>82</v>
      </c>
      <c r="D31" s="3">
        <v>1.728</v>
      </c>
      <c r="E31" s="3" t="s">
        <v>25</v>
      </c>
      <c r="F31" s="3" t="s">
        <v>83</v>
      </c>
      <c r="G31" s="3" t="s">
        <v>4</v>
      </c>
      <c r="H31" s="8">
        <f t="shared" si="1"/>
        <v>2018</v>
      </c>
      <c r="I31" s="10" t="str">
        <f t="shared" si="2"/>
        <v>4</v>
      </c>
      <c r="J31" s="10" t="str">
        <f t="shared" si="3"/>
        <v>6</v>
      </c>
      <c r="K31" s="10" t="str">
        <f t="shared" si="4"/>
        <v>6</v>
      </c>
      <c r="L31" s="10" t="str">
        <f t="shared" si="5"/>
        <v>4</v>
      </c>
      <c r="M31" s="10" t="str">
        <f t="shared" si="0"/>
        <v>6</v>
      </c>
      <c r="N31" s="10" t="str">
        <f t="shared" si="6"/>
        <v>0</v>
      </c>
      <c r="O31" s="11">
        <f t="shared" si="7"/>
        <v>-1</v>
      </c>
      <c r="P31" s="11">
        <f t="shared" si="8"/>
        <v>1</v>
      </c>
      <c r="Q31" s="11">
        <f t="shared" si="9"/>
        <v>1</v>
      </c>
      <c r="R31" s="12">
        <f t="shared" si="10"/>
        <v>2</v>
      </c>
      <c r="S31" s="12">
        <f t="shared" si="11"/>
        <v>1</v>
      </c>
      <c r="T31" s="13">
        <f t="shared" si="14"/>
        <v>16</v>
      </c>
      <c r="U31" s="13">
        <f t="shared" si="15"/>
        <v>10</v>
      </c>
    </row>
    <row r="32" spans="1:21" ht="46.5" customHeight="1" thickBot="1" x14ac:dyDescent="0.25">
      <c r="A32" s="2">
        <v>43435</v>
      </c>
      <c r="B32" s="4" t="s">
        <v>81</v>
      </c>
      <c r="C32" s="4" t="s">
        <v>84</v>
      </c>
      <c r="D32" s="3">
        <v>2.1150000000000002</v>
      </c>
      <c r="E32" s="3" t="s">
        <v>25</v>
      </c>
      <c r="F32" s="3" t="s">
        <v>85</v>
      </c>
      <c r="G32" s="3" t="s">
        <v>4</v>
      </c>
      <c r="H32" s="8">
        <f t="shared" si="1"/>
        <v>2018</v>
      </c>
      <c r="I32" s="10" t="str">
        <f t="shared" si="2"/>
        <v>6</v>
      </c>
      <c r="J32" s="10" t="str">
        <f t="shared" si="3"/>
        <v>4</v>
      </c>
      <c r="K32" s="10" t="str">
        <f t="shared" si="4"/>
        <v>6</v>
      </c>
      <c r="L32" s="10" t="str">
        <f t="shared" si="5"/>
        <v>0</v>
      </c>
      <c r="M32" s="10">
        <f t="shared" si="0"/>
        <v>0</v>
      </c>
      <c r="N32" s="10">
        <f t="shared" si="6"/>
        <v>0</v>
      </c>
      <c r="O32" s="11">
        <f t="shared" si="7"/>
        <v>1</v>
      </c>
      <c r="P32" s="11">
        <f t="shared" si="8"/>
        <v>1</v>
      </c>
      <c r="Q32" s="11">
        <f t="shared" si="9"/>
        <v>0</v>
      </c>
      <c r="R32" s="12">
        <f t="shared" si="10"/>
        <v>2</v>
      </c>
      <c r="S32" s="12">
        <f t="shared" si="11"/>
        <v>0</v>
      </c>
      <c r="T32" s="13">
        <f t="shared" si="14"/>
        <v>12</v>
      </c>
      <c r="U32" s="13">
        <f t="shared" si="15"/>
        <v>4</v>
      </c>
    </row>
    <row r="33" spans="1:21" ht="46.5" customHeight="1" thickBot="1" x14ac:dyDescent="0.25">
      <c r="A33" s="2">
        <v>43604</v>
      </c>
      <c r="B33" s="3" t="s">
        <v>0</v>
      </c>
      <c r="C33" s="4" t="s">
        <v>86</v>
      </c>
      <c r="D33" s="3">
        <v>4.33</v>
      </c>
      <c r="E33" s="3" t="s">
        <v>77</v>
      </c>
      <c r="F33" s="3" t="s">
        <v>57</v>
      </c>
      <c r="G33" s="3" t="s">
        <v>15</v>
      </c>
      <c r="H33" s="8">
        <f t="shared" si="1"/>
        <v>2019</v>
      </c>
      <c r="I33" s="10" t="str">
        <f t="shared" si="2"/>
        <v>2</v>
      </c>
      <c r="J33" s="10" t="str">
        <f t="shared" si="3"/>
        <v>6</v>
      </c>
      <c r="K33" s="10" t="str">
        <f t="shared" si="4"/>
        <v>5</v>
      </c>
      <c r="L33" s="10" t="str">
        <f t="shared" si="5"/>
        <v>7</v>
      </c>
      <c r="M33" s="10">
        <f t="shared" si="0"/>
        <v>0</v>
      </c>
      <c r="N33" s="10">
        <f t="shared" si="6"/>
        <v>0</v>
      </c>
      <c r="O33" s="11">
        <f t="shared" si="7"/>
        <v>-1</v>
      </c>
      <c r="P33" s="11">
        <f t="shared" si="8"/>
        <v>-1</v>
      </c>
      <c r="Q33" s="11">
        <f t="shared" si="9"/>
        <v>0</v>
      </c>
      <c r="R33" s="12">
        <f t="shared" si="10"/>
        <v>0</v>
      </c>
      <c r="S33" s="12">
        <f t="shared" si="11"/>
        <v>2</v>
      </c>
      <c r="T33" s="13">
        <f t="shared" si="14"/>
        <v>7</v>
      </c>
      <c r="U33" s="13">
        <f t="shared" si="15"/>
        <v>13</v>
      </c>
    </row>
    <row r="34" spans="1:21" ht="46.5" customHeight="1" thickBot="1" x14ac:dyDescent="0.25">
      <c r="A34" s="2">
        <v>43477</v>
      </c>
      <c r="B34" s="4" t="s">
        <v>87</v>
      </c>
      <c r="C34" s="4" t="s">
        <v>88</v>
      </c>
      <c r="D34" s="3">
        <v>4.343</v>
      </c>
      <c r="E34" s="3" t="s">
        <v>77</v>
      </c>
      <c r="F34" s="3" t="s">
        <v>89</v>
      </c>
      <c r="G34" s="3" t="s">
        <v>15</v>
      </c>
      <c r="H34" s="8">
        <f t="shared" si="1"/>
        <v>2019</v>
      </c>
      <c r="I34" s="10" t="str">
        <f t="shared" si="2"/>
        <v>3</v>
      </c>
      <c r="J34" s="10" t="str">
        <f t="shared" si="3"/>
        <v>6</v>
      </c>
      <c r="K34" s="10" t="str">
        <f t="shared" si="4"/>
        <v>0</v>
      </c>
      <c r="L34" s="10" t="str">
        <f t="shared" si="5"/>
        <v>6</v>
      </c>
      <c r="M34" s="10">
        <f t="shared" ref="M34:M96" si="16">IF(MID($F34,9,1)="",0,(MID($F34,9,1)))</f>
        <v>0</v>
      </c>
      <c r="N34" s="10">
        <f t="shared" si="6"/>
        <v>0</v>
      </c>
      <c r="O34" s="11">
        <f t="shared" si="7"/>
        <v>-1</v>
      </c>
      <c r="P34" s="11">
        <f t="shared" si="8"/>
        <v>-1</v>
      </c>
      <c r="Q34" s="11">
        <f t="shared" si="9"/>
        <v>0</v>
      </c>
      <c r="R34" s="12">
        <f t="shared" si="10"/>
        <v>0</v>
      </c>
      <c r="S34" s="12">
        <f t="shared" si="11"/>
        <v>2</v>
      </c>
      <c r="T34" s="13">
        <f t="shared" si="14"/>
        <v>3</v>
      </c>
      <c r="U34" s="13">
        <f t="shared" si="15"/>
        <v>12</v>
      </c>
    </row>
    <row r="35" spans="1:21" ht="46.5" customHeight="1" thickBot="1" x14ac:dyDescent="0.25">
      <c r="A35" s="2">
        <v>43477</v>
      </c>
      <c r="B35" s="4" t="s">
        <v>87</v>
      </c>
      <c r="C35" s="4" t="s">
        <v>90</v>
      </c>
      <c r="D35" s="3">
        <v>2.2330000000000001</v>
      </c>
      <c r="E35" s="3" t="s">
        <v>25</v>
      </c>
      <c r="F35" s="3" t="s">
        <v>91</v>
      </c>
      <c r="G35" s="3" t="s">
        <v>4</v>
      </c>
      <c r="H35" s="8">
        <f t="shared" si="1"/>
        <v>2019</v>
      </c>
      <c r="I35" s="10" t="str">
        <f t="shared" si="2"/>
        <v>6</v>
      </c>
      <c r="J35" s="10" t="str">
        <f t="shared" si="3"/>
        <v>4</v>
      </c>
      <c r="K35" s="10" t="str">
        <f t="shared" si="4"/>
        <v>7</v>
      </c>
      <c r="L35" s="10" t="str">
        <f t="shared" si="5"/>
        <v>6</v>
      </c>
      <c r="M35" s="10">
        <f t="shared" si="16"/>
        <v>0</v>
      </c>
      <c r="N35" s="10">
        <f t="shared" si="6"/>
        <v>0</v>
      </c>
      <c r="O35" s="11">
        <f t="shared" si="7"/>
        <v>1</v>
      </c>
      <c r="P35" s="11">
        <f t="shared" si="8"/>
        <v>1</v>
      </c>
      <c r="Q35" s="11">
        <f t="shared" si="9"/>
        <v>0</v>
      </c>
      <c r="R35" s="12">
        <f t="shared" si="10"/>
        <v>2</v>
      </c>
      <c r="S35" s="12">
        <f t="shared" si="11"/>
        <v>0</v>
      </c>
      <c r="T35" s="13">
        <f t="shared" si="14"/>
        <v>13</v>
      </c>
      <c r="U35" s="13">
        <f t="shared" si="15"/>
        <v>10</v>
      </c>
    </row>
    <row r="36" spans="1:21" ht="46.5" customHeight="1" thickBot="1" x14ac:dyDescent="0.25">
      <c r="A36" s="2">
        <v>43499</v>
      </c>
      <c r="B36" s="4" t="s">
        <v>92</v>
      </c>
      <c r="C36" s="4" t="s">
        <v>93</v>
      </c>
      <c r="D36" s="3">
        <v>4.4690000000000003</v>
      </c>
      <c r="E36" s="3" t="s">
        <v>77</v>
      </c>
      <c r="F36" s="3" t="s">
        <v>94</v>
      </c>
      <c r="G36" s="3" t="s">
        <v>15</v>
      </c>
      <c r="H36" s="8">
        <f t="shared" si="1"/>
        <v>2019</v>
      </c>
      <c r="I36" s="10" t="str">
        <f t="shared" si="2"/>
        <v>1</v>
      </c>
      <c r="J36" s="10" t="str">
        <f t="shared" si="3"/>
        <v>6</v>
      </c>
      <c r="K36" s="10" t="str">
        <f t="shared" si="4"/>
        <v>2</v>
      </c>
      <c r="L36" s="10" t="str">
        <f t="shared" si="5"/>
        <v>6</v>
      </c>
      <c r="M36" s="10">
        <f t="shared" si="16"/>
        <v>0</v>
      </c>
      <c r="N36" s="10">
        <f t="shared" si="6"/>
        <v>0</v>
      </c>
      <c r="O36" s="11">
        <f t="shared" si="7"/>
        <v>-1</v>
      </c>
      <c r="P36" s="11">
        <f t="shared" si="8"/>
        <v>-1</v>
      </c>
      <c r="Q36" s="11">
        <f t="shared" si="9"/>
        <v>0</v>
      </c>
      <c r="R36" s="12">
        <f t="shared" si="10"/>
        <v>0</v>
      </c>
      <c r="S36" s="12">
        <f t="shared" si="11"/>
        <v>2</v>
      </c>
      <c r="T36" s="13">
        <f t="shared" si="14"/>
        <v>3</v>
      </c>
      <c r="U36" s="13">
        <f t="shared" si="15"/>
        <v>12</v>
      </c>
    </row>
    <row r="37" spans="1:21" ht="46.5" customHeight="1" thickBot="1" x14ac:dyDescent="0.25">
      <c r="A37" s="2">
        <v>43513</v>
      </c>
      <c r="B37" s="4" t="s">
        <v>95</v>
      </c>
      <c r="C37" s="4" t="s">
        <v>96</v>
      </c>
      <c r="D37" s="3">
        <v>2.613</v>
      </c>
      <c r="E37" s="3" t="s">
        <v>25</v>
      </c>
      <c r="F37" s="3" t="s">
        <v>97</v>
      </c>
      <c r="G37" s="3" t="s">
        <v>15</v>
      </c>
      <c r="H37" s="8">
        <f t="shared" si="1"/>
        <v>2019</v>
      </c>
      <c r="I37" s="10" t="str">
        <f t="shared" si="2"/>
        <v>4</v>
      </c>
      <c r="J37" s="10" t="str">
        <f t="shared" si="3"/>
        <v>6</v>
      </c>
      <c r="K37" s="10" t="str">
        <f t="shared" si="4"/>
        <v>5</v>
      </c>
      <c r="L37" s="10" t="str">
        <f t="shared" si="5"/>
        <v>7</v>
      </c>
      <c r="M37" s="10">
        <f t="shared" si="16"/>
        <v>0</v>
      </c>
      <c r="N37" s="10">
        <f t="shared" si="6"/>
        <v>0</v>
      </c>
      <c r="O37" s="11">
        <f t="shared" si="7"/>
        <v>-1</v>
      </c>
      <c r="P37" s="11">
        <f t="shared" si="8"/>
        <v>-1</v>
      </c>
      <c r="Q37" s="11">
        <f t="shared" si="9"/>
        <v>0</v>
      </c>
      <c r="R37" s="12">
        <f t="shared" si="10"/>
        <v>0</v>
      </c>
      <c r="S37" s="12">
        <f t="shared" si="11"/>
        <v>2</v>
      </c>
      <c r="T37" s="13">
        <f t="shared" si="14"/>
        <v>9</v>
      </c>
      <c r="U37" s="13">
        <f t="shared" si="15"/>
        <v>13</v>
      </c>
    </row>
    <row r="38" spans="1:21" ht="46.5" customHeight="1" thickBot="1" x14ac:dyDescent="0.25">
      <c r="A38" s="2">
        <v>43513</v>
      </c>
      <c r="B38" s="4" t="s">
        <v>95</v>
      </c>
      <c r="C38" s="4" t="s">
        <v>98</v>
      </c>
      <c r="D38" s="3">
        <v>3.0819999999999999</v>
      </c>
      <c r="E38" s="3" t="s">
        <v>6</v>
      </c>
      <c r="F38" s="3" t="s">
        <v>10</v>
      </c>
      <c r="G38" s="3" t="s">
        <v>4</v>
      </c>
      <c r="H38" s="8">
        <f t="shared" si="1"/>
        <v>2019</v>
      </c>
      <c r="I38" s="10" t="str">
        <f t="shared" si="2"/>
        <v>6</v>
      </c>
      <c r="J38" s="10" t="str">
        <f t="shared" si="3"/>
        <v>2</v>
      </c>
      <c r="K38" s="10" t="str">
        <f t="shared" si="4"/>
        <v>6</v>
      </c>
      <c r="L38" s="10" t="str">
        <f t="shared" si="5"/>
        <v>4</v>
      </c>
      <c r="M38" s="10">
        <f t="shared" si="16"/>
        <v>0</v>
      </c>
      <c r="N38" s="10">
        <f t="shared" si="6"/>
        <v>0</v>
      </c>
      <c r="O38" s="11">
        <f t="shared" si="7"/>
        <v>1</v>
      </c>
      <c r="P38" s="11">
        <f t="shared" si="8"/>
        <v>1</v>
      </c>
      <c r="Q38" s="11">
        <f t="shared" si="9"/>
        <v>0</v>
      </c>
      <c r="R38" s="12">
        <f t="shared" si="10"/>
        <v>2</v>
      </c>
      <c r="S38" s="12">
        <f t="shared" si="11"/>
        <v>0</v>
      </c>
      <c r="T38" s="13">
        <f t="shared" si="14"/>
        <v>12</v>
      </c>
      <c r="U38" s="13">
        <f t="shared" si="15"/>
        <v>6</v>
      </c>
    </row>
    <row r="39" spans="1:21" ht="46.5" customHeight="1" thickBot="1" x14ac:dyDescent="0.25">
      <c r="A39" s="2">
        <v>43513</v>
      </c>
      <c r="B39" s="4" t="s">
        <v>95</v>
      </c>
      <c r="C39" s="4" t="s">
        <v>99</v>
      </c>
      <c r="D39" s="3">
        <v>1.609</v>
      </c>
      <c r="E39" s="3" t="s">
        <v>25</v>
      </c>
      <c r="F39" s="3" t="s">
        <v>100</v>
      </c>
      <c r="G39" s="3" t="s">
        <v>58</v>
      </c>
      <c r="H39" s="8">
        <f t="shared" si="1"/>
        <v>2019</v>
      </c>
      <c r="I39" s="10" t="str">
        <f t="shared" si="2"/>
        <v>6</v>
      </c>
      <c r="J39" s="10" t="str">
        <f t="shared" si="3"/>
        <v>2</v>
      </c>
      <c r="K39" s="10" t="str">
        <f t="shared" si="4"/>
        <v>1</v>
      </c>
      <c r="L39" s="10" t="str">
        <f t="shared" si="5"/>
        <v>1</v>
      </c>
      <c r="M39" s="10">
        <f t="shared" si="16"/>
        <v>0</v>
      </c>
      <c r="N39" s="10">
        <f t="shared" si="6"/>
        <v>0</v>
      </c>
      <c r="O39" s="11">
        <f t="shared" si="7"/>
        <v>1</v>
      </c>
      <c r="P39" s="11">
        <f t="shared" si="8"/>
        <v>-1</v>
      </c>
      <c r="Q39" s="11">
        <f t="shared" si="9"/>
        <v>0</v>
      </c>
      <c r="R39" s="12">
        <f t="shared" si="10"/>
        <v>1</v>
      </c>
      <c r="S39" s="12">
        <f t="shared" si="11"/>
        <v>1</v>
      </c>
      <c r="T39" s="13">
        <f t="shared" si="14"/>
        <v>7</v>
      </c>
      <c r="U39" s="13">
        <f t="shared" si="15"/>
        <v>3</v>
      </c>
    </row>
    <row r="40" spans="1:21" ht="46.5" customHeight="1" thickBot="1" x14ac:dyDescent="0.25">
      <c r="A40" s="2">
        <v>43513</v>
      </c>
      <c r="B40" s="4" t="s">
        <v>95</v>
      </c>
      <c r="C40" s="4" t="s">
        <v>101</v>
      </c>
      <c r="D40" s="3">
        <v>1.825</v>
      </c>
      <c r="E40" s="3" t="s">
        <v>25</v>
      </c>
      <c r="F40" s="3" t="s">
        <v>102</v>
      </c>
      <c r="G40" s="3" t="s">
        <v>4</v>
      </c>
      <c r="H40" s="8">
        <f t="shared" si="1"/>
        <v>2019</v>
      </c>
      <c r="I40" s="10" t="str">
        <f t="shared" si="2"/>
        <v>6</v>
      </c>
      <c r="J40" s="10" t="str">
        <f t="shared" si="3"/>
        <v>1</v>
      </c>
      <c r="K40" s="10" t="str">
        <f t="shared" si="4"/>
        <v>6</v>
      </c>
      <c r="L40" s="10" t="str">
        <f t="shared" si="5"/>
        <v>1</v>
      </c>
      <c r="M40" s="10">
        <f t="shared" si="16"/>
        <v>0</v>
      </c>
      <c r="N40" s="10">
        <f t="shared" si="6"/>
        <v>0</v>
      </c>
      <c r="O40" s="11">
        <f t="shared" si="7"/>
        <v>1</v>
      </c>
      <c r="P40" s="11">
        <f t="shared" si="8"/>
        <v>1</v>
      </c>
      <c r="Q40" s="11">
        <f t="shared" si="9"/>
        <v>0</v>
      </c>
      <c r="R40" s="12">
        <f t="shared" si="10"/>
        <v>2</v>
      </c>
      <c r="S40" s="12">
        <f t="shared" si="11"/>
        <v>0</v>
      </c>
      <c r="T40" s="13">
        <f t="shared" si="14"/>
        <v>12</v>
      </c>
      <c r="U40" s="13">
        <f t="shared" si="15"/>
        <v>2</v>
      </c>
    </row>
    <row r="41" spans="1:21" ht="46.5" customHeight="1" thickBot="1" x14ac:dyDescent="0.25">
      <c r="A41" s="2">
        <v>43555</v>
      </c>
      <c r="B41" s="4" t="s">
        <v>103</v>
      </c>
      <c r="C41" s="4" t="s">
        <v>104</v>
      </c>
      <c r="D41" s="3">
        <v>2.4820000000000002</v>
      </c>
      <c r="E41" s="3" t="s">
        <v>25</v>
      </c>
      <c r="F41" s="3" t="s">
        <v>105</v>
      </c>
      <c r="G41" s="3" t="s">
        <v>4</v>
      </c>
      <c r="H41" s="8">
        <f t="shared" si="1"/>
        <v>2019</v>
      </c>
      <c r="I41" s="10" t="str">
        <f t="shared" si="2"/>
        <v>7</v>
      </c>
      <c r="J41" s="10" t="str">
        <f t="shared" si="3"/>
        <v>6</v>
      </c>
      <c r="K41" s="10" t="str">
        <f t="shared" si="4"/>
        <v>7</v>
      </c>
      <c r="L41" s="10" t="str">
        <f t="shared" si="5"/>
        <v>6</v>
      </c>
      <c r="M41" s="10">
        <f t="shared" si="16"/>
        <v>0</v>
      </c>
      <c r="N41" s="10">
        <f t="shared" si="6"/>
        <v>0</v>
      </c>
      <c r="O41" s="11">
        <f t="shared" si="7"/>
        <v>1</v>
      </c>
      <c r="P41" s="11">
        <f t="shared" si="8"/>
        <v>1</v>
      </c>
      <c r="Q41" s="11">
        <f t="shared" si="9"/>
        <v>0</v>
      </c>
      <c r="R41" s="12">
        <f t="shared" si="10"/>
        <v>2</v>
      </c>
      <c r="S41" s="12">
        <f t="shared" si="11"/>
        <v>0</v>
      </c>
      <c r="T41" s="13">
        <f t="shared" si="14"/>
        <v>14</v>
      </c>
      <c r="U41" s="13">
        <f t="shared" si="15"/>
        <v>12</v>
      </c>
    </row>
    <row r="42" spans="1:21" ht="46.5" customHeight="1" thickBot="1" x14ac:dyDescent="0.25">
      <c r="A42" s="2">
        <v>43555</v>
      </c>
      <c r="B42" s="4" t="s">
        <v>103</v>
      </c>
      <c r="C42" s="4" t="s">
        <v>106</v>
      </c>
      <c r="D42" s="3">
        <v>2.5880000000000001</v>
      </c>
      <c r="E42" s="3" t="s">
        <v>25</v>
      </c>
      <c r="F42" s="3" t="s">
        <v>107</v>
      </c>
      <c r="G42" s="3" t="s">
        <v>4</v>
      </c>
      <c r="H42" s="8">
        <f t="shared" si="1"/>
        <v>2019</v>
      </c>
      <c r="I42" s="10" t="str">
        <f t="shared" si="2"/>
        <v>6</v>
      </c>
      <c r="J42" s="10" t="str">
        <f t="shared" si="3"/>
        <v>2</v>
      </c>
      <c r="K42" s="10" t="str">
        <f t="shared" si="4"/>
        <v>6</v>
      </c>
      <c r="L42" s="10" t="str">
        <f t="shared" si="5"/>
        <v>1</v>
      </c>
      <c r="M42" s="10">
        <f t="shared" si="16"/>
        <v>0</v>
      </c>
      <c r="N42" s="10">
        <f t="shared" si="6"/>
        <v>0</v>
      </c>
      <c r="O42" s="11">
        <f t="shared" si="7"/>
        <v>1</v>
      </c>
      <c r="P42" s="11">
        <f t="shared" si="8"/>
        <v>1</v>
      </c>
      <c r="Q42" s="11">
        <f t="shared" si="9"/>
        <v>0</v>
      </c>
      <c r="R42" s="12">
        <f t="shared" si="10"/>
        <v>2</v>
      </c>
      <c r="S42" s="12">
        <f t="shared" si="11"/>
        <v>0</v>
      </c>
      <c r="T42" s="13">
        <f t="shared" si="14"/>
        <v>12</v>
      </c>
      <c r="U42" s="13">
        <f t="shared" si="15"/>
        <v>3</v>
      </c>
    </row>
    <row r="43" spans="1:21" ht="46.5" customHeight="1" thickBot="1" x14ac:dyDescent="0.25">
      <c r="A43" s="2">
        <v>43555</v>
      </c>
      <c r="B43" s="4" t="s">
        <v>103</v>
      </c>
      <c r="C43" s="4" t="s">
        <v>108</v>
      </c>
      <c r="D43" s="3">
        <v>0.72799999999999998</v>
      </c>
      <c r="E43" s="3" t="s">
        <v>2</v>
      </c>
      <c r="F43" s="3" t="s">
        <v>47</v>
      </c>
      <c r="G43" s="3" t="s">
        <v>4</v>
      </c>
      <c r="H43" s="8">
        <f t="shared" si="1"/>
        <v>2019</v>
      </c>
      <c r="I43" s="10" t="str">
        <f t="shared" si="2"/>
        <v>6</v>
      </c>
      <c r="J43" s="10" t="str">
        <f t="shared" si="3"/>
        <v>1</v>
      </c>
      <c r="K43" s="10" t="str">
        <f t="shared" si="4"/>
        <v>6</v>
      </c>
      <c r="L43" s="10" t="str">
        <f t="shared" si="5"/>
        <v>2</v>
      </c>
      <c r="M43" s="10">
        <f t="shared" si="16"/>
        <v>0</v>
      </c>
      <c r="N43" s="10">
        <f t="shared" si="6"/>
        <v>0</v>
      </c>
      <c r="O43" s="11">
        <f t="shared" si="7"/>
        <v>1</v>
      </c>
      <c r="P43" s="11">
        <f t="shared" si="8"/>
        <v>1</v>
      </c>
      <c r="Q43" s="11">
        <f t="shared" si="9"/>
        <v>0</v>
      </c>
      <c r="R43" s="12">
        <f t="shared" si="10"/>
        <v>2</v>
      </c>
      <c r="S43" s="12">
        <f t="shared" si="11"/>
        <v>0</v>
      </c>
      <c r="T43" s="13">
        <f t="shared" si="14"/>
        <v>12</v>
      </c>
      <c r="U43" s="13">
        <f t="shared" si="15"/>
        <v>3</v>
      </c>
    </row>
    <row r="44" spans="1:21" ht="46.5" customHeight="1" thickBot="1" x14ac:dyDescent="0.25">
      <c r="A44" s="2">
        <v>43646</v>
      </c>
      <c r="B44" s="4" t="s">
        <v>109</v>
      </c>
      <c r="C44" s="4" t="s">
        <v>5</v>
      </c>
      <c r="D44" s="3">
        <v>3.2080000000000002</v>
      </c>
      <c r="E44" s="3" t="s">
        <v>6</v>
      </c>
      <c r="F44" s="3" t="s">
        <v>110</v>
      </c>
      <c r="G44" s="3" t="s">
        <v>4</v>
      </c>
      <c r="H44" s="8">
        <f t="shared" si="1"/>
        <v>2019</v>
      </c>
      <c r="I44" s="10" t="str">
        <f t="shared" si="2"/>
        <v>6</v>
      </c>
      <c r="J44" s="10" t="str">
        <f t="shared" si="3"/>
        <v>7</v>
      </c>
      <c r="K44" s="10" t="str">
        <f t="shared" si="4"/>
        <v>6</v>
      </c>
      <c r="L44" s="10" t="str">
        <f t="shared" si="5"/>
        <v>4</v>
      </c>
      <c r="M44" s="10" t="str">
        <f t="shared" si="16"/>
        <v>6</v>
      </c>
      <c r="N44" s="10" t="str">
        <f t="shared" si="6"/>
        <v>0</v>
      </c>
      <c r="O44" s="11">
        <f t="shared" si="7"/>
        <v>-1</v>
      </c>
      <c r="P44" s="11">
        <f t="shared" si="8"/>
        <v>1</v>
      </c>
      <c r="Q44" s="11">
        <f t="shared" si="9"/>
        <v>1</v>
      </c>
      <c r="R44" s="12">
        <f t="shared" si="10"/>
        <v>2</v>
      </c>
      <c r="S44" s="12">
        <f t="shared" si="11"/>
        <v>1</v>
      </c>
      <c r="T44" s="13">
        <f t="shared" si="14"/>
        <v>18</v>
      </c>
      <c r="U44" s="13">
        <f t="shared" si="15"/>
        <v>11</v>
      </c>
    </row>
    <row r="45" spans="1:21" ht="46.5" customHeight="1" thickBot="1" x14ac:dyDescent="0.25">
      <c r="A45" s="2">
        <v>43646</v>
      </c>
      <c r="B45" s="4" t="s">
        <v>109</v>
      </c>
      <c r="C45" s="4" t="s">
        <v>111</v>
      </c>
      <c r="D45" s="3">
        <v>3.1619999999999999</v>
      </c>
      <c r="E45" s="3" t="s">
        <v>6</v>
      </c>
      <c r="F45" s="3" t="s">
        <v>42</v>
      </c>
      <c r="G45" s="3" t="s">
        <v>4</v>
      </c>
      <c r="H45" s="8">
        <f t="shared" si="1"/>
        <v>2019</v>
      </c>
      <c r="I45" s="10" t="str">
        <f t="shared" si="2"/>
        <v>6</v>
      </c>
      <c r="J45" s="10" t="str">
        <f t="shared" si="3"/>
        <v>4</v>
      </c>
      <c r="K45" s="10" t="str">
        <f t="shared" si="4"/>
        <v>6</v>
      </c>
      <c r="L45" s="10" t="str">
        <f t="shared" si="5"/>
        <v>3</v>
      </c>
      <c r="M45" s="10">
        <f t="shared" si="16"/>
        <v>0</v>
      </c>
      <c r="N45" s="10">
        <f t="shared" si="6"/>
        <v>0</v>
      </c>
      <c r="O45" s="11">
        <f t="shared" si="7"/>
        <v>1</v>
      </c>
      <c r="P45" s="11">
        <f t="shared" si="8"/>
        <v>1</v>
      </c>
      <c r="Q45" s="11">
        <f t="shared" si="9"/>
        <v>0</v>
      </c>
      <c r="R45" s="12">
        <f t="shared" si="10"/>
        <v>2</v>
      </c>
      <c r="S45" s="12">
        <f t="shared" si="11"/>
        <v>0</v>
      </c>
      <c r="T45" s="13">
        <f t="shared" si="14"/>
        <v>12</v>
      </c>
      <c r="U45" s="13">
        <f t="shared" si="15"/>
        <v>7</v>
      </c>
    </row>
    <row r="46" spans="1:21" ht="46.5" customHeight="1" thickBot="1" x14ac:dyDescent="0.25">
      <c r="A46" s="2">
        <v>43646</v>
      </c>
      <c r="B46" s="4" t="s">
        <v>109</v>
      </c>
      <c r="C46" s="4" t="s">
        <v>112</v>
      </c>
      <c r="D46" s="3">
        <v>1.577</v>
      </c>
      <c r="E46" s="3" t="s">
        <v>2</v>
      </c>
      <c r="F46" s="3" t="s">
        <v>113</v>
      </c>
      <c r="G46" s="3" t="s">
        <v>4</v>
      </c>
      <c r="H46" s="8">
        <f t="shared" si="1"/>
        <v>2019</v>
      </c>
      <c r="I46" s="10" t="str">
        <f t="shared" si="2"/>
        <v>6</v>
      </c>
      <c r="J46" s="10" t="str">
        <f t="shared" si="3"/>
        <v>3</v>
      </c>
      <c r="K46" s="10" t="str">
        <f t="shared" si="4"/>
        <v>0</v>
      </c>
      <c r="L46" s="10" t="str">
        <f t="shared" si="5"/>
        <v>6</v>
      </c>
      <c r="M46" s="10" t="str">
        <f t="shared" si="16"/>
        <v>7</v>
      </c>
      <c r="N46" s="10" t="str">
        <f t="shared" si="6"/>
        <v>5</v>
      </c>
      <c r="O46" s="11">
        <f t="shared" si="7"/>
        <v>1</v>
      </c>
      <c r="P46" s="11">
        <f t="shared" si="8"/>
        <v>-1</v>
      </c>
      <c r="Q46" s="11">
        <f t="shared" si="9"/>
        <v>1</v>
      </c>
      <c r="R46" s="12">
        <f t="shared" si="10"/>
        <v>2</v>
      </c>
      <c r="S46" s="12">
        <f t="shared" si="11"/>
        <v>1</v>
      </c>
      <c r="T46" s="13">
        <f t="shared" si="14"/>
        <v>13</v>
      </c>
      <c r="U46" s="13">
        <f t="shared" si="15"/>
        <v>14</v>
      </c>
    </row>
    <row r="47" spans="1:21" ht="46.5" customHeight="1" thickBot="1" x14ac:dyDescent="0.25">
      <c r="A47" s="2">
        <v>43646</v>
      </c>
      <c r="B47" s="4" t="s">
        <v>109</v>
      </c>
      <c r="C47" s="4" t="s">
        <v>114</v>
      </c>
      <c r="D47" s="3">
        <v>1.2769999999999999</v>
      </c>
      <c r="E47" s="3" t="s">
        <v>2</v>
      </c>
      <c r="F47" s="3" t="s">
        <v>3</v>
      </c>
      <c r="G47" s="3" t="s">
        <v>4</v>
      </c>
      <c r="H47" s="8">
        <f t="shared" si="1"/>
        <v>2019</v>
      </c>
      <c r="I47" s="10" t="str">
        <f t="shared" si="2"/>
        <v>6</v>
      </c>
      <c r="J47" s="10" t="str">
        <f t="shared" si="3"/>
        <v>2</v>
      </c>
      <c r="K47" s="10" t="str">
        <f t="shared" si="4"/>
        <v>6</v>
      </c>
      <c r="L47" s="10" t="str">
        <f t="shared" si="5"/>
        <v>3</v>
      </c>
      <c r="M47" s="10">
        <f t="shared" si="16"/>
        <v>0</v>
      </c>
      <c r="N47" s="10">
        <f t="shared" si="6"/>
        <v>0</v>
      </c>
      <c r="O47" s="11">
        <f t="shared" si="7"/>
        <v>1</v>
      </c>
      <c r="P47" s="11">
        <f t="shared" si="8"/>
        <v>1</v>
      </c>
      <c r="Q47" s="11">
        <f t="shared" si="9"/>
        <v>0</v>
      </c>
      <c r="R47" s="12">
        <f t="shared" si="10"/>
        <v>2</v>
      </c>
      <c r="S47" s="12">
        <f t="shared" si="11"/>
        <v>0</v>
      </c>
      <c r="T47" s="13">
        <f t="shared" si="14"/>
        <v>12</v>
      </c>
      <c r="U47" s="13">
        <f t="shared" si="15"/>
        <v>5</v>
      </c>
    </row>
    <row r="48" spans="1:21" ht="46.5" customHeight="1" thickBot="1" x14ac:dyDescent="0.25">
      <c r="A48" s="2">
        <v>43653</v>
      </c>
      <c r="B48" s="4" t="s">
        <v>115</v>
      </c>
      <c r="C48" s="4" t="s">
        <v>116</v>
      </c>
      <c r="D48" s="3">
        <v>4.5039999999999996</v>
      </c>
      <c r="E48" s="3" t="s">
        <v>77</v>
      </c>
      <c r="F48" s="3" t="s">
        <v>94</v>
      </c>
      <c r="G48" s="3" t="s">
        <v>15</v>
      </c>
      <c r="H48" s="8">
        <f t="shared" si="1"/>
        <v>2019</v>
      </c>
      <c r="I48" s="10" t="str">
        <f t="shared" si="2"/>
        <v>1</v>
      </c>
      <c r="J48" s="10" t="str">
        <f t="shared" si="3"/>
        <v>6</v>
      </c>
      <c r="K48" s="10" t="str">
        <f t="shared" si="4"/>
        <v>2</v>
      </c>
      <c r="L48" s="10" t="str">
        <f t="shared" si="5"/>
        <v>6</v>
      </c>
      <c r="M48" s="10">
        <f t="shared" si="16"/>
        <v>0</v>
      </c>
      <c r="N48" s="10">
        <f t="shared" si="6"/>
        <v>0</v>
      </c>
      <c r="O48" s="11">
        <f t="shared" si="7"/>
        <v>-1</v>
      </c>
      <c r="P48" s="11">
        <f t="shared" si="8"/>
        <v>-1</v>
      </c>
      <c r="Q48" s="11">
        <f t="shared" si="9"/>
        <v>0</v>
      </c>
      <c r="R48" s="12">
        <f t="shared" si="10"/>
        <v>0</v>
      </c>
      <c r="S48" s="12">
        <f t="shared" si="11"/>
        <v>2</v>
      </c>
      <c r="T48" s="13">
        <f t="shared" si="14"/>
        <v>3</v>
      </c>
      <c r="U48" s="13">
        <f t="shared" si="15"/>
        <v>12</v>
      </c>
    </row>
    <row r="49" spans="1:21" ht="46.5" customHeight="1" thickBot="1" x14ac:dyDescent="0.25">
      <c r="A49" s="2">
        <v>43660</v>
      </c>
      <c r="B49" s="4" t="s">
        <v>117</v>
      </c>
      <c r="C49" s="4" t="s">
        <v>118</v>
      </c>
      <c r="D49" s="3">
        <v>4.5620000000000003</v>
      </c>
      <c r="E49" s="3" t="s">
        <v>77</v>
      </c>
      <c r="F49" s="3" t="s">
        <v>64</v>
      </c>
      <c r="G49" s="3" t="s">
        <v>15</v>
      </c>
      <c r="H49" s="8">
        <f t="shared" si="1"/>
        <v>2019</v>
      </c>
      <c r="I49" s="10" t="str">
        <f t="shared" si="2"/>
        <v>1</v>
      </c>
      <c r="J49" s="10" t="str">
        <f t="shared" si="3"/>
        <v>6</v>
      </c>
      <c r="K49" s="10" t="str">
        <f t="shared" si="4"/>
        <v>1</v>
      </c>
      <c r="L49" s="10" t="str">
        <f t="shared" si="5"/>
        <v>6</v>
      </c>
      <c r="M49" s="10">
        <f t="shared" si="16"/>
        <v>0</v>
      </c>
      <c r="N49" s="10">
        <f t="shared" si="6"/>
        <v>0</v>
      </c>
      <c r="O49" s="11">
        <f t="shared" si="7"/>
        <v>-1</v>
      </c>
      <c r="P49" s="11">
        <f t="shared" si="8"/>
        <v>-1</v>
      </c>
      <c r="Q49" s="11">
        <f t="shared" si="9"/>
        <v>0</v>
      </c>
      <c r="R49" s="12">
        <f t="shared" si="10"/>
        <v>0</v>
      </c>
      <c r="S49" s="12">
        <f t="shared" si="11"/>
        <v>2</v>
      </c>
      <c r="T49" s="13">
        <f t="shared" si="14"/>
        <v>2</v>
      </c>
      <c r="U49" s="13">
        <f t="shared" si="15"/>
        <v>12</v>
      </c>
    </row>
    <row r="50" spans="1:21" ht="46.5" customHeight="1" thickBot="1" x14ac:dyDescent="0.25">
      <c r="A50" s="2">
        <v>43668</v>
      </c>
      <c r="B50" s="4" t="s">
        <v>119</v>
      </c>
      <c r="C50" s="4" t="s">
        <v>120</v>
      </c>
      <c r="D50" s="3">
        <v>3.069</v>
      </c>
      <c r="E50" s="3" t="s">
        <v>6</v>
      </c>
      <c r="F50" s="3" t="s">
        <v>121</v>
      </c>
      <c r="G50" s="3" t="s">
        <v>15</v>
      </c>
      <c r="H50" s="8">
        <f t="shared" si="1"/>
        <v>2019</v>
      </c>
      <c r="I50" s="10" t="str">
        <f t="shared" si="2"/>
        <v>7</v>
      </c>
      <c r="J50" s="10" t="str">
        <f t="shared" si="3"/>
        <v>6</v>
      </c>
      <c r="K50" s="10" t="str">
        <f t="shared" si="4"/>
        <v>5</v>
      </c>
      <c r="L50" s="10" t="str">
        <f t="shared" si="5"/>
        <v>7</v>
      </c>
      <c r="M50" s="10" t="str">
        <f t="shared" si="16"/>
        <v>4</v>
      </c>
      <c r="N50" s="10" t="str">
        <f t="shared" si="6"/>
        <v>6</v>
      </c>
      <c r="O50" s="11">
        <f t="shared" si="7"/>
        <v>1</v>
      </c>
      <c r="P50" s="11">
        <f t="shared" si="8"/>
        <v>-1</v>
      </c>
      <c r="Q50" s="11">
        <f t="shared" si="9"/>
        <v>-1</v>
      </c>
      <c r="R50" s="12">
        <f t="shared" si="10"/>
        <v>1</v>
      </c>
      <c r="S50" s="12">
        <f t="shared" si="11"/>
        <v>2</v>
      </c>
      <c r="T50" s="13">
        <f t="shared" si="14"/>
        <v>16</v>
      </c>
      <c r="U50" s="13">
        <f t="shared" si="15"/>
        <v>19</v>
      </c>
    </row>
    <row r="51" spans="1:21" ht="46.5" customHeight="1" thickBot="1" x14ac:dyDescent="0.25">
      <c r="A51" s="2">
        <v>43668</v>
      </c>
      <c r="B51" s="4" t="s">
        <v>119</v>
      </c>
      <c r="C51" s="4" t="s">
        <v>122</v>
      </c>
      <c r="D51" s="3">
        <v>2.93</v>
      </c>
      <c r="E51" s="3" t="s">
        <v>6</v>
      </c>
      <c r="F51" s="3" t="s">
        <v>123</v>
      </c>
      <c r="G51" s="3" t="s">
        <v>4</v>
      </c>
      <c r="H51" s="8">
        <f t="shared" si="1"/>
        <v>2019</v>
      </c>
      <c r="I51" s="10" t="str">
        <f t="shared" si="2"/>
        <v>6</v>
      </c>
      <c r="J51" s="10" t="str">
        <f t="shared" si="3"/>
        <v>0</v>
      </c>
      <c r="K51" s="10" t="str">
        <f t="shared" si="4"/>
        <v>6</v>
      </c>
      <c r="L51" s="10" t="str">
        <f t="shared" si="5"/>
        <v>2</v>
      </c>
      <c r="M51" s="10">
        <f t="shared" si="16"/>
        <v>0</v>
      </c>
      <c r="N51" s="10">
        <f t="shared" si="6"/>
        <v>0</v>
      </c>
      <c r="O51" s="11">
        <f t="shared" si="7"/>
        <v>1</v>
      </c>
      <c r="P51" s="11">
        <f t="shared" si="8"/>
        <v>1</v>
      </c>
      <c r="Q51" s="11">
        <f t="shared" si="9"/>
        <v>0</v>
      </c>
      <c r="R51" s="12">
        <f t="shared" si="10"/>
        <v>2</v>
      </c>
      <c r="S51" s="12">
        <f t="shared" si="11"/>
        <v>0</v>
      </c>
      <c r="T51" s="13">
        <f t="shared" si="14"/>
        <v>12</v>
      </c>
      <c r="U51" s="13">
        <f t="shared" si="15"/>
        <v>2</v>
      </c>
    </row>
    <row r="52" spans="1:21" ht="46.5" customHeight="1" thickBot="1" x14ac:dyDescent="0.25">
      <c r="A52" s="2">
        <v>43673</v>
      </c>
      <c r="B52" s="4" t="s">
        <v>119</v>
      </c>
      <c r="C52" s="4" t="s">
        <v>124</v>
      </c>
      <c r="D52" s="3">
        <v>5.2350000000000003</v>
      </c>
      <c r="E52" s="3" t="s">
        <v>125</v>
      </c>
      <c r="F52" s="3" t="s">
        <v>126</v>
      </c>
      <c r="G52" s="3" t="s">
        <v>15</v>
      </c>
      <c r="H52" s="8">
        <f t="shared" si="1"/>
        <v>2019</v>
      </c>
      <c r="I52" s="10" t="str">
        <f t="shared" si="2"/>
        <v>2</v>
      </c>
      <c r="J52" s="10" t="str">
        <f t="shared" si="3"/>
        <v>6</v>
      </c>
      <c r="K52" s="10" t="str">
        <f t="shared" si="4"/>
        <v>6</v>
      </c>
      <c r="L52" s="10" t="str">
        <f t="shared" si="5"/>
        <v>1</v>
      </c>
      <c r="M52" s="10" t="str">
        <f t="shared" si="16"/>
        <v>1</v>
      </c>
      <c r="N52" s="10" t="str">
        <f t="shared" si="6"/>
        <v>6</v>
      </c>
      <c r="O52" s="11">
        <f t="shared" si="7"/>
        <v>-1</v>
      </c>
      <c r="P52" s="11">
        <f t="shared" si="8"/>
        <v>1</v>
      </c>
      <c r="Q52" s="11">
        <f t="shared" si="9"/>
        <v>-1</v>
      </c>
      <c r="R52" s="12">
        <f t="shared" si="10"/>
        <v>1</v>
      </c>
      <c r="S52" s="12">
        <f t="shared" si="11"/>
        <v>2</v>
      </c>
      <c r="T52" s="13">
        <f t="shared" si="14"/>
        <v>9</v>
      </c>
      <c r="U52" s="13">
        <f t="shared" si="15"/>
        <v>13</v>
      </c>
    </row>
    <row r="53" spans="1:21" ht="46.5" customHeight="1" thickBot="1" x14ac:dyDescent="0.25">
      <c r="A53" s="2">
        <v>43709</v>
      </c>
      <c r="B53" s="4" t="s">
        <v>127</v>
      </c>
      <c r="C53" s="4" t="s">
        <v>128</v>
      </c>
      <c r="D53" s="3">
        <v>4.5730000000000004</v>
      </c>
      <c r="E53" s="3" t="s">
        <v>77</v>
      </c>
      <c r="F53" s="3" t="s">
        <v>129</v>
      </c>
      <c r="G53" s="3" t="s">
        <v>15</v>
      </c>
      <c r="H53" s="8">
        <f t="shared" si="1"/>
        <v>2019</v>
      </c>
      <c r="I53" s="10" t="str">
        <f t="shared" si="2"/>
        <v>5</v>
      </c>
      <c r="J53" s="10" t="str">
        <f t="shared" si="3"/>
        <v>7</v>
      </c>
      <c r="K53" s="10" t="str">
        <f t="shared" si="4"/>
        <v>5</v>
      </c>
      <c r="L53" s="10" t="str">
        <f t="shared" si="5"/>
        <v>7</v>
      </c>
      <c r="M53" s="10">
        <f t="shared" si="16"/>
        <v>0</v>
      </c>
      <c r="N53" s="10">
        <f t="shared" si="6"/>
        <v>0</v>
      </c>
      <c r="O53" s="11">
        <f t="shared" si="7"/>
        <v>-1</v>
      </c>
      <c r="P53" s="11">
        <f t="shared" si="8"/>
        <v>-1</v>
      </c>
      <c r="Q53" s="11">
        <f t="shared" si="9"/>
        <v>0</v>
      </c>
      <c r="R53" s="12">
        <f t="shared" si="10"/>
        <v>0</v>
      </c>
      <c r="S53" s="12">
        <f t="shared" si="11"/>
        <v>2</v>
      </c>
      <c r="T53" s="13">
        <f t="shared" si="14"/>
        <v>10</v>
      </c>
      <c r="U53" s="13">
        <f t="shared" si="15"/>
        <v>14</v>
      </c>
    </row>
    <row r="54" spans="1:21" ht="46.5" customHeight="1" thickBot="1" x14ac:dyDescent="0.25">
      <c r="A54" s="2">
        <v>43709</v>
      </c>
      <c r="B54" s="4" t="s">
        <v>127</v>
      </c>
      <c r="C54" s="4" t="s">
        <v>73</v>
      </c>
      <c r="D54" s="3">
        <v>2.887</v>
      </c>
      <c r="E54" s="3" t="s">
        <v>25</v>
      </c>
      <c r="F54" s="3" t="s">
        <v>130</v>
      </c>
      <c r="G54" s="3" t="s">
        <v>4</v>
      </c>
      <c r="H54" s="8">
        <f t="shared" si="1"/>
        <v>2019</v>
      </c>
      <c r="I54" s="10" t="str">
        <f t="shared" si="2"/>
        <v>6</v>
      </c>
      <c r="J54" s="10" t="str">
        <f t="shared" si="3"/>
        <v>0</v>
      </c>
      <c r="K54" s="10" t="str">
        <f t="shared" si="4"/>
        <v>6</v>
      </c>
      <c r="L54" s="10" t="str">
        <f t="shared" si="5"/>
        <v>0</v>
      </c>
      <c r="M54" s="10">
        <f t="shared" si="16"/>
        <v>0</v>
      </c>
      <c r="N54" s="10">
        <f t="shared" si="6"/>
        <v>0</v>
      </c>
      <c r="O54" s="11">
        <f t="shared" si="7"/>
        <v>1</v>
      </c>
      <c r="P54" s="11">
        <f t="shared" si="8"/>
        <v>1</v>
      </c>
      <c r="Q54" s="11">
        <f t="shared" si="9"/>
        <v>0</v>
      </c>
      <c r="R54" s="12">
        <f t="shared" si="10"/>
        <v>2</v>
      </c>
      <c r="S54" s="12">
        <f t="shared" si="11"/>
        <v>0</v>
      </c>
      <c r="T54" s="13">
        <f t="shared" si="14"/>
        <v>12</v>
      </c>
      <c r="U54" s="13">
        <f t="shared" si="15"/>
        <v>0</v>
      </c>
    </row>
    <row r="55" spans="1:21" ht="46.5" customHeight="1" thickBot="1" x14ac:dyDescent="0.25">
      <c r="A55" s="2">
        <v>43729</v>
      </c>
      <c r="B55" s="4" t="s">
        <v>131</v>
      </c>
      <c r="C55" s="4" t="s">
        <v>132</v>
      </c>
      <c r="D55" s="3">
        <v>4.3769999999999998</v>
      </c>
      <c r="E55" s="3" t="s">
        <v>77</v>
      </c>
      <c r="F55" s="3" t="s">
        <v>133</v>
      </c>
      <c r="G55" s="3" t="s">
        <v>15</v>
      </c>
      <c r="H55" s="8">
        <f t="shared" si="1"/>
        <v>2019</v>
      </c>
      <c r="I55" s="10" t="str">
        <f t="shared" si="2"/>
        <v>5</v>
      </c>
      <c r="J55" s="10" t="str">
        <f t="shared" si="3"/>
        <v>7</v>
      </c>
      <c r="K55" s="10" t="str">
        <f t="shared" si="4"/>
        <v>1</v>
      </c>
      <c r="L55" s="10" t="str">
        <f t="shared" si="5"/>
        <v>6</v>
      </c>
      <c r="M55" s="10">
        <f t="shared" si="16"/>
        <v>0</v>
      </c>
      <c r="N55" s="10">
        <f t="shared" si="6"/>
        <v>0</v>
      </c>
      <c r="O55" s="11">
        <f t="shared" si="7"/>
        <v>-1</v>
      </c>
      <c r="P55" s="11">
        <f t="shared" si="8"/>
        <v>-1</v>
      </c>
      <c r="Q55" s="11">
        <f t="shared" si="9"/>
        <v>0</v>
      </c>
      <c r="R55" s="12">
        <f t="shared" si="10"/>
        <v>0</v>
      </c>
      <c r="S55" s="12">
        <f t="shared" si="11"/>
        <v>2</v>
      </c>
      <c r="T55" s="13">
        <f t="shared" si="14"/>
        <v>6</v>
      </c>
      <c r="U55" s="13">
        <f t="shared" si="15"/>
        <v>13</v>
      </c>
    </row>
    <row r="56" spans="1:21" ht="46.5" customHeight="1" thickBot="1" x14ac:dyDescent="0.25">
      <c r="A56" s="2">
        <v>43729</v>
      </c>
      <c r="B56" s="4" t="s">
        <v>131</v>
      </c>
      <c r="C56" s="4" t="s">
        <v>134</v>
      </c>
      <c r="D56" s="3">
        <v>2.089</v>
      </c>
      <c r="E56" s="3" t="s">
        <v>25</v>
      </c>
      <c r="F56" s="3" t="s">
        <v>135</v>
      </c>
      <c r="G56" s="3" t="s">
        <v>4</v>
      </c>
      <c r="H56" s="8">
        <f t="shared" si="1"/>
        <v>2019</v>
      </c>
      <c r="I56" s="10" t="str">
        <f t="shared" si="2"/>
        <v>6</v>
      </c>
      <c r="J56" s="10" t="str">
        <f t="shared" si="3"/>
        <v>4</v>
      </c>
      <c r="K56" s="10" t="str">
        <f t="shared" si="4"/>
        <v>4</v>
      </c>
      <c r="L56" s="10" t="str">
        <f t="shared" si="5"/>
        <v>6</v>
      </c>
      <c r="M56" s="10" t="str">
        <f t="shared" si="16"/>
        <v>7</v>
      </c>
      <c r="N56" s="10" t="str">
        <f t="shared" si="6"/>
        <v>6</v>
      </c>
      <c r="O56" s="11">
        <f t="shared" si="7"/>
        <v>1</v>
      </c>
      <c r="P56" s="11">
        <f t="shared" si="8"/>
        <v>-1</v>
      </c>
      <c r="Q56" s="11">
        <f t="shared" si="9"/>
        <v>1</v>
      </c>
      <c r="R56" s="12">
        <f t="shared" si="10"/>
        <v>2</v>
      </c>
      <c r="S56" s="12">
        <f t="shared" si="11"/>
        <v>1</v>
      </c>
      <c r="T56" s="13">
        <f t="shared" si="14"/>
        <v>17</v>
      </c>
      <c r="U56" s="13">
        <f t="shared" si="15"/>
        <v>16</v>
      </c>
    </row>
    <row r="57" spans="1:21" ht="46.5" customHeight="1" thickBot="1" x14ac:dyDescent="0.25">
      <c r="A57" s="2">
        <v>43729</v>
      </c>
      <c r="B57" s="4" t="s">
        <v>131</v>
      </c>
      <c r="C57" s="4" t="s">
        <v>136</v>
      </c>
      <c r="D57" s="3">
        <v>5.4660000000000002</v>
      </c>
      <c r="E57" s="3" t="s">
        <v>77</v>
      </c>
      <c r="F57" s="3" t="s">
        <v>19</v>
      </c>
      <c r="G57" s="3" t="s">
        <v>15</v>
      </c>
      <c r="H57" s="8">
        <f t="shared" si="1"/>
        <v>2019</v>
      </c>
      <c r="I57" s="10" t="str">
        <f t="shared" si="2"/>
        <v>1</v>
      </c>
      <c r="J57" s="10" t="str">
        <f t="shared" si="3"/>
        <v>6</v>
      </c>
      <c r="K57" s="10" t="str">
        <f t="shared" si="4"/>
        <v>4</v>
      </c>
      <c r="L57" s="10" t="str">
        <f t="shared" si="5"/>
        <v>6</v>
      </c>
      <c r="M57" s="10">
        <f t="shared" si="16"/>
        <v>0</v>
      </c>
      <c r="N57" s="10">
        <f t="shared" si="6"/>
        <v>0</v>
      </c>
      <c r="O57" s="11">
        <f t="shared" si="7"/>
        <v>-1</v>
      </c>
      <c r="P57" s="11">
        <f t="shared" si="8"/>
        <v>-1</v>
      </c>
      <c r="Q57" s="11">
        <f t="shared" si="9"/>
        <v>0</v>
      </c>
      <c r="R57" s="12">
        <f t="shared" si="10"/>
        <v>0</v>
      </c>
      <c r="S57" s="12">
        <f t="shared" si="11"/>
        <v>2</v>
      </c>
      <c r="T57" s="13">
        <f t="shared" si="14"/>
        <v>5</v>
      </c>
      <c r="U57" s="13">
        <f t="shared" si="15"/>
        <v>12</v>
      </c>
    </row>
    <row r="58" spans="1:21" ht="46.5" customHeight="1" thickBot="1" x14ac:dyDescent="0.25">
      <c r="A58" s="2">
        <v>44003</v>
      </c>
      <c r="B58" s="4" t="s">
        <v>137</v>
      </c>
      <c r="C58" s="4" t="s">
        <v>138</v>
      </c>
      <c r="D58" s="3">
        <v>5.87</v>
      </c>
      <c r="E58" s="3" t="s">
        <v>125</v>
      </c>
      <c r="F58" s="3" t="s">
        <v>139</v>
      </c>
      <c r="G58" s="3" t="s">
        <v>15</v>
      </c>
      <c r="H58" s="8">
        <f t="shared" ref="H58:H72" si="17">YEAR(A58)</f>
        <v>2020</v>
      </c>
      <c r="I58" s="10" t="str">
        <f t="shared" ref="I58:I72" si="18">LEFT(F58)</f>
        <v>2</v>
      </c>
      <c r="J58" s="10" t="str">
        <f t="shared" ref="J58:J72" si="19">MID(F58,3,1)</f>
        <v>6</v>
      </c>
      <c r="K58" s="10" t="str">
        <f t="shared" ref="K58:K99" si="20">MID($F58,5,1)</f>
        <v>0</v>
      </c>
      <c r="L58" s="10" t="str">
        <f t="shared" ref="L58:L99" si="21">MID($F58,7,1)</f>
        <v>6</v>
      </c>
      <c r="M58" s="10">
        <f t="shared" si="16"/>
        <v>0</v>
      </c>
      <c r="N58" s="10">
        <f t="shared" si="6"/>
        <v>0</v>
      </c>
      <c r="O58" s="11">
        <f t="shared" si="7"/>
        <v>-1</v>
      </c>
      <c r="P58" s="11">
        <f t="shared" si="8"/>
        <v>-1</v>
      </c>
      <c r="Q58" s="11">
        <f t="shared" si="9"/>
        <v>0</v>
      </c>
      <c r="R58" s="12">
        <f t="shared" si="10"/>
        <v>0</v>
      </c>
      <c r="S58" s="12">
        <f t="shared" si="11"/>
        <v>2</v>
      </c>
      <c r="T58" s="13">
        <f t="shared" si="14"/>
        <v>2</v>
      </c>
      <c r="U58" s="13">
        <f t="shared" si="15"/>
        <v>12</v>
      </c>
    </row>
    <row r="59" spans="1:21" ht="46.5" customHeight="1" thickBot="1" x14ac:dyDescent="0.25">
      <c r="A59" s="2">
        <v>44003</v>
      </c>
      <c r="B59" s="4" t="s">
        <v>137</v>
      </c>
      <c r="C59" s="4" t="s">
        <v>140</v>
      </c>
      <c r="D59" s="3">
        <v>0.72299999999999998</v>
      </c>
      <c r="E59" s="3" t="s">
        <v>9</v>
      </c>
      <c r="F59" s="3" t="s">
        <v>141</v>
      </c>
      <c r="G59" s="3" t="s">
        <v>4</v>
      </c>
      <c r="H59" s="8">
        <f t="shared" si="17"/>
        <v>2020</v>
      </c>
      <c r="I59" s="10" t="str">
        <f t="shared" si="18"/>
        <v>6</v>
      </c>
      <c r="J59" s="10" t="str">
        <f t="shared" si="19"/>
        <v>4</v>
      </c>
      <c r="K59" s="10" t="str">
        <f t="shared" si="20"/>
        <v>7</v>
      </c>
      <c r="L59" s="10" t="str">
        <f t="shared" si="21"/>
        <v>5</v>
      </c>
      <c r="M59" s="10">
        <f t="shared" si="16"/>
        <v>0</v>
      </c>
      <c r="N59" s="10">
        <f t="shared" si="6"/>
        <v>0</v>
      </c>
      <c r="O59" s="11">
        <f t="shared" si="7"/>
        <v>1</v>
      </c>
      <c r="P59" s="11">
        <f t="shared" si="8"/>
        <v>1</v>
      </c>
      <c r="Q59" s="11">
        <f t="shared" si="9"/>
        <v>0</v>
      </c>
      <c r="R59" s="12">
        <f t="shared" si="10"/>
        <v>2</v>
      </c>
      <c r="S59" s="12">
        <f t="shared" si="11"/>
        <v>0</v>
      </c>
      <c r="T59" s="13">
        <f t="shared" si="14"/>
        <v>13</v>
      </c>
      <c r="U59" s="13">
        <f t="shared" si="15"/>
        <v>9</v>
      </c>
    </row>
    <row r="60" spans="1:21" ht="46.5" customHeight="1" thickBot="1" x14ac:dyDescent="0.25">
      <c r="A60" s="2">
        <v>44010</v>
      </c>
      <c r="B60" s="4" t="s">
        <v>142</v>
      </c>
      <c r="C60" s="4" t="s">
        <v>143</v>
      </c>
      <c r="D60" s="3">
        <v>2.7029999999999998</v>
      </c>
      <c r="E60" s="3" t="s">
        <v>25</v>
      </c>
      <c r="F60" s="3" t="s">
        <v>52</v>
      </c>
      <c r="G60" s="3" t="s">
        <v>4</v>
      </c>
      <c r="H60" s="8">
        <f t="shared" si="17"/>
        <v>2020</v>
      </c>
      <c r="I60" s="10" t="str">
        <f t="shared" si="18"/>
        <v>6</v>
      </c>
      <c r="J60" s="10" t="str">
        <f t="shared" si="19"/>
        <v>4</v>
      </c>
      <c r="K60" s="10" t="str">
        <f t="shared" si="20"/>
        <v>6</v>
      </c>
      <c r="L60" s="10" t="str">
        <f t="shared" si="21"/>
        <v>4</v>
      </c>
      <c r="M60" s="10">
        <f t="shared" si="16"/>
        <v>0</v>
      </c>
      <c r="N60" s="10">
        <f t="shared" si="6"/>
        <v>0</v>
      </c>
      <c r="O60" s="11">
        <f t="shared" si="7"/>
        <v>1</v>
      </c>
      <c r="P60" s="11">
        <f t="shared" si="8"/>
        <v>1</v>
      </c>
      <c r="Q60" s="11">
        <f t="shared" si="9"/>
        <v>0</v>
      </c>
      <c r="R60" s="12">
        <f t="shared" si="10"/>
        <v>2</v>
      </c>
      <c r="S60" s="12">
        <f t="shared" si="11"/>
        <v>0</v>
      </c>
      <c r="T60" s="13">
        <f t="shared" si="14"/>
        <v>12</v>
      </c>
      <c r="U60" s="13">
        <f t="shared" si="15"/>
        <v>8</v>
      </c>
    </row>
    <row r="61" spans="1:21" ht="46.5" customHeight="1" thickBot="1" x14ac:dyDescent="0.25">
      <c r="A61" s="2">
        <v>44010</v>
      </c>
      <c r="B61" s="4" t="s">
        <v>142</v>
      </c>
      <c r="C61" s="4" t="s">
        <v>144</v>
      </c>
      <c r="D61" s="3">
        <v>3.0950000000000002</v>
      </c>
      <c r="E61" s="3" t="s">
        <v>6</v>
      </c>
      <c r="F61" s="3" t="s">
        <v>145</v>
      </c>
      <c r="G61" s="3" t="s">
        <v>4</v>
      </c>
      <c r="H61" s="8">
        <f t="shared" si="17"/>
        <v>2020</v>
      </c>
      <c r="I61" s="10" t="str">
        <f t="shared" si="18"/>
        <v>6</v>
      </c>
      <c r="J61" s="10" t="str">
        <f t="shared" si="19"/>
        <v>2</v>
      </c>
      <c r="K61" s="10" t="str">
        <f t="shared" si="20"/>
        <v>6</v>
      </c>
      <c r="L61" s="10" t="str">
        <f t="shared" si="21"/>
        <v>0</v>
      </c>
      <c r="M61" s="10">
        <f t="shared" si="16"/>
        <v>0</v>
      </c>
      <c r="N61" s="10">
        <f t="shared" si="6"/>
        <v>0</v>
      </c>
      <c r="O61" s="11">
        <f t="shared" si="7"/>
        <v>1</v>
      </c>
      <c r="P61" s="11">
        <f t="shared" si="8"/>
        <v>1</v>
      </c>
      <c r="Q61" s="11">
        <f t="shared" si="9"/>
        <v>0</v>
      </c>
      <c r="R61" s="12">
        <f t="shared" si="10"/>
        <v>2</v>
      </c>
      <c r="S61" s="12">
        <f t="shared" si="11"/>
        <v>0</v>
      </c>
      <c r="T61" s="13">
        <f t="shared" si="14"/>
        <v>12</v>
      </c>
      <c r="U61" s="13">
        <f t="shared" si="15"/>
        <v>2</v>
      </c>
    </row>
    <row r="62" spans="1:21" ht="46.5" customHeight="1" thickBot="1" x14ac:dyDescent="0.25">
      <c r="A62" s="2">
        <v>44010</v>
      </c>
      <c r="B62" s="4" t="s">
        <v>142</v>
      </c>
      <c r="C62" s="4" t="s">
        <v>146</v>
      </c>
      <c r="D62" s="3">
        <v>0.73699999999999999</v>
      </c>
      <c r="E62" s="3" t="s">
        <v>2</v>
      </c>
      <c r="F62" s="3" t="s">
        <v>147</v>
      </c>
      <c r="G62" s="3" t="s">
        <v>4</v>
      </c>
      <c r="H62" s="8">
        <f t="shared" si="17"/>
        <v>2020</v>
      </c>
      <c r="I62" s="10" t="str">
        <f t="shared" si="18"/>
        <v>6</v>
      </c>
      <c r="J62" s="10" t="str">
        <f t="shared" si="19"/>
        <v>1</v>
      </c>
      <c r="K62" s="10" t="str">
        <f t="shared" si="20"/>
        <v>7</v>
      </c>
      <c r="L62" s="10" t="str">
        <f t="shared" si="21"/>
        <v>5</v>
      </c>
      <c r="M62" s="10">
        <f t="shared" si="16"/>
        <v>0</v>
      </c>
      <c r="N62" s="10">
        <f t="shared" si="6"/>
        <v>0</v>
      </c>
      <c r="O62" s="11">
        <f t="shared" si="7"/>
        <v>1</v>
      </c>
      <c r="P62" s="11">
        <f t="shared" si="8"/>
        <v>1</v>
      </c>
      <c r="Q62" s="11">
        <f t="shared" si="9"/>
        <v>0</v>
      </c>
      <c r="R62" s="12">
        <f t="shared" si="10"/>
        <v>2</v>
      </c>
      <c r="S62" s="12">
        <f t="shared" si="11"/>
        <v>0</v>
      </c>
      <c r="T62" s="13">
        <f t="shared" si="14"/>
        <v>13</v>
      </c>
      <c r="U62" s="13">
        <f t="shared" si="15"/>
        <v>6</v>
      </c>
    </row>
    <row r="63" spans="1:21" ht="46.5" customHeight="1" thickBot="1" x14ac:dyDescent="0.25">
      <c r="A63" s="2">
        <v>44037</v>
      </c>
      <c r="B63" s="4" t="s">
        <v>148</v>
      </c>
      <c r="C63" s="4" t="s">
        <v>149</v>
      </c>
      <c r="D63" s="3">
        <v>3.8210000000000002</v>
      </c>
      <c r="E63" s="3" t="s">
        <v>6</v>
      </c>
      <c r="F63" s="3" t="s">
        <v>150</v>
      </c>
      <c r="G63" s="3" t="s">
        <v>15</v>
      </c>
      <c r="H63" s="8">
        <f t="shared" si="17"/>
        <v>2020</v>
      </c>
      <c r="I63" s="10" t="str">
        <f t="shared" si="18"/>
        <v>0</v>
      </c>
      <c r="J63" s="10" t="str">
        <f t="shared" si="19"/>
        <v>6</v>
      </c>
      <c r="K63" s="10" t="str">
        <f t="shared" si="20"/>
        <v>2</v>
      </c>
      <c r="L63" s="10" t="str">
        <f t="shared" si="21"/>
        <v>6</v>
      </c>
      <c r="M63" s="10">
        <f t="shared" si="16"/>
        <v>0</v>
      </c>
      <c r="N63" s="10">
        <f t="shared" si="6"/>
        <v>0</v>
      </c>
      <c r="O63" s="11">
        <f t="shared" ref="O63:O72" si="22">IF(I63&gt;J63,1,-1)</f>
        <v>-1</v>
      </c>
      <c r="P63" s="11">
        <f t="shared" ref="P63:P72" si="23">IF(K63&gt;L63,1,-1)</f>
        <v>-1</v>
      </c>
      <c r="Q63" s="11">
        <f t="shared" si="9"/>
        <v>0</v>
      </c>
      <c r="R63" s="12">
        <f t="shared" si="10"/>
        <v>0</v>
      </c>
      <c r="S63" s="12">
        <f t="shared" si="11"/>
        <v>2</v>
      </c>
      <c r="T63" s="13">
        <f t="shared" si="14"/>
        <v>2</v>
      </c>
      <c r="U63" s="13">
        <f t="shared" si="15"/>
        <v>12</v>
      </c>
    </row>
    <row r="64" spans="1:21" ht="46.5" customHeight="1" thickBot="1" x14ac:dyDescent="0.25">
      <c r="A64" s="2">
        <v>44037</v>
      </c>
      <c r="B64" s="4" t="s">
        <v>148</v>
      </c>
      <c r="C64" s="4" t="s">
        <v>56</v>
      </c>
      <c r="D64" s="3">
        <v>3.1080000000000001</v>
      </c>
      <c r="E64" s="3" t="s">
        <v>25</v>
      </c>
      <c r="F64" s="3" t="s">
        <v>151</v>
      </c>
      <c r="G64" s="3" t="s">
        <v>4</v>
      </c>
      <c r="H64" s="8">
        <f t="shared" si="17"/>
        <v>2020</v>
      </c>
      <c r="I64" s="10" t="str">
        <f t="shared" si="18"/>
        <v>6</v>
      </c>
      <c r="J64" s="10" t="str">
        <f t="shared" si="19"/>
        <v>7</v>
      </c>
      <c r="K64" s="10" t="str">
        <f t="shared" si="20"/>
        <v>3</v>
      </c>
      <c r="L64" s="10" t="str">
        <f t="shared" si="21"/>
        <v>0</v>
      </c>
      <c r="M64" s="10">
        <f t="shared" si="16"/>
        <v>0</v>
      </c>
      <c r="N64" s="10">
        <f t="shared" si="6"/>
        <v>0</v>
      </c>
      <c r="O64" s="11">
        <f t="shared" si="22"/>
        <v>-1</v>
      </c>
      <c r="P64" s="11">
        <f t="shared" si="23"/>
        <v>1</v>
      </c>
      <c r="Q64" s="11">
        <f t="shared" si="9"/>
        <v>0</v>
      </c>
      <c r="R64" s="12">
        <f t="shared" si="10"/>
        <v>1</v>
      </c>
      <c r="S64" s="12">
        <f t="shared" si="11"/>
        <v>1</v>
      </c>
      <c r="T64" s="13">
        <f t="shared" si="14"/>
        <v>9</v>
      </c>
      <c r="U64" s="13">
        <f t="shared" si="15"/>
        <v>7</v>
      </c>
    </row>
    <row r="65" spans="1:21" ht="46.5" customHeight="1" thickBot="1" x14ac:dyDescent="0.25">
      <c r="A65" s="2">
        <v>44037</v>
      </c>
      <c r="B65" s="4" t="s">
        <v>148</v>
      </c>
      <c r="C65" s="4" t="s">
        <v>152</v>
      </c>
      <c r="D65" s="3">
        <v>3.1019999999999999</v>
      </c>
      <c r="E65" s="3" t="s">
        <v>25</v>
      </c>
      <c r="F65" s="3" t="s">
        <v>153</v>
      </c>
      <c r="G65" s="3" t="s">
        <v>4</v>
      </c>
      <c r="H65" s="8">
        <f t="shared" si="17"/>
        <v>2020</v>
      </c>
      <c r="I65" s="10" t="str">
        <f t="shared" si="18"/>
        <v>6</v>
      </c>
      <c r="J65" s="10" t="str">
        <f t="shared" si="19"/>
        <v>4</v>
      </c>
      <c r="K65" s="10" t="str">
        <f t="shared" si="20"/>
        <v>6</v>
      </c>
      <c r="L65" s="10" t="str">
        <f t="shared" si="21"/>
        <v>2</v>
      </c>
      <c r="M65" s="10">
        <f t="shared" si="16"/>
        <v>0</v>
      </c>
      <c r="N65" s="10">
        <f t="shared" si="6"/>
        <v>0</v>
      </c>
      <c r="O65" s="11">
        <f t="shared" si="22"/>
        <v>1</v>
      </c>
      <c r="P65" s="11">
        <f t="shared" si="23"/>
        <v>1</v>
      </c>
      <c r="Q65" s="11">
        <f t="shared" si="9"/>
        <v>0</v>
      </c>
      <c r="R65" s="12">
        <f t="shared" si="10"/>
        <v>2</v>
      </c>
      <c r="S65" s="12">
        <f t="shared" si="11"/>
        <v>0</v>
      </c>
      <c r="T65" s="13">
        <f t="shared" si="14"/>
        <v>12</v>
      </c>
      <c r="U65" s="13">
        <f t="shared" si="15"/>
        <v>6</v>
      </c>
    </row>
    <row r="66" spans="1:21" ht="46.5" customHeight="1" thickBot="1" x14ac:dyDescent="0.25">
      <c r="A66" s="2">
        <v>44037</v>
      </c>
      <c r="B66" s="4" t="s">
        <v>148</v>
      </c>
      <c r="C66" s="4" t="s">
        <v>154</v>
      </c>
      <c r="D66" s="3">
        <v>2.7010000000000001</v>
      </c>
      <c r="E66" s="3" t="s">
        <v>25</v>
      </c>
      <c r="F66" s="3" t="s">
        <v>155</v>
      </c>
      <c r="G66" s="3" t="s">
        <v>4</v>
      </c>
      <c r="H66" s="8">
        <f t="shared" si="17"/>
        <v>2020</v>
      </c>
      <c r="I66" s="10" t="str">
        <f t="shared" si="18"/>
        <v>6</v>
      </c>
      <c r="J66" s="10" t="str">
        <f t="shared" si="19"/>
        <v>1</v>
      </c>
      <c r="K66" s="10" t="str">
        <f t="shared" si="20"/>
        <v>1</v>
      </c>
      <c r="L66" s="10" t="str">
        <f t="shared" si="21"/>
        <v>6</v>
      </c>
      <c r="M66" s="10" t="str">
        <f t="shared" si="16"/>
        <v>6</v>
      </c>
      <c r="N66" s="10" t="str">
        <f t="shared" ref="N66:N99" si="24">IF(MID($F66,11,1)="",0,(MID($F66,11,1)))</f>
        <v>4</v>
      </c>
      <c r="O66" s="11">
        <f t="shared" si="22"/>
        <v>1</v>
      </c>
      <c r="P66" s="11">
        <f t="shared" si="23"/>
        <v>-1</v>
      </c>
      <c r="Q66" s="11">
        <f t="shared" ref="Q66:Q72" si="25">IF(M66&gt;N66,1,IF(N66&gt;M66,-1,0))</f>
        <v>1</v>
      </c>
      <c r="R66" s="12">
        <f t="shared" ref="R66:R72" si="26">COUNTIF(O66:Q66,1)</f>
        <v>2</v>
      </c>
      <c r="S66" s="12">
        <f t="shared" ref="S66:S72" si="27">COUNTIF(O66:Q66,-1)</f>
        <v>1</v>
      </c>
      <c r="T66" s="13">
        <f t="shared" si="14"/>
        <v>13</v>
      </c>
      <c r="U66" s="13">
        <f t="shared" si="15"/>
        <v>11</v>
      </c>
    </row>
    <row r="67" spans="1:21" ht="46.5" customHeight="1" thickBot="1" x14ac:dyDescent="0.25">
      <c r="A67" s="2">
        <v>44052</v>
      </c>
      <c r="B67" s="4" t="s">
        <v>156</v>
      </c>
      <c r="C67" s="4" t="s">
        <v>157</v>
      </c>
      <c r="D67" s="3">
        <v>4.0119999999999996</v>
      </c>
      <c r="E67" s="3" t="s">
        <v>6</v>
      </c>
      <c r="F67" s="3" t="s">
        <v>94</v>
      </c>
      <c r="G67" s="3" t="s">
        <v>15</v>
      </c>
      <c r="H67" s="8">
        <f t="shared" si="17"/>
        <v>2020</v>
      </c>
      <c r="I67" s="10" t="str">
        <f t="shared" si="18"/>
        <v>1</v>
      </c>
      <c r="J67" s="10" t="str">
        <f t="shared" si="19"/>
        <v>6</v>
      </c>
      <c r="K67" s="10" t="str">
        <f t="shared" si="20"/>
        <v>2</v>
      </c>
      <c r="L67" s="10" t="str">
        <f t="shared" si="21"/>
        <v>6</v>
      </c>
      <c r="M67" s="10">
        <f t="shared" si="16"/>
        <v>0</v>
      </c>
      <c r="N67" s="10">
        <f t="shared" si="24"/>
        <v>0</v>
      </c>
      <c r="O67" s="11">
        <f t="shared" si="22"/>
        <v>-1</v>
      </c>
      <c r="P67" s="11">
        <f t="shared" si="23"/>
        <v>-1</v>
      </c>
      <c r="Q67" s="11">
        <f t="shared" si="25"/>
        <v>0</v>
      </c>
      <c r="R67" s="12">
        <f t="shared" si="26"/>
        <v>0</v>
      </c>
      <c r="S67" s="12">
        <f t="shared" si="27"/>
        <v>2</v>
      </c>
      <c r="T67" s="13">
        <f t="shared" si="14"/>
        <v>3</v>
      </c>
      <c r="U67" s="13">
        <f t="shared" si="15"/>
        <v>12</v>
      </c>
    </row>
    <row r="68" spans="1:21" ht="46.5" customHeight="1" thickBot="1" x14ac:dyDescent="0.25">
      <c r="A68" s="2">
        <v>44052</v>
      </c>
      <c r="B68" s="4" t="s">
        <v>156</v>
      </c>
      <c r="C68" s="4" t="s">
        <v>158</v>
      </c>
      <c r="D68" s="3">
        <v>2.8450000000000002</v>
      </c>
      <c r="E68" s="3" t="s">
        <v>25</v>
      </c>
      <c r="F68" s="3" t="s">
        <v>102</v>
      </c>
      <c r="G68" s="3" t="s">
        <v>4</v>
      </c>
      <c r="H68" s="8">
        <f t="shared" si="17"/>
        <v>2020</v>
      </c>
      <c r="I68" s="10" t="str">
        <f t="shared" si="18"/>
        <v>6</v>
      </c>
      <c r="J68" s="10" t="str">
        <f t="shared" si="19"/>
        <v>1</v>
      </c>
      <c r="K68" s="10" t="str">
        <f t="shared" si="20"/>
        <v>6</v>
      </c>
      <c r="L68" s="10" t="str">
        <f t="shared" si="21"/>
        <v>1</v>
      </c>
      <c r="M68" s="10">
        <f t="shared" si="16"/>
        <v>0</v>
      </c>
      <c r="N68" s="10">
        <f t="shared" si="24"/>
        <v>0</v>
      </c>
      <c r="O68" s="11">
        <f t="shared" si="22"/>
        <v>1</v>
      </c>
      <c r="P68" s="11">
        <f t="shared" si="23"/>
        <v>1</v>
      </c>
      <c r="Q68" s="11">
        <f t="shared" si="25"/>
        <v>0</v>
      </c>
      <c r="R68" s="12">
        <f t="shared" si="26"/>
        <v>2</v>
      </c>
      <c r="S68" s="12">
        <f t="shared" si="27"/>
        <v>0</v>
      </c>
      <c r="T68" s="13">
        <f t="shared" si="14"/>
        <v>12</v>
      </c>
      <c r="U68" s="13">
        <f t="shared" si="15"/>
        <v>2</v>
      </c>
    </row>
    <row r="69" spans="1:21" ht="46.5" customHeight="1" thickBot="1" x14ac:dyDescent="0.25">
      <c r="A69" s="2">
        <v>44052</v>
      </c>
      <c r="B69" s="4" t="s">
        <v>156</v>
      </c>
      <c r="C69" s="4" t="s">
        <v>159</v>
      </c>
      <c r="D69" s="3">
        <v>4.3079999999999998</v>
      </c>
      <c r="E69" s="3" t="s">
        <v>6</v>
      </c>
      <c r="F69" s="3" t="s">
        <v>160</v>
      </c>
      <c r="G69" s="3" t="s">
        <v>15</v>
      </c>
      <c r="H69" s="8">
        <f t="shared" si="17"/>
        <v>2020</v>
      </c>
      <c r="I69" s="10" t="str">
        <f t="shared" si="18"/>
        <v>6</v>
      </c>
      <c r="J69" s="10" t="str">
        <f t="shared" si="19"/>
        <v>2</v>
      </c>
      <c r="K69" s="10" t="str">
        <f t="shared" si="20"/>
        <v>3</v>
      </c>
      <c r="L69" s="10" t="str">
        <f t="shared" si="21"/>
        <v>6</v>
      </c>
      <c r="M69" s="10" t="str">
        <f t="shared" si="16"/>
        <v>4</v>
      </c>
      <c r="N69" s="10" t="str">
        <f t="shared" si="24"/>
        <v>6</v>
      </c>
      <c r="O69" s="11">
        <f t="shared" si="22"/>
        <v>1</v>
      </c>
      <c r="P69" s="11">
        <f t="shared" si="23"/>
        <v>-1</v>
      </c>
      <c r="Q69" s="11">
        <f t="shared" si="25"/>
        <v>-1</v>
      </c>
      <c r="R69" s="12">
        <f t="shared" si="26"/>
        <v>1</v>
      </c>
      <c r="S69" s="12">
        <f t="shared" si="27"/>
        <v>2</v>
      </c>
      <c r="T69" s="13">
        <f t="shared" ref="T69:T72" si="28">I69+K69+M69</f>
        <v>13</v>
      </c>
      <c r="U69" s="13">
        <f t="shared" ref="U69:U72" si="29">J69+L69+N69</f>
        <v>14</v>
      </c>
    </row>
    <row r="70" spans="1:21" ht="46.5" customHeight="1" thickBot="1" x14ac:dyDescent="0.25">
      <c r="A70" s="2">
        <v>44059</v>
      </c>
      <c r="B70" s="4" t="s">
        <v>161</v>
      </c>
      <c r="C70" s="4" t="s">
        <v>162</v>
      </c>
      <c r="D70" s="3">
        <v>6.9249999999999998</v>
      </c>
      <c r="E70" s="3" t="s">
        <v>163</v>
      </c>
      <c r="F70" s="3" t="s">
        <v>164</v>
      </c>
      <c r="G70" s="3" t="s">
        <v>15</v>
      </c>
      <c r="H70" s="8">
        <f t="shared" si="17"/>
        <v>2020</v>
      </c>
      <c r="I70" s="10" t="str">
        <f t="shared" si="18"/>
        <v>2</v>
      </c>
      <c r="J70" s="10" t="str">
        <f t="shared" si="19"/>
        <v>6</v>
      </c>
      <c r="K70" s="10" t="str">
        <f t="shared" si="20"/>
        <v>2</v>
      </c>
      <c r="L70" s="10" t="str">
        <f t="shared" si="21"/>
        <v>6</v>
      </c>
      <c r="M70" s="10">
        <f t="shared" si="16"/>
        <v>0</v>
      </c>
      <c r="N70" s="10">
        <f t="shared" si="24"/>
        <v>0</v>
      </c>
      <c r="O70" s="11">
        <f t="shared" si="22"/>
        <v>-1</v>
      </c>
      <c r="P70" s="11">
        <f t="shared" si="23"/>
        <v>-1</v>
      </c>
      <c r="Q70" s="11">
        <f t="shared" si="25"/>
        <v>0</v>
      </c>
      <c r="R70" s="12">
        <f t="shared" si="26"/>
        <v>0</v>
      </c>
      <c r="S70" s="12">
        <f t="shared" si="27"/>
        <v>2</v>
      </c>
      <c r="T70" s="13">
        <f t="shared" si="28"/>
        <v>4</v>
      </c>
      <c r="U70" s="13">
        <f t="shared" si="29"/>
        <v>12</v>
      </c>
    </row>
    <row r="71" spans="1:21" ht="46.5" customHeight="1" thickBot="1" x14ac:dyDescent="0.25">
      <c r="A71" s="2">
        <v>44059</v>
      </c>
      <c r="B71" s="4" t="s">
        <v>161</v>
      </c>
      <c r="C71" s="4" t="s">
        <v>165</v>
      </c>
      <c r="D71" s="3">
        <v>2.448</v>
      </c>
      <c r="E71" s="3" t="s">
        <v>25</v>
      </c>
      <c r="F71" s="3" t="s">
        <v>166</v>
      </c>
      <c r="G71" s="3" t="s">
        <v>4</v>
      </c>
      <c r="H71" s="8">
        <f t="shared" si="17"/>
        <v>2020</v>
      </c>
      <c r="I71" s="10" t="str">
        <f t="shared" si="18"/>
        <v>0</v>
      </c>
      <c r="J71" s="10" t="str">
        <f t="shared" si="19"/>
        <v>6</v>
      </c>
      <c r="K71" s="10" t="str">
        <f t="shared" si="20"/>
        <v>6</v>
      </c>
      <c r="L71" s="10" t="str">
        <f t="shared" si="21"/>
        <v>4</v>
      </c>
      <c r="M71" s="10" t="str">
        <f t="shared" si="16"/>
        <v>6</v>
      </c>
      <c r="N71" s="10" t="str">
        <f t="shared" si="24"/>
        <v>2</v>
      </c>
      <c r="O71" s="11">
        <f t="shared" si="22"/>
        <v>-1</v>
      </c>
      <c r="P71" s="11">
        <f t="shared" si="23"/>
        <v>1</v>
      </c>
      <c r="Q71" s="11">
        <f t="shared" si="25"/>
        <v>1</v>
      </c>
      <c r="R71" s="12">
        <f t="shared" si="26"/>
        <v>2</v>
      </c>
      <c r="S71" s="12">
        <f t="shared" si="27"/>
        <v>1</v>
      </c>
      <c r="T71" s="13">
        <f t="shared" si="28"/>
        <v>12</v>
      </c>
      <c r="U71" s="13">
        <f t="shared" si="29"/>
        <v>12</v>
      </c>
    </row>
    <row r="72" spans="1:21" ht="46.5" customHeight="1" thickBot="1" x14ac:dyDescent="0.25">
      <c r="A72" s="2">
        <v>44066</v>
      </c>
      <c r="B72" s="4" t="s">
        <v>167</v>
      </c>
      <c r="C72" s="4" t="s">
        <v>168</v>
      </c>
      <c r="D72" s="3">
        <v>3.8650000000000002</v>
      </c>
      <c r="E72" s="3" t="s">
        <v>6</v>
      </c>
      <c r="F72" s="3" t="s">
        <v>129</v>
      </c>
      <c r="G72" s="3" t="s">
        <v>15</v>
      </c>
      <c r="H72" s="8">
        <f t="shared" si="17"/>
        <v>2020</v>
      </c>
      <c r="I72" s="10" t="str">
        <f t="shared" si="18"/>
        <v>5</v>
      </c>
      <c r="J72" s="10" t="str">
        <f t="shared" si="19"/>
        <v>7</v>
      </c>
      <c r="K72" s="10" t="str">
        <f t="shared" si="20"/>
        <v>5</v>
      </c>
      <c r="L72" s="10" t="str">
        <f t="shared" si="21"/>
        <v>7</v>
      </c>
      <c r="M72" s="10">
        <f t="shared" si="16"/>
        <v>0</v>
      </c>
      <c r="N72" s="10">
        <f t="shared" si="24"/>
        <v>0</v>
      </c>
      <c r="O72" s="11">
        <f t="shared" si="22"/>
        <v>-1</v>
      </c>
      <c r="P72" s="11">
        <f t="shared" si="23"/>
        <v>-1</v>
      </c>
      <c r="Q72" s="11">
        <f t="shared" si="25"/>
        <v>0</v>
      </c>
      <c r="R72" s="12">
        <f t="shared" si="26"/>
        <v>0</v>
      </c>
      <c r="S72" s="12">
        <f t="shared" si="27"/>
        <v>2</v>
      </c>
      <c r="T72" s="13">
        <f t="shared" si="28"/>
        <v>10</v>
      </c>
      <c r="U72" s="13">
        <f t="shared" si="29"/>
        <v>14</v>
      </c>
    </row>
    <row r="73" spans="1:21" ht="15.75" thickBot="1" x14ac:dyDescent="0.25">
      <c r="A73" s="2"/>
      <c r="B73" s="4"/>
      <c r="C73" s="4"/>
      <c r="D73" s="3"/>
      <c r="E73" s="3"/>
      <c r="F73" s="3"/>
      <c r="G73" s="3"/>
      <c r="I73" s="10" t="str">
        <f t="shared" ref="I73:I99" si="30">LEFT(F73)</f>
        <v/>
      </c>
      <c r="J73" s="10" t="str">
        <f t="shared" ref="J73:J99" si="31">MID(F73,3,1)</f>
        <v/>
      </c>
      <c r="K73" s="10" t="str">
        <f t="shared" si="20"/>
        <v/>
      </c>
      <c r="L73" s="10" t="str">
        <f t="shared" si="21"/>
        <v/>
      </c>
      <c r="M73" s="10">
        <f t="shared" si="16"/>
        <v>0</v>
      </c>
      <c r="N73" s="10">
        <f t="shared" si="24"/>
        <v>0</v>
      </c>
      <c r="O73" s="11">
        <f t="shared" ref="O73:O99" si="32">IF(I73&gt;J73,1,-1)</f>
        <v>-1</v>
      </c>
      <c r="P73" s="11">
        <f t="shared" ref="P73:P99" si="33">IF(K73&gt;L73,1,-1)</f>
        <v>-1</v>
      </c>
      <c r="Q73" s="11">
        <f t="shared" ref="Q73:Q99" si="34">IF(M73&gt;N73,1,IF(N73&gt;M73,-1,0))</f>
        <v>0</v>
      </c>
      <c r="R73" s="12">
        <f t="shared" ref="R73:R99" si="35">COUNTIF(O73:Q73,1)</f>
        <v>0</v>
      </c>
      <c r="S73" s="12">
        <f t="shared" ref="S73:S99" si="36">COUNTIF(O73:Q73,-1)</f>
        <v>2</v>
      </c>
      <c r="T73" s="13" t="e">
        <f t="shared" ref="T73:T88" si="37">I73+K73+M73</f>
        <v>#VALUE!</v>
      </c>
      <c r="U73" s="13" t="e">
        <f t="shared" ref="U73:U88" si="38">J73+L73+N73</f>
        <v>#VALUE!</v>
      </c>
    </row>
    <row r="74" spans="1:21" ht="15.75" thickBot="1" x14ac:dyDescent="0.25">
      <c r="A74" s="2"/>
      <c r="B74" s="4"/>
      <c r="C74" s="4"/>
      <c r="D74" s="3"/>
      <c r="E74" s="3"/>
      <c r="F74" s="3"/>
      <c r="G74" s="3"/>
      <c r="I74" s="10" t="str">
        <f t="shared" si="30"/>
        <v/>
      </c>
      <c r="J74" s="10" t="str">
        <f t="shared" si="31"/>
        <v/>
      </c>
      <c r="K74" s="10" t="str">
        <f t="shared" si="20"/>
        <v/>
      </c>
      <c r="L74" s="10" t="str">
        <f t="shared" si="21"/>
        <v/>
      </c>
      <c r="M74" s="10">
        <f t="shared" si="16"/>
        <v>0</v>
      </c>
      <c r="N74" s="10">
        <f t="shared" si="24"/>
        <v>0</v>
      </c>
      <c r="O74" s="11">
        <f t="shared" si="32"/>
        <v>-1</v>
      </c>
      <c r="P74" s="11">
        <f t="shared" si="33"/>
        <v>-1</v>
      </c>
      <c r="Q74" s="11">
        <f t="shared" si="34"/>
        <v>0</v>
      </c>
      <c r="R74" s="12">
        <f t="shared" si="35"/>
        <v>0</v>
      </c>
      <c r="S74" s="12">
        <f t="shared" si="36"/>
        <v>2</v>
      </c>
      <c r="T74" s="13" t="e">
        <f t="shared" si="37"/>
        <v>#VALUE!</v>
      </c>
      <c r="U74" s="13" t="e">
        <f t="shared" si="38"/>
        <v>#VALUE!</v>
      </c>
    </row>
    <row r="75" spans="1:21" ht="15.75" thickBot="1" x14ac:dyDescent="0.25">
      <c r="A75" s="2"/>
      <c r="B75" s="4"/>
      <c r="C75" s="4"/>
      <c r="D75" s="3"/>
      <c r="E75" s="3"/>
      <c r="F75" s="3"/>
      <c r="G75" s="3"/>
      <c r="I75" s="10" t="str">
        <f t="shared" si="30"/>
        <v/>
      </c>
      <c r="J75" s="10" t="str">
        <f t="shared" si="31"/>
        <v/>
      </c>
      <c r="K75" s="10" t="str">
        <f t="shared" si="20"/>
        <v/>
      </c>
      <c r="L75" s="10" t="str">
        <f t="shared" si="21"/>
        <v/>
      </c>
      <c r="M75" s="10">
        <f t="shared" si="16"/>
        <v>0</v>
      </c>
      <c r="N75" s="10">
        <f t="shared" si="24"/>
        <v>0</v>
      </c>
      <c r="O75" s="11">
        <f t="shared" si="32"/>
        <v>-1</v>
      </c>
      <c r="P75" s="11">
        <f t="shared" si="33"/>
        <v>-1</v>
      </c>
      <c r="Q75" s="11">
        <f t="shared" si="34"/>
        <v>0</v>
      </c>
      <c r="R75" s="12">
        <f t="shared" si="35"/>
        <v>0</v>
      </c>
      <c r="S75" s="12">
        <f t="shared" si="36"/>
        <v>2</v>
      </c>
      <c r="T75" s="13" t="e">
        <f t="shared" si="37"/>
        <v>#VALUE!</v>
      </c>
      <c r="U75" s="13" t="e">
        <f t="shared" si="38"/>
        <v>#VALUE!</v>
      </c>
    </row>
    <row r="76" spans="1:21" ht="15.75" thickBot="1" x14ac:dyDescent="0.25">
      <c r="A76" s="2"/>
      <c r="B76" s="4"/>
      <c r="C76" s="4"/>
      <c r="D76" s="3"/>
      <c r="E76" s="3"/>
      <c r="F76" s="3"/>
      <c r="G76" s="3"/>
      <c r="I76" s="10" t="str">
        <f t="shared" si="30"/>
        <v/>
      </c>
      <c r="J76" s="10" t="str">
        <f t="shared" si="31"/>
        <v/>
      </c>
      <c r="K76" s="10" t="str">
        <f t="shared" si="20"/>
        <v/>
      </c>
      <c r="L76" s="10" t="str">
        <f t="shared" si="21"/>
        <v/>
      </c>
      <c r="M76" s="10">
        <f t="shared" si="16"/>
        <v>0</v>
      </c>
      <c r="N76" s="10">
        <f t="shared" si="24"/>
        <v>0</v>
      </c>
      <c r="O76" s="11">
        <f t="shared" si="32"/>
        <v>-1</v>
      </c>
      <c r="P76" s="11">
        <f t="shared" si="33"/>
        <v>-1</v>
      </c>
      <c r="Q76" s="11">
        <f t="shared" si="34"/>
        <v>0</v>
      </c>
      <c r="R76" s="12">
        <f t="shared" si="35"/>
        <v>0</v>
      </c>
      <c r="S76" s="12">
        <f t="shared" si="36"/>
        <v>2</v>
      </c>
      <c r="T76" s="13" t="e">
        <f t="shared" si="37"/>
        <v>#VALUE!</v>
      </c>
      <c r="U76" s="13" t="e">
        <f t="shared" si="38"/>
        <v>#VALUE!</v>
      </c>
    </row>
    <row r="77" spans="1:21" ht="15.75" thickBot="1" x14ac:dyDescent="0.25">
      <c r="A77" s="2"/>
      <c r="B77" s="4"/>
      <c r="C77" s="4"/>
      <c r="D77" s="3"/>
      <c r="E77" s="3"/>
      <c r="F77" s="3"/>
      <c r="G77" s="3"/>
      <c r="I77" s="10" t="str">
        <f t="shared" si="30"/>
        <v/>
      </c>
      <c r="J77" s="10" t="str">
        <f t="shared" si="31"/>
        <v/>
      </c>
      <c r="K77" s="10" t="str">
        <f t="shared" si="20"/>
        <v/>
      </c>
      <c r="L77" s="10" t="str">
        <f t="shared" si="21"/>
        <v/>
      </c>
      <c r="M77" s="10">
        <f t="shared" si="16"/>
        <v>0</v>
      </c>
      <c r="N77" s="10">
        <f t="shared" si="24"/>
        <v>0</v>
      </c>
      <c r="O77" s="11">
        <f t="shared" si="32"/>
        <v>-1</v>
      </c>
      <c r="P77" s="11">
        <f t="shared" si="33"/>
        <v>-1</v>
      </c>
      <c r="Q77" s="11">
        <f t="shared" si="34"/>
        <v>0</v>
      </c>
      <c r="R77" s="12">
        <f t="shared" si="35"/>
        <v>0</v>
      </c>
      <c r="S77" s="12">
        <f t="shared" si="36"/>
        <v>2</v>
      </c>
      <c r="T77" s="13" t="e">
        <f t="shared" si="37"/>
        <v>#VALUE!</v>
      </c>
      <c r="U77" s="13" t="e">
        <f t="shared" si="38"/>
        <v>#VALUE!</v>
      </c>
    </row>
    <row r="78" spans="1:21" ht="15.75" thickBot="1" x14ac:dyDescent="0.25">
      <c r="A78" s="2"/>
      <c r="B78" s="4"/>
      <c r="C78" s="4"/>
      <c r="D78" s="3"/>
      <c r="E78" s="3"/>
      <c r="F78" s="3"/>
      <c r="G78" s="3"/>
      <c r="I78" s="10" t="str">
        <f t="shared" si="30"/>
        <v/>
      </c>
      <c r="J78" s="10" t="str">
        <f t="shared" si="31"/>
        <v/>
      </c>
      <c r="K78" s="10" t="str">
        <f t="shared" si="20"/>
        <v/>
      </c>
      <c r="L78" s="10" t="str">
        <f t="shared" si="21"/>
        <v/>
      </c>
      <c r="M78" s="10">
        <f t="shared" si="16"/>
        <v>0</v>
      </c>
      <c r="N78" s="10">
        <f t="shared" si="24"/>
        <v>0</v>
      </c>
      <c r="O78" s="11">
        <f t="shared" si="32"/>
        <v>-1</v>
      </c>
      <c r="P78" s="11">
        <f t="shared" si="33"/>
        <v>-1</v>
      </c>
      <c r="Q78" s="11">
        <f t="shared" si="34"/>
        <v>0</v>
      </c>
      <c r="R78" s="12">
        <f t="shared" si="35"/>
        <v>0</v>
      </c>
      <c r="S78" s="12">
        <f t="shared" si="36"/>
        <v>2</v>
      </c>
      <c r="T78" s="13" t="e">
        <f t="shared" si="37"/>
        <v>#VALUE!</v>
      </c>
      <c r="U78" s="13" t="e">
        <f t="shared" si="38"/>
        <v>#VALUE!</v>
      </c>
    </row>
    <row r="79" spans="1:21" ht="15.75" thickBot="1" x14ac:dyDescent="0.25">
      <c r="A79" s="2"/>
      <c r="B79" s="4"/>
      <c r="C79" s="4"/>
      <c r="D79" s="3"/>
      <c r="E79" s="3"/>
      <c r="F79" s="3"/>
      <c r="G79" s="3"/>
      <c r="I79" s="10" t="str">
        <f t="shared" si="30"/>
        <v/>
      </c>
      <c r="J79" s="10" t="str">
        <f t="shared" si="31"/>
        <v/>
      </c>
      <c r="K79" s="10" t="str">
        <f t="shared" si="20"/>
        <v/>
      </c>
      <c r="L79" s="10" t="str">
        <f t="shared" si="21"/>
        <v/>
      </c>
      <c r="M79" s="10">
        <f t="shared" si="16"/>
        <v>0</v>
      </c>
      <c r="N79" s="10">
        <f t="shared" si="24"/>
        <v>0</v>
      </c>
      <c r="O79" s="11">
        <f t="shared" si="32"/>
        <v>-1</v>
      </c>
      <c r="P79" s="11">
        <f t="shared" si="33"/>
        <v>-1</v>
      </c>
      <c r="Q79" s="11">
        <f t="shared" si="34"/>
        <v>0</v>
      </c>
      <c r="R79" s="12">
        <f t="shared" si="35"/>
        <v>0</v>
      </c>
      <c r="S79" s="12">
        <f t="shared" si="36"/>
        <v>2</v>
      </c>
      <c r="T79" s="13" t="e">
        <f t="shared" si="37"/>
        <v>#VALUE!</v>
      </c>
      <c r="U79" s="13" t="e">
        <f t="shared" si="38"/>
        <v>#VALUE!</v>
      </c>
    </row>
    <row r="80" spans="1:21" ht="15.75" thickBot="1" x14ac:dyDescent="0.25">
      <c r="A80" s="2"/>
      <c r="B80" s="4"/>
      <c r="C80" s="4"/>
      <c r="D80" s="3"/>
      <c r="E80" s="3"/>
      <c r="F80" s="3"/>
      <c r="G80" s="3"/>
      <c r="I80" s="10" t="str">
        <f t="shared" si="30"/>
        <v/>
      </c>
      <c r="J80" s="10" t="str">
        <f t="shared" si="31"/>
        <v/>
      </c>
      <c r="K80" s="10" t="str">
        <f t="shared" si="20"/>
        <v/>
      </c>
      <c r="L80" s="10" t="str">
        <f t="shared" si="21"/>
        <v/>
      </c>
      <c r="M80" s="10">
        <f t="shared" si="16"/>
        <v>0</v>
      </c>
      <c r="N80" s="10">
        <f t="shared" si="24"/>
        <v>0</v>
      </c>
      <c r="O80" s="11">
        <f t="shared" si="32"/>
        <v>-1</v>
      </c>
      <c r="P80" s="11">
        <f t="shared" si="33"/>
        <v>-1</v>
      </c>
      <c r="Q80" s="11">
        <f t="shared" si="34"/>
        <v>0</v>
      </c>
      <c r="R80" s="12">
        <f t="shared" si="35"/>
        <v>0</v>
      </c>
      <c r="S80" s="12">
        <f t="shared" si="36"/>
        <v>2</v>
      </c>
      <c r="T80" s="13" t="e">
        <f t="shared" si="37"/>
        <v>#VALUE!</v>
      </c>
      <c r="U80" s="13" t="e">
        <f t="shared" si="38"/>
        <v>#VALUE!</v>
      </c>
    </row>
    <row r="81" spans="1:21" ht="15.75" thickBot="1" x14ac:dyDescent="0.25">
      <c r="A81" s="2"/>
      <c r="B81" s="4"/>
      <c r="C81" s="4"/>
      <c r="D81" s="3"/>
      <c r="E81" s="3"/>
      <c r="F81" s="3"/>
      <c r="G81" s="3"/>
      <c r="I81" s="10" t="str">
        <f t="shared" si="30"/>
        <v/>
      </c>
      <c r="J81" s="10" t="str">
        <f t="shared" si="31"/>
        <v/>
      </c>
      <c r="K81" s="10" t="str">
        <f t="shared" si="20"/>
        <v/>
      </c>
      <c r="L81" s="10" t="str">
        <f t="shared" si="21"/>
        <v/>
      </c>
      <c r="M81" s="10">
        <f t="shared" si="16"/>
        <v>0</v>
      </c>
      <c r="N81" s="10">
        <f t="shared" si="24"/>
        <v>0</v>
      </c>
      <c r="O81" s="11">
        <f t="shared" si="32"/>
        <v>-1</v>
      </c>
      <c r="P81" s="11">
        <f t="shared" si="33"/>
        <v>-1</v>
      </c>
      <c r="Q81" s="11">
        <f t="shared" si="34"/>
        <v>0</v>
      </c>
      <c r="R81" s="12">
        <f t="shared" si="35"/>
        <v>0</v>
      </c>
      <c r="S81" s="12">
        <f t="shared" si="36"/>
        <v>2</v>
      </c>
      <c r="T81" s="13" t="e">
        <f t="shared" si="37"/>
        <v>#VALUE!</v>
      </c>
      <c r="U81" s="13" t="e">
        <f t="shared" si="38"/>
        <v>#VALUE!</v>
      </c>
    </row>
    <row r="82" spans="1:21" ht="15.75" thickBot="1" x14ac:dyDescent="0.25">
      <c r="A82" s="2"/>
      <c r="B82" s="4"/>
      <c r="C82" s="4"/>
      <c r="D82" s="3"/>
      <c r="E82" s="3"/>
      <c r="F82" s="3"/>
      <c r="G82" s="3"/>
      <c r="I82" s="10" t="str">
        <f t="shared" si="30"/>
        <v/>
      </c>
      <c r="J82" s="10" t="str">
        <f t="shared" si="31"/>
        <v/>
      </c>
      <c r="K82" s="10" t="str">
        <f t="shared" si="20"/>
        <v/>
      </c>
      <c r="L82" s="10" t="str">
        <f t="shared" si="21"/>
        <v/>
      </c>
      <c r="M82" s="10">
        <f t="shared" si="16"/>
        <v>0</v>
      </c>
      <c r="N82" s="10">
        <f t="shared" si="24"/>
        <v>0</v>
      </c>
      <c r="O82" s="11">
        <f t="shared" si="32"/>
        <v>-1</v>
      </c>
      <c r="P82" s="11">
        <f t="shared" si="33"/>
        <v>-1</v>
      </c>
      <c r="Q82" s="11">
        <f t="shared" si="34"/>
        <v>0</v>
      </c>
      <c r="R82" s="12">
        <f t="shared" si="35"/>
        <v>0</v>
      </c>
      <c r="S82" s="12">
        <f t="shared" si="36"/>
        <v>2</v>
      </c>
      <c r="T82" s="13" t="e">
        <f t="shared" si="37"/>
        <v>#VALUE!</v>
      </c>
      <c r="U82" s="13" t="e">
        <f t="shared" si="38"/>
        <v>#VALUE!</v>
      </c>
    </row>
    <row r="83" spans="1:21" ht="15.75" thickBot="1" x14ac:dyDescent="0.25">
      <c r="A83" s="2"/>
      <c r="B83" s="4"/>
      <c r="C83" s="4"/>
      <c r="D83" s="3"/>
      <c r="E83" s="3"/>
      <c r="F83" s="3"/>
      <c r="G83" s="3"/>
      <c r="I83" s="10" t="str">
        <f t="shared" si="30"/>
        <v/>
      </c>
      <c r="J83" s="10" t="str">
        <f t="shared" si="31"/>
        <v/>
      </c>
      <c r="K83" s="10" t="str">
        <f t="shared" si="20"/>
        <v/>
      </c>
      <c r="L83" s="10" t="str">
        <f t="shared" si="21"/>
        <v/>
      </c>
      <c r="M83" s="10">
        <f t="shared" si="16"/>
        <v>0</v>
      </c>
      <c r="N83" s="10">
        <f t="shared" si="24"/>
        <v>0</v>
      </c>
      <c r="O83" s="11">
        <f t="shared" si="32"/>
        <v>-1</v>
      </c>
      <c r="P83" s="11">
        <f t="shared" si="33"/>
        <v>-1</v>
      </c>
      <c r="Q83" s="11">
        <f t="shared" si="34"/>
        <v>0</v>
      </c>
      <c r="R83" s="12">
        <f t="shared" si="35"/>
        <v>0</v>
      </c>
      <c r="S83" s="12">
        <f t="shared" si="36"/>
        <v>2</v>
      </c>
      <c r="T83" s="13" t="e">
        <f t="shared" si="37"/>
        <v>#VALUE!</v>
      </c>
      <c r="U83" s="13" t="e">
        <f t="shared" si="38"/>
        <v>#VALUE!</v>
      </c>
    </row>
    <row r="84" spans="1:21" ht="15.75" thickBot="1" x14ac:dyDescent="0.25">
      <c r="A84" s="2"/>
      <c r="B84" s="4"/>
      <c r="C84" s="4"/>
      <c r="D84" s="3"/>
      <c r="E84" s="3"/>
      <c r="F84" s="3"/>
      <c r="G84" s="3"/>
      <c r="I84" s="10" t="str">
        <f t="shared" si="30"/>
        <v/>
      </c>
      <c r="J84" s="10" t="str">
        <f t="shared" si="31"/>
        <v/>
      </c>
      <c r="K84" s="10" t="str">
        <f t="shared" si="20"/>
        <v/>
      </c>
      <c r="L84" s="10" t="str">
        <f t="shared" si="21"/>
        <v/>
      </c>
      <c r="M84" s="10">
        <f t="shared" si="16"/>
        <v>0</v>
      </c>
      <c r="N84" s="10">
        <f t="shared" si="24"/>
        <v>0</v>
      </c>
      <c r="O84" s="11">
        <f t="shared" si="32"/>
        <v>-1</v>
      </c>
      <c r="P84" s="11">
        <f t="shared" si="33"/>
        <v>-1</v>
      </c>
      <c r="Q84" s="11">
        <f t="shared" si="34"/>
        <v>0</v>
      </c>
      <c r="R84" s="12">
        <f t="shared" si="35"/>
        <v>0</v>
      </c>
      <c r="S84" s="12">
        <f t="shared" si="36"/>
        <v>2</v>
      </c>
      <c r="T84" s="13" t="e">
        <f t="shared" si="37"/>
        <v>#VALUE!</v>
      </c>
      <c r="U84" s="13" t="e">
        <f t="shared" si="38"/>
        <v>#VALUE!</v>
      </c>
    </row>
    <row r="85" spans="1:21" ht="15.75" thickBot="1" x14ac:dyDescent="0.25">
      <c r="A85" s="2"/>
      <c r="B85" s="4"/>
      <c r="C85" s="4"/>
      <c r="D85" s="3"/>
      <c r="E85" s="3"/>
      <c r="F85" s="3"/>
      <c r="G85" s="3"/>
      <c r="I85" s="10" t="str">
        <f t="shared" si="30"/>
        <v/>
      </c>
      <c r="J85" s="10" t="str">
        <f t="shared" si="31"/>
        <v/>
      </c>
      <c r="K85" s="10" t="str">
        <f t="shared" si="20"/>
        <v/>
      </c>
      <c r="L85" s="10" t="str">
        <f t="shared" si="21"/>
        <v/>
      </c>
      <c r="M85" s="10">
        <f t="shared" si="16"/>
        <v>0</v>
      </c>
      <c r="N85" s="10">
        <f t="shared" si="24"/>
        <v>0</v>
      </c>
      <c r="O85" s="11">
        <f t="shared" si="32"/>
        <v>-1</v>
      </c>
      <c r="P85" s="11">
        <f t="shared" si="33"/>
        <v>-1</v>
      </c>
      <c r="Q85" s="11">
        <f t="shared" si="34"/>
        <v>0</v>
      </c>
      <c r="R85" s="12">
        <f t="shared" si="35"/>
        <v>0</v>
      </c>
      <c r="S85" s="12">
        <f t="shared" si="36"/>
        <v>2</v>
      </c>
      <c r="T85" s="13" t="e">
        <f t="shared" si="37"/>
        <v>#VALUE!</v>
      </c>
      <c r="U85" s="13" t="e">
        <f t="shared" si="38"/>
        <v>#VALUE!</v>
      </c>
    </row>
    <row r="86" spans="1:21" ht="15.75" thickBot="1" x14ac:dyDescent="0.25">
      <c r="A86" s="2"/>
      <c r="B86" s="4"/>
      <c r="C86" s="4"/>
      <c r="D86" s="3"/>
      <c r="E86" s="3"/>
      <c r="F86" s="3"/>
      <c r="G86" s="3"/>
      <c r="I86" s="10" t="str">
        <f t="shared" si="30"/>
        <v/>
      </c>
      <c r="J86" s="10" t="str">
        <f t="shared" si="31"/>
        <v/>
      </c>
      <c r="K86" s="10" t="str">
        <f t="shared" si="20"/>
        <v/>
      </c>
      <c r="L86" s="10" t="str">
        <f t="shared" si="21"/>
        <v/>
      </c>
      <c r="M86" s="10">
        <f t="shared" si="16"/>
        <v>0</v>
      </c>
      <c r="N86" s="10">
        <f t="shared" si="24"/>
        <v>0</v>
      </c>
      <c r="O86" s="11">
        <f t="shared" si="32"/>
        <v>-1</v>
      </c>
      <c r="P86" s="11">
        <f t="shared" si="33"/>
        <v>-1</v>
      </c>
      <c r="Q86" s="11">
        <f t="shared" si="34"/>
        <v>0</v>
      </c>
      <c r="R86" s="12">
        <f t="shared" si="35"/>
        <v>0</v>
      </c>
      <c r="S86" s="12">
        <f t="shared" si="36"/>
        <v>2</v>
      </c>
      <c r="T86" s="13" t="e">
        <f t="shared" si="37"/>
        <v>#VALUE!</v>
      </c>
      <c r="U86" s="13" t="e">
        <f t="shared" si="38"/>
        <v>#VALUE!</v>
      </c>
    </row>
    <row r="87" spans="1:21" ht="15.75" thickBot="1" x14ac:dyDescent="0.25">
      <c r="A87" s="2"/>
      <c r="B87" s="4"/>
      <c r="C87" s="4"/>
      <c r="D87" s="3"/>
      <c r="E87" s="3"/>
      <c r="F87" s="3"/>
      <c r="G87" s="3"/>
      <c r="I87" s="10" t="str">
        <f t="shared" si="30"/>
        <v/>
      </c>
      <c r="J87" s="10" t="str">
        <f t="shared" si="31"/>
        <v/>
      </c>
      <c r="K87" s="10" t="str">
        <f t="shared" si="20"/>
        <v/>
      </c>
      <c r="L87" s="10" t="str">
        <f t="shared" si="21"/>
        <v/>
      </c>
      <c r="M87" s="10">
        <f t="shared" si="16"/>
        <v>0</v>
      </c>
      <c r="N87" s="10">
        <f t="shared" si="24"/>
        <v>0</v>
      </c>
      <c r="O87" s="11">
        <f t="shared" si="32"/>
        <v>-1</v>
      </c>
      <c r="P87" s="11">
        <f t="shared" si="33"/>
        <v>-1</v>
      </c>
      <c r="Q87" s="11">
        <f t="shared" si="34"/>
        <v>0</v>
      </c>
      <c r="R87" s="12">
        <f t="shared" si="35"/>
        <v>0</v>
      </c>
      <c r="S87" s="12">
        <f t="shared" si="36"/>
        <v>2</v>
      </c>
      <c r="T87" s="13" t="e">
        <f t="shared" si="37"/>
        <v>#VALUE!</v>
      </c>
      <c r="U87" s="13" t="e">
        <f t="shared" si="38"/>
        <v>#VALUE!</v>
      </c>
    </row>
    <row r="88" spans="1:21" ht="15.75" thickBot="1" x14ac:dyDescent="0.25">
      <c r="A88" s="2"/>
      <c r="B88" s="4"/>
      <c r="C88" s="4"/>
      <c r="D88" s="3"/>
      <c r="E88" s="3"/>
      <c r="F88" s="3"/>
      <c r="G88" s="3"/>
      <c r="I88" s="10" t="str">
        <f t="shared" si="30"/>
        <v/>
      </c>
      <c r="J88" s="10" t="str">
        <f t="shared" si="31"/>
        <v/>
      </c>
      <c r="K88" s="10" t="str">
        <f t="shared" si="20"/>
        <v/>
      </c>
      <c r="L88" s="10" t="str">
        <f t="shared" si="21"/>
        <v/>
      </c>
      <c r="M88" s="10">
        <f t="shared" si="16"/>
        <v>0</v>
      </c>
      <c r="N88" s="10">
        <f t="shared" si="24"/>
        <v>0</v>
      </c>
      <c r="O88" s="11">
        <f t="shared" si="32"/>
        <v>-1</v>
      </c>
      <c r="P88" s="11">
        <f t="shared" si="33"/>
        <v>-1</v>
      </c>
      <c r="Q88" s="11">
        <f t="shared" si="34"/>
        <v>0</v>
      </c>
      <c r="R88" s="12">
        <f t="shared" si="35"/>
        <v>0</v>
      </c>
      <c r="S88" s="12">
        <f t="shared" si="36"/>
        <v>2</v>
      </c>
      <c r="T88" s="13" t="e">
        <f t="shared" si="37"/>
        <v>#VALUE!</v>
      </c>
      <c r="U88" s="13" t="e">
        <f t="shared" si="38"/>
        <v>#VALUE!</v>
      </c>
    </row>
    <row r="89" spans="1:21" ht="15.75" thickBot="1" x14ac:dyDescent="0.25">
      <c r="A89" s="2"/>
      <c r="B89" s="4"/>
      <c r="C89" s="4"/>
      <c r="D89" s="3"/>
      <c r="E89" s="3"/>
      <c r="F89" s="3"/>
      <c r="G89" s="3"/>
      <c r="I89" s="10" t="str">
        <f t="shared" si="30"/>
        <v/>
      </c>
      <c r="J89" s="10" t="str">
        <f t="shared" si="31"/>
        <v/>
      </c>
      <c r="K89" s="10" t="str">
        <f t="shared" si="20"/>
        <v/>
      </c>
      <c r="L89" s="10" t="str">
        <f t="shared" si="21"/>
        <v/>
      </c>
      <c r="M89" s="10">
        <f t="shared" si="16"/>
        <v>0</v>
      </c>
      <c r="N89" s="10">
        <f t="shared" si="24"/>
        <v>0</v>
      </c>
      <c r="O89" s="11">
        <f t="shared" si="32"/>
        <v>-1</v>
      </c>
      <c r="P89" s="11">
        <f t="shared" si="33"/>
        <v>-1</v>
      </c>
      <c r="Q89" s="11">
        <f t="shared" si="34"/>
        <v>0</v>
      </c>
      <c r="R89" s="12">
        <f t="shared" si="35"/>
        <v>0</v>
      </c>
      <c r="S89" s="12">
        <f t="shared" si="36"/>
        <v>2</v>
      </c>
      <c r="T89" s="13" t="e">
        <f t="shared" ref="T89:T99" si="39">I89+K89+M89</f>
        <v>#VALUE!</v>
      </c>
      <c r="U89" s="13" t="e">
        <f t="shared" ref="U89:U99" si="40">J89+L89+N89</f>
        <v>#VALUE!</v>
      </c>
    </row>
    <row r="90" spans="1:21" ht="15.75" thickBot="1" x14ac:dyDescent="0.25">
      <c r="A90" s="2"/>
      <c r="B90" s="4"/>
      <c r="C90" s="4"/>
      <c r="D90" s="3"/>
      <c r="E90" s="3"/>
      <c r="F90" s="3"/>
      <c r="G90" s="3"/>
      <c r="I90" s="10" t="str">
        <f t="shared" si="30"/>
        <v/>
      </c>
      <c r="J90" s="10" t="str">
        <f t="shared" si="31"/>
        <v/>
      </c>
      <c r="K90" s="10" t="str">
        <f t="shared" si="20"/>
        <v/>
      </c>
      <c r="L90" s="10" t="str">
        <f t="shared" si="21"/>
        <v/>
      </c>
      <c r="M90" s="10">
        <f t="shared" si="16"/>
        <v>0</v>
      </c>
      <c r="N90" s="10">
        <f t="shared" si="24"/>
        <v>0</v>
      </c>
      <c r="O90" s="11">
        <f t="shared" si="32"/>
        <v>-1</v>
      </c>
      <c r="P90" s="11">
        <f t="shared" si="33"/>
        <v>-1</v>
      </c>
      <c r="Q90" s="11">
        <f t="shared" si="34"/>
        <v>0</v>
      </c>
      <c r="R90" s="12">
        <f t="shared" si="35"/>
        <v>0</v>
      </c>
      <c r="S90" s="12">
        <f t="shared" si="36"/>
        <v>2</v>
      </c>
      <c r="T90" s="13" t="e">
        <f t="shared" si="39"/>
        <v>#VALUE!</v>
      </c>
      <c r="U90" s="13" t="e">
        <f t="shared" si="40"/>
        <v>#VALUE!</v>
      </c>
    </row>
    <row r="91" spans="1:21" ht="15.75" thickBot="1" x14ac:dyDescent="0.25">
      <c r="A91" s="2"/>
      <c r="B91" s="4"/>
      <c r="C91" s="4"/>
      <c r="D91" s="3"/>
      <c r="E91" s="3"/>
      <c r="F91" s="3"/>
      <c r="G91" s="3"/>
      <c r="I91" s="10" t="str">
        <f t="shared" si="30"/>
        <v/>
      </c>
      <c r="J91" s="10" t="str">
        <f t="shared" si="31"/>
        <v/>
      </c>
      <c r="K91" s="10" t="str">
        <f t="shared" si="20"/>
        <v/>
      </c>
      <c r="L91" s="10" t="str">
        <f t="shared" si="21"/>
        <v/>
      </c>
      <c r="M91" s="10">
        <f t="shared" si="16"/>
        <v>0</v>
      </c>
      <c r="N91" s="10">
        <f t="shared" si="24"/>
        <v>0</v>
      </c>
      <c r="O91" s="11">
        <f t="shared" si="32"/>
        <v>-1</v>
      </c>
      <c r="P91" s="11">
        <f t="shared" si="33"/>
        <v>-1</v>
      </c>
      <c r="Q91" s="11">
        <f t="shared" si="34"/>
        <v>0</v>
      </c>
      <c r="R91" s="12">
        <f t="shared" si="35"/>
        <v>0</v>
      </c>
      <c r="S91" s="12">
        <f t="shared" si="36"/>
        <v>2</v>
      </c>
      <c r="T91" s="13" t="e">
        <f t="shared" si="39"/>
        <v>#VALUE!</v>
      </c>
      <c r="U91" s="13" t="e">
        <f t="shared" si="40"/>
        <v>#VALUE!</v>
      </c>
    </row>
    <row r="92" spans="1:21" ht="15.75" thickBot="1" x14ac:dyDescent="0.25">
      <c r="A92" s="2"/>
      <c r="B92" s="4"/>
      <c r="C92" s="4"/>
      <c r="D92" s="3"/>
      <c r="E92" s="3"/>
      <c r="F92" s="3"/>
      <c r="G92" s="3"/>
      <c r="I92" s="10" t="str">
        <f t="shared" si="30"/>
        <v/>
      </c>
      <c r="J92" s="10" t="str">
        <f t="shared" si="31"/>
        <v/>
      </c>
      <c r="K92" s="10" t="str">
        <f t="shared" si="20"/>
        <v/>
      </c>
      <c r="L92" s="10" t="str">
        <f t="shared" si="21"/>
        <v/>
      </c>
      <c r="M92" s="10">
        <f t="shared" si="16"/>
        <v>0</v>
      </c>
      <c r="N92" s="10">
        <f t="shared" si="24"/>
        <v>0</v>
      </c>
      <c r="O92" s="11">
        <f t="shared" si="32"/>
        <v>-1</v>
      </c>
      <c r="P92" s="11">
        <f t="shared" si="33"/>
        <v>-1</v>
      </c>
      <c r="Q92" s="11">
        <f t="shared" si="34"/>
        <v>0</v>
      </c>
      <c r="R92" s="12">
        <f t="shared" si="35"/>
        <v>0</v>
      </c>
      <c r="S92" s="12">
        <f t="shared" si="36"/>
        <v>2</v>
      </c>
      <c r="T92" s="13" t="e">
        <f t="shared" si="39"/>
        <v>#VALUE!</v>
      </c>
      <c r="U92" s="13" t="e">
        <f t="shared" si="40"/>
        <v>#VALUE!</v>
      </c>
    </row>
    <row r="93" spans="1:21" ht="15.75" thickBot="1" x14ac:dyDescent="0.25">
      <c r="A93" s="2"/>
      <c r="B93" s="4"/>
      <c r="C93" s="4"/>
      <c r="D93" s="3"/>
      <c r="E93" s="3"/>
      <c r="F93" s="3"/>
      <c r="G93" s="3"/>
      <c r="I93" s="10" t="str">
        <f t="shared" si="30"/>
        <v/>
      </c>
      <c r="J93" s="10" t="str">
        <f t="shared" si="31"/>
        <v/>
      </c>
      <c r="K93" s="10" t="str">
        <f t="shared" si="20"/>
        <v/>
      </c>
      <c r="L93" s="10" t="str">
        <f t="shared" si="21"/>
        <v/>
      </c>
      <c r="M93" s="10">
        <f t="shared" si="16"/>
        <v>0</v>
      </c>
      <c r="N93" s="10">
        <f t="shared" si="24"/>
        <v>0</v>
      </c>
      <c r="O93" s="11">
        <f t="shared" si="32"/>
        <v>-1</v>
      </c>
      <c r="P93" s="11">
        <f t="shared" si="33"/>
        <v>-1</v>
      </c>
      <c r="Q93" s="11">
        <f t="shared" si="34"/>
        <v>0</v>
      </c>
      <c r="R93" s="12">
        <f t="shared" si="35"/>
        <v>0</v>
      </c>
      <c r="S93" s="12">
        <f t="shared" si="36"/>
        <v>2</v>
      </c>
      <c r="T93" s="13" t="e">
        <f t="shared" si="39"/>
        <v>#VALUE!</v>
      </c>
      <c r="U93" s="13" t="e">
        <f t="shared" si="40"/>
        <v>#VALUE!</v>
      </c>
    </row>
    <row r="94" spans="1:21" ht="15.75" thickBot="1" x14ac:dyDescent="0.25">
      <c r="A94" s="2"/>
      <c r="B94" s="4"/>
      <c r="C94" s="4"/>
      <c r="D94" s="3"/>
      <c r="E94" s="3"/>
      <c r="F94" s="3"/>
      <c r="G94" s="3"/>
      <c r="I94" s="10" t="str">
        <f t="shared" si="30"/>
        <v/>
      </c>
      <c r="J94" s="10" t="str">
        <f t="shared" si="31"/>
        <v/>
      </c>
      <c r="K94" s="10" t="str">
        <f t="shared" si="20"/>
        <v/>
      </c>
      <c r="L94" s="10" t="str">
        <f t="shared" si="21"/>
        <v/>
      </c>
      <c r="M94" s="10">
        <f t="shared" si="16"/>
        <v>0</v>
      </c>
      <c r="N94" s="10">
        <f t="shared" si="24"/>
        <v>0</v>
      </c>
      <c r="O94" s="11">
        <f t="shared" si="32"/>
        <v>-1</v>
      </c>
      <c r="P94" s="11">
        <f t="shared" si="33"/>
        <v>-1</v>
      </c>
      <c r="Q94" s="11">
        <f t="shared" si="34"/>
        <v>0</v>
      </c>
      <c r="R94" s="12">
        <f t="shared" si="35"/>
        <v>0</v>
      </c>
      <c r="S94" s="12">
        <f t="shared" si="36"/>
        <v>2</v>
      </c>
      <c r="T94" s="13" t="e">
        <f t="shared" si="39"/>
        <v>#VALUE!</v>
      </c>
      <c r="U94" s="13" t="e">
        <f t="shared" si="40"/>
        <v>#VALUE!</v>
      </c>
    </row>
    <row r="95" spans="1:21" ht="15.75" thickBot="1" x14ac:dyDescent="0.25">
      <c r="A95" s="2"/>
      <c r="B95" s="4"/>
      <c r="C95" s="4"/>
      <c r="D95" s="3"/>
      <c r="E95" s="3"/>
      <c r="F95" s="3"/>
      <c r="G95" s="3"/>
      <c r="I95" s="10" t="str">
        <f t="shared" si="30"/>
        <v/>
      </c>
      <c r="J95" s="10" t="str">
        <f t="shared" si="31"/>
        <v/>
      </c>
      <c r="K95" s="10" t="str">
        <f t="shared" si="20"/>
        <v/>
      </c>
      <c r="L95" s="10" t="str">
        <f t="shared" si="21"/>
        <v/>
      </c>
      <c r="M95" s="10">
        <f t="shared" si="16"/>
        <v>0</v>
      </c>
      <c r="N95" s="10">
        <f t="shared" si="24"/>
        <v>0</v>
      </c>
      <c r="O95" s="11">
        <f t="shared" si="32"/>
        <v>-1</v>
      </c>
      <c r="P95" s="11">
        <f t="shared" si="33"/>
        <v>-1</v>
      </c>
      <c r="Q95" s="11">
        <f t="shared" si="34"/>
        <v>0</v>
      </c>
      <c r="R95" s="12">
        <f t="shared" si="35"/>
        <v>0</v>
      </c>
      <c r="S95" s="12">
        <f t="shared" si="36"/>
        <v>2</v>
      </c>
      <c r="T95" s="13" t="e">
        <f t="shared" si="39"/>
        <v>#VALUE!</v>
      </c>
      <c r="U95" s="13" t="e">
        <f t="shared" si="40"/>
        <v>#VALUE!</v>
      </c>
    </row>
    <row r="96" spans="1:21" ht="15.75" thickBot="1" x14ac:dyDescent="0.25">
      <c r="A96" s="2"/>
      <c r="B96" s="4"/>
      <c r="C96" s="4"/>
      <c r="D96" s="3"/>
      <c r="E96" s="3"/>
      <c r="F96" s="3"/>
      <c r="G96" s="3"/>
      <c r="I96" s="10" t="str">
        <f t="shared" si="30"/>
        <v/>
      </c>
      <c r="J96" s="10" t="str">
        <f t="shared" si="31"/>
        <v/>
      </c>
      <c r="K96" s="10" t="str">
        <f t="shared" si="20"/>
        <v/>
      </c>
      <c r="L96" s="10" t="str">
        <f t="shared" si="21"/>
        <v/>
      </c>
      <c r="M96" s="10">
        <f t="shared" si="16"/>
        <v>0</v>
      </c>
      <c r="N96" s="10">
        <f t="shared" si="24"/>
        <v>0</v>
      </c>
      <c r="O96" s="11">
        <f t="shared" si="32"/>
        <v>-1</v>
      </c>
      <c r="P96" s="11">
        <f t="shared" si="33"/>
        <v>-1</v>
      </c>
      <c r="Q96" s="11">
        <f t="shared" si="34"/>
        <v>0</v>
      </c>
      <c r="R96" s="12">
        <f t="shared" si="35"/>
        <v>0</v>
      </c>
      <c r="S96" s="12">
        <f t="shared" si="36"/>
        <v>2</v>
      </c>
      <c r="T96" s="13" t="e">
        <f t="shared" si="39"/>
        <v>#VALUE!</v>
      </c>
      <c r="U96" s="13" t="e">
        <f t="shared" si="40"/>
        <v>#VALUE!</v>
      </c>
    </row>
    <row r="97" spans="1:21" ht="15.75" thickBot="1" x14ac:dyDescent="0.25">
      <c r="A97" s="2"/>
      <c r="B97" s="4"/>
      <c r="C97" s="4"/>
      <c r="D97" s="3"/>
      <c r="E97" s="3"/>
      <c r="F97" s="3"/>
      <c r="G97" s="3"/>
      <c r="I97" s="10" t="str">
        <f t="shared" si="30"/>
        <v/>
      </c>
      <c r="J97" s="10" t="str">
        <f t="shared" si="31"/>
        <v/>
      </c>
      <c r="K97" s="10" t="str">
        <f t="shared" si="20"/>
        <v/>
      </c>
      <c r="L97" s="10" t="str">
        <f t="shared" si="21"/>
        <v/>
      </c>
      <c r="M97" s="10">
        <f t="shared" ref="M97:M99" si="41">IF(MID($F97,9,1)="",0,(MID($F97,9,1)))</f>
        <v>0</v>
      </c>
      <c r="N97" s="10">
        <f t="shared" si="24"/>
        <v>0</v>
      </c>
      <c r="O97" s="11">
        <f t="shared" si="32"/>
        <v>-1</v>
      </c>
      <c r="P97" s="11">
        <f t="shared" si="33"/>
        <v>-1</v>
      </c>
      <c r="Q97" s="11">
        <f t="shared" si="34"/>
        <v>0</v>
      </c>
      <c r="R97" s="12">
        <f t="shared" si="35"/>
        <v>0</v>
      </c>
      <c r="S97" s="12">
        <f t="shared" si="36"/>
        <v>2</v>
      </c>
      <c r="T97" s="13" t="e">
        <f t="shared" si="39"/>
        <v>#VALUE!</v>
      </c>
      <c r="U97" s="13" t="e">
        <f t="shared" si="40"/>
        <v>#VALUE!</v>
      </c>
    </row>
    <row r="98" spans="1:21" ht="15.75" thickBot="1" x14ac:dyDescent="0.25">
      <c r="A98" s="2"/>
      <c r="B98" s="4"/>
      <c r="C98" s="4"/>
      <c r="D98" s="3"/>
      <c r="E98" s="3"/>
      <c r="F98" s="3"/>
      <c r="G98" s="3"/>
      <c r="I98" s="10" t="str">
        <f t="shared" si="30"/>
        <v/>
      </c>
      <c r="J98" s="10" t="str">
        <f t="shared" si="31"/>
        <v/>
      </c>
      <c r="K98" s="10" t="str">
        <f t="shared" si="20"/>
        <v/>
      </c>
      <c r="L98" s="10" t="str">
        <f t="shared" si="21"/>
        <v/>
      </c>
      <c r="M98" s="10">
        <f t="shared" si="41"/>
        <v>0</v>
      </c>
      <c r="N98" s="10">
        <f t="shared" si="24"/>
        <v>0</v>
      </c>
      <c r="O98" s="11">
        <f t="shared" si="32"/>
        <v>-1</v>
      </c>
      <c r="P98" s="11">
        <f t="shared" si="33"/>
        <v>-1</v>
      </c>
      <c r="Q98" s="11">
        <f t="shared" si="34"/>
        <v>0</v>
      </c>
      <c r="R98" s="12">
        <f t="shared" si="35"/>
        <v>0</v>
      </c>
      <c r="S98" s="12">
        <f t="shared" si="36"/>
        <v>2</v>
      </c>
      <c r="T98" s="13" t="e">
        <f t="shared" si="39"/>
        <v>#VALUE!</v>
      </c>
      <c r="U98" s="13" t="e">
        <f t="shared" si="40"/>
        <v>#VALUE!</v>
      </c>
    </row>
    <row r="99" spans="1:21" ht="15.75" thickBot="1" x14ac:dyDescent="0.25">
      <c r="A99" s="2"/>
      <c r="B99" s="4"/>
      <c r="C99" s="4"/>
      <c r="D99" s="3"/>
      <c r="E99" s="3"/>
      <c r="F99" s="3"/>
      <c r="G99" s="3"/>
      <c r="I99" s="10" t="str">
        <f t="shared" si="30"/>
        <v/>
      </c>
      <c r="J99" s="10" t="str">
        <f t="shared" si="31"/>
        <v/>
      </c>
      <c r="K99" s="10" t="str">
        <f t="shared" si="20"/>
        <v/>
      </c>
      <c r="L99" s="10" t="str">
        <f t="shared" si="21"/>
        <v/>
      </c>
      <c r="M99" s="10">
        <f t="shared" si="41"/>
        <v>0</v>
      </c>
      <c r="N99" s="10">
        <f t="shared" si="24"/>
        <v>0</v>
      </c>
      <c r="O99" s="11">
        <f t="shared" si="32"/>
        <v>-1</v>
      </c>
      <c r="P99" s="11">
        <f t="shared" si="33"/>
        <v>-1</v>
      </c>
      <c r="Q99" s="11">
        <f t="shared" si="34"/>
        <v>0</v>
      </c>
      <c r="R99" s="12">
        <f t="shared" si="35"/>
        <v>0</v>
      </c>
      <c r="S99" s="12">
        <f t="shared" si="36"/>
        <v>2</v>
      </c>
      <c r="T99" s="13" t="e">
        <f t="shared" si="39"/>
        <v>#VALUE!</v>
      </c>
      <c r="U99" s="13" t="e">
        <f t="shared" si="40"/>
        <v>#VALUE!</v>
      </c>
    </row>
  </sheetData>
  <hyperlinks>
    <hyperlink ref="C1" r:id="rId1" display="https://www.mytennis.ch/fr/user/7534/results-summary"/>
    <hyperlink ref="C2" r:id="rId2" display="https://www.mytennis.ch/fr/user/136426/results-summary"/>
    <hyperlink ref="C3" r:id="rId3" display="https://www.mytennis.ch/fr/user/25372/results-summary"/>
    <hyperlink ref="C4" r:id="rId4" display="https://www.mytennis.ch/fr/user/24213/results-summary"/>
    <hyperlink ref="C5" r:id="rId5" display="https://www.mytennis.ch/fr/user/6437/results-summary"/>
    <hyperlink ref="B6" r:id="rId6" display="https://comp.swisstennis.ch/advantage/servlet/DisplayDraw?eventId=469865&amp;Lang=F"/>
    <hyperlink ref="C6" r:id="rId7" display="https://www.mytennis.ch/fr/user/44824/results-summary"/>
    <hyperlink ref="B7" r:id="rId8" display="https://comp.swisstennis.ch/advantage/servlet/DisplayDraw?eventId=478485&amp;Lang=F"/>
    <hyperlink ref="C7" r:id="rId9" display="https://www.mytennis.ch/fr/user/8046/results-summary"/>
    <hyperlink ref="B8" r:id="rId10" display="https://comp.swisstennis.ch/advantage/servlet/DisplayDraw?eventId=481510&amp;Lang=F"/>
    <hyperlink ref="C8" r:id="rId11" display="https://www.mytennis.ch/fr/user/38593/results-summary"/>
    <hyperlink ref="B9" r:id="rId12" display="https://comp.swisstennis.ch/advantage/servlet/DisplayDraw?eventId=481510&amp;Lang=F"/>
    <hyperlink ref="C9" r:id="rId13" display="https://www.mytennis.ch/fr/user/131704/results-summary"/>
    <hyperlink ref="B10" r:id="rId14" display="https://comp.swisstennis.ch/advantage/servlet/DisplayDraw?eventId=481821&amp;Lang=F"/>
    <hyperlink ref="C10" r:id="rId15" display="https://www.mytennis.ch/fr/user/23549/results-summary"/>
    <hyperlink ref="B11" r:id="rId16" display="https://comp.swisstennis.ch/advantage/servlet/DisplayDraw?eventId=481821&amp;Lang=F"/>
    <hyperlink ref="C11" r:id="rId17" display="https://www.mytennis.ch/fr/user/146151/results-summary"/>
    <hyperlink ref="B12" r:id="rId18" display="https://comp.swisstennis.ch/advantage/servlet/DisplayDraw?eventId=470409&amp;Lang=F"/>
    <hyperlink ref="C12" r:id="rId19" display="https://www.mytennis.ch/fr/user/3468/results-summary"/>
    <hyperlink ref="B13" r:id="rId20" display="https://comp.swisstennis.ch/advantage/servlet/DisplayDraw?eventId=470409&amp;Lang=F"/>
    <hyperlink ref="C13" r:id="rId21" display="https://www.mytennis.ch/fr/user/103133/results-summary"/>
    <hyperlink ref="B14" r:id="rId22" display="https://comp.swisstennis.ch/advantage/servlet/DisplayDraw?eventId=472965&amp;Lang=F"/>
    <hyperlink ref="C14" r:id="rId23" display="https://www.mytennis.ch/fr/user/7402/results-summary"/>
    <hyperlink ref="B15" r:id="rId24" display="https://comp.swisstennis.ch/advantage/servlet/DisplayDraw?eventId=472965&amp;Lang=F"/>
    <hyperlink ref="C15" r:id="rId25" display="https://www.mytennis.ch/fr/user/29485/results-summary"/>
    <hyperlink ref="B16" r:id="rId26" display="https://comp.swisstennis.ch/advantage/servlet/DisplayDraw?eventId=480140&amp;Lang=F"/>
    <hyperlink ref="C16" r:id="rId27" display="https://www.mytennis.ch/fr/user/27684/results-summary"/>
    <hyperlink ref="B17" r:id="rId28" display="https://comp.swisstennis.ch/advantage/servlet/DisplayDraw?eventId=480140&amp;Lang=F"/>
    <hyperlink ref="C17" r:id="rId29" display="https://www.mytennis.ch/fr/user/113636/results-summary"/>
    <hyperlink ref="B18" r:id="rId30" display="https://comp.swisstennis.ch/advantage/servlet/DisplayDraw?eventId=478079&amp;Lang=F"/>
    <hyperlink ref="C18" r:id="rId31" display="https://www.mytennis.ch/fr/user/127926/results-summary"/>
    <hyperlink ref="B19" r:id="rId32" display="https://comp.swisstennis.ch/advantage/servlet/DisplayDraw?eventId=478079&amp;Lang=F"/>
    <hyperlink ref="C19" r:id="rId33" display="https://www.mytennis.ch/fr/user/54748/results-summary"/>
    <hyperlink ref="B20" r:id="rId34" display="https://comp.swisstennis.ch/advantage/servlet/DisplayDraw?eventId=478079&amp;Lang=F"/>
    <hyperlink ref="C20" r:id="rId35" display="https://www.mytennis.ch/fr/user/79667/results-summary"/>
    <hyperlink ref="B21" r:id="rId36" display="https://comp.swisstennis.ch/advantage/servlet/DisplayDraw?eventId=463575&amp;Lang=F"/>
    <hyperlink ref="C21" r:id="rId37" display="https://www.mytennis.ch/fr/user/74365/results-summary"/>
    <hyperlink ref="B22" r:id="rId38" display="https://comp.swisstennis.ch/advantage/servlet/DisplayDraw?eventId=484942&amp;Lang=F"/>
    <hyperlink ref="C22" r:id="rId39" display="https://www.mytennis.ch/fr/user/74365/results-summary"/>
    <hyperlink ref="B23" r:id="rId40" display="https://comp.swisstennis.ch/advantage/servlet/DisplayDraw?eventId=484942&amp;Lang=F"/>
    <hyperlink ref="C23" r:id="rId41" display="https://www.mytennis.ch/fr/user/40325/results-summary"/>
    <hyperlink ref="B24" r:id="rId42" display="https://comp.swisstennis.ch/advantage/servlet/DisplayDraw?eventId=480668&amp;Lang=F"/>
    <hyperlink ref="C24" r:id="rId43" display="https://www.mytennis.ch/fr/user/27898/results-summary"/>
    <hyperlink ref="B25" r:id="rId44" display="https://comp.swisstennis.ch/advantage/servlet/DisplayDraw?eventId=480668&amp;Lang=F"/>
    <hyperlink ref="C25" r:id="rId45" display="https://www.mytennis.ch/fr/user/118003/results-summary"/>
    <hyperlink ref="B26" r:id="rId46" display="https://comp.swisstennis.ch/advantage/servlet/DisplayDraw?eventId=475870&amp;Lang=F"/>
    <hyperlink ref="C26" r:id="rId47" display="https://www.mytennis.ch/fr/user/70571/results-summary"/>
    <hyperlink ref="B27" r:id="rId48" display="https://comp.swisstennis.ch/advantage/servlet/DisplayDraw?eventId=486676&amp;Lang=F"/>
    <hyperlink ref="C27" r:id="rId49" display="https://www.mytennis.ch/fr/user/9806/results-summary"/>
    <hyperlink ref="B28" r:id="rId50" display="https://comp.swisstennis.ch/advantage/servlet/DisplayDraw?eventId=486676&amp;Lang=F"/>
    <hyperlink ref="C28" r:id="rId51" display="https://www.mytennis.ch/fr/user/25043/results-summary"/>
    <hyperlink ref="B29" r:id="rId52" display="https://comp.swisstennis.ch/advantage/servlet/DisplayDraw?eventId=487638&amp;Lang=F"/>
    <hyperlink ref="C29" r:id="rId53" display="https://www.mytennis.ch/fr/user/149802/results-summary"/>
    <hyperlink ref="B30" r:id="rId54" display="https://comp.swisstennis.ch/advantage/servlet/DisplayDraw?eventId=487638&amp;Lang=F"/>
    <hyperlink ref="C30" r:id="rId55" display="https://www.mytennis.ch/fr/user/54236/results-summary"/>
    <hyperlink ref="B31" r:id="rId56" display="https://comp.swisstennis.ch/advantage/servlet/DisplayPools?eventId=503778&amp;Lang=F"/>
    <hyperlink ref="C31" r:id="rId57" display="https://www.mytennis.ch/fr/user/17542/results-summary"/>
    <hyperlink ref="B32" r:id="rId58" display="https://comp.swisstennis.ch/advantage/servlet/DisplayPools?eventId=503778&amp;Lang=F"/>
    <hyperlink ref="C32" r:id="rId59" display="https://www.mytennis.ch/fr/user/5000/results-summary"/>
    <hyperlink ref="C33" r:id="rId60" display="https://www.mytennis.ch/fr/user/52812/results-summary"/>
    <hyperlink ref="B34" r:id="rId61" display="https://comp.swisstennis.ch/advantage/servlet/DisplayDraw?eventId=503789&amp;Lang=F"/>
    <hyperlink ref="C34" r:id="rId62" display="https://www.mytennis.ch/fr/user/110950/results-summary"/>
    <hyperlink ref="B35" r:id="rId63" display="https://comp.swisstennis.ch/advantage/servlet/DisplayDraw?eventId=507918&amp;Lang=F"/>
    <hyperlink ref="C35" r:id="rId64" display="https://www.mytennis.ch/fr/user/131862/results-summary"/>
    <hyperlink ref="B36" r:id="rId65" display="https://comp.swisstennis.ch/advantage/servlet/DisplayDraw?eventId=503799&amp;Lang=F"/>
    <hyperlink ref="C36" r:id="rId66" display="https://www.mytennis.ch/fr/user/25256/results-summary"/>
    <hyperlink ref="B37" r:id="rId67" display="https://comp.swisstennis.ch/advantage/servlet/DisplayDraw?eventId=492551&amp;Lang=F"/>
    <hyperlink ref="C37" r:id="rId68" display="https://www.mytennis.ch/fr/user/9309/results-summary"/>
    <hyperlink ref="B38" r:id="rId69" display="https://comp.swisstennis.ch/advantage/servlet/DisplayDraw?eventId=492551&amp;Lang=F"/>
    <hyperlink ref="C38" r:id="rId70" display="https://www.mytennis.ch/fr/user/23358/results-summary"/>
    <hyperlink ref="B39" r:id="rId71" display="https://comp.swisstennis.ch/advantage/servlet/DisplayDraw?eventId=492551&amp;Lang=F"/>
    <hyperlink ref="C39" r:id="rId72" display="https://www.mytennis.ch/fr/user/20107/results-summary"/>
    <hyperlink ref="B40" r:id="rId73" display="https://comp.swisstennis.ch/advantage/servlet/DisplayDraw?eventId=492551&amp;Lang=F"/>
    <hyperlink ref="C40" r:id="rId74" display="https://www.mytennis.ch/fr/user/33313/results-summary"/>
    <hyperlink ref="B41" r:id="rId75" display="https://comp.swisstennis.ch/advantage/servlet/DisplayDraw?eventId=508508&amp;Lang=F"/>
    <hyperlink ref="C41" r:id="rId76" display="https://www.mytennis.ch/fr/user/20576/results-summary"/>
    <hyperlink ref="B42" r:id="rId77" display="https://comp.swisstennis.ch/advantage/servlet/DisplayDraw?eventId=508508&amp;Lang=F"/>
    <hyperlink ref="C42" r:id="rId78" display="https://www.mytennis.ch/fr/user/129261/results-summary"/>
    <hyperlink ref="B43" r:id="rId79" display="https://comp.swisstennis.ch/advantage/servlet/DisplayDraw?eventId=508508&amp;Lang=F"/>
    <hyperlink ref="C43" r:id="rId80" display="https://www.mytennis.ch/fr/user/10012/results-summary"/>
    <hyperlink ref="B44" r:id="rId81" display="https://comp.swisstennis.ch/advantage/servlet/DisplayDraw?eventId=506683&amp;Lang=F"/>
    <hyperlink ref="C44" r:id="rId82" display="https://www.mytennis.ch/fr/user/136426/results-summary"/>
    <hyperlink ref="B45" r:id="rId83" display="https://comp.swisstennis.ch/advantage/servlet/DisplayDraw?eventId=506683&amp;Lang=F"/>
    <hyperlink ref="C45" r:id="rId84" display="https://www.mytennis.ch/fr/user/30606/results-summary"/>
    <hyperlink ref="B46" r:id="rId85" display="https://comp.swisstennis.ch/advantage/servlet/DisplayDraw?eventId=506683&amp;Lang=F"/>
    <hyperlink ref="C46" r:id="rId86" display="https://www.mytennis.ch/fr/user/72012/results-summary"/>
    <hyperlink ref="B47" r:id="rId87" display="https://comp.swisstennis.ch/advantage/servlet/DisplayDraw?eventId=506683&amp;Lang=F"/>
    <hyperlink ref="C47" r:id="rId88" display="https://www.mytennis.ch/fr/user/111004/results-summary"/>
    <hyperlink ref="B48" r:id="rId89" display="https://comp.swisstennis.ch/advantage/servlet/DisplayDraw?eventId=514160&amp;Lang=F"/>
    <hyperlink ref="C48" r:id="rId90" display="https://www.mytennis.ch/fr/user/117955/results-summary"/>
    <hyperlink ref="B49" r:id="rId91" display="https://comp.swisstennis.ch/advantage/servlet/DisplayDraw?eventId=514086&amp;Lang=F"/>
    <hyperlink ref="C49" r:id="rId92" display="https://www.mytennis.ch/fr/user/29453/results-summary"/>
    <hyperlink ref="B50" r:id="rId93" display="https://comp.swisstennis.ch/advantage/servlet/DisplayDraw?eventId=515477&amp;Lang=F"/>
    <hyperlink ref="C50" r:id="rId94" display="https://www.mytennis.ch/fr/user/146161/results-summary"/>
    <hyperlink ref="B51" r:id="rId95" display="https://comp.swisstennis.ch/advantage/servlet/DisplayDraw?eventId=515477&amp;Lang=F"/>
    <hyperlink ref="C51" r:id="rId96" display="https://www.mytennis.ch/fr/user/119688/results-summary"/>
    <hyperlink ref="B52" r:id="rId97" display="https://comp.swisstennis.ch/advantage/servlet/DisplayDraw?eventId=515489&amp;Lang=F"/>
    <hyperlink ref="C52" r:id="rId98" display="https://www.mytennis.ch/fr/user/23286/results-summary"/>
    <hyperlink ref="B53" r:id="rId99" display="https://comp.swisstennis.ch/advantage/servlet/DisplayDraw?eventId=527695&amp;Lang=F"/>
    <hyperlink ref="C53" r:id="rId100" display="https://www.mytennis.ch/fr/user/3162/results-summary"/>
    <hyperlink ref="B54" r:id="rId101" display="https://comp.swisstennis.ch/advantage/servlet/DisplayDraw?eventId=527695&amp;Lang=F"/>
    <hyperlink ref="C54" r:id="rId102" display="https://www.mytennis.ch/fr/user/25043/results-summary"/>
    <hyperlink ref="B55" r:id="rId103" display="https://comp.swisstennis.ch/advantage/servlet/DisplayDraw?eventId=512905&amp;Lang=F"/>
    <hyperlink ref="C55" r:id="rId104" display="https://www.mytennis.ch/fr/user/33616/results-summary"/>
    <hyperlink ref="B56" r:id="rId105" display="https://comp.swisstennis.ch/advantage/servlet/DisplayDraw?eventId=512905&amp;Lang=F"/>
    <hyperlink ref="C56" r:id="rId106" display="https://www.mytennis.ch/fr/user/52382/results-summary"/>
    <hyperlink ref="B57" r:id="rId107" display="https://comp.swisstennis.ch/advantage/servlet/DisplayDraw?eventId=512906&amp;Lang=F"/>
    <hyperlink ref="C57" r:id="rId108" display="https://www.mytennis.ch/fr/user/15680/results-summary"/>
    <hyperlink ref="B58" r:id="rId109" display="https://comp.swisstennis.ch/advantage/servlet/DisplayDraw?eventId=562701&amp;Lang=F"/>
    <hyperlink ref="C58" r:id="rId110" display="https://www.mytennis.ch/fr/user/19609/results-summary"/>
    <hyperlink ref="B59" r:id="rId111" display="https://comp.swisstennis.ch/advantage/servlet/DisplayDraw?eventId=562701&amp;Lang=F"/>
    <hyperlink ref="C59" r:id="rId112" display="https://www.mytennis.ch/fr/user/165825/results-summary"/>
    <hyperlink ref="B60" r:id="rId113" display="https://comp.swisstennis.ch/advantage/servlet/DisplayDraw?eventId=555884&amp;Lang=F"/>
    <hyperlink ref="C60" r:id="rId114" display="https://www.mytennis.ch/fr/user/4032/results-summary"/>
    <hyperlink ref="B61" r:id="rId115" display="https://comp.swisstennis.ch/advantage/servlet/DisplayDraw?eventId=555884&amp;Lang=F"/>
    <hyperlink ref="C61" r:id="rId116" display="https://www.mytennis.ch/fr/user/101989/results-summary"/>
    <hyperlink ref="B62" r:id="rId117" display="https://comp.swisstennis.ch/advantage/servlet/DisplayDraw?eventId=555884&amp;Lang=F"/>
    <hyperlink ref="C62" r:id="rId118" display="https://www.mytennis.ch/fr/user/47004/results-summary"/>
    <hyperlink ref="B63" r:id="rId119" display="https://comp.swisstennis.ch/advantage/servlet/DisplayDraw?eventId=547550&amp;Lang=F"/>
    <hyperlink ref="C63" r:id="rId120" display="https://www.mytennis.ch/fr/user/8018/results-summary"/>
    <hyperlink ref="B64" r:id="rId121" display="https://comp.swisstennis.ch/advantage/servlet/DisplayDraw?eventId=547550&amp;Lang=F"/>
    <hyperlink ref="C64" r:id="rId122" display="https://www.mytennis.ch/fr/user/74365/results-summary"/>
    <hyperlink ref="B65" r:id="rId123" display="https://comp.swisstennis.ch/advantage/servlet/DisplayDraw?eventId=547550&amp;Lang=F"/>
    <hyperlink ref="C65" r:id="rId124" display="https://www.mytennis.ch/fr/user/10352/results-summary"/>
    <hyperlink ref="B66" r:id="rId125" display="https://comp.swisstennis.ch/advantage/servlet/DisplayDraw?eventId=547550&amp;Lang=F"/>
    <hyperlink ref="C66" r:id="rId126" display="https://www.mytennis.ch/fr/user/101927/results-summary"/>
    <hyperlink ref="B67" r:id="rId127" display="https://comp.swisstennis.ch/advantage/servlet/DisplayDraw?eventId=549965&amp;Lang=F"/>
    <hyperlink ref="C67" r:id="rId128" display="https://www.mytennis.ch/fr/user/5579/results-summary"/>
    <hyperlink ref="B68" r:id="rId129" display="https://comp.swisstennis.ch/advantage/servlet/DisplayDraw?eventId=549965&amp;Lang=F"/>
    <hyperlink ref="C68" r:id="rId130" display="https://www.mytennis.ch/fr/user/3964/results-summary"/>
    <hyperlink ref="B69" r:id="rId131" display="https://comp.swisstennis.ch/advantage/servlet/DisplayDraw?eventId=549966&amp;Lang=F"/>
    <hyperlink ref="C69" r:id="rId132" display="https://www.mytennis.ch/fr/user/22098/results-summary"/>
    <hyperlink ref="B70" r:id="rId133" display="https://comp.swisstennis.ch/advantage/servlet/DisplayDraw?eventId=555808&amp;Lang=F"/>
    <hyperlink ref="C70" r:id="rId134" display="https://www.mytennis.ch/fr/user/5729/results-summary"/>
    <hyperlink ref="B71" r:id="rId135" display="https://comp.swisstennis.ch/advantage/servlet/DisplayDraw?eventId=555808&amp;Lang=F"/>
    <hyperlink ref="C71" r:id="rId136" display="https://www.mytennis.ch/fr/user/17288/results-summary"/>
    <hyperlink ref="B72" r:id="rId137" display="https://comp.swisstennis.ch/advantage/servlet/DisplayDraw?eventId=564134&amp;Lang=F"/>
    <hyperlink ref="C72" r:id="rId138" display="https://www.mytennis.ch/fr/user/105591/results-summary"/>
  </hyperlinks>
  <pageMargins left="0.7" right="0.7" top="0.75" bottom="0.75" header="0.3" footer="0.3"/>
  <pageSetup paperSize="9" orientation="portrait" r:id="rId13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A1:P11"/>
  <sheetViews>
    <sheetView showZeros="0" workbookViewId="0"/>
  </sheetViews>
  <sheetFormatPr baseColWidth="10" defaultRowHeight="12.75" x14ac:dyDescent="0.2"/>
  <cols>
    <col min="1" max="1" width="11.28515625" customWidth="1"/>
    <col min="2" max="2" width="11.42578125" customWidth="1"/>
    <col min="3" max="5" width="10.85546875" style="5" customWidth="1"/>
    <col min="6" max="6" width="10.85546875" customWidth="1"/>
    <col min="7" max="7" width="11.42578125" customWidth="1"/>
    <col min="8" max="10" width="10.85546875" style="5" customWidth="1"/>
    <col min="11" max="11" width="10.85546875" customWidth="1"/>
    <col min="12" max="12" width="11.42578125" customWidth="1"/>
    <col min="13" max="15" width="10.85546875" style="5" customWidth="1"/>
    <col min="16" max="16" width="10.85546875" customWidth="1"/>
  </cols>
  <sheetData>
    <row r="1" spans="1:16" ht="37.5" customHeight="1" thickBot="1" x14ac:dyDescent="0.25">
      <c r="A1" s="47" t="s">
        <v>187</v>
      </c>
      <c r="B1" s="18" t="s">
        <v>171</v>
      </c>
      <c r="C1" s="21" t="s">
        <v>179</v>
      </c>
      <c r="D1" s="22" t="s">
        <v>180</v>
      </c>
      <c r="E1" s="22" t="s">
        <v>172</v>
      </c>
      <c r="F1" s="31" t="s">
        <v>184</v>
      </c>
      <c r="G1" s="18" t="s">
        <v>181</v>
      </c>
      <c r="H1" s="19" t="s">
        <v>173</v>
      </c>
      <c r="I1" s="20" t="s">
        <v>174</v>
      </c>
      <c r="J1" s="20" t="s">
        <v>175</v>
      </c>
      <c r="K1" s="30" t="s">
        <v>185</v>
      </c>
      <c r="L1" s="18" t="s">
        <v>182</v>
      </c>
      <c r="M1" s="23" t="s">
        <v>176</v>
      </c>
      <c r="N1" s="24" t="s">
        <v>177</v>
      </c>
      <c r="O1" s="24" t="s">
        <v>178</v>
      </c>
      <c r="P1" s="25" t="s">
        <v>186</v>
      </c>
    </row>
    <row r="2" spans="1:16" ht="33" customHeight="1" x14ac:dyDescent="0.2">
      <c r="A2" s="16" t="s">
        <v>9</v>
      </c>
      <c r="B2" s="32">
        <f>COUNTIFS(Résultats!E:E,Global!A2)</f>
        <v>6</v>
      </c>
      <c r="C2" s="44">
        <f>COUNTIFS(Résultats!$G:$G,"S",Résultats!$E:$E,Global!$A2)</f>
        <v>6</v>
      </c>
      <c r="D2" s="15">
        <f>COUNTIFS(Résultats!$G:$G,"N",Résultats!$E:$E,Global!$A2)</f>
        <v>0</v>
      </c>
      <c r="E2" s="45">
        <f>IFERROR(C2/$B2,"")</f>
        <v>1</v>
      </c>
      <c r="F2" s="46">
        <f>IFERROR(D2/$B2,"")</f>
        <v>0</v>
      </c>
      <c r="G2" s="34">
        <f>H2+I2</f>
        <v>14</v>
      </c>
      <c r="H2" s="44">
        <f>SUMIFS(Résultats!R:R,Résultats!$E:$E,Global!$A2)</f>
        <v>12</v>
      </c>
      <c r="I2" s="15">
        <f>SUMIFS(Résultats!S:S,Résultats!$E:$E,Global!$A2)</f>
        <v>2</v>
      </c>
      <c r="J2" s="45">
        <f>IFERROR(H2/$G2,"")</f>
        <v>0.8571428571428571</v>
      </c>
      <c r="K2" s="46">
        <f>IFERROR(I2/$G2,"")</f>
        <v>0.14285714285714285</v>
      </c>
      <c r="L2" s="34">
        <f>M2+N2</f>
        <v>120</v>
      </c>
      <c r="M2" s="44">
        <f>SUMIFS(Résultats!T:T,Résultats!$E:$E,Global!$A2)</f>
        <v>81</v>
      </c>
      <c r="N2" s="15">
        <f>SUMIFS(Résultats!U:U,Résultats!$E:$E,Global!$A2)</f>
        <v>39</v>
      </c>
      <c r="O2" s="45">
        <f>IFERROR(M2/$L2,"")</f>
        <v>0.67500000000000004</v>
      </c>
      <c r="P2" s="46">
        <f>IFERROR(N2/$L2,"")</f>
        <v>0.32500000000000001</v>
      </c>
    </row>
    <row r="3" spans="1:16" ht="33" customHeight="1" x14ac:dyDescent="0.2">
      <c r="A3" s="17" t="s">
        <v>2</v>
      </c>
      <c r="B3" s="32">
        <f>COUNTIFS(Résultats!E:E,Global!A3)</f>
        <v>7</v>
      </c>
      <c r="C3" s="44">
        <f>COUNTIFS(Résultats!$G:$G,"S",Résultats!$E:$E,Global!$A3)</f>
        <v>7</v>
      </c>
      <c r="D3" s="15">
        <f>COUNTIFS(Résultats!$G:$G,"N",Résultats!$E:$E,Global!$A3)</f>
        <v>0</v>
      </c>
      <c r="E3" s="45">
        <f t="shared" ref="E3:F11" si="0">IFERROR(C3/$B3,"")</f>
        <v>1</v>
      </c>
      <c r="F3" s="46">
        <f t="shared" si="0"/>
        <v>0</v>
      </c>
      <c r="G3" s="35">
        <f t="shared" ref="G3:G10" si="1">H3+I3</f>
        <v>16</v>
      </c>
      <c r="H3" s="44">
        <f>SUMIFS(Résultats!R:R,Résultats!$E:$E,Global!$A3)</f>
        <v>14</v>
      </c>
      <c r="I3" s="15">
        <f>SUMIFS(Résultats!S:S,Résultats!$E:$E,Global!$A3)</f>
        <v>2</v>
      </c>
      <c r="J3" s="45">
        <f t="shared" ref="J3:K11" si="2">IFERROR(H3/$G3,"")</f>
        <v>0.875</v>
      </c>
      <c r="K3" s="46">
        <f t="shared" si="2"/>
        <v>0.125</v>
      </c>
      <c r="L3" s="35">
        <f t="shared" ref="L3:L10" si="3">M3+N3</f>
        <v>137</v>
      </c>
      <c r="M3" s="44">
        <f>SUMIFS(Résultats!T:T,Résultats!$E:$E,Global!$A3)</f>
        <v>89</v>
      </c>
      <c r="N3" s="15">
        <f>SUMIFS(Résultats!U:U,Résultats!$E:$E,Global!$A3)</f>
        <v>48</v>
      </c>
      <c r="O3" s="45">
        <f t="shared" ref="O3:P11" si="4">IFERROR(M3/$L3,"")</f>
        <v>0.64963503649635035</v>
      </c>
      <c r="P3" s="46">
        <f t="shared" si="4"/>
        <v>0.35036496350364965</v>
      </c>
    </row>
    <row r="4" spans="1:16" ht="33" customHeight="1" x14ac:dyDescent="0.2">
      <c r="A4" s="17" t="s">
        <v>25</v>
      </c>
      <c r="B4" s="32">
        <f>COUNTIFS(Résultats!E:E,Global!A4)</f>
        <v>26</v>
      </c>
      <c r="C4" s="44">
        <f>COUNTIFS(Résultats!$G:$G,"S",Résultats!$E:$E,Global!$A4)</f>
        <v>19</v>
      </c>
      <c r="D4" s="15">
        <f>COUNTIFS(Résultats!$G:$G,"N",Résultats!$E:$E,Global!$A4)</f>
        <v>6</v>
      </c>
      <c r="E4" s="45">
        <f t="shared" si="0"/>
        <v>0.73076923076923073</v>
      </c>
      <c r="F4" s="46">
        <f t="shared" si="0"/>
        <v>0.23076923076923078</v>
      </c>
      <c r="G4" s="35">
        <f t="shared" si="1"/>
        <v>56</v>
      </c>
      <c r="H4" s="44">
        <f>SUMIFS(Résultats!R:R,Résultats!$E:$E,Global!$A4)</f>
        <v>38</v>
      </c>
      <c r="I4" s="15">
        <f>SUMIFS(Résultats!S:S,Résultats!$E:$E,Global!$A4)</f>
        <v>18</v>
      </c>
      <c r="J4" s="45">
        <f t="shared" si="2"/>
        <v>0.6785714285714286</v>
      </c>
      <c r="K4" s="46">
        <f t="shared" si="2"/>
        <v>0.32142857142857145</v>
      </c>
      <c r="L4" s="35">
        <f t="shared" si="3"/>
        <v>504</v>
      </c>
      <c r="M4" s="44">
        <f>SUMIFS(Résultats!T:T,Résultats!$E:$E,Global!$A4)</f>
        <v>290</v>
      </c>
      <c r="N4" s="15">
        <f>SUMIFS(Résultats!U:U,Résultats!$E:$E,Global!$A4)</f>
        <v>214</v>
      </c>
      <c r="O4" s="45">
        <f t="shared" si="4"/>
        <v>0.57539682539682535</v>
      </c>
      <c r="P4" s="46">
        <f t="shared" si="4"/>
        <v>0.42460317460317459</v>
      </c>
    </row>
    <row r="5" spans="1:16" ht="33" customHeight="1" x14ac:dyDescent="0.2">
      <c r="A5" s="17" t="s">
        <v>6</v>
      </c>
      <c r="B5" s="32">
        <f>COUNTIFS(Résultats!E:E,Global!A5)</f>
        <v>21</v>
      </c>
      <c r="C5" s="44">
        <f>COUNTIFS(Résultats!$G:$G,"S",Résultats!$E:$E,Global!$A5)</f>
        <v>7</v>
      </c>
      <c r="D5" s="15">
        <f>COUNTIFS(Résultats!$G:$G,"N",Résultats!$E:$E,Global!$A5)</f>
        <v>14</v>
      </c>
      <c r="E5" s="45">
        <f t="shared" si="0"/>
        <v>0.33333333333333331</v>
      </c>
      <c r="F5" s="46">
        <f t="shared" si="0"/>
        <v>0.66666666666666663</v>
      </c>
      <c r="G5" s="35">
        <f t="shared" si="1"/>
        <v>48</v>
      </c>
      <c r="H5" s="44">
        <f>SUMIFS(Résultats!R:R,Résultats!$E:$E,Global!$A5)</f>
        <v>18</v>
      </c>
      <c r="I5" s="15">
        <f>SUMIFS(Résultats!S:S,Résultats!$E:$E,Global!$A5)</f>
        <v>30</v>
      </c>
      <c r="J5" s="45">
        <f t="shared" si="2"/>
        <v>0.375</v>
      </c>
      <c r="K5" s="46">
        <f t="shared" si="2"/>
        <v>0.625</v>
      </c>
      <c r="L5" s="35">
        <f t="shared" si="3"/>
        <v>415</v>
      </c>
      <c r="M5" s="44">
        <f>SUMIFS(Résultats!T:T,Résultats!$E:$E,Global!$A5)</f>
        <v>181</v>
      </c>
      <c r="N5" s="15">
        <f>SUMIFS(Résultats!U:U,Résultats!$E:$E,Global!$A5)</f>
        <v>234</v>
      </c>
      <c r="O5" s="45">
        <f t="shared" si="4"/>
        <v>0.43614457831325304</v>
      </c>
      <c r="P5" s="46">
        <f t="shared" si="4"/>
        <v>0.56385542168674696</v>
      </c>
    </row>
    <row r="6" spans="1:16" ht="33" customHeight="1" x14ac:dyDescent="0.2">
      <c r="A6" s="17" t="s">
        <v>77</v>
      </c>
      <c r="B6" s="32">
        <f>COUNTIFS(Résultats!E:E,Global!A6)</f>
        <v>9</v>
      </c>
      <c r="C6" s="44">
        <f>COUNTIFS(Résultats!$G:$G,"S",Résultats!$E:$E,Global!$A6)</f>
        <v>0</v>
      </c>
      <c r="D6" s="15">
        <f>COUNTIFS(Résultats!$G:$G,"N",Résultats!$E:$E,Global!$A6)</f>
        <v>9</v>
      </c>
      <c r="E6" s="45">
        <f t="shared" si="0"/>
        <v>0</v>
      </c>
      <c r="F6" s="46">
        <f t="shared" si="0"/>
        <v>1</v>
      </c>
      <c r="G6" s="35">
        <f t="shared" si="1"/>
        <v>18</v>
      </c>
      <c r="H6" s="44">
        <f>SUMIFS(Résultats!R:R,Résultats!$E:$E,Global!$A6)</f>
        <v>0</v>
      </c>
      <c r="I6" s="15">
        <f>SUMIFS(Résultats!S:S,Résultats!$E:$E,Global!$A6)</f>
        <v>18</v>
      </c>
      <c r="J6" s="45">
        <f t="shared" si="2"/>
        <v>0</v>
      </c>
      <c r="K6" s="46">
        <f t="shared" si="2"/>
        <v>1</v>
      </c>
      <c r="L6" s="35">
        <f t="shared" si="3"/>
        <v>156</v>
      </c>
      <c r="M6" s="44">
        <f>SUMIFS(Résultats!T:T,Résultats!$E:$E,Global!$A6)</f>
        <v>44</v>
      </c>
      <c r="N6" s="15">
        <f>SUMIFS(Résultats!U:U,Résultats!$E:$E,Global!$A6)</f>
        <v>112</v>
      </c>
      <c r="O6" s="45">
        <f t="shared" si="4"/>
        <v>0.28205128205128205</v>
      </c>
      <c r="P6" s="46">
        <f t="shared" si="4"/>
        <v>0.71794871794871795</v>
      </c>
    </row>
    <row r="7" spans="1:16" ht="33" customHeight="1" x14ac:dyDescent="0.2">
      <c r="A7" s="17" t="s">
        <v>125</v>
      </c>
      <c r="B7" s="32">
        <f>COUNTIFS(Résultats!E:E,Global!A7)</f>
        <v>2</v>
      </c>
      <c r="C7" s="44">
        <f>COUNTIFS(Résultats!$G:$G,"S",Résultats!$E:$E,Global!$A7)</f>
        <v>0</v>
      </c>
      <c r="D7" s="15">
        <f>COUNTIFS(Résultats!$G:$G,"N",Résultats!$E:$E,Global!$A7)</f>
        <v>2</v>
      </c>
      <c r="E7" s="45">
        <f t="shared" si="0"/>
        <v>0</v>
      </c>
      <c r="F7" s="46">
        <f t="shared" si="0"/>
        <v>1</v>
      </c>
      <c r="G7" s="35">
        <f t="shared" si="1"/>
        <v>5</v>
      </c>
      <c r="H7" s="44">
        <f>SUMIFS(Résultats!R:R,Résultats!$E:$E,Global!$A7)</f>
        <v>1</v>
      </c>
      <c r="I7" s="15">
        <f>SUMIFS(Résultats!S:S,Résultats!$E:$E,Global!$A7)</f>
        <v>4</v>
      </c>
      <c r="J7" s="45">
        <f t="shared" si="2"/>
        <v>0.2</v>
      </c>
      <c r="K7" s="46">
        <f t="shared" si="2"/>
        <v>0.8</v>
      </c>
      <c r="L7" s="35">
        <f t="shared" si="3"/>
        <v>36</v>
      </c>
      <c r="M7" s="44">
        <f>SUMIFS(Résultats!T:T,Résultats!$E:$E,Global!$A7)</f>
        <v>11</v>
      </c>
      <c r="N7" s="15">
        <f>SUMIFS(Résultats!U:U,Résultats!$E:$E,Global!$A7)</f>
        <v>25</v>
      </c>
      <c r="O7" s="45">
        <f t="shared" si="4"/>
        <v>0.30555555555555558</v>
      </c>
      <c r="P7" s="46">
        <f t="shared" si="4"/>
        <v>0.69444444444444442</v>
      </c>
    </row>
    <row r="8" spans="1:16" ht="33" customHeight="1" x14ac:dyDescent="0.2">
      <c r="A8" s="17" t="s">
        <v>163</v>
      </c>
      <c r="B8" s="32">
        <f>COUNTIFS(Résultats!E:E,Global!A8)</f>
        <v>1</v>
      </c>
      <c r="C8" s="44">
        <f>COUNTIFS(Résultats!$G:$G,"S",Résultats!$E:$E,Global!$A8)</f>
        <v>0</v>
      </c>
      <c r="D8" s="15">
        <f>COUNTIFS(Résultats!$G:$G,"N",Résultats!$E:$E,Global!$A8)</f>
        <v>1</v>
      </c>
      <c r="E8" s="45">
        <f t="shared" si="0"/>
        <v>0</v>
      </c>
      <c r="F8" s="46">
        <f t="shared" si="0"/>
        <v>1</v>
      </c>
      <c r="G8" s="35">
        <f t="shared" si="1"/>
        <v>2</v>
      </c>
      <c r="H8" s="44">
        <f>SUMIFS(Résultats!R:R,Résultats!$E:$E,Global!$A8)</f>
        <v>0</v>
      </c>
      <c r="I8" s="15">
        <f>SUMIFS(Résultats!S:S,Résultats!$E:$E,Global!$A8)</f>
        <v>2</v>
      </c>
      <c r="J8" s="45">
        <f t="shared" si="2"/>
        <v>0</v>
      </c>
      <c r="K8" s="46">
        <f t="shared" si="2"/>
        <v>1</v>
      </c>
      <c r="L8" s="35">
        <f t="shared" si="3"/>
        <v>16</v>
      </c>
      <c r="M8" s="44">
        <f>SUMIFS(Résultats!T:T,Résultats!$E:$E,Global!$A8)</f>
        <v>4</v>
      </c>
      <c r="N8" s="15">
        <f>SUMIFS(Résultats!U:U,Résultats!$E:$E,Global!$A8)</f>
        <v>12</v>
      </c>
      <c r="O8" s="45">
        <f t="shared" si="4"/>
        <v>0.25</v>
      </c>
      <c r="P8" s="46">
        <f t="shared" si="4"/>
        <v>0.75</v>
      </c>
    </row>
    <row r="9" spans="1:16" ht="33" customHeight="1" x14ac:dyDescent="0.2">
      <c r="A9" s="17" t="s">
        <v>169</v>
      </c>
      <c r="B9" s="32">
        <f>COUNTIFS(Résultats!E:E,Global!A9)</f>
        <v>0</v>
      </c>
      <c r="C9" s="44">
        <f>COUNTIFS(Résultats!$G:$G,"S",Résultats!$E:$E,Global!$A9)</f>
        <v>0</v>
      </c>
      <c r="D9" s="15">
        <f>COUNTIFS(Résultats!$G:$G,"N",Résultats!$E:$E,Global!$A9)</f>
        <v>0</v>
      </c>
      <c r="E9" s="45" t="str">
        <f t="shared" si="0"/>
        <v/>
      </c>
      <c r="F9" s="46" t="str">
        <f t="shared" si="0"/>
        <v/>
      </c>
      <c r="G9" s="35">
        <f t="shared" si="1"/>
        <v>0</v>
      </c>
      <c r="H9" s="44">
        <f>SUMIFS(Résultats!R:R,Résultats!$E:$E,Global!$A9)</f>
        <v>0</v>
      </c>
      <c r="I9" s="15">
        <f>SUMIFS(Résultats!S:S,Résultats!$E:$E,Global!$A9)</f>
        <v>0</v>
      </c>
      <c r="J9" s="45" t="str">
        <f t="shared" si="2"/>
        <v/>
      </c>
      <c r="K9" s="46" t="str">
        <f t="shared" si="2"/>
        <v/>
      </c>
      <c r="L9" s="35">
        <f t="shared" si="3"/>
        <v>0</v>
      </c>
      <c r="M9" s="44">
        <f>SUMIFS(Résultats!T:T,Résultats!$E:$E,Global!$A9)</f>
        <v>0</v>
      </c>
      <c r="N9" s="15">
        <f>SUMIFS(Résultats!U:U,Résultats!$E:$E,Global!$A9)</f>
        <v>0</v>
      </c>
      <c r="O9" s="45" t="str">
        <f t="shared" si="4"/>
        <v/>
      </c>
      <c r="P9" s="46" t="str">
        <f t="shared" si="4"/>
        <v/>
      </c>
    </row>
    <row r="10" spans="1:16" ht="33" customHeight="1" thickBot="1" x14ac:dyDescent="0.25">
      <c r="A10" s="26" t="s">
        <v>170</v>
      </c>
      <c r="B10" s="32">
        <f>COUNTIFS(Résultats!E:E,Global!A10)</f>
        <v>0</v>
      </c>
      <c r="C10" s="44">
        <f>COUNTIFS(Résultats!$G:$G,"S",Résultats!$E:$E,Global!$A10)</f>
        <v>0</v>
      </c>
      <c r="D10" s="15">
        <f>COUNTIFS(Résultats!$G:$G,"N",Résultats!$E:$E,Global!$A10)</f>
        <v>0</v>
      </c>
      <c r="E10" s="49" t="str">
        <f t="shared" si="0"/>
        <v/>
      </c>
      <c r="F10" s="50" t="str">
        <f t="shared" si="0"/>
        <v/>
      </c>
      <c r="G10" s="40">
        <f t="shared" si="1"/>
        <v>0</v>
      </c>
      <c r="H10" s="44">
        <f>SUMIFS(Résultats!R:R,Résultats!$E:$E,Global!$A10)</f>
        <v>0</v>
      </c>
      <c r="I10" s="15">
        <f>SUMIFS(Résultats!S:S,Résultats!$E:$E,Global!$A10)</f>
        <v>0</v>
      </c>
      <c r="J10" s="49" t="str">
        <f t="shared" si="2"/>
        <v/>
      </c>
      <c r="K10" s="50" t="str">
        <f t="shared" si="2"/>
        <v/>
      </c>
      <c r="L10" s="40">
        <f t="shared" si="3"/>
        <v>0</v>
      </c>
      <c r="M10" s="44">
        <f>SUMIFS(Résultats!T:T,Résultats!$E:$E,Global!$A10)</f>
        <v>0</v>
      </c>
      <c r="N10" s="15">
        <f>SUMIFS(Résultats!U:U,Résultats!$E:$E,Global!$A10)</f>
        <v>0</v>
      </c>
      <c r="O10" s="49" t="str">
        <f t="shared" si="4"/>
        <v/>
      </c>
      <c r="P10" s="50" t="str">
        <f t="shared" si="4"/>
        <v/>
      </c>
    </row>
    <row r="11" spans="1:16" ht="33" customHeight="1" thickBot="1" x14ac:dyDescent="0.25">
      <c r="A11" s="28" t="s">
        <v>183</v>
      </c>
      <c r="B11" s="37">
        <f>SUM(B2:B10)</f>
        <v>72</v>
      </c>
      <c r="C11" s="41">
        <f>SUM(C2:C10)</f>
        <v>39</v>
      </c>
      <c r="D11" s="29">
        <f>SUM(D2:D10)</f>
        <v>32</v>
      </c>
      <c r="E11" s="42">
        <f t="shared" si="0"/>
        <v>0.54166666666666663</v>
      </c>
      <c r="F11" s="43">
        <f t="shared" si="0"/>
        <v>0.44444444444444442</v>
      </c>
      <c r="G11" s="38">
        <f>SUM(G2:G10)</f>
        <v>159</v>
      </c>
      <c r="H11" s="41">
        <f>SUM(H2:H10)</f>
        <v>83</v>
      </c>
      <c r="I11" s="29">
        <f>SUM(I2:I10)</f>
        <v>76</v>
      </c>
      <c r="J11" s="42">
        <f t="shared" si="2"/>
        <v>0.5220125786163522</v>
      </c>
      <c r="K11" s="43">
        <f t="shared" si="2"/>
        <v>0.4779874213836478</v>
      </c>
      <c r="L11" s="38">
        <f>SUM(L2:L10)</f>
        <v>1384</v>
      </c>
      <c r="M11" s="41">
        <f>SUM(M2:M10)</f>
        <v>700</v>
      </c>
      <c r="N11" s="29">
        <f>SUM(N2:N10)</f>
        <v>684</v>
      </c>
      <c r="O11" s="42">
        <f t="shared" si="4"/>
        <v>0.5057803468208093</v>
      </c>
      <c r="P11" s="43">
        <f t="shared" si="4"/>
        <v>0.49421965317919075</v>
      </c>
    </row>
  </sheetData>
  <conditionalFormatting sqref="E2:E11">
    <cfRule type="expression" dxfId="29" priority="7">
      <formula>$E2&gt;$F2</formula>
    </cfRule>
  </conditionalFormatting>
  <conditionalFormatting sqref="F3:F11">
    <cfRule type="expression" dxfId="28" priority="6">
      <formula>$F3&gt;$E3</formula>
    </cfRule>
  </conditionalFormatting>
  <conditionalFormatting sqref="J2:J11">
    <cfRule type="expression" dxfId="27" priority="5">
      <formula>$E2&gt;$F2</formula>
    </cfRule>
  </conditionalFormatting>
  <conditionalFormatting sqref="F2">
    <cfRule type="expression" dxfId="26" priority="4">
      <formula>$F2&gt;$E2</formula>
    </cfRule>
  </conditionalFormatting>
  <conditionalFormatting sqref="K2:K11">
    <cfRule type="expression" dxfId="25" priority="3">
      <formula>$F2&gt;$E2</formula>
    </cfRule>
  </conditionalFormatting>
  <conditionalFormatting sqref="O2:O11">
    <cfRule type="expression" dxfId="24" priority="2">
      <formula>$E2&gt;$F2</formula>
    </cfRule>
  </conditionalFormatting>
  <conditionalFormatting sqref="P2:P11">
    <cfRule type="expression" dxfId="23" priority="1">
      <formula>$F2&gt;$E2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1:P11"/>
  <sheetViews>
    <sheetView showZeros="0" workbookViewId="0"/>
  </sheetViews>
  <sheetFormatPr baseColWidth="10" defaultRowHeight="12.75" x14ac:dyDescent="0.2"/>
  <cols>
    <col min="1" max="1" width="9.85546875" customWidth="1"/>
    <col min="2" max="2" width="11.42578125" customWidth="1"/>
    <col min="3" max="5" width="10.85546875" style="5" customWidth="1"/>
    <col min="6" max="6" width="10.85546875" customWidth="1"/>
    <col min="7" max="7" width="11.42578125" customWidth="1"/>
    <col min="8" max="10" width="10.85546875" style="5" customWidth="1"/>
    <col min="11" max="11" width="10.85546875" customWidth="1"/>
    <col min="12" max="12" width="11.42578125" customWidth="1"/>
    <col min="13" max="15" width="10.85546875" style="5" customWidth="1"/>
    <col min="16" max="16" width="10.85546875" customWidth="1"/>
  </cols>
  <sheetData>
    <row r="1" spans="1:16" ht="37.5" customHeight="1" thickBot="1" x14ac:dyDescent="0.25">
      <c r="A1" s="47">
        <v>2020</v>
      </c>
      <c r="B1" s="18" t="s">
        <v>171</v>
      </c>
      <c r="C1" s="21" t="s">
        <v>179</v>
      </c>
      <c r="D1" s="22" t="s">
        <v>180</v>
      </c>
      <c r="E1" s="22" t="s">
        <v>172</v>
      </c>
      <c r="F1" s="31" t="s">
        <v>184</v>
      </c>
      <c r="G1" s="18" t="s">
        <v>181</v>
      </c>
      <c r="H1" s="19" t="s">
        <v>173</v>
      </c>
      <c r="I1" s="20" t="s">
        <v>174</v>
      </c>
      <c r="J1" s="20" t="s">
        <v>175</v>
      </c>
      <c r="K1" s="30" t="s">
        <v>185</v>
      </c>
      <c r="L1" s="18" t="s">
        <v>182</v>
      </c>
      <c r="M1" s="23" t="s">
        <v>176</v>
      </c>
      <c r="N1" s="24" t="s">
        <v>177</v>
      </c>
      <c r="O1" s="24" t="s">
        <v>178</v>
      </c>
      <c r="P1" s="25" t="s">
        <v>186</v>
      </c>
    </row>
    <row r="2" spans="1:16" ht="33" customHeight="1" x14ac:dyDescent="0.2">
      <c r="A2" s="16" t="s">
        <v>9</v>
      </c>
      <c r="B2" s="32">
        <f>COUNTIFS(Résultats!H:H,'2020'!$A$1,Résultats!E:E,'2020'!A2)</f>
        <v>1</v>
      </c>
      <c r="C2" s="44">
        <f>COUNTIFS(Résultats!$H:$H,'2020'!$A$1,Résultats!$G:$G,"S",Résultats!$E:$E,'2020'!$A2)</f>
        <v>1</v>
      </c>
      <c r="D2" s="15">
        <f>COUNTIFS(Résultats!$H:$H,'2020'!$A$1,Résultats!$G:$G,"N",Résultats!$E:$E,'2020'!$A2)</f>
        <v>0</v>
      </c>
      <c r="E2" s="45">
        <f>IFERROR(C2/$B2,"")</f>
        <v>1</v>
      </c>
      <c r="F2" s="46">
        <f>IFERROR(D2/$B2,"")</f>
        <v>0</v>
      </c>
      <c r="G2" s="34">
        <f>H2+I2</f>
        <v>2</v>
      </c>
      <c r="H2" s="44">
        <f>SUMIFS(Résultats!R:R,Résultats!$E:$E,'2020'!$A2,Résultats!$H:$H,'2020'!$A$1)</f>
        <v>2</v>
      </c>
      <c r="I2" s="15">
        <f>SUMIFS(Résultats!S:S,Résultats!$E:$E,'2020'!$A2,Résultats!$H:$H,'2020'!$A$1)</f>
        <v>0</v>
      </c>
      <c r="J2" s="45">
        <f>IFERROR(H2/$G2,"")</f>
        <v>1</v>
      </c>
      <c r="K2" s="46">
        <f>IFERROR(I2/$G2,"")</f>
        <v>0</v>
      </c>
      <c r="L2" s="34">
        <f>M2+N2</f>
        <v>22</v>
      </c>
      <c r="M2" s="44">
        <f>SUMIFS(Résultats!T:T,Résultats!$E:$E,'2020'!$A2,Résultats!$H:$H,'2020'!$A$1)</f>
        <v>13</v>
      </c>
      <c r="N2" s="15">
        <f>SUMIFS(Résultats!U:U,Résultats!$E:$E,'2020'!$A2,Résultats!$H:$H,'2020'!$A$1)</f>
        <v>9</v>
      </c>
      <c r="O2" s="45">
        <f>IFERROR(M2/$L2,"")</f>
        <v>0.59090909090909094</v>
      </c>
      <c r="P2" s="46">
        <f>IFERROR(N2/$L2,"")</f>
        <v>0.40909090909090912</v>
      </c>
    </row>
    <row r="3" spans="1:16" ht="33" customHeight="1" x14ac:dyDescent="0.2">
      <c r="A3" s="17" t="s">
        <v>2</v>
      </c>
      <c r="B3" s="33">
        <f>COUNTIFS(Résultats!H:H,'2020'!$A$1,Résultats!E:E,'2020'!A3)</f>
        <v>1</v>
      </c>
      <c r="C3" s="36">
        <f>COUNTIFS(Résultats!$H:$H,'2020'!$A$1,Résultats!$G:$G,"S",Résultats!E:E,'2020'!$A3)</f>
        <v>1</v>
      </c>
      <c r="D3" s="7">
        <f>COUNTIFS(Résultats!$H:$H,'2020'!$A$1,Résultats!$G:$G,"N",Résultats!$E:$E,'2020'!$A3)</f>
        <v>0</v>
      </c>
      <c r="E3" s="45">
        <f t="shared" ref="E3:F11" si="0">IFERROR(C3/$B3,"")</f>
        <v>1</v>
      </c>
      <c r="F3" s="46">
        <f t="shared" si="0"/>
        <v>0</v>
      </c>
      <c r="G3" s="35">
        <f t="shared" ref="G3:G10" si="1">H3+I3</f>
        <v>2</v>
      </c>
      <c r="H3" s="36">
        <f>SUMIFS(Résultats!R:R,Résultats!$E:$E,'2020'!$A3,Résultats!$H:$H,'2020'!$A$1)</f>
        <v>2</v>
      </c>
      <c r="I3" s="7">
        <f>SUMIFS(Résultats!S:S,Résultats!$E:$E,'2020'!$A3,Résultats!$H:$H,'2020'!$A$1)</f>
        <v>0</v>
      </c>
      <c r="J3" s="45">
        <f t="shared" ref="J3:K11" si="2">IFERROR(H3/$G3,"")</f>
        <v>1</v>
      </c>
      <c r="K3" s="46">
        <f t="shared" si="2"/>
        <v>0</v>
      </c>
      <c r="L3" s="35">
        <f t="shared" ref="L3:L10" si="3">M3+N3</f>
        <v>19</v>
      </c>
      <c r="M3" s="36">
        <f>SUMIFS(Résultats!T:T,Résultats!$E:$E,'2020'!$A3,Résultats!$H:$H,'2020'!$A$1)</f>
        <v>13</v>
      </c>
      <c r="N3" s="7">
        <f>SUMIFS(Résultats!U:U,Résultats!$E:$E,'2020'!$A3,Résultats!$H:$H,'2020'!$A$1)</f>
        <v>6</v>
      </c>
      <c r="O3" s="45">
        <f t="shared" ref="O3:P11" si="4">IFERROR(M3/$L3,"")</f>
        <v>0.68421052631578949</v>
      </c>
      <c r="P3" s="46">
        <f t="shared" si="4"/>
        <v>0.31578947368421051</v>
      </c>
    </row>
    <row r="4" spans="1:16" ht="33" customHeight="1" x14ac:dyDescent="0.2">
      <c r="A4" s="17" t="s">
        <v>25</v>
      </c>
      <c r="B4" s="33">
        <f>COUNTIFS(Résultats!H:H,'2020'!$A$1,Résultats!E:E,'2020'!A4)</f>
        <v>6</v>
      </c>
      <c r="C4" s="36">
        <f>COUNTIFS(Résultats!$H:$H,'2020'!$A$1,Résultats!$G:$G,"S",Résultats!E:E,'2020'!$A4)</f>
        <v>6</v>
      </c>
      <c r="D4" s="7">
        <f>COUNTIFS(Résultats!$H:$H,'2020'!$A$1,Résultats!$G:$G,"N",Résultats!$E:$E,'2020'!$A4)</f>
        <v>0</v>
      </c>
      <c r="E4" s="45">
        <f t="shared" si="0"/>
        <v>1</v>
      </c>
      <c r="F4" s="46">
        <f t="shared" si="0"/>
        <v>0</v>
      </c>
      <c r="G4" s="35">
        <f t="shared" si="1"/>
        <v>14</v>
      </c>
      <c r="H4" s="36">
        <f>SUMIFS(Résultats!R:R,Résultats!$E:$E,'2020'!$A4,Résultats!$H:$H,'2020'!$A$1)</f>
        <v>11</v>
      </c>
      <c r="I4" s="7">
        <f>SUMIFS(Résultats!S:S,Résultats!$E:$E,'2020'!$A4,Résultats!$H:$H,'2020'!$A$1)</f>
        <v>3</v>
      </c>
      <c r="J4" s="45">
        <f t="shared" si="2"/>
        <v>0.7857142857142857</v>
      </c>
      <c r="K4" s="46">
        <f t="shared" si="2"/>
        <v>0.21428571428571427</v>
      </c>
      <c r="L4" s="35">
        <f t="shared" si="3"/>
        <v>116</v>
      </c>
      <c r="M4" s="36">
        <f>SUMIFS(Résultats!T:T,Résultats!$E:$E,'2020'!$A4,Résultats!$H:$H,'2020'!$A$1)</f>
        <v>70</v>
      </c>
      <c r="N4" s="7">
        <f>SUMIFS(Résultats!U:U,Résultats!$E:$E,'2020'!$A4,Résultats!$H:$H,'2020'!$A$1)</f>
        <v>46</v>
      </c>
      <c r="O4" s="45">
        <f t="shared" si="4"/>
        <v>0.60344827586206895</v>
      </c>
      <c r="P4" s="46">
        <f t="shared" si="4"/>
        <v>0.39655172413793105</v>
      </c>
    </row>
    <row r="5" spans="1:16" ht="33" customHeight="1" x14ac:dyDescent="0.2">
      <c r="A5" s="17" t="s">
        <v>6</v>
      </c>
      <c r="B5" s="33">
        <f>COUNTIFS(Résultats!H:H,'2020'!$A$1,Résultats!E:E,'2020'!A5)</f>
        <v>5</v>
      </c>
      <c r="C5" s="36">
        <f>COUNTIFS(Résultats!$H:$H,'2020'!$A$1,Résultats!$G:$G,"S",Résultats!E:E,'2020'!$A5)</f>
        <v>1</v>
      </c>
      <c r="D5" s="7">
        <f>COUNTIFS(Résultats!$H:$H,'2020'!$A$1,Résultats!$G:$G,"N",Résultats!$E:$E,'2020'!$A5)</f>
        <v>4</v>
      </c>
      <c r="E5" s="45">
        <f t="shared" si="0"/>
        <v>0.2</v>
      </c>
      <c r="F5" s="46">
        <f t="shared" si="0"/>
        <v>0.8</v>
      </c>
      <c r="G5" s="35">
        <f t="shared" si="1"/>
        <v>11</v>
      </c>
      <c r="H5" s="36">
        <f>SUMIFS(Résultats!R:R,Résultats!$E:$E,'2020'!$A5,Résultats!$H:$H,'2020'!$A$1)</f>
        <v>3</v>
      </c>
      <c r="I5" s="7">
        <f>SUMIFS(Résultats!S:S,Résultats!$E:$E,'2020'!$A5,Résultats!$H:$H,'2020'!$A$1)</f>
        <v>8</v>
      </c>
      <c r="J5" s="45">
        <f t="shared" si="2"/>
        <v>0.27272727272727271</v>
      </c>
      <c r="K5" s="46">
        <f t="shared" si="2"/>
        <v>0.72727272727272729</v>
      </c>
      <c r="L5" s="35">
        <f t="shared" si="3"/>
        <v>94</v>
      </c>
      <c r="M5" s="36">
        <f>SUMIFS(Résultats!T:T,Résultats!$E:$E,'2020'!$A5,Résultats!$H:$H,'2020'!$A$1)</f>
        <v>40</v>
      </c>
      <c r="N5" s="7">
        <f>SUMIFS(Résultats!U:U,Résultats!$E:$E,'2020'!$A5,Résultats!$H:$H,'2020'!$A$1)</f>
        <v>54</v>
      </c>
      <c r="O5" s="45">
        <f t="shared" si="4"/>
        <v>0.42553191489361702</v>
      </c>
      <c r="P5" s="46">
        <f t="shared" si="4"/>
        <v>0.57446808510638303</v>
      </c>
    </row>
    <row r="6" spans="1:16" ht="33" customHeight="1" x14ac:dyDescent="0.2">
      <c r="A6" s="17" t="s">
        <v>77</v>
      </c>
      <c r="B6" s="33">
        <f>COUNTIFS(Résultats!H:H,'2020'!$A$1,Résultats!E:E,'2020'!A6)</f>
        <v>0</v>
      </c>
      <c r="C6" s="36">
        <f>COUNTIFS(Résultats!$H:$H,'2020'!$A$1,Résultats!$G:$G,"S",Résultats!E:E,'2020'!$A6)</f>
        <v>0</v>
      </c>
      <c r="D6" s="7">
        <f>COUNTIFS(Résultats!$H:$H,'2020'!$A$1,Résultats!$G:$G,"N",Résultats!$E:$E,'2020'!$A6)</f>
        <v>0</v>
      </c>
      <c r="E6" s="45" t="str">
        <f t="shared" si="0"/>
        <v/>
      </c>
      <c r="F6" s="46" t="str">
        <f t="shared" si="0"/>
        <v/>
      </c>
      <c r="G6" s="35">
        <f t="shared" si="1"/>
        <v>0</v>
      </c>
      <c r="H6" s="36">
        <f>SUMIFS(Résultats!R:R,Résultats!$E:$E,'2020'!$A6,Résultats!$H:$H,'2020'!$A$1)</f>
        <v>0</v>
      </c>
      <c r="I6" s="7">
        <f>SUMIFS(Résultats!S:S,Résultats!$E:$E,'2020'!$A6,Résultats!$H:$H,'2020'!$A$1)</f>
        <v>0</v>
      </c>
      <c r="J6" s="45" t="str">
        <f t="shared" si="2"/>
        <v/>
      </c>
      <c r="K6" s="46" t="str">
        <f t="shared" si="2"/>
        <v/>
      </c>
      <c r="L6" s="35">
        <f t="shared" si="3"/>
        <v>0</v>
      </c>
      <c r="M6" s="36">
        <f>SUMIFS(Résultats!T:T,Résultats!$E:$E,'2020'!$A6,Résultats!$H:$H,'2020'!$A$1)</f>
        <v>0</v>
      </c>
      <c r="N6" s="7">
        <f>SUMIFS(Résultats!U:U,Résultats!$E:$E,'2020'!$A6,Résultats!$H:$H,'2020'!$A$1)</f>
        <v>0</v>
      </c>
      <c r="O6" s="45" t="str">
        <f t="shared" si="4"/>
        <v/>
      </c>
      <c r="P6" s="46" t="str">
        <f t="shared" si="4"/>
        <v/>
      </c>
    </row>
    <row r="7" spans="1:16" ht="33" customHeight="1" x14ac:dyDescent="0.2">
      <c r="A7" s="17" t="s">
        <v>125</v>
      </c>
      <c r="B7" s="33">
        <f>COUNTIFS(Résultats!H:H,'2020'!$A$1,Résultats!E:E,'2020'!A7)</f>
        <v>1</v>
      </c>
      <c r="C7" s="36">
        <f>COUNTIFS(Résultats!$H:$H,'2020'!$A$1,Résultats!$G:$G,"S",Résultats!E:E,'2020'!$A7)</f>
        <v>0</v>
      </c>
      <c r="D7" s="7">
        <f>COUNTIFS(Résultats!$H:$H,'2020'!$A$1,Résultats!$G:$G,"N",Résultats!$E:$E,'2020'!$A7)</f>
        <v>1</v>
      </c>
      <c r="E7" s="45">
        <f t="shared" si="0"/>
        <v>0</v>
      </c>
      <c r="F7" s="46">
        <f t="shared" si="0"/>
        <v>1</v>
      </c>
      <c r="G7" s="35">
        <f t="shared" si="1"/>
        <v>2</v>
      </c>
      <c r="H7" s="36">
        <f>SUMIFS(Résultats!R:R,Résultats!$E:$E,'2020'!$A7,Résultats!$H:$H,'2020'!$A$1)</f>
        <v>0</v>
      </c>
      <c r="I7" s="7">
        <f>SUMIFS(Résultats!S:S,Résultats!$E:$E,'2020'!$A7,Résultats!$H:$H,'2020'!$A$1)</f>
        <v>2</v>
      </c>
      <c r="J7" s="45">
        <f t="shared" si="2"/>
        <v>0</v>
      </c>
      <c r="K7" s="46">
        <f t="shared" si="2"/>
        <v>1</v>
      </c>
      <c r="L7" s="35">
        <f t="shared" si="3"/>
        <v>14</v>
      </c>
      <c r="M7" s="36">
        <f>SUMIFS(Résultats!T:T,Résultats!$E:$E,'2020'!$A7,Résultats!$H:$H,'2020'!$A$1)</f>
        <v>2</v>
      </c>
      <c r="N7" s="7">
        <f>SUMIFS(Résultats!U:U,Résultats!$E:$E,'2020'!$A7,Résultats!$H:$H,'2020'!$A$1)</f>
        <v>12</v>
      </c>
      <c r="O7" s="45">
        <f t="shared" si="4"/>
        <v>0.14285714285714285</v>
      </c>
      <c r="P7" s="46">
        <f t="shared" si="4"/>
        <v>0.8571428571428571</v>
      </c>
    </row>
    <row r="8" spans="1:16" ht="33" customHeight="1" x14ac:dyDescent="0.2">
      <c r="A8" s="17" t="s">
        <v>163</v>
      </c>
      <c r="B8" s="33">
        <f>COUNTIFS(Résultats!H:H,'2020'!$A$1,Résultats!E:E,'2020'!A8)</f>
        <v>1</v>
      </c>
      <c r="C8" s="36">
        <f>COUNTIFS(Résultats!$H:$H,'2020'!$A$1,Résultats!$G:$G,"S",Résultats!E:E,'2020'!$A8)</f>
        <v>0</v>
      </c>
      <c r="D8" s="7">
        <f>COUNTIFS(Résultats!$H:$H,'2020'!$A$1,Résultats!$G:$G,"N",Résultats!$E:$E,'2020'!$A8)</f>
        <v>1</v>
      </c>
      <c r="E8" s="45">
        <f t="shared" si="0"/>
        <v>0</v>
      </c>
      <c r="F8" s="46">
        <f t="shared" si="0"/>
        <v>1</v>
      </c>
      <c r="G8" s="35">
        <f t="shared" si="1"/>
        <v>2</v>
      </c>
      <c r="H8" s="36">
        <f>SUMIFS(Résultats!R:R,Résultats!$E:$E,'2020'!$A8,Résultats!$H:$H,'2020'!$A$1)</f>
        <v>0</v>
      </c>
      <c r="I8" s="7">
        <f>SUMIFS(Résultats!S:S,Résultats!$E:$E,'2020'!$A8,Résultats!$H:$H,'2020'!$A$1)</f>
        <v>2</v>
      </c>
      <c r="J8" s="45">
        <f t="shared" si="2"/>
        <v>0</v>
      </c>
      <c r="K8" s="46">
        <f t="shared" si="2"/>
        <v>1</v>
      </c>
      <c r="L8" s="35">
        <f t="shared" si="3"/>
        <v>16</v>
      </c>
      <c r="M8" s="36">
        <f>SUMIFS(Résultats!T:T,Résultats!$E:$E,'2020'!$A8,Résultats!$H:$H,'2020'!$A$1)</f>
        <v>4</v>
      </c>
      <c r="N8" s="7">
        <f>SUMIFS(Résultats!U:U,Résultats!$E:$E,'2020'!$A8,Résultats!$H:$H,'2020'!$A$1)</f>
        <v>12</v>
      </c>
      <c r="O8" s="45">
        <f t="shared" si="4"/>
        <v>0.25</v>
      </c>
      <c r="P8" s="46">
        <f t="shared" si="4"/>
        <v>0.75</v>
      </c>
    </row>
    <row r="9" spans="1:16" ht="33" customHeight="1" x14ac:dyDescent="0.2">
      <c r="A9" s="17" t="s">
        <v>169</v>
      </c>
      <c r="B9" s="33">
        <f>COUNTIFS(Résultats!H:H,'2020'!$A$1,Résultats!E:E,'2020'!A9)</f>
        <v>0</v>
      </c>
      <c r="C9" s="36">
        <f>COUNTIFS(Résultats!$H:$H,'2020'!$A$1,Résultats!$G:$G,"S",Résultats!E:E,'2020'!$A9)</f>
        <v>0</v>
      </c>
      <c r="D9" s="7">
        <f>COUNTIFS(Résultats!$H:$H,'2020'!$A$1,Résultats!$G:$G,"N",Résultats!$E:$E,'2020'!$A9)</f>
        <v>0</v>
      </c>
      <c r="E9" s="45" t="str">
        <f t="shared" si="0"/>
        <v/>
      </c>
      <c r="F9" s="46" t="str">
        <f t="shared" si="0"/>
        <v/>
      </c>
      <c r="G9" s="35">
        <f t="shared" si="1"/>
        <v>0</v>
      </c>
      <c r="H9" s="36">
        <f>SUMIFS(Résultats!R:R,Résultats!$E:$E,'2020'!$A9,Résultats!$H:$H,'2020'!$A$1)</f>
        <v>0</v>
      </c>
      <c r="I9" s="7">
        <f>SUMIFS(Résultats!S:S,Résultats!$E:$E,'2020'!$A9,Résultats!$H:$H,'2020'!$A$1)</f>
        <v>0</v>
      </c>
      <c r="J9" s="45" t="str">
        <f t="shared" si="2"/>
        <v/>
      </c>
      <c r="K9" s="46" t="str">
        <f t="shared" si="2"/>
        <v/>
      </c>
      <c r="L9" s="35">
        <f t="shared" si="3"/>
        <v>0</v>
      </c>
      <c r="M9" s="36">
        <f>SUMIFS(Résultats!T:T,Résultats!$E:$E,'2020'!$A9,Résultats!$H:$H,'2020'!$A$1)</f>
        <v>0</v>
      </c>
      <c r="N9" s="7">
        <f>SUMIFS(Résultats!U:U,Résultats!$E:$E,'2020'!$A9,Résultats!$H:$H,'2020'!$A$1)</f>
        <v>0</v>
      </c>
      <c r="O9" s="45" t="str">
        <f t="shared" si="4"/>
        <v/>
      </c>
      <c r="P9" s="46" t="str">
        <f t="shared" si="4"/>
        <v/>
      </c>
    </row>
    <row r="10" spans="1:16" ht="33" customHeight="1" thickBot="1" x14ac:dyDescent="0.25">
      <c r="A10" s="26" t="s">
        <v>170</v>
      </c>
      <c r="B10" s="48">
        <f>COUNTIFS(Résultats!H:H,'2020'!$A$1,Résultats!E:E,'2020'!A10)</f>
        <v>0</v>
      </c>
      <c r="C10" s="39">
        <f>COUNTIFS(Résultats!$H:$H,'2020'!$A$1,Résultats!$G:$G,"S",Résultats!E:E,'2020'!$A10)</f>
        <v>0</v>
      </c>
      <c r="D10" s="27">
        <f>COUNTIFS(Résultats!$H:$H,'2020'!$A$1,Résultats!$G:$G,"N",Résultats!$E:$E,'2020'!$A10)</f>
        <v>0</v>
      </c>
      <c r="E10" s="49" t="str">
        <f t="shared" si="0"/>
        <v/>
      </c>
      <c r="F10" s="50" t="str">
        <f t="shared" si="0"/>
        <v/>
      </c>
      <c r="G10" s="40">
        <f t="shared" si="1"/>
        <v>0</v>
      </c>
      <c r="H10" s="39">
        <f>SUMIFS(Résultats!R:R,Résultats!$E:$E,'2020'!$A10,Résultats!$H:$H,'2020'!$A$1)</f>
        <v>0</v>
      </c>
      <c r="I10" s="27">
        <f>SUMIFS(Résultats!S:S,Résultats!$E:$E,'2020'!$A10,Résultats!$H:$H,'2020'!$A$1)</f>
        <v>0</v>
      </c>
      <c r="J10" s="49" t="str">
        <f t="shared" si="2"/>
        <v/>
      </c>
      <c r="K10" s="50" t="str">
        <f t="shared" si="2"/>
        <v/>
      </c>
      <c r="L10" s="40">
        <f t="shared" si="3"/>
        <v>0</v>
      </c>
      <c r="M10" s="39">
        <f>SUMIFS(Résultats!T:T,Résultats!$E:$E,'2020'!$A10,Résultats!$H:$H,'2020'!$A$1)</f>
        <v>0</v>
      </c>
      <c r="N10" s="27">
        <f>SUMIFS(Résultats!U:U,Résultats!$E:$E,'2020'!$A10,Résultats!$H:$H,'2020'!$A$1)</f>
        <v>0</v>
      </c>
      <c r="O10" s="49" t="str">
        <f t="shared" si="4"/>
        <v/>
      </c>
      <c r="P10" s="50" t="str">
        <f t="shared" si="4"/>
        <v/>
      </c>
    </row>
    <row r="11" spans="1:16" ht="33" customHeight="1" thickBot="1" x14ac:dyDescent="0.25">
      <c r="A11" s="28" t="s">
        <v>183</v>
      </c>
      <c r="B11" s="37">
        <f>SUM(B2:B10)</f>
        <v>15</v>
      </c>
      <c r="C11" s="41">
        <f>SUM(C2:C10)</f>
        <v>9</v>
      </c>
      <c r="D11" s="29">
        <f>SUM(D2:D10)</f>
        <v>6</v>
      </c>
      <c r="E11" s="42">
        <f t="shared" si="0"/>
        <v>0.6</v>
      </c>
      <c r="F11" s="43">
        <f t="shared" si="0"/>
        <v>0.4</v>
      </c>
      <c r="G11" s="38">
        <f>SUM(G2:G10)</f>
        <v>33</v>
      </c>
      <c r="H11" s="41">
        <f>SUM(H2:H10)</f>
        <v>18</v>
      </c>
      <c r="I11" s="29">
        <f>SUM(I2:I10)</f>
        <v>15</v>
      </c>
      <c r="J11" s="42">
        <f t="shared" si="2"/>
        <v>0.54545454545454541</v>
      </c>
      <c r="K11" s="43">
        <f t="shared" si="2"/>
        <v>0.45454545454545453</v>
      </c>
      <c r="L11" s="38">
        <f>SUM(L2:L10)</f>
        <v>281</v>
      </c>
      <c r="M11" s="41">
        <f>SUM(M2:M10)</f>
        <v>142</v>
      </c>
      <c r="N11" s="29">
        <f>SUM(N2:N10)</f>
        <v>139</v>
      </c>
      <c r="O11" s="42">
        <f t="shared" si="4"/>
        <v>0.50533807829181498</v>
      </c>
      <c r="P11" s="43">
        <f t="shared" si="4"/>
        <v>0.49466192170818507</v>
      </c>
    </row>
  </sheetData>
  <conditionalFormatting sqref="E2:E11">
    <cfRule type="expression" dxfId="22" priority="7">
      <formula>$E2&gt;$F2</formula>
    </cfRule>
  </conditionalFormatting>
  <conditionalFormatting sqref="F3:F11">
    <cfRule type="expression" dxfId="21" priority="6">
      <formula>$F3&gt;$E3</formula>
    </cfRule>
  </conditionalFormatting>
  <conditionalFormatting sqref="J2:J11">
    <cfRule type="expression" dxfId="20" priority="5">
      <formula>$E2&gt;$F2</formula>
    </cfRule>
  </conditionalFormatting>
  <conditionalFormatting sqref="F2">
    <cfRule type="expression" dxfId="19" priority="4">
      <formula>$F2&gt;$E2</formula>
    </cfRule>
  </conditionalFormatting>
  <conditionalFormatting sqref="K2:K11">
    <cfRule type="expression" dxfId="18" priority="3">
      <formula>$F2&gt;$E2</formula>
    </cfRule>
  </conditionalFormatting>
  <conditionalFormatting sqref="O2:O11">
    <cfRule type="expression" dxfId="17" priority="2">
      <formula>$E2&gt;$F2</formula>
    </cfRule>
  </conditionalFormatting>
  <conditionalFormatting sqref="P2:P11">
    <cfRule type="expression" dxfId="16" priority="1">
      <formula>$F2&gt;$E2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P11"/>
  <sheetViews>
    <sheetView showZeros="0" workbookViewId="0"/>
  </sheetViews>
  <sheetFormatPr baseColWidth="10" defaultRowHeight="12.75" x14ac:dyDescent="0.2"/>
  <cols>
    <col min="1" max="1" width="9.85546875" customWidth="1"/>
    <col min="2" max="2" width="11.42578125" customWidth="1"/>
    <col min="3" max="5" width="10.85546875" style="5" customWidth="1"/>
    <col min="6" max="6" width="10.85546875" customWidth="1"/>
    <col min="7" max="7" width="11.42578125" customWidth="1"/>
    <col min="8" max="10" width="10.85546875" style="5" customWidth="1"/>
    <col min="11" max="11" width="10.85546875" customWidth="1"/>
    <col min="12" max="12" width="11.42578125" customWidth="1"/>
    <col min="13" max="15" width="10.85546875" style="5" customWidth="1"/>
    <col min="16" max="16" width="10.85546875" customWidth="1"/>
  </cols>
  <sheetData>
    <row r="1" spans="1:16" ht="37.5" customHeight="1" thickBot="1" x14ac:dyDescent="0.25">
      <c r="A1" s="47">
        <v>2019</v>
      </c>
      <c r="B1" s="18" t="s">
        <v>171</v>
      </c>
      <c r="C1" s="21" t="s">
        <v>179</v>
      </c>
      <c r="D1" s="22" t="s">
        <v>180</v>
      </c>
      <c r="E1" s="22" t="s">
        <v>172</v>
      </c>
      <c r="F1" s="31" t="s">
        <v>184</v>
      </c>
      <c r="G1" s="18" t="s">
        <v>181</v>
      </c>
      <c r="H1" s="19" t="s">
        <v>173</v>
      </c>
      <c r="I1" s="20" t="s">
        <v>174</v>
      </c>
      <c r="J1" s="20" t="s">
        <v>175</v>
      </c>
      <c r="K1" s="30" t="s">
        <v>185</v>
      </c>
      <c r="L1" s="18" t="s">
        <v>182</v>
      </c>
      <c r="M1" s="23" t="s">
        <v>176</v>
      </c>
      <c r="N1" s="24" t="s">
        <v>177</v>
      </c>
      <c r="O1" s="24" t="s">
        <v>178</v>
      </c>
      <c r="P1" s="25" t="s">
        <v>186</v>
      </c>
    </row>
    <row r="2" spans="1:16" ht="33" customHeight="1" x14ac:dyDescent="0.2">
      <c r="A2" s="16" t="s">
        <v>9</v>
      </c>
      <c r="B2" s="32">
        <f>COUNTIFS(Résultats!H:H,'2019'!$A$1,Résultats!E:E,'2019'!A2)</f>
        <v>0</v>
      </c>
      <c r="C2" s="44">
        <f>COUNTIFS(Résultats!$H:$H,'2019'!$A$1,Résultats!$G:$G,"S",Résultats!$E:$E,'2019'!$A2)</f>
        <v>0</v>
      </c>
      <c r="D2" s="15">
        <f>COUNTIFS(Résultats!$H:$H,'2019'!$A$1,Résultats!$G:$G,"N",Résultats!$E:$E,'2019'!$A2)</f>
        <v>0</v>
      </c>
      <c r="E2" s="45" t="str">
        <f>IFERROR(C2/$B2,"")</f>
        <v/>
      </c>
      <c r="F2" s="46" t="str">
        <f>IFERROR(D2/$B2,"")</f>
        <v/>
      </c>
      <c r="G2" s="34">
        <f>H2+I2</f>
        <v>0</v>
      </c>
      <c r="H2" s="44">
        <f>SUMIFS(Résultats!R:R,Résultats!$E:$E,'2019'!$A2,Résultats!$H:$H,'2019'!$A$1)</f>
        <v>0</v>
      </c>
      <c r="I2" s="15">
        <f>SUMIFS(Résultats!S:S,Résultats!$E:$E,'2019'!$A2,Résultats!$H:$H,'2019'!$A$1)</f>
        <v>0</v>
      </c>
      <c r="J2" s="45" t="str">
        <f>IFERROR(H2/$G2,"")</f>
        <v/>
      </c>
      <c r="K2" s="46" t="str">
        <f>IFERROR(I2/$G2,"")</f>
        <v/>
      </c>
      <c r="L2" s="34">
        <f>M2+N2</f>
        <v>0</v>
      </c>
      <c r="M2" s="44">
        <f>SUMIFS(Résultats!T:T,Résultats!$E:$E,'2019'!$A2,Résultats!$H:$H,'2019'!$A$1)</f>
        <v>0</v>
      </c>
      <c r="N2" s="15">
        <f>SUMIFS(Résultats!U:U,Résultats!$E:$E,'2019'!$A2,Résultats!$H:$H,'2019'!$A$1)</f>
        <v>0</v>
      </c>
      <c r="O2" s="45" t="str">
        <f>IFERROR(M2/$L2,"")</f>
        <v/>
      </c>
      <c r="P2" s="46" t="str">
        <f>IFERROR(N2/$L2,"")</f>
        <v/>
      </c>
    </row>
    <row r="3" spans="1:16" ht="33" customHeight="1" x14ac:dyDescent="0.2">
      <c r="A3" s="17" t="s">
        <v>2</v>
      </c>
      <c r="B3" s="33">
        <f>COUNTIFS(Résultats!H:H,'2019'!$A$1,Résultats!E:E,'2019'!A3)</f>
        <v>3</v>
      </c>
      <c r="C3" s="36">
        <f>COUNTIFS(Résultats!$H:$H,'2019'!$A$1,Résultats!$G:$G,"S",Résultats!E:E,'2019'!$A3)</f>
        <v>3</v>
      </c>
      <c r="D3" s="7">
        <f>COUNTIFS(Résultats!$H:$H,'2019'!$A$1,Résultats!$G:$G,"N",Résultats!$E:$E,'2019'!$A3)</f>
        <v>0</v>
      </c>
      <c r="E3" s="45">
        <f t="shared" ref="E3:F11" si="0">IFERROR(C3/$B3,"")</f>
        <v>1</v>
      </c>
      <c r="F3" s="46">
        <f t="shared" si="0"/>
        <v>0</v>
      </c>
      <c r="G3" s="35">
        <f t="shared" ref="G3:G10" si="1">H3+I3</f>
        <v>7</v>
      </c>
      <c r="H3" s="36">
        <f>SUMIFS(Résultats!R:R,Résultats!$E:$E,'2019'!$A3,Résultats!$H:$H,'2019'!$A$1)</f>
        <v>6</v>
      </c>
      <c r="I3" s="7">
        <f>SUMIFS(Résultats!S:S,Résultats!$E:$E,'2019'!$A3,Résultats!$H:$H,'2019'!$A$1)</f>
        <v>1</v>
      </c>
      <c r="J3" s="45">
        <f t="shared" ref="J3:K11" si="2">IFERROR(H3/$G3,"")</f>
        <v>0.8571428571428571</v>
      </c>
      <c r="K3" s="46">
        <f t="shared" si="2"/>
        <v>0.14285714285714285</v>
      </c>
      <c r="L3" s="35">
        <f t="shared" ref="L3:L10" si="3">M3+N3</f>
        <v>59</v>
      </c>
      <c r="M3" s="36">
        <f>SUMIFS(Résultats!T:T,Résultats!$E:$E,'2019'!$A3,Résultats!$H:$H,'2019'!$A$1)</f>
        <v>37</v>
      </c>
      <c r="N3" s="7">
        <f>SUMIFS(Résultats!U:U,Résultats!$E:$E,'2019'!$A3,Résultats!$H:$H,'2019'!$A$1)</f>
        <v>22</v>
      </c>
      <c r="O3" s="45">
        <f t="shared" ref="O3:P11" si="4">IFERROR(M3/$L3,"")</f>
        <v>0.6271186440677966</v>
      </c>
      <c r="P3" s="46">
        <f t="shared" si="4"/>
        <v>0.3728813559322034</v>
      </c>
    </row>
    <row r="4" spans="1:16" ht="33" customHeight="1" x14ac:dyDescent="0.2">
      <c r="A4" s="17" t="s">
        <v>25</v>
      </c>
      <c r="B4" s="33">
        <f>COUNTIFS(Résultats!H:H,'2019'!$A$1,Résultats!E:E,'2019'!A4)</f>
        <v>8</v>
      </c>
      <c r="C4" s="36">
        <f>COUNTIFS(Résultats!$H:$H,'2019'!$A$1,Résultats!$G:$G,"S",Résultats!E:E,'2019'!$A4)</f>
        <v>6</v>
      </c>
      <c r="D4" s="7">
        <f>COUNTIFS(Résultats!$H:$H,'2019'!$A$1,Résultats!$G:$G,"N",Résultats!$E:$E,'2019'!$A4)</f>
        <v>1</v>
      </c>
      <c r="E4" s="45">
        <f t="shared" si="0"/>
        <v>0.75</v>
      </c>
      <c r="F4" s="46">
        <f t="shared" si="0"/>
        <v>0.125</v>
      </c>
      <c r="G4" s="35">
        <f t="shared" si="1"/>
        <v>17</v>
      </c>
      <c r="H4" s="36">
        <f>SUMIFS(Résultats!R:R,Résultats!$E:$E,'2019'!$A4,Résultats!$H:$H,'2019'!$A$1)</f>
        <v>13</v>
      </c>
      <c r="I4" s="7">
        <f>SUMIFS(Résultats!S:S,Résultats!$E:$E,'2019'!$A4,Résultats!$H:$H,'2019'!$A$1)</f>
        <v>4</v>
      </c>
      <c r="J4" s="45">
        <f t="shared" si="2"/>
        <v>0.76470588235294112</v>
      </c>
      <c r="K4" s="46">
        <f t="shared" si="2"/>
        <v>0.23529411764705882</v>
      </c>
      <c r="L4" s="35">
        <f t="shared" si="3"/>
        <v>155</v>
      </c>
      <c r="M4" s="36">
        <f>SUMIFS(Résultats!T:T,Résultats!$E:$E,'2019'!$A4,Résultats!$H:$H,'2019'!$A$1)</f>
        <v>96</v>
      </c>
      <c r="N4" s="7">
        <f>SUMIFS(Résultats!U:U,Résultats!$E:$E,'2019'!$A4,Résultats!$H:$H,'2019'!$A$1)</f>
        <v>59</v>
      </c>
      <c r="O4" s="45">
        <f t="shared" si="4"/>
        <v>0.61935483870967745</v>
      </c>
      <c r="P4" s="46">
        <f t="shared" si="4"/>
        <v>0.38064516129032255</v>
      </c>
    </row>
    <row r="5" spans="1:16" ht="33" customHeight="1" x14ac:dyDescent="0.2">
      <c r="A5" s="17" t="s">
        <v>6</v>
      </c>
      <c r="B5" s="33">
        <f>COUNTIFS(Résultats!H:H,'2019'!$A$1,Résultats!E:E,'2019'!A5)</f>
        <v>5</v>
      </c>
      <c r="C5" s="36">
        <f>COUNTIFS(Résultats!$H:$H,'2019'!$A$1,Résultats!$G:$G,"S",Résultats!E:E,'2019'!$A5)</f>
        <v>4</v>
      </c>
      <c r="D5" s="7">
        <f>COUNTIFS(Résultats!$H:$H,'2019'!$A$1,Résultats!$G:$G,"N",Résultats!$E:$E,'2019'!$A5)</f>
        <v>1</v>
      </c>
      <c r="E5" s="45">
        <f t="shared" si="0"/>
        <v>0.8</v>
      </c>
      <c r="F5" s="46">
        <f t="shared" si="0"/>
        <v>0.2</v>
      </c>
      <c r="G5" s="35">
        <f t="shared" si="1"/>
        <v>12</v>
      </c>
      <c r="H5" s="36">
        <f>SUMIFS(Résultats!R:R,Résultats!$E:$E,'2019'!$A5,Résultats!$H:$H,'2019'!$A$1)</f>
        <v>9</v>
      </c>
      <c r="I5" s="7">
        <f>SUMIFS(Résultats!S:S,Résultats!$E:$E,'2019'!$A5,Résultats!$H:$H,'2019'!$A$1)</f>
        <v>3</v>
      </c>
      <c r="J5" s="45">
        <f t="shared" si="2"/>
        <v>0.75</v>
      </c>
      <c r="K5" s="46">
        <f t="shared" si="2"/>
        <v>0.25</v>
      </c>
      <c r="L5" s="35">
        <f t="shared" si="3"/>
        <v>115</v>
      </c>
      <c r="M5" s="36">
        <f>SUMIFS(Résultats!T:T,Résultats!$E:$E,'2019'!$A5,Résultats!$H:$H,'2019'!$A$1)</f>
        <v>70</v>
      </c>
      <c r="N5" s="7">
        <f>SUMIFS(Résultats!U:U,Résultats!$E:$E,'2019'!$A5,Résultats!$H:$H,'2019'!$A$1)</f>
        <v>45</v>
      </c>
      <c r="O5" s="45">
        <f t="shared" si="4"/>
        <v>0.60869565217391308</v>
      </c>
      <c r="P5" s="46">
        <f t="shared" si="4"/>
        <v>0.39130434782608697</v>
      </c>
    </row>
    <row r="6" spans="1:16" ht="33" customHeight="1" x14ac:dyDescent="0.2">
      <c r="A6" s="17" t="s">
        <v>77</v>
      </c>
      <c r="B6" s="33">
        <f>COUNTIFS(Résultats!H:H,'2019'!$A$1,Résultats!E:E,'2019'!A6)</f>
        <v>8</v>
      </c>
      <c r="C6" s="36">
        <f>COUNTIFS(Résultats!$H:$H,'2019'!$A$1,Résultats!$G:$G,"S",Résultats!E:E,'2019'!$A6)</f>
        <v>0</v>
      </c>
      <c r="D6" s="7">
        <f>COUNTIFS(Résultats!$H:$H,'2019'!$A$1,Résultats!$G:$G,"N",Résultats!$E:$E,'2019'!$A6)</f>
        <v>8</v>
      </c>
      <c r="E6" s="45">
        <f t="shared" si="0"/>
        <v>0</v>
      </c>
      <c r="F6" s="46">
        <f t="shared" si="0"/>
        <v>1</v>
      </c>
      <c r="G6" s="35">
        <f t="shared" si="1"/>
        <v>16</v>
      </c>
      <c r="H6" s="36">
        <f>SUMIFS(Résultats!R:R,Résultats!$E:$E,'2019'!$A6,Résultats!$H:$H,'2019'!$A$1)</f>
        <v>0</v>
      </c>
      <c r="I6" s="7">
        <f>SUMIFS(Résultats!S:S,Résultats!$E:$E,'2019'!$A6,Résultats!$H:$H,'2019'!$A$1)</f>
        <v>16</v>
      </c>
      <c r="J6" s="45">
        <f t="shared" si="2"/>
        <v>0</v>
      </c>
      <c r="K6" s="46">
        <f t="shared" si="2"/>
        <v>1</v>
      </c>
      <c r="L6" s="35">
        <f t="shared" si="3"/>
        <v>139</v>
      </c>
      <c r="M6" s="36">
        <f>SUMIFS(Résultats!T:T,Résultats!$E:$E,'2019'!$A6,Résultats!$H:$H,'2019'!$A$1)</f>
        <v>39</v>
      </c>
      <c r="N6" s="7">
        <f>SUMIFS(Résultats!U:U,Résultats!$E:$E,'2019'!$A6,Résultats!$H:$H,'2019'!$A$1)</f>
        <v>100</v>
      </c>
      <c r="O6" s="45">
        <f t="shared" si="4"/>
        <v>0.2805755395683453</v>
      </c>
      <c r="P6" s="46">
        <f t="shared" si="4"/>
        <v>0.71942446043165464</v>
      </c>
    </row>
    <row r="7" spans="1:16" ht="33" customHeight="1" x14ac:dyDescent="0.2">
      <c r="A7" s="17" t="s">
        <v>125</v>
      </c>
      <c r="B7" s="33">
        <f>COUNTIFS(Résultats!H:H,'2019'!$A$1,Résultats!E:E,'2019'!A7)</f>
        <v>1</v>
      </c>
      <c r="C7" s="36">
        <f>COUNTIFS(Résultats!$H:$H,'2019'!$A$1,Résultats!$G:$G,"S",Résultats!E:E,'2019'!$A7)</f>
        <v>0</v>
      </c>
      <c r="D7" s="7">
        <f>COUNTIFS(Résultats!$H:$H,'2019'!$A$1,Résultats!$G:$G,"N",Résultats!$E:$E,'2019'!$A7)</f>
        <v>1</v>
      </c>
      <c r="E7" s="45">
        <f t="shared" si="0"/>
        <v>0</v>
      </c>
      <c r="F7" s="46">
        <f t="shared" si="0"/>
        <v>1</v>
      </c>
      <c r="G7" s="35">
        <f t="shared" si="1"/>
        <v>3</v>
      </c>
      <c r="H7" s="36">
        <f>SUMIFS(Résultats!R:R,Résultats!$E:$E,'2019'!$A7,Résultats!$H:$H,'2019'!$A$1)</f>
        <v>1</v>
      </c>
      <c r="I7" s="7">
        <f>SUMIFS(Résultats!S:S,Résultats!$E:$E,'2019'!$A7,Résultats!$H:$H,'2019'!$A$1)</f>
        <v>2</v>
      </c>
      <c r="J7" s="45">
        <f t="shared" si="2"/>
        <v>0.33333333333333331</v>
      </c>
      <c r="K7" s="46">
        <f t="shared" si="2"/>
        <v>0.66666666666666663</v>
      </c>
      <c r="L7" s="35">
        <f t="shared" si="3"/>
        <v>22</v>
      </c>
      <c r="M7" s="36">
        <f>SUMIFS(Résultats!T:T,Résultats!$E:$E,'2019'!$A7,Résultats!$H:$H,'2019'!$A$1)</f>
        <v>9</v>
      </c>
      <c r="N7" s="7">
        <f>SUMIFS(Résultats!U:U,Résultats!$E:$E,'2019'!$A7,Résultats!$H:$H,'2019'!$A$1)</f>
        <v>13</v>
      </c>
      <c r="O7" s="45">
        <f t="shared" si="4"/>
        <v>0.40909090909090912</v>
      </c>
      <c r="P7" s="46">
        <f t="shared" si="4"/>
        <v>0.59090909090909094</v>
      </c>
    </row>
    <row r="8" spans="1:16" ht="33" customHeight="1" x14ac:dyDescent="0.2">
      <c r="A8" s="17" t="s">
        <v>163</v>
      </c>
      <c r="B8" s="33">
        <f>COUNTIFS(Résultats!H:H,'2019'!$A$1,Résultats!E:E,'2019'!A8)</f>
        <v>0</v>
      </c>
      <c r="C8" s="36">
        <f>COUNTIFS(Résultats!$H:$H,'2019'!$A$1,Résultats!$G:$G,"S",Résultats!E:E,'2019'!$A8)</f>
        <v>0</v>
      </c>
      <c r="D8" s="7">
        <f>COUNTIFS(Résultats!$H:$H,'2019'!$A$1,Résultats!$G:$G,"N",Résultats!$E:$E,'2019'!$A8)</f>
        <v>0</v>
      </c>
      <c r="E8" s="45" t="str">
        <f t="shared" si="0"/>
        <v/>
      </c>
      <c r="F8" s="46" t="str">
        <f t="shared" si="0"/>
        <v/>
      </c>
      <c r="G8" s="35">
        <f t="shared" si="1"/>
        <v>0</v>
      </c>
      <c r="H8" s="36">
        <f>SUMIFS(Résultats!R:R,Résultats!$E:$E,'2019'!$A8,Résultats!$H:$H,'2019'!$A$1)</f>
        <v>0</v>
      </c>
      <c r="I8" s="7">
        <f>SUMIFS(Résultats!S:S,Résultats!$E:$E,'2019'!$A8,Résultats!$H:$H,'2019'!$A$1)</f>
        <v>0</v>
      </c>
      <c r="J8" s="45" t="str">
        <f t="shared" si="2"/>
        <v/>
      </c>
      <c r="K8" s="46" t="str">
        <f t="shared" si="2"/>
        <v/>
      </c>
      <c r="L8" s="35">
        <f t="shared" si="3"/>
        <v>0</v>
      </c>
      <c r="M8" s="36">
        <f>SUMIFS(Résultats!T:T,Résultats!$E:$E,'2019'!$A8,Résultats!$H:$H,'2019'!$A$1)</f>
        <v>0</v>
      </c>
      <c r="N8" s="7">
        <f>SUMIFS(Résultats!U:U,Résultats!$E:$E,'2019'!$A8,Résultats!$H:$H,'2019'!$A$1)</f>
        <v>0</v>
      </c>
      <c r="O8" s="45" t="str">
        <f t="shared" si="4"/>
        <v/>
      </c>
      <c r="P8" s="46" t="str">
        <f t="shared" si="4"/>
        <v/>
      </c>
    </row>
    <row r="9" spans="1:16" ht="33" customHeight="1" x14ac:dyDescent="0.2">
      <c r="A9" s="17" t="s">
        <v>169</v>
      </c>
      <c r="B9" s="33">
        <f>COUNTIFS(Résultats!H:H,'2019'!$A$1,Résultats!E:E,'2019'!A9)</f>
        <v>0</v>
      </c>
      <c r="C9" s="36">
        <f>COUNTIFS(Résultats!$H:$H,'2019'!$A$1,Résultats!$G:$G,"S",Résultats!E:E,'2019'!$A9)</f>
        <v>0</v>
      </c>
      <c r="D9" s="7">
        <f>COUNTIFS(Résultats!$H:$H,'2019'!$A$1,Résultats!$G:$G,"N",Résultats!$E:$E,'2019'!$A9)</f>
        <v>0</v>
      </c>
      <c r="E9" s="45" t="str">
        <f t="shared" si="0"/>
        <v/>
      </c>
      <c r="F9" s="46" t="str">
        <f t="shared" si="0"/>
        <v/>
      </c>
      <c r="G9" s="35">
        <f t="shared" si="1"/>
        <v>0</v>
      </c>
      <c r="H9" s="36">
        <f>SUMIFS(Résultats!R:R,Résultats!$E:$E,'2019'!$A9,Résultats!$H:$H,'2019'!$A$1)</f>
        <v>0</v>
      </c>
      <c r="I9" s="7">
        <f>SUMIFS(Résultats!S:S,Résultats!$E:$E,'2019'!$A9,Résultats!$H:$H,'2019'!$A$1)</f>
        <v>0</v>
      </c>
      <c r="J9" s="45" t="str">
        <f t="shared" si="2"/>
        <v/>
      </c>
      <c r="K9" s="46" t="str">
        <f t="shared" si="2"/>
        <v/>
      </c>
      <c r="L9" s="35">
        <f t="shared" si="3"/>
        <v>0</v>
      </c>
      <c r="M9" s="36">
        <f>SUMIFS(Résultats!T:T,Résultats!$E:$E,'2019'!$A9,Résultats!$H:$H,'2019'!$A$1)</f>
        <v>0</v>
      </c>
      <c r="N9" s="7">
        <f>SUMIFS(Résultats!U:U,Résultats!$E:$E,'2019'!$A9,Résultats!$H:$H,'2019'!$A$1)</f>
        <v>0</v>
      </c>
      <c r="O9" s="45" t="str">
        <f t="shared" si="4"/>
        <v/>
      </c>
      <c r="P9" s="46" t="str">
        <f t="shared" si="4"/>
        <v/>
      </c>
    </row>
    <row r="10" spans="1:16" ht="33" customHeight="1" thickBot="1" x14ac:dyDescent="0.25">
      <c r="A10" s="26" t="s">
        <v>170</v>
      </c>
      <c r="B10" s="48">
        <f>COUNTIFS(Résultats!H:H,'2019'!$A$1,Résultats!E:E,'2019'!A10)</f>
        <v>0</v>
      </c>
      <c r="C10" s="39">
        <f>COUNTIFS(Résultats!$H:$H,'2019'!$A$1,Résultats!$G:$G,"S",Résultats!E:E,'2019'!$A10)</f>
        <v>0</v>
      </c>
      <c r="D10" s="27">
        <f>COUNTIFS(Résultats!$H:$H,'2019'!$A$1,Résultats!$G:$G,"N",Résultats!$E:$E,'2019'!$A10)</f>
        <v>0</v>
      </c>
      <c r="E10" s="49" t="str">
        <f t="shared" si="0"/>
        <v/>
      </c>
      <c r="F10" s="50" t="str">
        <f t="shared" si="0"/>
        <v/>
      </c>
      <c r="G10" s="40">
        <f t="shared" si="1"/>
        <v>0</v>
      </c>
      <c r="H10" s="39">
        <f>SUMIFS(Résultats!R:R,Résultats!$E:$E,'2019'!$A10,Résultats!$H:$H,'2019'!$A$1)</f>
        <v>0</v>
      </c>
      <c r="I10" s="27">
        <f>SUMIFS(Résultats!S:S,Résultats!$E:$E,'2019'!$A10,Résultats!$H:$H,'2019'!$A$1)</f>
        <v>0</v>
      </c>
      <c r="J10" s="49" t="str">
        <f t="shared" si="2"/>
        <v/>
      </c>
      <c r="K10" s="50" t="str">
        <f t="shared" si="2"/>
        <v/>
      </c>
      <c r="L10" s="40">
        <f t="shared" si="3"/>
        <v>0</v>
      </c>
      <c r="M10" s="39">
        <f>SUMIFS(Résultats!T:T,Résultats!$E:$E,'2019'!$A10,Résultats!$H:$H,'2019'!$A$1)</f>
        <v>0</v>
      </c>
      <c r="N10" s="27">
        <f>SUMIFS(Résultats!U:U,Résultats!$E:$E,'2019'!$A10,Résultats!$H:$H,'2019'!$A$1)</f>
        <v>0</v>
      </c>
      <c r="O10" s="49" t="str">
        <f t="shared" si="4"/>
        <v/>
      </c>
      <c r="P10" s="50" t="str">
        <f t="shared" si="4"/>
        <v/>
      </c>
    </row>
    <row r="11" spans="1:16" ht="33" customHeight="1" thickBot="1" x14ac:dyDescent="0.25">
      <c r="A11" s="28" t="s">
        <v>183</v>
      </c>
      <c r="B11" s="37">
        <f>SUM(B2:B10)</f>
        <v>25</v>
      </c>
      <c r="C11" s="41">
        <f>SUM(C2:C10)</f>
        <v>13</v>
      </c>
      <c r="D11" s="29">
        <f>SUM(D2:D10)</f>
        <v>11</v>
      </c>
      <c r="E11" s="42">
        <f t="shared" si="0"/>
        <v>0.52</v>
      </c>
      <c r="F11" s="43">
        <f t="shared" si="0"/>
        <v>0.44</v>
      </c>
      <c r="G11" s="38">
        <f>SUM(G2:G10)</f>
        <v>55</v>
      </c>
      <c r="H11" s="41">
        <f>SUM(H2:H10)</f>
        <v>29</v>
      </c>
      <c r="I11" s="29">
        <f>SUM(I2:I10)</f>
        <v>26</v>
      </c>
      <c r="J11" s="42">
        <f t="shared" si="2"/>
        <v>0.52727272727272723</v>
      </c>
      <c r="K11" s="43">
        <f t="shared" si="2"/>
        <v>0.47272727272727272</v>
      </c>
      <c r="L11" s="38">
        <f>SUM(L2:L10)</f>
        <v>490</v>
      </c>
      <c r="M11" s="41">
        <f>SUM(M2:M10)</f>
        <v>251</v>
      </c>
      <c r="N11" s="29">
        <f>SUM(N2:N10)</f>
        <v>239</v>
      </c>
      <c r="O11" s="42">
        <f t="shared" si="4"/>
        <v>0.51224489795918371</v>
      </c>
      <c r="P11" s="43">
        <f t="shared" si="4"/>
        <v>0.48775510204081635</v>
      </c>
    </row>
  </sheetData>
  <conditionalFormatting sqref="E2:E11">
    <cfRule type="expression" dxfId="15" priority="7">
      <formula>$E2&gt;$F2</formula>
    </cfRule>
  </conditionalFormatting>
  <conditionalFormatting sqref="F3:F11">
    <cfRule type="expression" dxfId="14" priority="6">
      <formula>$F3&gt;$E3</formula>
    </cfRule>
  </conditionalFormatting>
  <conditionalFormatting sqref="J2:J11">
    <cfRule type="expression" dxfId="13" priority="5">
      <formula>$E2&gt;$F2</formula>
    </cfRule>
  </conditionalFormatting>
  <conditionalFormatting sqref="F2">
    <cfRule type="expression" dxfId="12" priority="4">
      <formula>$F2&gt;$E2</formula>
    </cfRule>
  </conditionalFormatting>
  <conditionalFormatting sqref="K2:K11">
    <cfRule type="expression" dxfId="11" priority="3">
      <formula>$F2&gt;$E2</formula>
    </cfRule>
  </conditionalFormatting>
  <conditionalFormatting sqref="O2:O11">
    <cfRule type="expression" dxfId="10" priority="2">
      <formula>$E2&gt;$F2</formula>
    </cfRule>
  </conditionalFormatting>
  <conditionalFormatting sqref="P2:P11">
    <cfRule type="expression" dxfId="9" priority="1">
      <formula>$F2&gt;$E2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39997558519241921"/>
  </sheetPr>
  <dimension ref="A1:P11"/>
  <sheetViews>
    <sheetView showZeros="0" workbookViewId="0"/>
  </sheetViews>
  <sheetFormatPr baseColWidth="10" defaultRowHeight="12.75" x14ac:dyDescent="0.2"/>
  <cols>
    <col min="1" max="1" width="9.85546875" customWidth="1"/>
    <col min="2" max="2" width="11.42578125" customWidth="1"/>
    <col min="3" max="5" width="10.85546875" style="5" customWidth="1"/>
    <col min="6" max="6" width="10.85546875" customWidth="1"/>
    <col min="7" max="7" width="11.42578125" customWidth="1"/>
    <col min="8" max="10" width="10.85546875" style="5" customWidth="1"/>
    <col min="11" max="11" width="10.85546875" customWidth="1"/>
    <col min="12" max="12" width="11.42578125" customWidth="1"/>
    <col min="13" max="15" width="10.85546875" style="5" customWidth="1"/>
    <col min="16" max="16" width="10.85546875" customWidth="1"/>
  </cols>
  <sheetData>
    <row r="1" spans="1:16" ht="37.5" customHeight="1" thickBot="1" x14ac:dyDescent="0.25">
      <c r="A1" s="47">
        <v>2018</v>
      </c>
      <c r="B1" s="18" t="s">
        <v>171</v>
      </c>
      <c r="C1" s="21" t="s">
        <v>179</v>
      </c>
      <c r="D1" s="22" t="s">
        <v>180</v>
      </c>
      <c r="E1" s="22" t="s">
        <v>172</v>
      </c>
      <c r="F1" s="31" t="s">
        <v>184</v>
      </c>
      <c r="G1" s="18" t="s">
        <v>181</v>
      </c>
      <c r="H1" s="19" t="s">
        <v>173</v>
      </c>
      <c r="I1" s="20" t="s">
        <v>174</v>
      </c>
      <c r="J1" s="20" t="s">
        <v>175</v>
      </c>
      <c r="K1" s="30" t="s">
        <v>185</v>
      </c>
      <c r="L1" s="18" t="s">
        <v>182</v>
      </c>
      <c r="M1" s="23" t="s">
        <v>176</v>
      </c>
      <c r="N1" s="24" t="s">
        <v>177</v>
      </c>
      <c r="O1" s="24" t="s">
        <v>178</v>
      </c>
      <c r="P1" s="25" t="s">
        <v>186</v>
      </c>
    </row>
    <row r="2" spans="1:16" ht="33" customHeight="1" x14ac:dyDescent="0.2">
      <c r="A2" s="16" t="s">
        <v>9</v>
      </c>
      <c r="B2" s="32">
        <f>COUNTIFS(Résultats!H:H,'2018'!$A$1,Résultats!E:E,'2018'!A2)</f>
        <v>5</v>
      </c>
      <c r="C2" s="44">
        <f>COUNTIFS(Résultats!$H:$H,'2018'!$A$1,Résultats!$G:$G,"S",Résultats!$E:$E,'2018'!$A2)</f>
        <v>5</v>
      </c>
      <c r="D2" s="15">
        <f>COUNTIFS(Résultats!$H:$H,'2018'!$A$1,Résultats!$G:$G,"N",Résultats!$E:$E,'2018'!$A2)</f>
        <v>0</v>
      </c>
      <c r="E2" s="45">
        <f>IFERROR(C2/$B2,"")</f>
        <v>1</v>
      </c>
      <c r="F2" s="46">
        <f>IFERROR(D2/$B2,"")</f>
        <v>0</v>
      </c>
      <c r="G2" s="34">
        <f>H2+I2</f>
        <v>12</v>
      </c>
      <c r="H2" s="44">
        <f>SUMIFS(Résultats!R:R,Résultats!$E:$E,'2018'!$A2,Résultats!$H:$H,'2018'!$A$1)</f>
        <v>10</v>
      </c>
      <c r="I2" s="15">
        <f>SUMIFS(Résultats!S:S,Résultats!$E:$E,'2018'!$A2,Résultats!$H:$H,'2018'!$A$1)</f>
        <v>2</v>
      </c>
      <c r="J2" s="45">
        <f>IFERROR(H2/$G2,"")</f>
        <v>0.83333333333333337</v>
      </c>
      <c r="K2" s="46">
        <f>IFERROR(I2/$G2,"")</f>
        <v>0.16666666666666666</v>
      </c>
      <c r="L2" s="34">
        <f>M2+N2</f>
        <v>98</v>
      </c>
      <c r="M2" s="44">
        <f>SUMIFS(Résultats!T:T,Résultats!$E:$E,'2018'!$A2,Résultats!$H:$H,'2018'!$A$1)</f>
        <v>68</v>
      </c>
      <c r="N2" s="15">
        <f>SUMIFS(Résultats!U:U,Résultats!$E:$E,'2018'!$A2,Résultats!$H:$H,'2018'!$A$1)</f>
        <v>30</v>
      </c>
      <c r="O2" s="45">
        <f>IFERROR(M2/$L2,"")</f>
        <v>0.69387755102040816</v>
      </c>
      <c r="P2" s="46">
        <f>IFERROR(N2/$L2,"")</f>
        <v>0.30612244897959184</v>
      </c>
    </row>
    <row r="3" spans="1:16" ht="33" customHeight="1" x14ac:dyDescent="0.2">
      <c r="A3" s="17" t="s">
        <v>2</v>
      </c>
      <c r="B3" s="33">
        <f>COUNTIFS(Résultats!H:H,'2018'!$A$1,Résultats!E:E,'2018'!A3)</f>
        <v>3</v>
      </c>
      <c r="C3" s="36">
        <f>COUNTIFS(Résultats!$H:$H,'2018'!$A$1,Résultats!$G:$G,"S",Résultats!E:E,'2018'!$A3)</f>
        <v>3</v>
      </c>
      <c r="D3" s="7">
        <f>COUNTIFS(Résultats!$H:$H,'2018'!$A$1,Résultats!$G:$G,"N",Résultats!$E:$E,'2018'!$A3)</f>
        <v>0</v>
      </c>
      <c r="E3" s="45">
        <f t="shared" ref="E3:E11" si="0">IFERROR(C3/$B3,"")</f>
        <v>1</v>
      </c>
      <c r="F3" s="46">
        <f t="shared" ref="F3:F11" si="1">IFERROR(D3/$B3,"")</f>
        <v>0</v>
      </c>
      <c r="G3" s="35">
        <f t="shared" ref="G3:G11" si="2">H3+I3</f>
        <v>7</v>
      </c>
      <c r="H3" s="36">
        <f>SUMIFS(Résultats!R:R,Résultats!$E:$E,'2018'!$A3,Résultats!$H:$H,'2018'!$A$1)</f>
        <v>6</v>
      </c>
      <c r="I3" s="7">
        <f>SUMIFS(Résultats!S:S,Résultats!$E:$E,'2018'!$A3,Résultats!$H:$H,'2018'!$A$1)</f>
        <v>1</v>
      </c>
      <c r="J3" s="45">
        <f t="shared" ref="J3:J11" si="3">IFERROR(H3/$G3,"")</f>
        <v>0.8571428571428571</v>
      </c>
      <c r="K3" s="46">
        <f t="shared" ref="K3:K11" si="4">IFERROR(I3/$G3,"")</f>
        <v>0.14285714285714285</v>
      </c>
      <c r="L3" s="35">
        <f t="shared" ref="L3:L11" si="5">M3+N3</f>
        <v>59</v>
      </c>
      <c r="M3" s="36">
        <f>SUMIFS(Résultats!T:T,Résultats!$E:$E,'2018'!$A3,Résultats!$H:$H,'2018'!$A$1)</f>
        <v>39</v>
      </c>
      <c r="N3" s="7">
        <f>SUMIFS(Résultats!U:U,Résultats!$E:$E,'2018'!$A3,Résultats!$H:$H,'2018'!$A$1)</f>
        <v>20</v>
      </c>
      <c r="O3" s="45">
        <f t="shared" ref="O3:O11" si="6">IFERROR(M3/$L3,"")</f>
        <v>0.66101694915254239</v>
      </c>
      <c r="P3" s="46">
        <f t="shared" ref="P3:P11" si="7">IFERROR(N3/$L3,"")</f>
        <v>0.33898305084745761</v>
      </c>
    </row>
    <row r="4" spans="1:16" ht="33" customHeight="1" x14ac:dyDescent="0.2">
      <c r="A4" s="17" t="s">
        <v>25</v>
      </c>
      <c r="B4" s="33">
        <f>COUNTIFS(Résultats!H:H,'2018'!$A$1,Résultats!E:E,'2018'!A4)</f>
        <v>12</v>
      </c>
      <c r="C4" s="36">
        <f>COUNTIFS(Résultats!$H:$H,'2018'!$A$1,Résultats!$G:$G,"S",Résultats!E:E,'2018'!$A4)</f>
        <v>7</v>
      </c>
      <c r="D4" s="7">
        <f>COUNTIFS(Résultats!$H:$H,'2018'!$A$1,Résultats!$G:$G,"N",Résultats!$E:$E,'2018'!$A4)</f>
        <v>5</v>
      </c>
      <c r="E4" s="45">
        <f t="shared" si="0"/>
        <v>0.58333333333333337</v>
      </c>
      <c r="F4" s="46">
        <f t="shared" si="1"/>
        <v>0.41666666666666669</v>
      </c>
      <c r="G4" s="35">
        <f t="shared" si="2"/>
        <v>25</v>
      </c>
      <c r="H4" s="36">
        <f>SUMIFS(Résultats!R:R,Résultats!$E:$E,'2018'!$A4,Résultats!$H:$H,'2018'!$A$1)</f>
        <v>14</v>
      </c>
      <c r="I4" s="7">
        <f>SUMIFS(Résultats!S:S,Résultats!$E:$E,'2018'!$A4,Résultats!$H:$H,'2018'!$A$1)</f>
        <v>11</v>
      </c>
      <c r="J4" s="45">
        <f t="shared" si="3"/>
        <v>0.56000000000000005</v>
      </c>
      <c r="K4" s="46">
        <f t="shared" si="4"/>
        <v>0.44</v>
      </c>
      <c r="L4" s="35">
        <f t="shared" si="5"/>
        <v>233</v>
      </c>
      <c r="M4" s="36">
        <f>SUMIFS(Résultats!T:T,Résultats!$E:$E,'2018'!$A4,Résultats!$H:$H,'2018'!$A$1)</f>
        <v>124</v>
      </c>
      <c r="N4" s="7">
        <f>SUMIFS(Résultats!U:U,Résultats!$E:$E,'2018'!$A4,Résultats!$H:$H,'2018'!$A$1)</f>
        <v>109</v>
      </c>
      <c r="O4" s="45">
        <f t="shared" si="6"/>
        <v>0.53218884120171672</v>
      </c>
      <c r="P4" s="46">
        <f t="shared" si="7"/>
        <v>0.46781115879828328</v>
      </c>
    </row>
    <row r="5" spans="1:16" ht="33" customHeight="1" x14ac:dyDescent="0.2">
      <c r="A5" s="17" t="s">
        <v>6</v>
      </c>
      <c r="B5" s="33">
        <f>COUNTIFS(Résultats!H:H,'2018'!$A$1,Résultats!E:E,'2018'!A5)</f>
        <v>11</v>
      </c>
      <c r="C5" s="36">
        <f>COUNTIFS(Résultats!$H:$H,'2018'!$A$1,Résultats!$G:$G,"S",Résultats!E:E,'2018'!$A5)</f>
        <v>2</v>
      </c>
      <c r="D5" s="7">
        <f>COUNTIFS(Résultats!$H:$H,'2018'!$A$1,Résultats!$G:$G,"N",Résultats!$E:$E,'2018'!$A5)</f>
        <v>9</v>
      </c>
      <c r="E5" s="45">
        <f t="shared" si="0"/>
        <v>0.18181818181818182</v>
      </c>
      <c r="F5" s="46">
        <f t="shared" si="1"/>
        <v>0.81818181818181823</v>
      </c>
      <c r="G5" s="35">
        <f t="shared" si="2"/>
        <v>25</v>
      </c>
      <c r="H5" s="36">
        <f>SUMIFS(Résultats!R:R,Résultats!$E:$E,'2018'!$A5,Résultats!$H:$H,'2018'!$A$1)</f>
        <v>6</v>
      </c>
      <c r="I5" s="7">
        <f>SUMIFS(Résultats!S:S,Résultats!$E:$E,'2018'!$A5,Résultats!$H:$H,'2018'!$A$1)</f>
        <v>19</v>
      </c>
      <c r="J5" s="45">
        <f t="shared" si="3"/>
        <v>0.24</v>
      </c>
      <c r="K5" s="46">
        <f t="shared" si="4"/>
        <v>0.76</v>
      </c>
      <c r="L5" s="35">
        <f t="shared" si="5"/>
        <v>206</v>
      </c>
      <c r="M5" s="36">
        <f>SUMIFS(Résultats!T:T,Résultats!$E:$E,'2018'!$A5,Résultats!$H:$H,'2018'!$A$1)</f>
        <v>71</v>
      </c>
      <c r="N5" s="7">
        <f>SUMIFS(Résultats!U:U,Résultats!$E:$E,'2018'!$A5,Résultats!$H:$H,'2018'!$A$1)</f>
        <v>135</v>
      </c>
      <c r="O5" s="45">
        <f t="shared" si="6"/>
        <v>0.3446601941747573</v>
      </c>
      <c r="P5" s="46">
        <f t="shared" si="7"/>
        <v>0.65533980582524276</v>
      </c>
    </row>
    <row r="6" spans="1:16" ht="33" customHeight="1" x14ac:dyDescent="0.2">
      <c r="A6" s="17" t="s">
        <v>77</v>
      </c>
      <c r="B6" s="33">
        <f>COUNTIFS(Résultats!H:H,'2018'!$A$1,Résultats!E:E,'2018'!A6)</f>
        <v>1</v>
      </c>
      <c r="C6" s="36">
        <f>COUNTIFS(Résultats!$H:$H,'2018'!$A$1,Résultats!$G:$G,"S",Résultats!E:E,'2018'!$A6)</f>
        <v>0</v>
      </c>
      <c r="D6" s="7">
        <f>COUNTIFS(Résultats!$H:$H,'2018'!$A$1,Résultats!$G:$G,"N",Résultats!$E:$E,'2018'!$A6)</f>
        <v>1</v>
      </c>
      <c r="E6" s="45">
        <f t="shared" si="0"/>
        <v>0</v>
      </c>
      <c r="F6" s="46">
        <f t="shared" si="1"/>
        <v>1</v>
      </c>
      <c r="G6" s="35">
        <f t="shared" si="2"/>
        <v>2</v>
      </c>
      <c r="H6" s="36">
        <f>SUMIFS(Résultats!R:R,Résultats!$E:$E,'2018'!$A6,Résultats!$H:$H,'2018'!$A$1)</f>
        <v>0</v>
      </c>
      <c r="I6" s="7">
        <f>SUMIFS(Résultats!S:S,Résultats!$E:$E,'2018'!$A6,Résultats!$H:$H,'2018'!$A$1)</f>
        <v>2</v>
      </c>
      <c r="J6" s="45">
        <f t="shared" si="3"/>
        <v>0</v>
      </c>
      <c r="K6" s="46">
        <f t="shared" si="4"/>
        <v>1</v>
      </c>
      <c r="L6" s="35">
        <f t="shared" si="5"/>
        <v>17</v>
      </c>
      <c r="M6" s="36">
        <f>SUMIFS(Résultats!T:T,Résultats!$E:$E,'2018'!$A6,Résultats!$H:$H,'2018'!$A$1)</f>
        <v>5</v>
      </c>
      <c r="N6" s="7">
        <f>SUMIFS(Résultats!U:U,Résultats!$E:$E,'2018'!$A6,Résultats!$H:$H,'2018'!$A$1)</f>
        <v>12</v>
      </c>
      <c r="O6" s="45">
        <f t="shared" si="6"/>
        <v>0.29411764705882354</v>
      </c>
      <c r="P6" s="46">
        <f t="shared" si="7"/>
        <v>0.70588235294117652</v>
      </c>
    </row>
    <row r="7" spans="1:16" ht="33" customHeight="1" x14ac:dyDescent="0.2">
      <c r="A7" s="17" t="s">
        <v>125</v>
      </c>
      <c r="B7" s="33">
        <f>COUNTIFS(Résultats!H:H,'2018'!$A$1,Résultats!E:E,'2018'!A7)</f>
        <v>0</v>
      </c>
      <c r="C7" s="36">
        <f>COUNTIFS(Résultats!$H:$H,'2018'!$A$1,Résultats!$G:$G,"S",Résultats!E:E,'2018'!$A7)</f>
        <v>0</v>
      </c>
      <c r="D7" s="7">
        <f>COUNTIFS(Résultats!$H:$H,'2018'!$A$1,Résultats!$G:$G,"N",Résultats!$E:$E,'2018'!$A7)</f>
        <v>0</v>
      </c>
      <c r="E7" s="45" t="str">
        <f t="shared" si="0"/>
        <v/>
      </c>
      <c r="F7" s="46" t="str">
        <f t="shared" si="1"/>
        <v/>
      </c>
      <c r="G7" s="35">
        <f t="shared" si="2"/>
        <v>0</v>
      </c>
      <c r="H7" s="36">
        <f>SUMIFS(Résultats!R:R,Résultats!$E:$E,'2018'!$A7,Résultats!$H:$H,'2018'!$A$1)</f>
        <v>0</v>
      </c>
      <c r="I7" s="7">
        <f>SUMIFS(Résultats!S:S,Résultats!$E:$E,'2018'!$A7,Résultats!$H:$H,'2018'!$A$1)</f>
        <v>0</v>
      </c>
      <c r="J7" s="45" t="str">
        <f t="shared" si="3"/>
        <v/>
      </c>
      <c r="K7" s="46" t="str">
        <f t="shared" si="4"/>
        <v/>
      </c>
      <c r="L7" s="35">
        <f t="shared" si="5"/>
        <v>0</v>
      </c>
      <c r="M7" s="36">
        <f>SUMIFS(Résultats!T:T,Résultats!$E:$E,'2018'!$A7,Résultats!$H:$H,'2018'!$A$1)</f>
        <v>0</v>
      </c>
      <c r="N7" s="7">
        <f>SUMIFS(Résultats!U:U,Résultats!$E:$E,'2018'!$A7,Résultats!$H:$H,'2018'!$A$1)</f>
        <v>0</v>
      </c>
      <c r="O7" s="45" t="str">
        <f t="shared" si="6"/>
        <v/>
      </c>
      <c r="P7" s="46" t="str">
        <f t="shared" si="7"/>
        <v/>
      </c>
    </row>
    <row r="8" spans="1:16" ht="33" customHeight="1" x14ac:dyDescent="0.2">
      <c r="A8" s="17" t="s">
        <v>163</v>
      </c>
      <c r="B8" s="33">
        <f>COUNTIFS(Résultats!H:H,'2018'!$A$1,Résultats!E:E,'2018'!A8)</f>
        <v>0</v>
      </c>
      <c r="C8" s="36">
        <f>COUNTIFS(Résultats!$H:$H,'2018'!$A$1,Résultats!$G:$G,"S",Résultats!E:E,'2018'!$A8)</f>
        <v>0</v>
      </c>
      <c r="D8" s="7">
        <f>COUNTIFS(Résultats!$H:$H,'2018'!$A$1,Résultats!$G:$G,"N",Résultats!$E:$E,'2018'!$A8)</f>
        <v>0</v>
      </c>
      <c r="E8" s="45" t="str">
        <f t="shared" si="0"/>
        <v/>
      </c>
      <c r="F8" s="46" t="str">
        <f t="shared" si="1"/>
        <v/>
      </c>
      <c r="G8" s="35">
        <f t="shared" si="2"/>
        <v>0</v>
      </c>
      <c r="H8" s="36">
        <f>SUMIFS(Résultats!R:R,Résultats!$E:$E,'2018'!$A8,Résultats!$H:$H,'2018'!$A$1)</f>
        <v>0</v>
      </c>
      <c r="I8" s="7">
        <f>SUMIFS(Résultats!S:S,Résultats!$E:$E,'2018'!$A8,Résultats!$H:$H,'2018'!$A$1)</f>
        <v>0</v>
      </c>
      <c r="J8" s="45" t="str">
        <f t="shared" si="3"/>
        <v/>
      </c>
      <c r="K8" s="46" t="str">
        <f t="shared" si="4"/>
        <v/>
      </c>
      <c r="L8" s="35">
        <f t="shared" si="5"/>
        <v>0</v>
      </c>
      <c r="M8" s="36">
        <f>SUMIFS(Résultats!T:T,Résultats!$E:$E,'2018'!$A8,Résultats!$H:$H,'2018'!$A$1)</f>
        <v>0</v>
      </c>
      <c r="N8" s="7">
        <f>SUMIFS(Résultats!U:U,Résultats!$E:$E,'2018'!$A8,Résultats!$H:$H,'2018'!$A$1)</f>
        <v>0</v>
      </c>
      <c r="O8" s="45" t="str">
        <f t="shared" si="6"/>
        <v/>
      </c>
      <c r="P8" s="46" t="str">
        <f t="shared" si="7"/>
        <v/>
      </c>
    </row>
    <row r="9" spans="1:16" ht="33" customHeight="1" x14ac:dyDescent="0.2">
      <c r="A9" s="17" t="s">
        <v>169</v>
      </c>
      <c r="B9" s="33">
        <f>COUNTIFS(Résultats!H:H,'2018'!$A$1,Résultats!E:E,'2018'!A9)</f>
        <v>0</v>
      </c>
      <c r="C9" s="36">
        <f>COUNTIFS(Résultats!$H:$H,'2018'!$A$1,Résultats!$G:$G,"S",Résultats!E:E,'2018'!$A9)</f>
        <v>0</v>
      </c>
      <c r="D9" s="7">
        <f>COUNTIFS(Résultats!$H:$H,'2018'!$A$1,Résultats!$G:$G,"N",Résultats!$E:$E,'2018'!$A9)</f>
        <v>0</v>
      </c>
      <c r="E9" s="45" t="str">
        <f t="shared" si="0"/>
        <v/>
      </c>
      <c r="F9" s="46" t="str">
        <f t="shared" si="1"/>
        <v/>
      </c>
      <c r="G9" s="35">
        <f t="shared" si="2"/>
        <v>0</v>
      </c>
      <c r="H9" s="36">
        <f>SUMIFS(Résultats!R:R,Résultats!$E:$E,'2018'!$A9,Résultats!$H:$H,'2018'!$A$1)</f>
        <v>0</v>
      </c>
      <c r="I9" s="7">
        <f>SUMIFS(Résultats!S:S,Résultats!$E:$E,'2018'!$A9,Résultats!$H:$H,'2018'!$A$1)</f>
        <v>0</v>
      </c>
      <c r="J9" s="45" t="str">
        <f t="shared" si="3"/>
        <v/>
      </c>
      <c r="K9" s="46" t="str">
        <f t="shared" si="4"/>
        <v/>
      </c>
      <c r="L9" s="35">
        <f t="shared" si="5"/>
        <v>0</v>
      </c>
      <c r="M9" s="36">
        <f>SUMIFS(Résultats!T:T,Résultats!$E:$E,'2018'!$A9,Résultats!$H:$H,'2018'!$A$1)</f>
        <v>0</v>
      </c>
      <c r="N9" s="7">
        <f>SUMIFS(Résultats!U:U,Résultats!$E:$E,'2018'!$A9,Résultats!$H:$H,'2018'!$A$1)</f>
        <v>0</v>
      </c>
      <c r="O9" s="45" t="str">
        <f t="shared" si="6"/>
        <v/>
      </c>
      <c r="P9" s="46" t="str">
        <f t="shared" si="7"/>
        <v/>
      </c>
    </row>
    <row r="10" spans="1:16" ht="33" customHeight="1" thickBot="1" x14ac:dyDescent="0.25">
      <c r="A10" s="26" t="s">
        <v>170</v>
      </c>
      <c r="B10" s="48">
        <f>COUNTIFS(Résultats!H:H,'2018'!$A$1,Résultats!E:E,'2018'!A10)</f>
        <v>0</v>
      </c>
      <c r="C10" s="39">
        <f>COUNTIFS(Résultats!$H:$H,'2018'!$A$1,Résultats!$G:$G,"S",Résultats!E:E,'2018'!$A10)</f>
        <v>0</v>
      </c>
      <c r="D10" s="27">
        <f>COUNTIFS(Résultats!$H:$H,'2018'!$A$1,Résultats!$G:$G,"N",Résultats!$E:$E,'2018'!$A10)</f>
        <v>0</v>
      </c>
      <c r="E10" s="49" t="str">
        <f t="shared" si="0"/>
        <v/>
      </c>
      <c r="F10" s="50" t="str">
        <f t="shared" si="1"/>
        <v/>
      </c>
      <c r="G10" s="40">
        <f t="shared" ref="G10" si="8">H10+I10</f>
        <v>0</v>
      </c>
      <c r="H10" s="39">
        <f>SUMIFS(Résultats!R:R,Résultats!$E:$E,'2018'!$A10,Résultats!$H:$H,'2018'!$A$1)</f>
        <v>0</v>
      </c>
      <c r="I10" s="27">
        <f>SUMIFS(Résultats!S:S,Résultats!$E:$E,'2018'!$A10,Résultats!$H:$H,'2018'!$A$1)</f>
        <v>0</v>
      </c>
      <c r="J10" s="49" t="str">
        <f t="shared" si="3"/>
        <v/>
      </c>
      <c r="K10" s="50" t="str">
        <f t="shared" si="4"/>
        <v/>
      </c>
      <c r="L10" s="40">
        <f t="shared" ref="L10" si="9">M10+N10</f>
        <v>0</v>
      </c>
      <c r="M10" s="39">
        <f>SUMIFS(Résultats!T:T,Résultats!$E:$E,'2018'!$A10,Résultats!$H:$H,'2018'!$A$1)</f>
        <v>0</v>
      </c>
      <c r="N10" s="27">
        <f>SUMIFS(Résultats!U:U,Résultats!$E:$E,'2018'!$A10,Résultats!$H:$H,'2018'!$A$1)</f>
        <v>0</v>
      </c>
      <c r="O10" s="49" t="str">
        <f t="shared" si="6"/>
        <v/>
      </c>
      <c r="P10" s="50" t="str">
        <f t="shared" si="7"/>
        <v/>
      </c>
    </row>
    <row r="11" spans="1:16" ht="33" customHeight="1" thickBot="1" x14ac:dyDescent="0.25">
      <c r="A11" s="28" t="s">
        <v>183</v>
      </c>
      <c r="B11" s="37">
        <f>SUM(B2:B10)</f>
        <v>32</v>
      </c>
      <c r="C11" s="41">
        <f>SUM(C2:C10)</f>
        <v>17</v>
      </c>
      <c r="D11" s="29">
        <f>SUM(D2:D10)</f>
        <v>15</v>
      </c>
      <c r="E11" s="42">
        <f t="shared" si="0"/>
        <v>0.53125</v>
      </c>
      <c r="F11" s="43">
        <f t="shared" si="1"/>
        <v>0.46875</v>
      </c>
      <c r="G11" s="38">
        <f>SUM(G2:G10)</f>
        <v>71</v>
      </c>
      <c r="H11" s="41">
        <f>SUM(H2:H10)</f>
        <v>36</v>
      </c>
      <c r="I11" s="29">
        <f>SUM(I2:I10)</f>
        <v>35</v>
      </c>
      <c r="J11" s="42">
        <f t="shared" si="3"/>
        <v>0.50704225352112675</v>
      </c>
      <c r="K11" s="43">
        <f t="shared" si="4"/>
        <v>0.49295774647887325</v>
      </c>
      <c r="L11" s="38">
        <f>SUM(L2:L10)</f>
        <v>613</v>
      </c>
      <c r="M11" s="41">
        <f>SUM(M2:M10)</f>
        <v>307</v>
      </c>
      <c r="N11" s="29">
        <f>SUM(N2:N10)</f>
        <v>306</v>
      </c>
      <c r="O11" s="42">
        <f t="shared" si="6"/>
        <v>0.50081566068515493</v>
      </c>
      <c r="P11" s="43">
        <f t="shared" si="7"/>
        <v>0.49918433931484502</v>
      </c>
    </row>
  </sheetData>
  <conditionalFormatting sqref="E2:E11">
    <cfRule type="expression" dxfId="8" priority="8">
      <formula>$E2&gt;$F2</formula>
    </cfRule>
  </conditionalFormatting>
  <conditionalFormatting sqref="F3:F11">
    <cfRule type="expression" dxfId="7" priority="7">
      <formula>$F3&gt;$E3</formula>
    </cfRule>
  </conditionalFormatting>
  <conditionalFormatting sqref="J2:J11">
    <cfRule type="expression" dxfId="6" priority="6">
      <formula>$E2&gt;$F2</formula>
    </cfRule>
  </conditionalFormatting>
  <conditionalFormatting sqref="P2:P11">
    <cfRule type="expression" dxfId="5" priority="1">
      <formula>$F2&gt;$E2</formula>
    </cfRule>
  </conditionalFormatting>
  <conditionalFormatting sqref="F2">
    <cfRule type="expression" dxfId="4" priority="4">
      <formula>$F2&gt;$E2</formula>
    </cfRule>
  </conditionalFormatting>
  <conditionalFormatting sqref="K2:K11">
    <cfRule type="expression" dxfId="3" priority="3">
      <formula>$F2&gt;$E2</formula>
    </cfRule>
  </conditionalFormatting>
  <conditionalFormatting sqref="O2:O11">
    <cfRule type="expression" dxfId="2" priority="2">
      <formula>$E2&gt;$F2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J30" sqref="J30"/>
    </sheetView>
  </sheetViews>
  <sheetFormatPr baseColWidth="10" defaultRowHeight="12.75" x14ac:dyDescent="0.2"/>
  <cols>
    <col min="7" max="10" width="11.42578125" customWidth="1"/>
  </cols>
  <sheetData>
    <row r="1" spans="1:10" x14ac:dyDescent="0.2">
      <c r="A1" s="1">
        <v>43191</v>
      </c>
      <c r="B1" t="s">
        <v>200</v>
      </c>
      <c r="C1">
        <v>0.75</v>
      </c>
      <c r="D1">
        <v>0</v>
      </c>
      <c r="E1">
        <v>0.75</v>
      </c>
      <c r="F1">
        <v>0</v>
      </c>
      <c r="G1" t="str">
        <f>MID(B1,4,9)</f>
        <v>(31 605)</v>
      </c>
      <c r="H1" t="str">
        <f>MID(G1,2,2)</f>
        <v>31</v>
      </c>
      <c r="I1" t="str">
        <f>MID(G1,5,3)</f>
        <v>605</v>
      </c>
      <c r="J1" s="9" t="str">
        <f>CONCATENATE(H1,I1)</f>
        <v>31605</v>
      </c>
    </row>
    <row r="2" spans="1:10" x14ac:dyDescent="0.2">
      <c r="A2" s="1">
        <v>43221</v>
      </c>
      <c r="B2" t="s">
        <v>199</v>
      </c>
      <c r="C2">
        <v>0.78700000000000003</v>
      </c>
      <c r="D2">
        <v>7.0999999999999994E-2</v>
      </c>
      <c r="E2">
        <v>0.85799999999999998</v>
      </c>
      <c r="F2">
        <v>2</v>
      </c>
      <c r="G2" t="str">
        <f>MID(B2,4,9)</f>
        <v>(26 405)</v>
      </c>
      <c r="H2" t="str">
        <f>MID(G2,2,2)</f>
        <v>26</v>
      </c>
      <c r="I2" t="str">
        <f>MID(G2,5,3)</f>
        <v>405</v>
      </c>
      <c r="J2" s="9" t="str">
        <f>CONCATENATE(H2,I2)</f>
        <v>26405</v>
      </c>
    </row>
    <row r="3" spans="1:10" x14ac:dyDescent="0.2">
      <c r="A3" s="1">
        <v>43252</v>
      </c>
      <c r="B3" t="s">
        <v>198</v>
      </c>
      <c r="C3">
        <v>2.0699999999999998</v>
      </c>
      <c r="D3">
        <v>0.437</v>
      </c>
      <c r="E3">
        <v>2.5070000000000001</v>
      </c>
      <c r="F3">
        <v>7</v>
      </c>
      <c r="G3" t="str">
        <f>MID(B3,4,9)</f>
        <v>(13 153)</v>
      </c>
      <c r="H3" t="str">
        <f>MID(G3,2,2)</f>
        <v>13</v>
      </c>
      <c r="I3" t="str">
        <f>MID(G3,5,3)</f>
        <v>153</v>
      </c>
      <c r="J3" s="9" t="str">
        <f>CONCATENATE(H3,I3)</f>
        <v>13153</v>
      </c>
    </row>
    <row r="4" spans="1:10" x14ac:dyDescent="0.2">
      <c r="A4" s="1">
        <v>43282</v>
      </c>
      <c r="B4" t="s">
        <v>197</v>
      </c>
      <c r="C4">
        <v>2.1269999999999998</v>
      </c>
      <c r="D4">
        <v>0.50700000000000001</v>
      </c>
      <c r="E4">
        <v>2.6339999999999999</v>
      </c>
      <c r="F4">
        <v>11</v>
      </c>
      <c r="G4" t="str">
        <f>MID(B4,4,9)</f>
        <v>(13 006)</v>
      </c>
      <c r="H4" t="str">
        <f>MID(G4,2,2)</f>
        <v>13</v>
      </c>
      <c r="I4" t="str">
        <f>MID(G4,5,3)</f>
        <v>006</v>
      </c>
      <c r="J4" s="9" t="str">
        <f>CONCATENATE(H4,I4)</f>
        <v>13006</v>
      </c>
    </row>
    <row r="5" spans="1:10" x14ac:dyDescent="0.2">
      <c r="A5" s="1">
        <v>43313</v>
      </c>
      <c r="B5" t="s">
        <v>196</v>
      </c>
      <c r="C5">
        <v>2.5209999999999999</v>
      </c>
      <c r="D5">
        <v>0.63100000000000001</v>
      </c>
      <c r="E5">
        <v>3.1520000000000001</v>
      </c>
      <c r="F5">
        <v>20</v>
      </c>
      <c r="G5" t="str">
        <f>MID(B5,4,9)</f>
        <v>(10 188)</v>
      </c>
      <c r="H5" t="str">
        <f>MID(G5,2,2)</f>
        <v>10</v>
      </c>
      <c r="I5" t="str">
        <f>MID(G5,5,3)</f>
        <v>188</v>
      </c>
      <c r="J5" s="9" t="str">
        <f>CONCATENATE(H5,I5)</f>
        <v>10188</v>
      </c>
    </row>
    <row r="6" spans="1:10" x14ac:dyDescent="0.2">
      <c r="A6" s="1">
        <v>43344</v>
      </c>
      <c r="B6" t="s">
        <v>195</v>
      </c>
      <c r="C6">
        <v>2.5129999999999999</v>
      </c>
      <c r="D6">
        <v>0.65500000000000003</v>
      </c>
      <c r="E6">
        <v>3.1680000000000001</v>
      </c>
      <c r="F6">
        <v>25</v>
      </c>
      <c r="G6" t="str">
        <f>MID(B6,4,9)</f>
        <v>(10 514)</v>
      </c>
      <c r="H6" t="str">
        <f>MID(G6,2,2)</f>
        <v>10</v>
      </c>
      <c r="I6" t="str">
        <f>MID(G6,5,3)</f>
        <v>514</v>
      </c>
      <c r="J6" s="9" t="str">
        <f>CONCATENATE(H6,I6)</f>
        <v>10514</v>
      </c>
    </row>
    <row r="7" spans="1:10" x14ac:dyDescent="0.2">
      <c r="A7" s="1">
        <v>43374</v>
      </c>
      <c r="B7" t="s">
        <v>194</v>
      </c>
      <c r="C7">
        <v>2.5390000000000001</v>
      </c>
      <c r="D7">
        <v>0.66100000000000003</v>
      </c>
      <c r="E7">
        <v>3.2</v>
      </c>
      <c r="F7">
        <v>26</v>
      </c>
      <c r="G7" t="str">
        <f>MID(B7,4,9)</f>
        <v>(11 247)</v>
      </c>
      <c r="H7" t="str">
        <f>MID(G7,2,2)</f>
        <v>11</v>
      </c>
      <c r="I7" t="str">
        <f>MID(G7,5,3)</f>
        <v>247</v>
      </c>
      <c r="J7" s="9" t="str">
        <f>CONCATENATE(H7,I7)</f>
        <v>11247</v>
      </c>
    </row>
    <row r="8" spans="1:10" x14ac:dyDescent="0.2">
      <c r="A8" s="1">
        <v>43405</v>
      </c>
      <c r="B8" t="s">
        <v>193</v>
      </c>
      <c r="C8">
        <v>2.93</v>
      </c>
      <c r="D8">
        <v>0.55100000000000005</v>
      </c>
      <c r="E8">
        <v>3.4809999999999999</v>
      </c>
      <c r="F8">
        <v>28</v>
      </c>
      <c r="G8" t="str">
        <f>MID(B8,4,9)</f>
        <v>(9 082)</v>
      </c>
      <c r="H8" t="str">
        <f>MID(G8,2,1)</f>
        <v>9</v>
      </c>
      <c r="I8" t="str">
        <f>MID(G8,4,3)</f>
        <v>082</v>
      </c>
      <c r="J8" s="9" t="str">
        <f>CONCATENATE(H8,I8)</f>
        <v>9082</v>
      </c>
    </row>
    <row r="9" spans="1:10" x14ac:dyDescent="0.2">
      <c r="A9" s="1">
        <v>43435</v>
      </c>
      <c r="B9" t="s">
        <v>192</v>
      </c>
      <c r="C9">
        <v>2.8969999999999998</v>
      </c>
      <c r="D9">
        <v>0.57499999999999996</v>
      </c>
      <c r="E9">
        <v>3.472</v>
      </c>
      <c r="F9">
        <v>30</v>
      </c>
      <c r="G9" t="str">
        <f>MID(B9,4,9)</f>
        <v>(9 281)</v>
      </c>
      <c r="H9" t="str">
        <f>MID(G9,2,1)</f>
        <v>9</v>
      </c>
      <c r="I9" t="str">
        <f>MID(G9,4,3)</f>
        <v>281</v>
      </c>
      <c r="J9" s="9" t="str">
        <f>CONCATENATE(H9,I9)</f>
        <v>9281</v>
      </c>
    </row>
    <row r="10" spans="1:10" x14ac:dyDescent="0.2">
      <c r="A10" s="1">
        <v>43466</v>
      </c>
      <c r="B10" t="s">
        <v>191</v>
      </c>
      <c r="C10">
        <v>2.9409999999999998</v>
      </c>
      <c r="D10">
        <v>0.59699999999999998</v>
      </c>
      <c r="E10">
        <v>3.5379999999999998</v>
      </c>
      <c r="F10">
        <v>32</v>
      </c>
      <c r="G10" t="str">
        <f>MID(B10,4,9)</f>
        <v>(9 108)</v>
      </c>
      <c r="H10" t="str">
        <f>MID(G10,2,1)</f>
        <v>9</v>
      </c>
      <c r="I10" t="str">
        <f>MID(G10,4,3)</f>
        <v>108</v>
      </c>
      <c r="J10" s="9" t="str">
        <f>CONCATENATE(H10,I10)</f>
        <v>9108</v>
      </c>
    </row>
    <row r="11" spans="1:10" x14ac:dyDescent="0.2">
      <c r="A11" s="1">
        <v>43497</v>
      </c>
      <c r="B11" t="s">
        <v>190</v>
      </c>
      <c r="C11">
        <v>3.0339999999999998</v>
      </c>
      <c r="D11">
        <v>0.63800000000000001</v>
      </c>
      <c r="E11">
        <v>3.6720000000000002</v>
      </c>
      <c r="F11">
        <v>34</v>
      </c>
      <c r="G11" t="str">
        <f>MID(B11,4,9)</f>
        <v>(8 611)</v>
      </c>
      <c r="H11" t="str">
        <f>MID(G11,2,1)</f>
        <v>8</v>
      </c>
      <c r="I11" t="str">
        <f>MID(G11,4,3)</f>
        <v>611</v>
      </c>
      <c r="J11" s="9" t="str">
        <f>CONCATENATE(H11,I11)</f>
        <v>8611</v>
      </c>
    </row>
    <row r="12" spans="1:10" x14ac:dyDescent="0.2">
      <c r="A12" s="1">
        <v>43525</v>
      </c>
      <c r="B12" t="s">
        <v>189</v>
      </c>
      <c r="C12">
        <v>3.0449999999999999</v>
      </c>
      <c r="D12">
        <v>0.67900000000000005</v>
      </c>
      <c r="E12">
        <v>3.7240000000000002</v>
      </c>
      <c r="F12">
        <v>39</v>
      </c>
      <c r="G12" t="str">
        <f>MID(B12,4,9)</f>
        <v>(8 475)</v>
      </c>
      <c r="H12" t="str">
        <f>MID(G12,2,1)</f>
        <v>8</v>
      </c>
      <c r="I12" t="str">
        <f>MID(G12,4,3)</f>
        <v>475</v>
      </c>
      <c r="J12" s="9" t="str">
        <f>CONCATENATE(H12,I12)</f>
        <v>8475</v>
      </c>
    </row>
    <row r="13" spans="1:10" x14ac:dyDescent="0.2">
      <c r="A13" s="1">
        <v>43556</v>
      </c>
      <c r="B13" t="s">
        <v>188</v>
      </c>
      <c r="C13">
        <v>3.1989999999999998</v>
      </c>
      <c r="D13">
        <v>0.71599999999999997</v>
      </c>
      <c r="E13">
        <v>3.915</v>
      </c>
      <c r="F13">
        <v>42</v>
      </c>
      <c r="G13" t="str">
        <f>MID(B13,4,9)</f>
        <v>(7 806)</v>
      </c>
      <c r="H13" t="str">
        <f>MID(G13,2,1)</f>
        <v>7</v>
      </c>
      <c r="I13" t="str">
        <f>MID(G13,4,3)</f>
        <v>806</v>
      </c>
      <c r="J13" s="9" t="str">
        <f>CONCATENATE(H13,I13)</f>
        <v>7806</v>
      </c>
    </row>
    <row r="14" spans="1:10" x14ac:dyDescent="0.2">
      <c r="A14" s="1">
        <v>43586</v>
      </c>
      <c r="B14" t="s">
        <v>217</v>
      </c>
      <c r="C14">
        <v>3.5640000000000001</v>
      </c>
      <c r="D14">
        <v>0.438</v>
      </c>
      <c r="E14">
        <v>4.0019999999999998</v>
      </c>
      <c r="F14">
        <v>16</v>
      </c>
      <c r="G14" t="str">
        <f>MID(B14,4,9)</f>
        <v>(4 896)</v>
      </c>
      <c r="H14" t="str">
        <f>MID(G14,2,1)</f>
        <v>4</v>
      </c>
      <c r="I14" t="str">
        <f>MID(G14,4,3)</f>
        <v>896</v>
      </c>
      <c r="J14" s="9" t="str">
        <f>CONCATENATE(H14,I14)</f>
        <v>4896</v>
      </c>
    </row>
    <row r="15" spans="1:10" x14ac:dyDescent="0.2">
      <c r="A15" s="1">
        <v>43617</v>
      </c>
      <c r="B15" t="s">
        <v>216</v>
      </c>
      <c r="C15">
        <v>3.5390000000000001</v>
      </c>
      <c r="D15">
        <v>0.44500000000000001</v>
      </c>
      <c r="E15">
        <v>3.984</v>
      </c>
      <c r="F15">
        <v>17</v>
      </c>
      <c r="G15" t="str">
        <f>MID(B15,4,9)</f>
        <v>(5 664)</v>
      </c>
      <c r="H15" t="str">
        <f>MID(G15,2,1)</f>
        <v>5</v>
      </c>
      <c r="I15" t="str">
        <f>MID(G15,4,3)</f>
        <v>664</v>
      </c>
      <c r="J15" s="9" t="str">
        <f>CONCATENATE(H15,I15)</f>
        <v>5664</v>
      </c>
    </row>
    <row r="16" spans="1:10" x14ac:dyDescent="0.2">
      <c r="A16" s="1">
        <v>43647</v>
      </c>
      <c r="B16" t="s">
        <v>215</v>
      </c>
      <c r="C16">
        <v>3.746</v>
      </c>
      <c r="D16">
        <v>0.46800000000000003</v>
      </c>
      <c r="E16">
        <v>4.2140000000000004</v>
      </c>
      <c r="F16">
        <v>21</v>
      </c>
      <c r="G16" t="str">
        <f>MID(B16,4,9)</f>
        <v>(5 399)</v>
      </c>
      <c r="H16" t="str">
        <f>MID(G16,2,1)</f>
        <v>5</v>
      </c>
      <c r="I16" t="str">
        <f>MID(G16,4,3)</f>
        <v>399</v>
      </c>
      <c r="J16" s="9" t="str">
        <f>CONCATENATE(H16,I16)</f>
        <v>5399</v>
      </c>
    </row>
    <row r="17" spans="1:10" x14ac:dyDescent="0.2">
      <c r="A17" s="1">
        <v>43678</v>
      </c>
      <c r="B17" t="s">
        <v>214</v>
      </c>
      <c r="C17">
        <v>3.6720000000000002</v>
      </c>
      <c r="D17">
        <v>0.51800000000000002</v>
      </c>
      <c r="E17">
        <v>4.1900000000000004</v>
      </c>
      <c r="F17">
        <v>26</v>
      </c>
      <c r="G17" t="str">
        <f>MID(B17,4,9)</f>
        <v>(5 678)</v>
      </c>
      <c r="H17" t="str">
        <f>MID(G17,2,1)</f>
        <v>5</v>
      </c>
      <c r="I17" t="str">
        <f>MID(G17,4,3)</f>
        <v>678</v>
      </c>
      <c r="J17" s="9" t="str">
        <f>CONCATENATE(H17,I17)</f>
        <v>5678</v>
      </c>
    </row>
    <row r="18" spans="1:10" x14ac:dyDescent="0.2">
      <c r="A18" s="1">
        <v>43709</v>
      </c>
      <c r="B18" t="s">
        <v>213</v>
      </c>
      <c r="C18">
        <v>3.6720000000000002</v>
      </c>
      <c r="D18">
        <v>0.52500000000000002</v>
      </c>
      <c r="E18">
        <v>4.1970000000000001</v>
      </c>
      <c r="F18">
        <v>26</v>
      </c>
      <c r="G18" t="str">
        <f>MID(B18,4,9)</f>
        <v>(5 985)</v>
      </c>
      <c r="H18" t="str">
        <f>MID(G18,2,1)</f>
        <v>5</v>
      </c>
      <c r="I18" t="str">
        <f>MID(G18,4,3)</f>
        <v>985</v>
      </c>
      <c r="J18" s="9" t="str">
        <f>CONCATENATE(H18,I18)</f>
        <v>5985</v>
      </c>
    </row>
    <row r="19" spans="1:10" x14ac:dyDescent="0.2">
      <c r="A19" s="1">
        <v>43739</v>
      </c>
      <c r="B19" t="s">
        <v>212</v>
      </c>
      <c r="C19">
        <v>3.6629999999999998</v>
      </c>
      <c r="D19">
        <v>0.60299999999999998</v>
      </c>
      <c r="E19">
        <v>4.266</v>
      </c>
      <c r="F19">
        <v>31</v>
      </c>
      <c r="G19" t="str">
        <f>MID(B19,4,9)</f>
        <v>(6 339)</v>
      </c>
      <c r="H19" t="str">
        <f>MID(G19,2,1)</f>
        <v>6</v>
      </c>
      <c r="I19" t="str">
        <f>MID(G19,4,3)</f>
        <v>339</v>
      </c>
      <c r="J19" s="9" t="str">
        <f>CONCATENATE(H19,I19)</f>
        <v>6339</v>
      </c>
    </row>
    <row r="20" spans="1:10" x14ac:dyDescent="0.2">
      <c r="A20" s="1">
        <v>43770</v>
      </c>
      <c r="B20" t="s">
        <v>211</v>
      </c>
      <c r="C20">
        <v>3.5390000000000001</v>
      </c>
      <c r="D20">
        <v>0.42599999999999999</v>
      </c>
      <c r="E20">
        <v>3.9649999999999999</v>
      </c>
      <c r="F20">
        <v>15</v>
      </c>
      <c r="G20" t="str">
        <f>MID(B20,4,9)</f>
        <v>(6 910)</v>
      </c>
      <c r="H20" t="str">
        <f>MID(G20,2,1)</f>
        <v>6</v>
      </c>
      <c r="I20" t="str">
        <f>MID(G20,4,3)</f>
        <v>910</v>
      </c>
      <c r="J20" s="9" t="str">
        <f>CONCATENATE(H20,I20)</f>
        <v>6910</v>
      </c>
    </row>
    <row r="21" spans="1:10" x14ac:dyDescent="0.2">
      <c r="A21" s="1">
        <v>43800</v>
      </c>
      <c r="B21" t="s">
        <v>210</v>
      </c>
      <c r="C21">
        <v>3.56</v>
      </c>
      <c r="D21">
        <v>0.42</v>
      </c>
      <c r="E21">
        <v>3.98</v>
      </c>
      <c r="F21">
        <v>15</v>
      </c>
      <c r="G21" t="str">
        <f>MID(B21,4,9)</f>
        <v>(6 997)</v>
      </c>
      <c r="H21" t="str">
        <f>MID(G21,2,1)</f>
        <v>6</v>
      </c>
      <c r="I21" t="str">
        <f>MID(G21,4,3)</f>
        <v>997</v>
      </c>
      <c r="J21" s="9" t="str">
        <f>CONCATENATE(H21,I21)</f>
        <v>6997</v>
      </c>
    </row>
    <row r="22" spans="1:10" x14ac:dyDescent="0.2">
      <c r="A22" s="1">
        <v>43831</v>
      </c>
      <c r="B22" t="s">
        <v>209</v>
      </c>
      <c r="C22">
        <v>3.5379999999999998</v>
      </c>
      <c r="D22">
        <v>0.41699999999999998</v>
      </c>
      <c r="E22">
        <v>3.9550000000000001</v>
      </c>
      <c r="F22">
        <v>15</v>
      </c>
      <c r="G22" t="str">
        <f>MID(B22,4,9)</f>
        <v>(7 216)</v>
      </c>
      <c r="H22" t="str">
        <f>MID(G22,2,1)</f>
        <v>7</v>
      </c>
      <c r="I22" t="str">
        <f>MID(G22,4,3)</f>
        <v>216</v>
      </c>
      <c r="J22" s="9" t="str">
        <f>CONCATENATE(H22,I22)</f>
        <v>7216</v>
      </c>
    </row>
    <row r="23" spans="1:10" x14ac:dyDescent="0.2">
      <c r="A23" s="1">
        <v>43862</v>
      </c>
      <c r="B23" t="s">
        <v>208</v>
      </c>
      <c r="C23">
        <v>3.5449999999999999</v>
      </c>
      <c r="D23">
        <v>0.41599999999999998</v>
      </c>
      <c r="E23">
        <v>3.9609999999999999</v>
      </c>
      <c r="F23">
        <v>15</v>
      </c>
      <c r="G23" t="str">
        <f>MID(B23,4,9)</f>
        <v>(7 297)</v>
      </c>
      <c r="H23" t="str">
        <f>MID(G23,2,1)</f>
        <v>7</v>
      </c>
      <c r="I23" t="str">
        <f>MID(G23,4,3)</f>
        <v>297</v>
      </c>
      <c r="J23" s="9" t="str">
        <f>CONCATENATE(H23,I23)</f>
        <v>7297</v>
      </c>
    </row>
    <row r="24" spans="1:10" x14ac:dyDescent="0.2">
      <c r="A24" s="1">
        <v>43891</v>
      </c>
      <c r="B24" t="s">
        <v>207</v>
      </c>
      <c r="C24">
        <v>3.552</v>
      </c>
      <c r="D24">
        <v>0.42</v>
      </c>
      <c r="E24">
        <v>3.972</v>
      </c>
      <c r="F24">
        <v>15</v>
      </c>
      <c r="G24" t="str">
        <f>MID(B24,4,9)</f>
        <v>(7 357)</v>
      </c>
      <c r="H24" t="str">
        <f>MID(G24,2,1)</f>
        <v>7</v>
      </c>
      <c r="I24" t="str">
        <f>MID(G24,4,3)</f>
        <v>357</v>
      </c>
      <c r="J24" s="9" t="str">
        <f>CONCATENATE(H24,I24)</f>
        <v>7357</v>
      </c>
    </row>
    <row r="25" spans="1:10" x14ac:dyDescent="0.2">
      <c r="A25" s="1">
        <v>43922</v>
      </c>
      <c r="B25" t="s">
        <v>206</v>
      </c>
      <c r="C25">
        <v>3.5550000000000002</v>
      </c>
      <c r="D25">
        <v>0.41899999999999998</v>
      </c>
      <c r="E25">
        <v>3.9740000000000002</v>
      </c>
      <c r="F25">
        <v>15</v>
      </c>
      <c r="G25" t="str">
        <f>MID(B25,4,9)</f>
        <v>(7 435)</v>
      </c>
      <c r="H25" t="str">
        <f>MID(G25,2,1)</f>
        <v>7</v>
      </c>
      <c r="I25" t="str">
        <f>MID(G25,4,3)</f>
        <v>435</v>
      </c>
      <c r="J25" s="9" t="str">
        <f>CONCATENATE(H25,I25)</f>
        <v>7435</v>
      </c>
    </row>
    <row r="26" spans="1:10" x14ac:dyDescent="0.2">
      <c r="A26" s="1">
        <v>43952</v>
      </c>
      <c r="B26" t="s">
        <v>205</v>
      </c>
      <c r="C26">
        <v>2.9649999999999999</v>
      </c>
      <c r="D26">
        <v>0</v>
      </c>
      <c r="E26">
        <v>2.9649999999999999</v>
      </c>
      <c r="F26">
        <v>0</v>
      </c>
      <c r="G26" t="str">
        <f>MID(B26,4,9)</f>
        <v>(8 842)</v>
      </c>
      <c r="H26" t="str">
        <f>MID(G26,2,1)</f>
        <v>8</v>
      </c>
      <c r="I26" t="str">
        <f>MID(G26,4,3)</f>
        <v>842</v>
      </c>
      <c r="J26" s="9" t="str">
        <f>CONCATENATE(H26,I26)</f>
        <v>8842</v>
      </c>
    </row>
    <row r="27" spans="1:10" x14ac:dyDescent="0.2">
      <c r="A27" s="1">
        <v>43983</v>
      </c>
      <c r="B27" t="s">
        <v>204</v>
      </c>
      <c r="C27">
        <v>2.9649999999999999</v>
      </c>
      <c r="D27">
        <v>0</v>
      </c>
      <c r="E27">
        <v>2.9649999999999999</v>
      </c>
      <c r="F27">
        <v>0</v>
      </c>
      <c r="G27" t="str">
        <f>MID(B27,4,9)</f>
        <v>(8 862)</v>
      </c>
      <c r="H27" t="str">
        <f>MID(G27,2,1)</f>
        <v>8</v>
      </c>
      <c r="I27" t="str">
        <f>MID(G27,4,3)</f>
        <v>862</v>
      </c>
      <c r="J27" s="9" t="str">
        <f>CONCATENATE(H27,I27)</f>
        <v>8862</v>
      </c>
    </row>
    <row r="28" spans="1:10" x14ac:dyDescent="0.2">
      <c r="A28" s="1">
        <v>44013</v>
      </c>
      <c r="B28" t="s">
        <v>203</v>
      </c>
      <c r="C28">
        <v>3.4740000000000002</v>
      </c>
      <c r="D28">
        <v>0.192</v>
      </c>
      <c r="E28">
        <v>3.6659999999999999</v>
      </c>
      <c r="F28">
        <v>5</v>
      </c>
      <c r="G28" t="str">
        <f>MID(B28,4,9)</f>
        <v>(5 951)</v>
      </c>
      <c r="H28" t="str">
        <f>MID(G28,2,1)</f>
        <v>5</v>
      </c>
      <c r="I28" t="str">
        <f>MID(G28,4,3)</f>
        <v>951</v>
      </c>
      <c r="J28" s="9" t="str">
        <f>CONCATENATE(H28,I28)</f>
        <v>5951</v>
      </c>
    </row>
    <row r="29" spans="1:10" x14ac:dyDescent="0.2">
      <c r="A29" s="1">
        <v>44044</v>
      </c>
      <c r="B29" t="s">
        <v>202</v>
      </c>
      <c r="C29">
        <v>3.8109999999999999</v>
      </c>
      <c r="D29">
        <v>0.30199999999999999</v>
      </c>
      <c r="E29">
        <v>4.1130000000000004</v>
      </c>
      <c r="F29">
        <v>9</v>
      </c>
      <c r="G29" t="str">
        <f>MID(B29,4,9)</f>
        <v>(4 763)</v>
      </c>
      <c r="H29" t="str">
        <f>MID(G29,2,1)</f>
        <v>4</v>
      </c>
      <c r="I29" t="str">
        <f>MID(G29,4,3)</f>
        <v>763</v>
      </c>
      <c r="J29" s="9" t="str">
        <f>CONCATENATE(H29,I29)</f>
        <v>4763</v>
      </c>
    </row>
    <row r="30" spans="1:10" x14ac:dyDescent="0.2">
      <c r="A30" s="1">
        <v>44075</v>
      </c>
      <c r="B30" t="s">
        <v>201</v>
      </c>
      <c r="C30">
        <v>3.7850000000000001</v>
      </c>
      <c r="D30">
        <v>0.41</v>
      </c>
      <c r="E30">
        <v>4.1950000000000003</v>
      </c>
      <c r="F30">
        <v>15</v>
      </c>
      <c r="G30" t="str">
        <f>MID(B30,4,9)</f>
        <v>(4 990)</v>
      </c>
      <c r="H30" t="str">
        <f>MID(G30,2,1)</f>
        <v>4</v>
      </c>
      <c r="I30" t="str">
        <f>MID(G30,4,3)</f>
        <v>990</v>
      </c>
      <c r="J30" s="9" t="str">
        <f>CONCATENATE(H30,I30)</f>
        <v>4990</v>
      </c>
    </row>
  </sheetData>
  <sortState ref="A1:J30">
    <sortCondition ref="A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C46"/>
  <sheetViews>
    <sheetView workbookViewId="0"/>
  </sheetViews>
  <sheetFormatPr baseColWidth="10" defaultRowHeight="12.75" x14ac:dyDescent="0.2"/>
  <cols>
    <col min="1" max="1" width="12.42578125" style="51" customWidth="1"/>
    <col min="2" max="2" width="10.140625" style="54" customWidth="1"/>
    <col min="3" max="3" width="10.140625" customWidth="1"/>
  </cols>
  <sheetData>
    <row r="1" spans="1:3" ht="25.5" customHeight="1" x14ac:dyDescent="0.2">
      <c r="A1" s="58" t="s">
        <v>16</v>
      </c>
      <c r="B1" s="59" t="s">
        <v>249</v>
      </c>
      <c r="C1" s="60" t="s">
        <v>248</v>
      </c>
    </row>
    <row r="2" spans="1:3" ht="17.25" customHeight="1" x14ac:dyDescent="0.2">
      <c r="A2" s="57">
        <v>43191</v>
      </c>
      <c r="B2" s="55" t="s">
        <v>218</v>
      </c>
      <c r="C2" s="6"/>
    </row>
    <row r="3" spans="1:3" ht="17.25" customHeight="1" x14ac:dyDescent="0.2">
      <c r="A3" s="57">
        <v>43221</v>
      </c>
      <c r="B3" s="55" t="s">
        <v>219</v>
      </c>
      <c r="C3" s="56" t="str">
        <f>IF(B2-B3&gt;0,"+"&amp;B2-B3,B2-B3)</f>
        <v>+5200</v>
      </c>
    </row>
    <row r="4" spans="1:3" ht="17.25" customHeight="1" x14ac:dyDescent="0.2">
      <c r="A4" s="57">
        <v>43252</v>
      </c>
      <c r="B4" s="55" t="s">
        <v>220</v>
      </c>
      <c r="C4" s="56" t="str">
        <f t="shared" ref="C4:C31" si="0">IF(B3-B4&gt;0,"+"&amp;B3-B4,B3-B4)</f>
        <v>+13252</v>
      </c>
    </row>
    <row r="5" spans="1:3" ht="17.25" customHeight="1" x14ac:dyDescent="0.2">
      <c r="A5" s="57">
        <v>43282</v>
      </c>
      <c r="B5" s="55" t="s">
        <v>221</v>
      </c>
      <c r="C5" s="56" t="str">
        <f t="shared" si="0"/>
        <v>+147</v>
      </c>
    </row>
    <row r="6" spans="1:3" ht="17.25" customHeight="1" x14ac:dyDescent="0.2">
      <c r="A6" s="57">
        <v>43313</v>
      </c>
      <c r="B6" s="55" t="s">
        <v>222</v>
      </c>
      <c r="C6" s="56" t="str">
        <f t="shared" si="0"/>
        <v>+2818</v>
      </c>
    </row>
    <row r="7" spans="1:3" ht="17.25" customHeight="1" x14ac:dyDescent="0.2">
      <c r="A7" s="57">
        <v>43344</v>
      </c>
      <c r="B7" s="55" t="s">
        <v>223</v>
      </c>
      <c r="C7" s="56">
        <f t="shared" si="0"/>
        <v>-326</v>
      </c>
    </row>
    <row r="8" spans="1:3" ht="17.25" customHeight="1" x14ac:dyDescent="0.2">
      <c r="A8" s="57">
        <v>43374</v>
      </c>
      <c r="B8" s="55" t="s">
        <v>224</v>
      </c>
      <c r="C8" s="56">
        <f t="shared" si="0"/>
        <v>-733</v>
      </c>
    </row>
    <row r="9" spans="1:3" ht="17.25" customHeight="1" x14ac:dyDescent="0.2">
      <c r="A9" s="57">
        <v>43405</v>
      </c>
      <c r="B9" s="55" t="s">
        <v>225</v>
      </c>
      <c r="C9" s="56" t="str">
        <f t="shared" si="0"/>
        <v>+2165</v>
      </c>
    </row>
    <row r="10" spans="1:3" ht="17.25" customHeight="1" x14ac:dyDescent="0.2">
      <c r="A10" s="57">
        <v>43435</v>
      </c>
      <c r="B10" s="55" t="s">
        <v>226</v>
      </c>
      <c r="C10" s="56">
        <f t="shared" si="0"/>
        <v>-199</v>
      </c>
    </row>
    <row r="11" spans="1:3" ht="17.25" customHeight="1" x14ac:dyDescent="0.2">
      <c r="A11" s="57">
        <v>43466</v>
      </c>
      <c r="B11" s="55" t="s">
        <v>227</v>
      </c>
      <c r="C11" s="56" t="str">
        <f t="shared" si="0"/>
        <v>+173</v>
      </c>
    </row>
    <row r="12" spans="1:3" ht="17.25" customHeight="1" x14ac:dyDescent="0.2">
      <c r="A12" s="57">
        <v>43497</v>
      </c>
      <c r="B12" s="55" t="s">
        <v>228</v>
      </c>
      <c r="C12" s="56" t="str">
        <f t="shared" si="0"/>
        <v>+497</v>
      </c>
    </row>
    <row r="13" spans="1:3" ht="17.25" customHeight="1" x14ac:dyDescent="0.2">
      <c r="A13" s="57">
        <v>43525</v>
      </c>
      <c r="B13" s="55" t="s">
        <v>229</v>
      </c>
      <c r="C13" s="56" t="str">
        <f t="shared" si="0"/>
        <v>+136</v>
      </c>
    </row>
    <row r="14" spans="1:3" ht="17.25" customHeight="1" x14ac:dyDescent="0.2">
      <c r="A14" s="57">
        <v>43556</v>
      </c>
      <c r="B14" s="55" t="s">
        <v>230</v>
      </c>
      <c r="C14" s="56" t="str">
        <f t="shared" si="0"/>
        <v>+669</v>
      </c>
    </row>
    <row r="15" spans="1:3" ht="17.25" customHeight="1" x14ac:dyDescent="0.2">
      <c r="A15" s="57">
        <v>43586</v>
      </c>
      <c r="B15" s="55" t="s">
        <v>231</v>
      </c>
      <c r="C15" s="56" t="str">
        <f t="shared" si="0"/>
        <v>+2910</v>
      </c>
    </row>
    <row r="16" spans="1:3" ht="17.25" customHeight="1" x14ac:dyDescent="0.2">
      <c r="A16" s="57">
        <v>43617</v>
      </c>
      <c r="B16" s="55" t="s">
        <v>232</v>
      </c>
      <c r="C16" s="56">
        <f t="shared" si="0"/>
        <v>-768</v>
      </c>
    </row>
    <row r="17" spans="1:3" ht="17.25" customHeight="1" x14ac:dyDescent="0.2">
      <c r="A17" s="57">
        <v>43647</v>
      </c>
      <c r="B17" s="55" t="s">
        <v>233</v>
      </c>
      <c r="C17" s="56" t="str">
        <f t="shared" si="0"/>
        <v>+265</v>
      </c>
    </row>
    <row r="18" spans="1:3" ht="17.25" customHeight="1" x14ac:dyDescent="0.2">
      <c r="A18" s="57">
        <v>43678</v>
      </c>
      <c r="B18" s="55" t="s">
        <v>234</v>
      </c>
      <c r="C18" s="56">
        <f t="shared" si="0"/>
        <v>-279</v>
      </c>
    </row>
    <row r="19" spans="1:3" ht="17.25" customHeight="1" x14ac:dyDescent="0.2">
      <c r="A19" s="57">
        <v>43709</v>
      </c>
      <c r="B19" s="55" t="s">
        <v>235</v>
      </c>
      <c r="C19" s="56">
        <f t="shared" si="0"/>
        <v>-307</v>
      </c>
    </row>
    <row r="20" spans="1:3" ht="17.25" customHeight="1" x14ac:dyDescent="0.2">
      <c r="A20" s="57">
        <v>43739</v>
      </c>
      <c r="B20" s="55" t="s">
        <v>236</v>
      </c>
      <c r="C20" s="56">
        <f t="shared" si="0"/>
        <v>-354</v>
      </c>
    </row>
    <row r="21" spans="1:3" ht="17.25" customHeight="1" x14ac:dyDescent="0.2">
      <c r="A21" s="57">
        <v>43770</v>
      </c>
      <c r="B21" s="55" t="s">
        <v>237</v>
      </c>
      <c r="C21" s="56">
        <f t="shared" si="0"/>
        <v>-571</v>
      </c>
    </row>
    <row r="22" spans="1:3" ht="17.25" customHeight="1" x14ac:dyDescent="0.2">
      <c r="A22" s="57">
        <v>43800</v>
      </c>
      <c r="B22" s="55" t="s">
        <v>238</v>
      </c>
      <c r="C22" s="56">
        <f t="shared" si="0"/>
        <v>-87</v>
      </c>
    </row>
    <row r="23" spans="1:3" ht="17.25" customHeight="1" x14ac:dyDescent="0.2">
      <c r="A23" s="57">
        <v>43831</v>
      </c>
      <c r="B23" s="55" t="s">
        <v>239</v>
      </c>
      <c r="C23" s="56">
        <f t="shared" si="0"/>
        <v>-219</v>
      </c>
    </row>
    <row r="24" spans="1:3" ht="17.25" customHeight="1" x14ac:dyDescent="0.2">
      <c r="A24" s="57">
        <v>43862</v>
      </c>
      <c r="B24" s="55" t="s">
        <v>240</v>
      </c>
      <c r="C24" s="56">
        <f t="shared" si="0"/>
        <v>-81</v>
      </c>
    </row>
    <row r="25" spans="1:3" ht="17.25" customHeight="1" x14ac:dyDescent="0.2">
      <c r="A25" s="57">
        <v>43891</v>
      </c>
      <c r="B25" s="55" t="s">
        <v>241</v>
      </c>
      <c r="C25" s="56">
        <f t="shared" si="0"/>
        <v>-60</v>
      </c>
    </row>
    <row r="26" spans="1:3" ht="17.25" customHeight="1" x14ac:dyDescent="0.2">
      <c r="A26" s="57">
        <v>43922</v>
      </c>
      <c r="B26" s="55" t="s">
        <v>242</v>
      </c>
      <c r="C26" s="56">
        <f t="shared" si="0"/>
        <v>-78</v>
      </c>
    </row>
    <row r="27" spans="1:3" ht="17.25" customHeight="1" x14ac:dyDescent="0.2">
      <c r="A27" s="57">
        <v>43952</v>
      </c>
      <c r="B27" s="55" t="s">
        <v>243</v>
      </c>
      <c r="C27" s="56">
        <f t="shared" si="0"/>
        <v>-1407</v>
      </c>
    </row>
    <row r="28" spans="1:3" ht="17.25" customHeight="1" x14ac:dyDescent="0.2">
      <c r="A28" s="57">
        <v>43983</v>
      </c>
      <c r="B28" s="55" t="s">
        <v>244</v>
      </c>
      <c r="C28" s="56">
        <f t="shared" si="0"/>
        <v>-20</v>
      </c>
    </row>
    <row r="29" spans="1:3" ht="17.25" customHeight="1" x14ac:dyDescent="0.2">
      <c r="A29" s="57">
        <v>44013</v>
      </c>
      <c r="B29" s="55" t="s">
        <v>245</v>
      </c>
      <c r="C29" s="56" t="str">
        <f t="shared" si="0"/>
        <v>+2911</v>
      </c>
    </row>
    <row r="30" spans="1:3" ht="17.25" customHeight="1" x14ac:dyDescent="0.2">
      <c r="A30" s="57">
        <v>44044</v>
      </c>
      <c r="B30" s="55" t="s">
        <v>246</v>
      </c>
      <c r="C30" s="56" t="str">
        <f t="shared" si="0"/>
        <v>+1188</v>
      </c>
    </row>
    <row r="31" spans="1:3" ht="17.25" customHeight="1" x14ac:dyDescent="0.2">
      <c r="A31" s="57">
        <v>44075</v>
      </c>
      <c r="B31" s="55" t="s">
        <v>247</v>
      </c>
      <c r="C31" s="56">
        <f t="shared" si="0"/>
        <v>-227</v>
      </c>
    </row>
    <row r="32" spans="1:3" ht="14.25" customHeight="1" x14ac:dyDescent="0.2">
      <c r="B32" s="53" t="str">
        <f>IFERROR(VLOOKUP('Diagramme classement'!A32,Classement!$A:$J,10),"")</f>
        <v/>
      </c>
      <c r="C32" s="52"/>
    </row>
    <row r="33" spans="2:3" ht="14.25" customHeight="1" x14ac:dyDescent="0.2">
      <c r="B33" s="53" t="str">
        <f>IFERROR(VLOOKUP('Diagramme classement'!A33,Classement!$A:$J,10),"")</f>
        <v/>
      </c>
      <c r="C33" s="52"/>
    </row>
    <row r="34" spans="2:3" ht="14.25" customHeight="1" x14ac:dyDescent="0.2">
      <c r="B34" s="53" t="str">
        <f>IFERROR(VLOOKUP('Diagramme classement'!A34,Classement!$A:$J,10),"")</f>
        <v/>
      </c>
      <c r="C34" s="52"/>
    </row>
    <row r="35" spans="2:3" ht="14.25" customHeight="1" x14ac:dyDescent="0.2">
      <c r="B35" s="53" t="str">
        <f>IFERROR(VLOOKUP('Diagramme classement'!A35,Classement!$A:$J,10),"")</f>
        <v/>
      </c>
      <c r="C35" s="52"/>
    </row>
    <row r="36" spans="2:3" ht="14.25" customHeight="1" x14ac:dyDescent="0.2">
      <c r="B36" s="53" t="str">
        <f>IFERROR(VLOOKUP('Diagramme classement'!A36,Classement!$A:$J,10),"")</f>
        <v/>
      </c>
      <c r="C36" s="52"/>
    </row>
    <row r="37" spans="2:3" ht="14.25" customHeight="1" x14ac:dyDescent="0.2">
      <c r="B37" s="53" t="str">
        <f>IFERROR(VLOOKUP('Diagramme classement'!A37,Classement!$A:$J,10),"")</f>
        <v/>
      </c>
      <c r="C37" s="52"/>
    </row>
    <row r="38" spans="2:3" ht="14.25" customHeight="1" x14ac:dyDescent="0.2">
      <c r="B38" s="53" t="str">
        <f>IFERROR(VLOOKUP('Diagramme classement'!A38,Classement!$A:$J,10),"")</f>
        <v/>
      </c>
      <c r="C38" s="52"/>
    </row>
    <row r="39" spans="2:3" ht="14.25" customHeight="1" x14ac:dyDescent="0.2">
      <c r="B39" s="53" t="str">
        <f>IFERROR(VLOOKUP('Diagramme classement'!A39,Classement!$A:$J,10),"")</f>
        <v/>
      </c>
      <c r="C39" s="52"/>
    </row>
    <row r="40" spans="2:3" ht="14.25" customHeight="1" x14ac:dyDescent="0.2">
      <c r="B40" s="53" t="str">
        <f>IFERROR(VLOOKUP('Diagramme classement'!A40,Classement!$A:$J,10),"")</f>
        <v/>
      </c>
      <c r="C40" s="52"/>
    </row>
    <row r="41" spans="2:3" ht="14.25" customHeight="1" x14ac:dyDescent="0.2">
      <c r="B41" s="53" t="str">
        <f>IFERROR(VLOOKUP('Diagramme classement'!A41,Classement!$A:$J,10),"")</f>
        <v/>
      </c>
      <c r="C41" s="52"/>
    </row>
    <row r="42" spans="2:3" ht="14.25" customHeight="1" x14ac:dyDescent="0.2">
      <c r="B42" s="53" t="str">
        <f>IFERROR(VLOOKUP('Diagramme classement'!A42,Classement!$A:$J,10),"")</f>
        <v/>
      </c>
      <c r="C42" s="52"/>
    </row>
    <row r="43" spans="2:3" ht="14.25" customHeight="1" x14ac:dyDescent="0.2">
      <c r="B43" s="53" t="str">
        <f>IFERROR(VLOOKUP('Diagramme classement'!A43,Classement!$A:$J,10),"")</f>
        <v/>
      </c>
      <c r="C43" s="52"/>
    </row>
    <row r="44" spans="2:3" ht="14.25" customHeight="1" x14ac:dyDescent="0.2">
      <c r="B44" s="53" t="str">
        <f>IFERROR(VLOOKUP('Diagramme classement'!A44,Classement!$A:$J,10),"")</f>
        <v/>
      </c>
      <c r="C44" s="52"/>
    </row>
    <row r="45" spans="2:3" ht="14.25" customHeight="1" x14ac:dyDescent="0.2">
      <c r="B45" s="53" t="str">
        <f>IFERROR(VLOOKUP('Diagramme classement'!A45,Classement!$A:$J,10),"")</f>
        <v/>
      </c>
      <c r="C45" s="52"/>
    </row>
    <row r="46" spans="2:3" ht="14.25" customHeight="1" x14ac:dyDescent="0.2"/>
  </sheetData>
  <conditionalFormatting sqref="C2:C104857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Résultats</vt:lpstr>
      <vt:lpstr>Global</vt:lpstr>
      <vt:lpstr>2020</vt:lpstr>
      <vt:lpstr>2019</vt:lpstr>
      <vt:lpstr>2018</vt:lpstr>
      <vt:lpstr>Classement</vt:lpstr>
      <vt:lpstr>Diagramme classement</vt:lpstr>
    </vt:vector>
  </TitlesOfParts>
  <Company>MGB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Egli, Anthony-GMVD</dc:creator>
  <cp:lastModifiedBy>Egli, Anthony-GMVD</cp:lastModifiedBy>
  <dcterms:created xsi:type="dcterms:W3CDTF">2020-09-03T08:29:15Z</dcterms:created>
  <dcterms:modified xsi:type="dcterms:W3CDTF">2020-09-03T13:40:24Z</dcterms:modified>
</cp:coreProperties>
</file>