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ustomProperty1.bin" ContentType="application/vnd.openxmlformats-officedocument.spreadsheetml.customProperty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2. Personnel\2. Comptes\"/>
    </mc:Choice>
  </mc:AlternateContent>
  <xr:revisionPtr revIDLastSave="0" documentId="13_ncr:8001_{5E832686-6FBD-4610-9C3B-A7909F78738D}" xr6:coauthVersionLast="34" xr6:coauthVersionMax="34" xr10:uidLastSave="{00000000-0000-0000-0000-000000000000}"/>
  <bookViews>
    <workbookView xWindow="0" yWindow="0" windowWidth="19200" windowHeight="6936" tabRatio="783" xr2:uid="{00000000-000D-0000-FFFF-FFFF00000000}"/>
  </bookViews>
  <sheets>
    <sheet name="Synthèse" sheetId="17" r:id="rId1"/>
    <sheet name="Hist. T." sheetId="5" r:id="rId2"/>
    <sheet name="Configuration" sheetId="13" r:id="rId3"/>
    <sheet name="upsundo" sheetId="6" state="veryHidden" r:id="rId4"/>
  </sheets>
  <definedNames>
    <definedName name="Abattement">Configuration!$D$74</definedName>
    <definedName name="Abattement_frais_pros">#REF!</definedName>
    <definedName name="Abattement_revenu_net">#REF!</definedName>
    <definedName name="Abonnements">Configuration!$H$34:$H$39</definedName>
    <definedName name="Achats">Configuration!$D$50:$D$59</definedName>
    <definedName name="Alimentation">Configuration!$D$34:$D$36</definedName>
    <definedName name="Annuel">Configuration!$J$69</definedName>
    <definedName name="Assiette_CSG_1">#REF!</definedName>
    <definedName name="Assiette_CSG_2">#REF!</definedName>
    <definedName name="Assiette_CSG_3">#REF!</definedName>
    <definedName name="Autres_revenus_annuels_1">#REF!</definedName>
    <definedName name="Autres_revenus_annuels_2">#REF!</definedName>
    <definedName name="Banque">Configuration!$H$55:$H$61</definedName>
    <definedName name="Banque_émettrice_1">'Hist. T.'!$G$10:$G$27</definedName>
    <definedName name="Banque_émettrice_2">#REF!</definedName>
    <definedName name="BORNEINF_1">'Hist. T.'!$P$27</definedName>
    <definedName name="BORNEINF_2">#REF!</definedName>
    <definedName name="Boursorama">Configuration!$F$24</definedName>
    <definedName name="Catégoriedetransaction_1">'Hist. T.'!$I$10:$I$27</definedName>
    <definedName name="Catégoriedetransaction_2">#REF!</definedName>
    <definedName name="Catégories">Configuration!$D$13:$D$27</definedName>
    <definedName name="CCversL">Configuration!$F$13</definedName>
    <definedName name="Célibataire">Configuration!$D$68</definedName>
    <definedName name="CF_1">Synthèse!$AA$202</definedName>
    <definedName name="CF_10">#REF!</definedName>
    <definedName name="CF_11">#REF!</definedName>
    <definedName name="CF_12">#REF!</definedName>
    <definedName name="CF_13">#REF!</definedName>
    <definedName name="CF_14">#REF!</definedName>
    <definedName name="CF_16">#REF!</definedName>
    <definedName name="CF_17">#REF!</definedName>
    <definedName name="CF_18">#REF!</definedName>
    <definedName name="CF_19">#REF!</definedName>
    <definedName name="CF_2">#REF!</definedName>
    <definedName name="CF_20">#REF!</definedName>
    <definedName name="CF_3">#REF!</definedName>
    <definedName name="CF_4">'Hist. T.'!$AA$29</definedName>
    <definedName name="CF_5">#REF!</definedName>
    <definedName name="CF_6">#REF!</definedName>
    <definedName name="CF_7">#REF!</definedName>
    <definedName name="CF_8">#REF!</definedName>
    <definedName name="CF_9">Configuration!$AA$203</definedName>
    <definedName name="Check_Comptabilisation_1">'Hist. T.'!$P$10:$P$27</definedName>
    <definedName name="Check_Comptabilisation_2">#REF!</definedName>
    <definedName name="CIQWBGuid" hidden="1">"7297c009-4ae4-4e34-8e90-89b1cf8abbbf"</definedName>
    <definedName name="Coef_plafond_SECU">#REF!</definedName>
    <definedName name="Col_D_1">Synthèse!$S$7</definedName>
    <definedName name="Col_D_10">#REF!</definedName>
    <definedName name="Col_D_11">#REF!</definedName>
    <definedName name="Col_D_12">#REF!</definedName>
    <definedName name="Col_D_13">#REF!</definedName>
    <definedName name="Col_D_14">#REF!</definedName>
    <definedName name="Col_D_16">#REF!</definedName>
    <definedName name="Col_D_17">#REF!</definedName>
    <definedName name="Col_D_18">#REF!</definedName>
    <definedName name="Col_D_19">#REF!</definedName>
    <definedName name="Col_D_2">#REF!</definedName>
    <definedName name="Col_D_20">#REF!</definedName>
    <definedName name="Col_D_21">#REF!</definedName>
    <definedName name="Col_D_3">#REF!</definedName>
    <definedName name="Col_D_4">'Hist. T.'!$T$7</definedName>
    <definedName name="Col_D_5">#REF!</definedName>
    <definedName name="Col_D_6">#REF!</definedName>
    <definedName name="Col_D_7">#REF!</definedName>
    <definedName name="Col_D_8">#REF!</definedName>
    <definedName name="Col_D_9">Configuration!$S$9</definedName>
    <definedName name="Col_G_1">Synthèse!$Q$7</definedName>
    <definedName name="Col_G_10">#REF!</definedName>
    <definedName name="Col_G_11">#REF!</definedName>
    <definedName name="Col_G_12">#REF!</definedName>
    <definedName name="Col_G_13">#REF!</definedName>
    <definedName name="Col_G_14">#REF!</definedName>
    <definedName name="Col_G_16">#REF!</definedName>
    <definedName name="Col_G_17">#REF!</definedName>
    <definedName name="Col_G_18">#REF!</definedName>
    <definedName name="Col_G_19">#REF!</definedName>
    <definedName name="Col_G_2">#REF!</definedName>
    <definedName name="Col_G_20">#REF!</definedName>
    <definedName name="Col_G_21">#REF!</definedName>
    <definedName name="Col_G_3">#REF!</definedName>
    <definedName name="Col_G_4">'Hist. T.'!$R$7</definedName>
    <definedName name="Col_G_5">#REF!</definedName>
    <definedName name="Col_G_6">#REF!</definedName>
    <definedName name="Col_G_7">#REF!</definedName>
    <definedName name="Col_G_8">#REF!</definedName>
    <definedName name="Col_G_9">Configuration!$Q$9</definedName>
    <definedName name="Commentaire_1">'Hist. T.'!$N$10:$N$27</definedName>
    <definedName name="Commentaire_2">#REF!</definedName>
    <definedName name="Comptage_Hist_Capital_1">#REF!</definedName>
    <definedName name="Comptage_transactions_1">'Hist. T.'!$D$10:$D$27</definedName>
    <definedName name="Comptage_Transactions_2">#REF!</definedName>
    <definedName name="Config_CB">Configuration!$L$14</definedName>
    <definedName name="Config_chèque">Configuration!$L$13</definedName>
    <definedName name="Config_Prélèvements">Configuration!$L$19</definedName>
    <definedName name="Config_Rééquilibrage">Configuration!$L$20</definedName>
    <definedName name="Config_Rev">Configuration!$L$15</definedName>
    <definedName name="Config_Transferts">Configuration!$L$18</definedName>
    <definedName name="Config_Virements_Envoyés">Configuration!$L$16</definedName>
    <definedName name="Config_Virements_Reçus">Configuration!$L$17</definedName>
    <definedName name="Consolidée">Configuration!$F$69</definedName>
    <definedName name="CSG_CRDS_non_déductible_absolu_1">#REF!</definedName>
    <definedName name="CSG_CRDS_non_déductible_absolu_2">#REF!</definedName>
    <definedName name="CSG_CRDS_non_déductible_absolu_3">#REF!</definedName>
    <definedName name="CSG_CRDS_non_déductible_relatif">#REF!</definedName>
    <definedName name="CSG_déductible">#REF!</definedName>
    <definedName name="CSG_déductible_absolu">#REF!</definedName>
    <definedName name="Date_enregistrement_capital_1">#REF!</definedName>
    <definedName name="Datedenregistrement_1">'Hist. T.'!$F$10:$F$27</definedName>
    <definedName name="Datedenregistrement_2">#REF!</definedName>
    <definedName name="Datedetransaction_1">'Hist. T.'!$E$10:$E$27</definedName>
    <definedName name="Datedetransaction_2">#REF!</definedName>
    <definedName name="Datedujour">Synthèse!$H$9</definedName>
    <definedName name="Début_Période_1">Synthèse!$H$22</definedName>
    <definedName name="Début_Période_2">#REF!</definedName>
    <definedName name="Début_Période_3">#REF!</definedName>
    <definedName name="Début_période_4">#REF!</definedName>
    <definedName name="Déclaration">Configuration!$F$68</definedName>
    <definedName name="Déclarations">Configuration!$F$71</definedName>
    <definedName name="Déductions_sur_revenus_1">#REF!</definedName>
    <definedName name="Déductions_sur_revenus_2">#REF!</definedName>
    <definedName name="Départ_Boursorama">#REF!</definedName>
    <definedName name="Départ_HSBC">Synthèse!$R$14</definedName>
    <definedName name="Départ_LCL">#REF!</definedName>
    <definedName name="Différé">Configuration!$J$16:$J$17</definedName>
    <definedName name="Différéounon_1">'Hist. T.'!$L$10:$L$1048576</definedName>
    <definedName name="Divers">Configuration!$J$34:$J$38</definedName>
    <definedName name="Enfants">Configuration!$J$54:$J$61</definedName>
    <definedName name="Error">Configuration!$F$75</definedName>
    <definedName name="Esthétique">Configuration!$L$34:$L$38</definedName>
    <definedName name="Exclue">Configuration!$F$17</definedName>
    <definedName name="Fin_Période_1">Synthèse!$J$22</definedName>
    <definedName name="Fin_Période_2">#REF!</definedName>
    <definedName name="Fin_Période_3">#REF!</definedName>
    <definedName name="Fin_période_4">#REF!</definedName>
    <definedName name="Finance">Configuration!$L$41:$L$42</definedName>
    <definedName name="Fluxréel_1">'Hist. T.'!$O$10:$O$27</definedName>
    <definedName name="Fluxréel_2">#REF!</definedName>
    <definedName name="Format_Budget">Configuration!$G$89</definedName>
    <definedName name="Format_Capital_Conso">Configuration!$G$88</definedName>
    <definedName name="Format_Synthèse_1">Configuration!$G$84</definedName>
    <definedName name="Format_Synthèse_2">Configuration!$G$85</definedName>
    <definedName name="Format_Synthèse_3">Configuration!$G$86</definedName>
    <definedName name="Format_Synthèse_4">Configuration!$G$87</definedName>
    <definedName name="Formule_référence_1">'Hist. T.'!$O$26</definedName>
    <definedName name="Formule_référence_2">#REF!</definedName>
    <definedName name="Frais_réels">Configuration!$D$75</definedName>
    <definedName name="Frais_réels_calculés_1">#REF!</definedName>
    <definedName name="Frais_réels_calculés_2">#REF!</definedName>
    <definedName name="Grand_total_capital_1">#REF!</definedName>
    <definedName name="Grand_total_hors_pv_latentes_capital_1">#REF!</definedName>
    <definedName name="HSBC">Configuration!$F$22</definedName>
    <definedName name="Impôt_sur_revenu_net_1">#REF!</definedName>
    <definedName name="Impôt_sur_revenu_net_2">#REF!</definedName>
    <definedName name="Impôt_sur_revenu_net_consolidé">#REF!</definedName>
    <definedName name="Impôts">Configuration!$F$56:$F$61</definedName>
    <definedName name="Incluse">Configuration!$F$16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43226.6210069444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CL">Configuration!$F$23</definedName>
    <definedName name="Logement">Configuration!$J$42:$J$51</definedName>
    <definedName name="Loisirs">Configuration!$D$39:$D$47</definedName>
    <definedName name="LversCC">Configuration!$F$14</definedName>
    <definedName name="Marié">Configuration!$D$69</definedName>
    <definedName name="Mensuel">Configuration!$J$68</definedName>
    <definedName name="Méthodologie">#REF!</definedName>
    <definedName name="Montant_1">'Hist. T.'!$K$10:$K$27</definedName>
    <definedName name="Montant_2">#REF!</definedName>
    <definedName name="Montant_frais_réels_1">#REF!</definedName>
    <definedName name="Montant_frais_réels_2">#REF!</definedName>
    <definedName name="Nb_enfants_à_charge_1">#REF!</definedName>
    <definedName name="Nb_enfants_à_charge_2">#REF!</definedName>
    <definedName name="Net">Configuration!$H$73</definedName>
    <definedName name="Nom_conjoint_1">#REF!</definedName>
    <definedName name="Nom_conjoint_2">#REF!</definedName>
    <definedName name="Non">Configuration!$F$20</definedName>
    <definedName name="Ok">Configuration!$F$74</definedName>
    <definedName name="Onglet_1">Synthèse!$R$9</definedName>
    <definedName name="Onglet_10">#REF!</definedName>
    <definedName name="Onglet_11">#REF!</definedName>
    <definedName name="Onglet_12">#REF!</definedName>
    <definedName name="Onglet_13">#REF!</definedName>
    <definedName name="Onglet_14">#REF!</definedName>
    <definedName name="Onglet_16">#REF!</definedName>
    <definedName name="Onglet_17">#REF!</definedName>
    <definedName name="Onglet_18">#REF!</definedName>
    <definedName name="Onglet_19">#REF!</definedName>
    <definedName name="Onglet_2">#REF!</definedName>
    <definedName name="Onglet_20">#REF!</definedName>
    <definedName name="Onglet_21">#REF!</definedName>
    <definedName name="Onglet_3">#REF!</definedName>
    <definedName name="Onglet_4">'Hist. T.'!$S$8</definedName>
    <definedName name="Onglet_5">#REF!</definedName>
    <definedName name="Onglet_6">#REF!</definedName>
    <definedName name="Onglet_7">#REF!</definedName>
    <definedName name="Onglet_8">#REF!</definedName>
    <definedName name="Onglet_9">Configuration!$R$10</definedName>
    <definedName name="Oui">Configuration!$F$19</definedName>
    <definedName name="Pacsé">Configuration!$D$70</definedName>
    <definedName name="Plafond_SECU">#REF!</definedName>
    <definedName name="Position_Assurance_Vie_HSBC_Capital_1">#REF!</definedName>
    <definedName name="Position_avoirs_bancaires_Capital_1">#REF!</definedName>
    <definedName name="Position_Compte_courant_HSBC_capital_1">#REF!</definedName>
    <definedName name="Position_Compte_courant_LCL_capital_1">#REF!</definedName>
    <definedName name="Position_compte_Pro_Lcl_Capital_1">#REF!</definedName>
    <definedName name="Position_Cryptomonnaies_Capital_investi_capital_1">#REF!</definedName>
    <definedName name="Position_Livret_A_HSBC_Capital_1">#REF!</definedName>
    <definedName name="Position_Livret_LCL_Capital_1">#REF!</definedName>
    <definedName name="Position_PEL_LCL_Capital_1">#REF!</definedName>
    <definedName name="Position_plus_values_latentes_capital_1">#REF!</definedName>
    <definedName name="Position_total_HSBC_Capital_1">#REF!</definedName>
    <definedName name="Position_Total_LCL_Capital_1">#REF!</definedName>
    <definedName name="Professionnel">Configuration!$F$47:$F$53</definedName>
    <definedName name="Proxi_de_déduction_brut_net_1">#REF!</definedName>
    <definedName name="Proxi_de_déduction_brut_net_2">#REF!</definedName>
    <definedName name="Proxi_de_déduction_brut_net_3">#REF!</definedName>
    <definedName name="PS_taux_global">#REF!</definedName>
    <definedName name="Quotient_familial_1">#REF!</definedName>
    <definedName name="Quotient_familial_2">#REF!</definedName>
    <definedName name="Quotient_familial_consolidé">#REF!</definedName>
    <definedName name="Retraits_Chèques">Configuration!$F$34:$F$35</definedName>
    <definedName name="Revenu_activité_consolidé">#REF!</definedName>
    <definedName name="Revenu_annuel_brut_1">#REF!</definedName>
    <definedName name="Revenu_annuel_brut_2">#REF!</definedName>
    <definedName name="Revenu_brut_consolidé">#REF!</definedName>
    <definedName name="Revenu_brut_consolidé_post_déduction">#REF!</definedName>
    <definedName name="Revenu_Brut_Global_1">#REF!</definedName>
    <definedName name="Revenu_Brut_Global_2">#REF!</definedName>
    <definedName name="Revenu_Brut_Global_3">#REF!</definedName>
    <definedName name="Revenu_global">Configuration!$D$78</definedName>
    <definedName name="Revenu_net_activité_1">#REF!</definedName>
    <definedName name="Revenu_net_activité_2">#REF!</definedName>
    <definedName name="Revenu_net_consolidé_imposable">#REF!</definedName>
    <definedName name="Revenu_Net_Global_1">#REF!</definedName>
    <definedName name="Revenu_Net_Global_2">#REF!</definedName>
    <definedName name="Revenu_net_global_consolidé">#REF!</definedName>
    <definedName name="Revenu_Net_Imposable_1">#REF!</definedName>
    <definedName name="Revenu_Net_Imposable_2">#REF!</definedName>
    <definedName name="Revenu_net_non_soumis_frais_1">#REF!</definedName>
    <definedName name="Revenu_net_non_soumis_frais_2">#REF!</definedName>
    <definedName name="Revenu_net_non_soumis_frais_3">#REF!</definedName>
    <definedName name="Revenu_net_soumis_à_frais_1">#REF!</definedName>
    <definedName name="Revenu_net_soumis_à_frais_2">#REF!</definedName>
    <definedName name="Revenu_net_soumis_à_frais_3">#REF!</definedName>
    <definedName name="Revenu_principal">Configuration!$D$77</definedName>
    <definedName name="Revenus_d_invt">Configuration!$L$42</definedName>
    <definedName name="Revenus_fonciers_1">#REF!</definedName>
    <definedName name="Revenus_fonciers_2">#REF!</definedName>
    <definedName name="Salaire_net_réel_1">#REF!</definedName>
    <definedName name="Salaire_net_réel_2">#REF!</definedName>
    <definedName name="Santé">Configuration!$F$38:$F$44</definedName>
    <definedName name="Savings">Configuration!$H$74</definedName>
    <definedName name="Séparées">Configuration!$F$72</definedName>
    <definedName name="Signature_1">'Hist. T.'!$V$10:$V$27</definedName>
    <definedName name="Signature_1_borneinf">'Hist. T.'!$V$27</definedName>
    <definedName name="Situation_familiale_1">#REF!</definedName>
    <definedName name="Situation_familiale_2">#REF!</definedName>
    <definedName name="Souscatégoriedetransaction_1">'Hist. T.'!$J$10:$J$27</definedName>
    <definedName name="Souscatégoriedetransaction_2">#REF!</definedName>
    <definedName name="Statut_transaction_1">'Hist. T.'!$M$10:$M$27</definedName>
    <definedName name="Statut_transaction_2">#REF!</definedName>
    <definedName name="Système_Checks">Configuration!$G$90</definedName>
    <definedName name="Total_revenus_annuels_post_déduction_1">#REF!</definedName>
    <definedName name="Total_revenus_annuels_post_déduction_2">#REF!</definedName>
    <definedName name="Tranche_Marginale_1">#REF!</definedName>
    <definedName name="Tranche_Marginale_2">#REF!</definedName>
    <definedName name="Tranche_Marginale_3">#REF!</definedName>
    <definedName name="Transfert_Interne">Configuration!$F$10</definedName>
    <definedName name="Transferts">Configuration!$F$13:$F$14</definedName>
    <definedName name="Transports">Configuration!$H$42:$H$52</definedName>
    <definedName name="Type">Configuration!$L$15:$L$16</definedName>
    <definedName name="Typedetransaction_1">'Hist. T.'!$H$10:$H$27</definedName>
    <definedName name="Typedetransaction_2">#REF!</definedName>
    <definedName name="Veuf">Configuration!$D$72</definedName>
  </definedNames>
  <calcPr calcId="179017" calcMode="autoNoTable" concurrentCalc="0"/>
  <fileRecoveryPr autoRecover="0"/>
</workbook>
</file>

<file path=xl/calcChain.xml><?xml version="1.0" encoding="utf-8"?>
<calcChain xmlns="http://schemas.openxmlformats.org/spreadsheetml/2006/main">
  <c r="O13" i="5" l="1"/>
  <c r="O25" i="5"/>
  <c r="O24" i="5"/>
  <c r="O23" i="5"/>
  <c r="O22" i="5"/>
  <c r="O21" i="5"/>
  <c r="O20" i="5"/>
  <c r="O19" i="5"/>
  <c r="O18" i="5"/>
  <c r="O17" i="5"/>
  <c r="O16" i="5"/>
  <c r="O15" i="5"/>
  <c r="O14" i="5"/>
  <c r="O12" i="5"/>
  <c r="P46" i="17"/>
  <c r="P47" i="17"/>
  <c r="P48" i="17"/>
  <c r="I47" i="17"/>
  <c r="E126" i="13"/>
  <c r="E127" i="13"/>
  <c r="E128" i="13"/>
  <c r="R10" i="13"/>
  <c r="D33" i="13"/>
  <c r="F33" i="13"/>
  <c r="H33" i="13"/>
  <c r="J33" i="13"/>
  <c r="L33" i="13"/>
  <c r="F37" i="13"/>
  <c r="D38" i="13"/>
  <c r="H41" i="13"/>
  <c r="J41" i="13"/>
  <c r="F46" i="13"/>
  <c r="D49" i="13"/>
  <c r="J53" i="13"/>
  <c r="H54" i="13"/>
  <c r="F55" i="13"/>
  <c r="F99" i="13"/>
  <c r="F100" i="13"/>
  <c r="F101" i="13"/>
  <c r="F102" i="13"/>
  <c r="F103" i="13"/>
  <c r="F104" i="13"/>
  <c r="F107" i="13"/>
  <c r="F108" i="13"/>
  <c r="F109" i="13"/>
  <c r="F111" i="13"/>
  <c r="F113" i="13"/>
  <c r="F114" i="13"/>
  <c r="F115" i="13"/>
  <c r="F117" i="13"/>
  <c r="F118" i="13"/>
  <c r="F119" i="13"/>
  <c r="E5" i="5"/>
  <c r="S8" i="5"/>
  <c r="O26" i="5"/>
  <c r="H179" i="17"/>
  <c r="B2" i="17"/>
  <c r="S15" i="17"/>
  <c r="S16" i="17"/>
  <c r="J28" i="17"/>
  <c r="I46" i="17"/>
  <c r="I48" i="17"/>
  <c r="I49" i="17"/>
  <c r="I55" i="17"/>
  <c r="I66" i="17"/>
  <c r="I78" i="17"/>
  <c r="I82" i="17"/>
  <c r="I99" i="17"/>
  <c r="I107" i="17"/>
  <c r="I120" i="17"/>
  <c r="I129" i="17"/>
  <c r="I137" i="17"/>
  <c r="I149" i="17"/>
  <c r="I159" i="17"/>
  <c r="I166" i="17"/>
  <c r="I173" i="17"/>
  <c r="I52" i="17"/>
  <c r="I53" i="17"/>
  <c r="I54" i="17"/>
  <c r="Q55" i="17"/>
  <c r="S55" i="17"/>
  <c r="I57" i="17"/>
  <c r="I58" i="17"/>
  <c r="I59" i="17"/>
  <c r="I60" i="17"/>
  <c r="I61" i="17"/>
  <c r="I62" i="17"/>
  <c r="I63" i="17"/>
  <c r="I64" i="17"/>
  <c r="I65" i="17"/>
  <c r="Q66" i="17"/>
  <c r="S66" i="17"/>
  <c r="I68" i="17"/>
  <c r="I69" i="17"/>
  <c r="I70" i="17"/>
  <c r="I71" i="17"/>
  <c r="I72" i="17"/>
  <c r="I73" i="17"/>
  <c r="I74" i="17"/>
  <c r="I75" i="17"/>
  <c r="I76" i="17"/>
  <c r="I77" i="17"/>
  <c r="Q78" i="17"/>
  <c r="S78" i="17"/>
  <c r="I80" i="17"/>
  <c r="I81" i="17"/>
  <c r="Q82" i="17"/>
  <c r="S82" i="17"/>
  <c r="I84" i="17"/>
  <c r="I85" i="17"/>
  <c r="I86" i="17"/>
  <c r="I87" i="17"/>
  <c r="I88" i="17"/>
  <c r="I89" i="17"/>
  <c r="I92" i="17"/>
  <c r="I93" i="17"/>
  <c r="I94" i="17"/>
  <c r="I95" i="17"/>
  <c r="I98" i="17"/>
  <c r="Q99" i="17"/>
  <c r="S99" i="17"/>
  <c r="I101" i="17"/>
  <c r="I102" i="17"/>
  <c r="I103" i="17"/>
  <c r="I104" i="17"/>
  <c r="I105" i="17"/>
  <c r="I106" i="17"/>
  <c r="I109" i="17"/>
  <c r="I110" i="17"/>
  <c r="I111" i="17"/>
  <c r="I112" i="17"/>
  <c r="I113" i="17"/>
  <c r="I114" i="17"/>
  <c r="I115" i="17"/>
  <c r="I116" i="17"/>
  <c r="I117" i="17"/>
  <c r="I118" i="17"/>
  <c r="I119" i="17"/>
  <c r="I122" i="17"/>
  <c r="I123" i="17"/>
  <c r="I124" i="17"/>
  <c r="I125" i="17"/>
  <c r="I126" i="17"/>
  <c r="I127" i="17"/>
  <c r="I128" i="17"/>
  <c r="Q129" i="17"/>
  <c r="S129" i="17"/>
  <c r="I131" i="17"/>
  <c r="I132" i="17"/>
  <c r="I133" i="17"/>
  <c r="I134" i="17"/>
  <c r="I135" i="17"/>
  <c r="I136" i="17"/>
  <c r="I139" i="17"/>
  <c r="I140" i="17"/>
  <c r="I141" i="17"/>
  <c r="I142" i="17"/>
  <c r="I143" i="17"/>
  <c r="I144" i="17"/>
  <c r="I145" i="17"/>
  <c r="I146" i="17"/>
  <c r="I147" i="17"/>
  <c r="I148" i="17"/>
  <c r="I151" i="17"/>
  <c r="I152" i="17"/>
  <c r="I153" i="17"/>
  <c r="I154" i="17"/>
  <c r="I155" i="17"/>
  <c r="I156" i="17"/>
  <c r="I157" i="17"/>
  <c r="I158" i="17"/>
  <c r="I161" i="17"/>
  <c r="I162" i="17"/>
  <c r="I163" i="17"/>
  <c r="J163" i="17"/>
  <c r="I164" i="17"/>
  <c r="I165" i="17"/>
  <c r="J165" i="17"/>
  <c r="I168" i="17"/>
  <c r="I169" i="17"/>
  <c r="J169" i="17"/>
  <c r="J168" i="17"/>
  <c r="I170" i="17"/>
  <c r="J170" i="17"/>
  <c r="I171" i="17"/>
  <c r="J171" i="17"/>
  <c r="I172" i="17"/>
  <c r="J172" i="17"/>
  <c r="R173" i="17"/>
  <c r="H9" i="17"/>
  <c r="R9" i="17"/>
  <c r="E18" i="17"/>
  <c r="H26" i="17"/>
  <c r="J26" i="17"/>
  <c r="O28" i="17"/>
  <c r="H44" i="17"/>
  <c r="J44" i="17"/>
  <c r="J52" i="17"/>
  <c r="J53" i="17"/>
  <c r="J54" i="17"/>
  <c r="J57" i="17"/>
  <c r="J58" i="17"/>
  <c r="J59" i="17"/>
  <c r="J60" i="17"/>
  <c r="J61" i="17"/>
  <c r="J62" i="17"/>
  <c r="J63" i="17"/>
  <c r="J64" i="17"/>
  <c r="J65" i="17"/>
  <c r="J68" i="17"/>
  <c r="J69" i="17"/>
  <c r="J70" i="17"/>
  <c r="J71" i="17"/>
  <c r="J72" i="17"/>
  <c r="J73" i="17"/>
  <c r="J74" i="17"/>
  <c r="J75" i="17"/>
  <c r="J76" i="17"/>
  <c r="J77" i="17"/>
  <c r="R78" i="17"/>
  <c r="J80" i="17"/>
  <c r="J81" i="17"/>
  <c r="R82" i="17"/>
  <c r="J98" i="17"/>
  <c r="R99" i="17"/>
  <c r="J101" i="17"/>
  <c r="J102" i="17"/>
  <c r="J103" i="17"/>
  <c r="J104" i="17"/>
  <c r="J105" i="17"/>
  <c r="J106" i="17"/>
  <c r="J109" i="17"/>
  <c r="J110" i="17"/>
  <c r="J111" i="17"/>
  <c r="J112" i="17"/>
  <c r="J113" i="17"/>
  <c r="J114" i="17"/>
  <c r="J115" i="17"/>
  <c r="J116" i="17"/>
  <c r="J117" i="17"/>
  <c r="J118" i="17"/>
  <c r="J119" i="17"/>
  <c r="J122" i="17"/>
  <c r="J123" i="17"/>
  <c r="J124" i="17"/>
  <c r="J125" i="17"/>
  <c r="J126" i="17"/>
  <c r="J127" i="17"/>
  <c r="J128" i="17"/>
  <c r="J131" i="17"/>
  <c r="J132" i="17"/>
  <c r="J133" i="17"/>
  <c r="J134" i="17"/>
  <c r="J135" i="17"/>
  <c r="J136" i="17"/>
  <c r="J139" i="17"/>
  <c r="J140" i="17"/>
  <c r="J141" i="17"/>
  <c r="J142" i="17"/>
  <c r="J143" i="17"/>
  <c r="J144" i="17"/>
  <c r="J145" i="17"/>
  <c r="J146" i="17"/>
  <c r="J147" i="17"/>
  <c r="J148" i="17"/>
  <c r="J151" i="17"/>
  <c r="J152" i="17"/>
  <c r="J154" i="17"/>
  <c r="J155" i="17"/>
  <c r="J156" i="17"/>
  <c r="J158" i="17"/>
  <c r="J162" i="17"/>
  <c r="J164" i="17"/>
  <c r="I177" i="17"/>
  <c r="H184" i="17"/>
  <c r="R189" i="17"/>
  <c r="R191" i="17"/>
  <c r="Q159" i="17"/>
  <c r="S159" i="17"/>
  <c r="Q137" i="17"/>
  <c r="S137" i="17"/>
  <c r="Q120" i="17"/>
  <c r="S120" i="17"/>
  <c r="R55" i="17"/>
  <c r="Q166" i="17"/>
  <c r="S166" i="17"/>
  <c r="R149" i="17"/>
  <c r="R66" i="17"/>
  <c r="Q149" i="17"/>
  <c r="S149" i="17"/>
  <c r="R188" i="17"/>
  <c r="R120" i="17"/>
  <c r="H14" i="17"/>
  <c r="J30" i="17"/>
  <c r="I180" i="17"/>
  <c r="I90" i="17"/>
  <c r="J29" i="17"/>
  <c r="I96" i="17"/>
  <c r="I183" i="17"/>
  <c r="I179" i="17"/>
  <c r="I184" i="17"/>
  <c r="R192" i="17"/>
  <c r="R129" i="17"/>
  <c r="Q173" i="17"/>
  <c r="S173" i="17"/>
  <c r="H180" i="17"/>
  <c r="Q90" i="17"/>
  <c r="S90" i="17"/>
  <c r="H183" i="17"/>
  <c r="R137" i="17"/>
  <c r="R107" i="17"/>
  <c r="I50" i="17"/>
  <c r="J161" i="17"/>
  <c r="R166" i="17"/>
  <c r="J157" i="17"/>
  <c r="J153" i="17"/>
  <c r="Q107" i="17"/>
  <c r="S107" i="17"/>
  <c r="S26" i="17"/>
  <c r="E129" i="13"/>
  <c r="R159" i="17"/>
  <c r="J48" i="17"/>
  <c r="J46" i="17"/>
  <c r="J47" i="17"/>
  <c r="Q180" i="17"/>
  <c r="S180" i="17"/>
  <c r="J179" i="17"/>
  <c r="Q184" i="17"/>
  <c r="S184" i="17"/>
  <c r="J183" i="17"/>
  <c r="J180" i="17"/>
  <c r="I181" i="17"/>
  <c r="J49" i="17"/>
  <c r="J92" i="17"/>
  <c r="J93" i="17"/>
  <c r="J94" i="17"/>
  <c r="J95" i="17"/>
  <c r="S33" i="17"/>
  <c r="J31" i="17"/>
  <c r="Q50" i="17"/>
  <c r="S50" i="17"/>
  <c r="J33" i="17"/>
  <c r="Q29" i="17"/>
  <c r="S29" i="17"/>
  <c r="O29" i="17"/>
  <c r="S28" i="17"/>
  <c r="I18" i="17"/>
  <c r="K5" i="5"/>
  <c r="J14" i="17"/>
  <c r="E130" i="13"/>
  <c r="J184" i="17"/>
  <c r="I185" i="17"/>
  <c r="I175" i="17"/>
  <c r="J90" i="17"/>
  <c r="J84" i="17"/>
  <c r="J88" i="17"/>
  <c r="J85" i="17"/>
  <c r="J89" i="17"/>
  <c r="J86" i="17"/>
  <c r="J87" i="17"/>
  <c r="Q96" i="17"/>
  <c r="S96" i="17"/>
  <c r="R90" i="17"/>
  <c r="J120" i="17"/>
  <c r="J129" i="17"/>
  <c r="J137" i="17"/>
  <c r="J149" i="17"/>
  <c r="J173" i="17"/>
  <c r="J66" i="17"/>
  <c r="J78" i="17"/>
  <c r="J82" i="17"/>
  <c r="J55" i="17"/>
  <c r="J107" i="17"/>
  <c r="J99" i="17"/>
  <c r="J159" i="17"/>
  <c r="J166" i="17"/>
  <c r="J177" i="17"/>
  <c r="J35" i="17"/>
  <c r="J36" i="17"/>
  <c r="S34" i="17"/>
  <c r="J34" i="17"/>
  <c r="J96" i="17"/>
  <c r="E131" i="13"/>
  <c r="Q30" i="17"/>
  <c r="S30" i="17"/>
  <c r="R96" i="17"/>
  <c r="J181" i="17"/>
  <c r="J185" i="17"/>
  <c r="O30" i="17"/>
  <c r="O35" i="17"/>
  <c r="O34" i="17"/>
  <c r="J50" i="17"/>
  <c r="R50" i="17"/>
  <c r="J18" i="17"/>
  <c r="K6" i="5"/>
  <c r="E132" i="13"/>
  <c r="J175" i="17"/>
  <c r="F5" i="17"/>
  <c r="G5" i="17"/>
  <c r="E133" i="13"/>
  <c r="E134" i="13"/>
  <c r="E135" i="13"/>
  <c r="E136" i="13"/>
  <c r="E137" i="13"/>
  <c r="E138" i="13"/>
  <c r="E139" i="13"/>
  <c r="E140" i="13"/>
  <c r="E141" i="13"/>
  <c r="E142" i="13"/>
  <c r="E143" i="13"/>
  <c r="E144" i="13"/>
  <c r="E145" i="13"/>
  <c r="E146" i="13"/>
  <c r="E147" i="13"/>
  <c r="E148" i="13"/>
  <c r="E149" i="13"/>
  <c r="E150" i="13"/>
  <c r="E151" i="13"/>
  <c r="S9" i="13"/>
  <c r="T7" i="5"/>
  <c r="S7" i="17"/>
  <c r="R7" i="5"/>
  <c r="Q9" i="13"/>
  <c r="Q7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TERRY Pierre-Louis</author>
  </authors>
  <commentList>
    <comment ref="N5" authorId="0" shapeId="0" xr:uid="{00000000-0006-0000-0700-000001000000}">
      <text>
        <r>
          <rPr>
            <sz val="9"/>
            <color indexed="81"/>
            <rFont val="Tahoma"/>
            <family val="2"/>
          </rPr>
          <t>En cas d'écarts après avoir enregistré les transactions et les avoir intégrées dans le calcul par un "Oui", vérifier les points suivants  :
- Vous avez rentré les bons chiffres ;
- Vous avez intégré uniquement les transactions qui apparaissent dans votre relevé bancaire ;
- Vous avez catégorisé les transactions correctement (en dépenses ou en revenus, etc.).</t>
        </r>
      </text>
    </comment>
  </commentList>
</comments>
</file>

<file path=xl/sharedStrings.xml><?xml version="1.0" encoding="utf-8"?>
<sst xmlns="http://schemas.openxmlformats.org/spreadsheetml/2006/main" count="686" uniqueCount="310">
  <si>
    <t xml:space="preserve">Type </t>
  </si>
  <si>
    <t>Catégorie</t>
  </si>
  <si>
    <t>Sous catégorie</t>
  </si>
  <si>
    <t>Montant</t>
  </si>
  <si>
    <t>Différé</t>
  </si>
  <si>
    <t>Commentaire</t>
  </si>
  <si>
    <t>Revenu</t>
  </si>
  <si>
    <t>Restaurants</t>
  </si>
  <si>
    <t>Supermarché / Epicerie</t>
  </si>
  <si>
    <t>Alimentation - Autres</t>
  </si>
  <si>
    <t>Café</t>
  </si>
  <si>
    <t>Bars &amp; Clubs</t>
  </si>
  <si>
    <t>Divertissement</t>
  </si>
  <si>
    <t>Frais animaux</t>
  </si>
  <si>
    <t>Hobbies</t>
  </si>
  <si>
    <t>Hôtels</t>
  </si>
  <si>
    <t>Musée / Culturel</t>
  </si>
  <si>
    <t>Sport</t>
  </si>
  <si>
    <t>Voyage / Vacances</t>
  </si>
  <si>
    <t>High Tech</t>
  </si>
  <si>
    <t>Cadeaux</t>
  </si>
  <si>
    <t>Films &amp; DVD</t>
  </si>
  <si>
    <t>Licenses</t>
  </si>
  <si>
    <t>Livres</t>
  </si>
  <si>
    <t>Musique</t>
  </si>
  <si>
    <t>Vêtements - Chaussures</t>
  </si>
  <si>
    <t>Retraits</t>
  </si>
  <si>
    <t>Chèques</t>
  </si>
  <si>
    <t>Santé</t>
  </si>
  <si>
    <t>Pharmacie</t>
  </si>
  <si>
    <t>Dentiste</t>
  </si>
  <si>
    <t>Mutuelle</t>
  </si>
  <si>
    <t>Médecin</t>
  </si>
  <si>
    <t>Opticien / Ophtalmo.</t>
  </si>
  <si>
    <t>Santé - Autres</t>
  </si>
  <si>
    <t>Notes de frais</t>
  </si>
  <si>
    <t>Dépenses Pro - Autres</t>
  </si>
  <si>
    <t>Fourniture de bureau</t>
  </si>
  <si>
    <t>Abonnements</t>
  </si>
  <si>
    <t>Téléphonie Mobile</t>
  </si>
  <si>
    <t>Câble - Satellite</t>
  </si>
  <si>
    <t>Internet</t>
  </si>
  <si>
    <t>Téléphonie Fixe</t>
  </si>
  <si>
    <t>Sécurité</t>
  </si>
  <si>
    <t>Autres</t>
  </si>
  <si>
    <t>Transport en commun</t>
  </si>
  <si>
    <t>Assurance Véhicule</t>
  </si>
  <si>
    <t>Auto &amp; Transports - Autres</t>
  </si>
  <si>
    <t>Avion</t>
  </si>
  <si>
    <t>Train</t>
  </si>
  <si>
    <t>Carburant</t>
  </si>
  <si>
    <t>Entretien Véhicule</t>
  </si>
  <si>
    <t>Location de Véhicule</t>
  </si>
  <si>
    <t>Péage</t>
  </si>
  <si>
    <t>Stationnement</t>
  </si>
  <si>
    <t>Banque</t>
  </si>
  <si>
    <t>Frais bancaires</t>
  </si>
  <si>
    <t>Débit mensuel - carte</t>
  </si>
  <si>
    <t>Epargne</t>
  </si>
  <si>
    <t>Hypothèque</t>
  </si>
  <si>
    <t>Remboursement emprunt</t>
  </si>
  <si>
    <t>Service bancaire</t>
  </si>
  <si>
    <t>Autre</t>
  </si>
  <si>
    <t>Amendes</t>
  </si>
  <si>
    <t>Impôt &amp; Taxes - Autres</t>
  </si>
  <si>
    <t>Impôts fonciers</t>
  </si>
  <si>
    <t>Impôt sur le revenu</t>
  </si>
  <si>
    <t>TVA</t>
  </si>
  <si>
    <t>Taxes</t>
  </si>
  <si>
    <t>Divers</t>
  </si>
  <si>
    <t>A catégoriser</t>
  </si>
  <si>
    <t>Assurance</t>
  </si>
  <si>
    <t>Autres dépenses</t>
  </si>
  <si>
    <t>Dons</t>
  </si>
  <si>
    <t>Pressing</t>
  </si>
  <si>
    <t>Logement</t>
  </si>
  <si>
    <t>Assurance habitation</t>
  </si>
  <si>
    <t>Charges diverses</t>
  </si>
  <si>
    <t>Eau</t>
  </si>
  <si>
    <t>Electricité</t>
  </si>
  <si>
    <t>Entretien</t>
  </si>
  <si>
    <t>Extérieur et jardin</t>
  </si>
  <si>
    <t>Gaz</t>
  </si>
  <si>
    <t>Logement - Autres</t>
  </si>
  <si>
    <t>Loyer</t>
  </si>
  <si>
    <t>Baby-sitters &amp; Crèches</t>
  </si>
  <si>
    <t>Ecole</t>
  </si>
  <si>
    <t>Fournitures scolaires</t>
  </si>
  <si>
    <t>Jouets</t>
  </si>
  <si>
    <t>Logement étudiant</t>
  </si>
  <si>
    <t>Pensions</t>
  </si>
  <si>
    <t>Prêt étudiant</t>
  </si>
  <si>
    <t>Scolarité &amp; Enfants - Autres</t>
  </si>
  <si>
    <t>Coiffeur</t>
  </si>
  <si>
    <t>Cosmétique</t>
  </si>
  <si>
    <t>Esthétique</t>
  </si>
  <si>
    <t>Spa &amp; Massages</t>
  </si>
  <si>
    <t>Non différé</t>
  </si>
  <si>
    <t>Alimentation</t>
  </si>
  <si>
    <t>Loisirs</t>
  </si>
  <si>
    <t>Achats</t>
  </si>
  <si>
    <t>Professionnel</t>
  </si>
  <si>
    <t>Transports</t>
  </si>
  <si>
    <t>Impôts</t>
  </si>
  <si>
    <t>Enfants</t>
  </si>
  <si>
    <t>Salaire</t>
  </si>
  <si>
    <t>Compte courant</t>
  </si>
  <si>
    <t>Dépense - CB</t>
  </si>
  <si>
    <t>Dépense - Chèque</t>
  </si>
  <si>
    <t>Décoration, Meubles etc.</t>
  </si>
  <si>
    <t>au</t>
  </si>
  <si>
    <t>Electro-ménager</t>
  </si>
  <si>
    <t>Transactions par catégories</t>
  </si>
  <si>
    <t>Impôts &amp; Taxes - Autres</t>
  </si>
  <si>
    <t>Dîner</t>
  </si>
  <si>
    <t>Revenus</t>
  </si>
  <si>
    <t>Flux réel</t>
  </si>
  <si>
    <t>Recharge cantine</t>
  </si>
  <si>
    <t>Type</t>
  </si>
  <si>
    <t>Flux sortants</t>
  </si>
  <si>
    <t>Remboursement NdF</t>
  </si>
  <si>
    <t>A</t>
  </si>
  <si>
    <t>B</t>
  </si>
  <si>
    <t>Cigarette électronique</t>
  </si>
  <si>
    <t>Cotisation Convention Hexagone</t>
  </si>
  <si>
    <t>Oui</t>
  </si>
  <si>
    <t>Non</t>
  </si>
  <si>
    <t>Cours Guitare</t>
  </si>
  <si>
    <t>Statut</t>
  </si>
  <si>
    <t>Mensuel</t>
  </si>
  <si>
    <t>Trimestriel</t>
  </si>
  <si>
    <t>Semestriel</t>
  </si>
  <si>
    <t>Annuel</t>
  </si>
  <si>
    <t>Complémentaire</t>
  </si>
  <si>
    <t>Solde actuel</t>
  </si>
  <si>
    <t>Ecart</t>
  </si>
  <si>
    <t>Déjeuner</t>
  </si>
  <si>
    <t>Métro</t>
  </si>
  <si>
    <t>Soirée Nouvel An</t>
  </si>
  <si>
    <t>HSBC</t>
  </si>
  <si>
    <t>Panneau de configuration</t>
  </si>
  <si>
    <t>Catégories</t>
  </si>
  <si>
    <t>Sous-catégories</t>
  </si>
  <si>
    <t>Taxi / Uber</t>
  </si>
  <si>
    <t>Commentaires</t>
  </si>
  <si>
    <t>Contrôles</t>
  </si>
  <si>
    <t>Livrets -&gt; Compte Courant</t>
  </si>
  <si>
    <t>N.A</t>
  </si>
  <si>
    <t>Nombre de transactions</t>
  </si>
  <si>
    <t>Transfert_Interne</t>
  </si>
  <si>
    <t>Prélèvement</t>
  </si>
  <si>
    <t>Compte Courant -&gt; Livrets</t>
  </si>
  <si>
    <t>Rééquilibrage</t>
  </si>
  <si>
    <t>Retraits_Chèques</t>
  </si>
  <si>
    <t>Retraits et Chèques</t>
  </si>
  <si>
    <t>Frais réels</t>
  </si>
  <si>
    <t>Revenu global</t>
  </si>
  <si>
    <t>Célibataire</t>
  </si>
  <si>
    <t>C</t>
  </si>
  <si>
    <t>Revenu principal</t>
  </si>
  <si>
    <t>Abattement</t>
  </si>
  <si>
    <t>Veuf</t>
  </si>
  <si>
    <t>Séparé / Divorcé</t>
  </si>
  <si>
    <t>Pacsé</t>
  </si>
  <si>
    <t>Marié</t>
  </si>
  <si>
    <t>Codage</t>
  </si>
  <si>
    <t>Epargne directe</t>
  </si>
  <si>
    <t>Déclaration</t>
  </si>
  <si>
    <t>consolidée</t>
  </si>
  <si>
    <t>Déclarations</t>
  </si>
  <si>
    <t>séparées</t>
  </si>
  <si>
    <t>Ok</t>
  </si>
  <si>
    <t>Error</t>
  </si>
  <si>
    <t>Ligne de départ</t>
  </si>
  <si>
    <t>Lucy</t>
  </si>
  <si>
    <t>Finance</t>
  </si>
  <si>
    <t>Investissements</t>
  </si>
  <si>
    <t>Revenus d'invt</t>
  </si>
  <si>
    <t>W</t>
  </si>
  <si>
    <t>LCL</t>
  </si>
  <si>
    <t>Enregistrement</t>
  </si>
  <si>
    <t>Transaction</t>
  </si>
  <si>
    <t>Incluse</t>
  </si>
  <si>
    <t>Exclue</t>
  </si>
  <si>
    <t>#</t>
  </si>
  <si>
    <t>Comptabilisé</t>
  </si>
  <si>
    <t>Assurance-vie</t>
  </si>
  <si>
    <t>Calculé</t>
  </si>
  <si>
    <t>Reporté</t>
  </si>
  <si>
    <t>Ecarts</t>
  </si>
  <si>
    <t>Dernière mise à jour :</t>
  </si>
  <si>
    <t>Période d'affichage du</t>
  </si>
  <si>
    <t>Checks</t>
  </si>
  <si>
    <t>du</t>
  </si>
  <si>
    <t>Droits d'auteur</t>
  </si>
  <si>
    <t>Remboursement SECU</t>
  </si>
  <si>
    <t>Virements</t>
  </si>
  <si>
    <t>Envoyés</t>
  </si>
  <si>
    <t>Reçus</t>
  </si>
  <si>
    <t>Format conditionnels tableau</t>
  </si>
  <si>
    <t>Date du jour :</t>
  </si>
  <si>
    <t>Affichage du système de checks</t>
  </si>
  <si>
    <t>Budget</t>
  </si>
  <si>
    <t>Formats adaptatifs</t>
  </si>
  <si>
    <t>Revenu net</t>
  </si>
  <si>
    <t>Compteur</t>
  </si>
  <si>
    <t>Etats financiers</t>
  </si>
  <si>
    <t>Synthèse HSBC</t>
  </si>
  <si>
    <t>Synthèse LCL</t>
  </si>
  <si>
    <t>Virement envoyé</t>
  </si>
  <si>
    <t>Virement reçu</t>
  </si>
  <si>
    <t>Total dépenses</t>
  </si>
  <si>
    <t>Transactions exclues nettes</t>
  </si>
  <si>
    <t>Départ HSBC</t>
  </si>
  <si>
    <t>Nom onglet</t>
  </si>
  <si>
    <t>Synthèse Boursorama</t>
  </si>
  <si>
    <t>Système de checks</t>
  </si>
  <si>
    <t>Boursorama</t>
  </si>
  <si>
    <t>Base de données - Transactions</t>
  </si>
  <si>
    <t>Livret-A</t>
  </si>
  <si>
    <t>Suivi des numérotations d'onglets</t>
  </si>
  <si>
    <t>Pierre-Louis</t>
  </si>
  <si>
    <t>PL-Capital</t>
  </si>
  <si>
    <t>L-Capital</t>
  </si>
  <si>
    <t>L-Enregistrement</t>
  </si>
  <si>
    <t>PL-Enregistrement</t>
  </si>
  <si>
    <t>Guide</t>
  </si>
  <si>
    <t>Situation</t>
  </si>
  <si>
    <t>Projections</t>
  </si>
  <si>
    <t>Fiscalité</t>
  </si>
  <si>
    <t>Configuration</t>
  </si>
  <si>
    <t>Uber</t>
  </si>
  <si>
    <t>Onglet</t>
  </si>
  <si>
    <t>N° de Cellule Frontière</t>
  </si>
  <si>
    <t>PL-Historiques Transactions</t>
  </si>
  <si>
    <t>PL-Historiques Capital</t>
  </si>
  <si>
    <t>X</t>
  </si>
  <si>
    <t>Optimiser le poids du modèle</t>
  </si>
  <si>
    <t>Synthèse consolidée</t>
  </si>
  <si>
    <t>L-Historiques Transactions</t>
  </si>
  <si>
    <t>L-Historiques Capital</t>
  </si>
  <si>
    <t>Transactions exclues sortantes</t>
  </si>
  <si>
    <t>Transactions exclues entrantes</t>
  </si>
  <si>
    <t>Nb Virements</t>
  </si>
  <si>
    <t>Nb transactions exclues</t>
  </si>
  <si>
    <t>Sortantes</t>
  </si>
  <si>
    <t>Entrantes</t>
  </si>
  <si>
    <t>Inclus</t>
  </si>
  <si>
    <t>OLI Editions</t>
  </si>
  <si>
    <t>Capital consolidé</t>
  </si>
  <si>
    <t>Exclu</t>
  </si>
  <si>
    <t>Suivi des plages de checks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</si>
  <si>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</si>
  <si>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</si>
  <si>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</si>
  <si>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</si>
  <si>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</si>
  <si>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</si>
  <si>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</si>
  <si>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</si>
  <si>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</si>
  <si>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</si>
  <si>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</si>
  <si>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</si>
  <si>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</si>
  <si>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</si>
  <si>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</si>
  <si>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</si>
  <si>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</si>
  <si>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</si>
  <si>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</si>
  <si>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Y</t>
  </si>
  <si>
    <t>Z</t>
  </si>
  <si>
    <t>AA</t>
  </si>
  <si>
    <t>Dispose d'un système de check</t>
  </si>
  <si>
    <t xml:space="preserve">En cas d'écarts </t>
  </si>
  <si>
    <t>Pour analyse</t>
  </si>
  <si>
    <t>Ancien solde reporté</t>
  </si>
  <si>
    <t>Nouveau solde à reporter</t>
  </si>
  <si>
    <t>Flux entrants</t>
  </si>
  <si>
    <t>Index</t>
  </si>
  <si>
    <t>Analyse périmétrique</t>
  </si>
  <si>
    <t>Périmètre défini</t>
  </si>
  <si>
    <t>En % de flux entrants</t>
  </si>
  <si>
    <t>Taux d'épargne</t>
  </si>
  <si>
    <t>Flux sortants hors notes de frais et investissements</t>
  </si>
  <si>
    <t>Balance fin de période</t>
  </si>
  <si>
    <t>Flux de trésorerie</t>
  </si>
  <si>
    <t>Balance fin de période hors notes de frais et invest.</t>
  </si>
  <si>
    <t>Périmètre</t>
  </si>
  <si>
    <r>
      <t>T</t>
    </r>
    <r>
      <rPr>
        <b/>
        <sz val="8"/>
        <rFont val="Arial"/>
        <family val="2"/>
      </rPr>
      <t>ransfert_</t>
    </r>
    <r>
      <rPr>
        <b/>
        <sz val="8"/>
        <color theme="1"/>
        <rFont val="Arial"/>
        <family val="2"/>
      </rPr>
      <t>Interne</t>
    </r>
  </si>
  <si>
    <t>Signature</t>
  </si>
  <si>
    <t>x</t>
  </si>
  <si>
    <t>La Poste Blockchain Guillaume + Fifi</t>
  </si>
  <si>
    <t>Deux retraits combinés</t>
  </si>
  <si>
    <t>04107</t>
  </si>
  <si>
    <t>86572</t>
  </si>
  <si>
    <t>28264</t>
  </si>
  <si>
    <t>31442</t>
  </si>
  <si>
    <t>98090</t>
  </si>
  <si>
    <t>68246</t>
  </si>
  <si>
    <t>37448</t>
  </si>
  <si>
    <t>91001</t>
  </si>
  <si>
    <t>66721</t>
  </si>
  <si>
    <t>04761</t>
  </si>
  <si>
    <t>96399</t>
  </si>
  <si>
    <t>23049</t>
  </si>
  <si>
    <t>54703</t>
  </si>
  <si>
    <t>if(iserror(and(match(V15;(v12:row(V15)-1);0);match(V15;row(V15)+1:Signature_1_borneinf;0)));0;1)</t>
  </si>
  <si>
    <t>19487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</si>
</sst>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\ &quot;€&quot;"/>
    <numFmt numFmtId="165" formatCode="#,##0.00_);\ \(#,##0.00\);&quot;-&quot;_);@_)"/>
    <numFmt numFmtId="169" formatCode="0.0%"/>
    <numFmt numFmtId="170" formatCode="#,##0.0_);\(#,##0.0\);&quot;-&quot;_);@_)"/>
    <numFmt numFmtId="171" formatCode="#,##0.00_);\(#,##0.00\);&quot;-&quot;_);@_)"/>
    <numFmt numFmtId="172" formatCode="#,##0_);\(#,##0\);&quot;-&quot;_);@_)"/>
    <numFmt numFmtId="173" formatCode="0.0_)%;\(0.0\)%;&quot;-&quot;_)_%;@_)_%"/>
  </numFmts>
  <fonts count="2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FF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theme="0"/>
      <name val="Arial"/>
      <family val="2"/>
    </font>
    <font>
      <b/>
      <sz val="8"/>
      <color rgb="FF000000"/>
      <name val="Arial"/>
      <family val="2"/>
    </font>
    <font>
      <b/>
      <sz val="11"/>
      <color theme="1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1"/>
      <color theme="1"/>
      <name val="Arial"/>
      <family val="2"/>
    </font>
    <font>
      <b/>
      <sz val="9"/>
      <color rgb="FF000000"/>
      <name val="Arial"/>
      <family val="2"/>
    </font>
    <font>
      <i/>
      <sz val="8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9"/>
      <color rgb="FFFF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i/>
      <sz val="11"/>
      <color rgb="FFFF0000"/>
      <name val="Arial"/>
      <family val="2"/>
    </font>
    <font>
      <sz val="9"/>
      <color theme="0"/>
      <name val="Arial"/>
      <family val="2"/>
    </font>
    <font>
      <b/>
      <sz val="8"/>
      <color rgb="FF0000FF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theme="0"/>
      </left>
      <right/>
      <top style="medium">
        <color theme="0"/>
      </top>
      <bottom style="thin">
        <color theme="1"/>
      </bottom>
      <diagonal/>
    </border>
    <border>
      <left/>
      <right/>
      <top style="medium">
        <color theme="0"/>
      </top>
      <bottom style="thin">
        <color theme="1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hair">
        <color rgb="FFFF0000"/>
      </left>
      <right style="hair">
        <color rgb="FFFF0000"/>
      </right>
      <top style="hair">
        <color rgb="FFFF0000"/>
      </top>
      <bottom style="hair">
        <color rgb="FFFF0000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/>
      <right style="hair">
        <color theme="3"/>
      </right>
      <top/>
      <bottom/>
      <diagonal/>
    </border>
    <border>
      <left/>
      <right/>
      <top style="hair">
        <color rgb="FFC00000"/>
      </top>
      <bottom/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/>
      <top style="thin">
        <color rgb="FF7F7F7F"/>
      </top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dotted">
        <color rgb="FFC00000"/>
      </left>
      <right/>
      <top style="dotted">
        <color rgb="FFC00000"/>
      </top>
      <bottom/>
      <diagonal/>
    </border>
    <border>
      <left/>
      <right/>
      <top style="dotted">
        <color rgb="FFC00000"/>
      </top>
      <bottom/>
      <diagonal/>
    </border>
    <border>
      <left/>
      <right style="dotted">
        <color rgb="FFC00000"/>
      </right>
      <top style="dotted">
        <color rgb="FFC00000"/>
      </top>
      <bottom/>
      <diagonal/>
    </border>
    <border>
      <left style="dotted">
        <color rgb="FFC00000"/>
      </left>
      <right/>
      <top/>
      <bottom/>
      <diagonal/>
    </border>
    <border>
      <left/>
      <right style="dotted">
        <color rgb="FFC00000"/>
      </right>
      <top/>
      <bottom/>
      <diagonal/>
    </border>
    <border>
      <left style="dotted">
        <color rgb="FFC00000"/>
      </left>
      <right/>
      <top/>
      <bottom style="dotted">
        <color rgb="FFC00000"/>
      </bottom>
      <diagonal/>
    </border>
    <border>
      <left/>
      <right/>
      <top/>
      <bottom style="dotted">
        <color rgb="FFC00000"/>
      </bottom>
      <diagonal/>
    </border>
    <border>
      <left/>
      <right style="dotted">
        <color rgb="FFC00000"/>
      </right>
      <top/>
      <bottom style="dotted">
        <color rgb="FFC00000"/>
      </bottom>
      <diagonal/>
    </border>
    <border>
      <left style="hair">
        <color rgb="FFC00000"/>
      </left>
      <right/>
      <top style="hair">
        <color rgb="FFC00000"/>
      </top>
      <bottom/>
      <diagonal/>
    </border>
    <border>
      <left/>
      <right style="hair">
        <color rgb="FFC00000"/>
      </right>
      <top style="hair">
        <color rgb="FFC00000"/>
      </top>
      <bottom/>
      <diagonal/>
    </border>
    <border>
      <left style="hair">
        <color rgb="FFC00000"/>
      </left>
      <right/>
      <top/>
      <bottom style="hair">
        <color rgb="FFC00000"/>
      </bottom>
      <diagonal/>
    </border>
    <border>
      <left/>
      <right/>
      <top/>
      <bottom style="hair">
        <color rgb="FFC00000"/>
      </bottom>
      <diagonal/>
    </border>
    <border>
      <left/>
      <right style="hair">
        <color rgb="FFC00000"/>
      </right>
      <top/>
      <bottom style="hair">
        <color rgb="FFC00000"/>
      </bottom>
      <diagonal/>
    </border>
    <border>
      <left style="dotted">
        <color rgb="FFC00000"/>
      </left>
      <right style="dotted">
        <color rgb="FFC00000"/>
      </right>
      <top style="dotted">
        <color rgb="FFC00000"/>
      </top>
      <bottom style="dotted">
        <color rgb="FFC00000"/>
      </bottom>
      <diagonal/>
    </border>
  </borders>
  <cellStyleXfs count="1">
    <xf numFmtId="0" fontId="0" fillId="0" borderId="0"/>
  </cellStyleXfs>
  <cellXfs count="226">
    <xf numFmtId="0" fontId="0" fillId="0" borderId="0" xfId="0"/>
    <xf numFmtId="0" fontId="0" fillId="0" borderId="0" xfId="0" applyBorder="1"/>
    <xf numFmtId="0" fontId="2" fillId="0" borderId="0" xfId="0" applyFont="1"/>
    <xf numFmtId="0" fontId="3" fillId="0" borderId="0" xfId="0" applyFont="1"/>
    <xf numFmtId="0" fontId="2" fillId="0" borderId="0" xfId="0" applyFont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2" fillId="3" borderId="0" xfId="0" applyFont="1" applyFill="1"/>
    <xf numFmtId="0" fontId="9" fillId="0" borderId="15" xfId="0" applyFont="1" applyFill="1" applyBorder="1" applyAlignment="1">
      <alignment horizontal="right" vertical="center"/>
    </xf>
    <xf numFmtId="172" fontId="2" fillId="0" borderId="0" xfId="0" applyNumberFormat="1" applyFont="1" applyAlignment="1">
      <alignment horizontal="center" vertical="center"/>
    </xf>
    <xf numFmtId="0" fontId="2" fillId="3" borderId="0" xfId="0" applyFont="1" applyFill="1" applyAlignment="1">
      <alignment vertical="center"/>
    </xf>
    <xf numFmtId="172" fontId="2" fillId="11" borderId="0" xfId="0" applyNumberFormat="1" applyFont="1" applyFill="1" applyAlignment="1">
      <alignment horizontal="center" vertical="center"/>
    </xf>
    <xf numFmtId="0" fontId="10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2" fillId="7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172" fontId="7" fillId="7" borderId="13" xfId="0" applyNumberFormat="1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vertical="center"/>
    </xf>
    <xf numFmtId="172" fontId="7" fillId="7" borderId="0" xfId="0" applyNumberFormat="1" applyFont="1" applyFill="1" applyBorder="1" applyAlignment="1">
      <alignment horizontal="center" vertical="center"/>
    </xf>
    <xf numFmtId="0" fontId="7" fillId="7" borderId="0" xfId="0" applyFont="1" applyFill="1" applyBorder="1" applyAlignment="1">
      <alignment vertical="center"/>
    </xf>
    <xf numFmtId="0" fontId="9" fillId="7" borderId="0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Continuous" vertical="center"/>
    </xf>
    <xf numFmtId="172" fontId="7" fillId="7" borderId="15" xfId="0" applyNumberFormat="1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vertical="center"/>
    </xf>
    <xf numFmtId="0" fontId="6" fillId="8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7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9" fillId="0" borderId="15" xfId="0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9" fillId="0" borderId="13" xfId="0" applyFont="1" applyBorder="1" applyAlignment="1">
      <alignment vertical="center"/>
    </xf>
    <xf numFmtId="172" fontId="7" fillId="8" borderId="0" xfId="0" applyNumberFormat="1" applyFont="1" applyFill="1" applyBorder="1" applyAlignment="1">
      <alignment horizontal="center" vertical="center"/>
    </xf>
    <xf numFmtId="171" fontId="2" fillId="0" borderId="0" xfId="0" applyNumberFormat="1" applyFont="1" applyAlignment="1">
      <alignment horizontal="right" vertical="center"/>
    </xf>
    <xf numFmtId="172" fontId="2" fillId="7" borderId="0" xfId="0" applyNumberFormat="1" applyFont="1" applyFill="1" applyAlignment="1">
      <alignment horizontal="center" vertical="center"/>
    </xf>
    <xf numFmtId="0" fontId="9" fillId="0" borderId="15" xfId="0" applyFont="1" applyFill="1" applyBorder="1" applyAlignment="1">
      <alignment vertical="center"/>
    </xf>
    <xf numFmtId="170" fontId="2" fillId="0" borderId="0" xfId="0" applyNumberFormat="1" applyFont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9" fillId="0" borderId="15" xfId="0" applyFont="1" applyBorder="1" applyAlignment="1">
      <alignment horizontal="right" vertical="center"/>
    </xf>
    <xf numFmtId="0" fontId="3" fillId="3" borderId="0" xfId="0" applyFont="1" applyFill="1" applyAlignment="1">
      <alignment horizontal="center" vertical="center"/>
    </xf>
    <xf numFmtId="171" fontId="9" fillId="7" borderId="14" xfId="0" applyNumberFormat="1" applyFont="1" applyFill="1" applyBorder="1" applyAlignment="1">
      <alignment vertical="center"/>
    </xf>
    <xf numFmtId="170" fontId="2" fillId="7" borderId="0" xfId="0" applyNumberFormat="1" applyFont="1" applyFill="1" applyAlignment="1">
      <alignment horizontal="center" vertical="center"/>
    </xf>
    <xf numFmtId="171" fontId="2" fillId="7" borderId="0" xfId="0" applyNumberFormat="1" applyFont="1" applyFill="1" applyAlignment="1">
      <alignment horizontal="right" vertical="center"/>
    </xf>
    <xf numFmtId="0" fontId="9" fillId="7" borderId="13" xfId="0" applyFont="1" applyFill="1" applyBorder="1" applyAlignment="1">
      <alignment vertical="center"/>
    </xf>
    <xf numFmtId="171" fontId="9" fillId="7" borderId="13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172" fontId="9" fillId="7" borderId="0" xfId="0" applyNumberFormat="1" applyFont="1" applyFill="1" applyBorder="1" applyAlignment="1">
      <alignment horizontal="right" vertical="center"/>
    </xf>
    <xf numFmtId="0" fontId="9" fillId="8" borderId="14" xfId="0" applyFont="1" applyFill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14" fontId="2" fillId="0" borderId="25" xfId="0" applyNumberFormat="1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14" fontId="4" fillId="0" borderId="28" xfId="0" applyNumberFormat="1" applyFont="1" applyFill="1" applyBorder="1" applyAlignment="1">
      <alignment vertical="center"/>
    </xf>
    <xf numFmtId="0" fontId="2" fillId="7" borderId="0" xfId="0" applyFont="1" applyFill="1" applyAlignment="1">
      <alignment horizontal="left" vertical="center"/>
    </xf>
    <xf numFmtId="0" fontId="16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right" vertical="center"/>
    </xf>
    <xf numFmtId="171" fontId="4" fillId="0" borderId="0" xfId="0" applyNumberFormat="1" applyFont="1" applyFill="1" applyAlignment="1">
      <alignment horizontal="right" vertical="center"/>
    </xf>
    <xf numFmtId="171" fontId="8" fillId="2" borderId="0" xfId="0" applyNumberFormat="1" applyFont="1" applyFill="1" applyAlignment="1">
      <alignment horizontal="center" vertical="center"/>
    </xf>
    <xf numFmtId="0" fontId="9" fillId="7" borderId="14" xfId="0" applyFont="1" applyFill="1" applyBorder="1" applyAlignment="1">
      <alignment vertical="center"/>
    </xf>
    <xf numFmtId="0" fontId="2" fillId="10" borderId="16" xfId="0" applyFont="1" applyFill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10" borderId="19" xfId="0" applyFont="1" applyFill="1" applyBorder="1" applyAlignment="1">
      <alignment vertical="center"/>
    </xf>
    <xf numFmtId="0" fontId="2" fillId="0" borderId="0" xfId="0" applyFont="1" applyBorder="1" applyAlignment="1">
      <alignment horizontal="centerContinuous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10" borderId="21" xfId="0" applyFont="1" applyFill="1" applyBorder="1" applyAlignment="1">
      <alignment horizontal="centerContinuous" vertical="center"/>
    </xf>
    <xf numFmtId="0" fontId="2" fillId="0" borderId="22" xfId="0" applyFont="1" applyBorder="1" applyAlignment="1">
      <alignment horizontal="centerContinuous" vertical="center"/>
    </xf>
    <xf numFmtId="0" fontId="2" fillId="0" borderId="23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14" fontId="9" fillId="0" borderId="15" xfId="0" applyNumberFormat="1" applyFont="1" applyBorder="1" applyAlignment="1">
      <alignment vertical="center"/>
    </xf>
    <xf numFmtId="14" fontId="9" fillId="0" borderId="15" xfId="0" applyNumberFormat="1" applyFont="1" applyBorder="1" applyAlignment="1">
      <alignment horizontal="center" vertical="center"/>
    </xf>
    <xf numFmtId="172" fontId="2" fillId="0" borderId="0" xfId="0" applyNumberFormat="1" applyFont="1" applyAlignment="1">
      <alignment horizontal="right" vertical="center"/>
    </xf>
    <xf numFmtId="14" fontId="2" fillId="0" borderId="0" xfId="0" applyNumberFormat="1" applyFont="1" applyAlignment="1">
      <alignment vertical="center"/>
    </xf>
    <xf numFmtId="0" fontId="17" fillId="7" borderId="0" xfId="0" applyFont="1" applyFill="1" applyBorder="1" applyAlignment="1">
      <alignment horizontal="left" vertical="center"/>
    </xf>
    <xf numFmtId="0" fontId="17" fillId="7" borderId="0" xfId="0" applyFont="1" applyFill="1" applyBorder="1" applyAlignment="1">
      <alignment vertical="center"/>
    </xf>
    <xf numFmtId="173" fontId="17" fillId="7" borderId="0" xfId="0" applyNumberFormat="1" applyFont="1" applyFill="1" applyBorder="1" applyAlignment="1">
      <alignment horizontal="right" vertical="center"/>
    </xf>
    <xf numFmtId="4" fontId="17" fillId="7" borderId="0" xfId="0" applyNumberFormat="1" applyFont="1" applyFill="1" applyBorder="1" applyAlignment="1">
      <alignment horizontal="left" vertical="center"/>
    </xf>
    <xf numFmtId="173" fontId="9" fillId="7" borderId="0" xfId="0" applyNumberFormat="1" applyFont="1" applyFill="1" applyBorder="1" applyAlignment="1">
      <alignment vertical="center"/>
    </xf>
    <xf numFmtId="173" fontId="7" fillId="7" borderId="0" xfId="0" applyNumberFormat="1" applyFont="1" applyFill="1" applyBorder="1" applyAlignment="1">
      <alignment vertical="center"/>
    </xf>
    <xf numFmtId="171" fontId="9" fillId="7" borderId="0" xfId="0" applyNumberFormat="1" applyFont="1" applyFill="1" applyBorder="1" applyAlignment="1">
      <alignment horizontal="right" vertical="center"/>
    </xf>
    <xf numFmtId="173" fontId="17" fillId="7" borderId="15" xfId="0" applyNumberFormat="1" applyFont="1" applyFill="1" applyBorder="1" applyAlignment="1">
      <alignment horizontal="left" vertical="center"/>
    </xf>
    <xf numFmtId="173" fontId="7" fillId="7" borderId="15" xfId="0" applyNumberFormat="1" applyFont="1" applyFill="1" applyBorder="1" applyAlignment="1">
      <alignment vertical="center"/>
    </xf>
    <xf numFmtId="173" fontId="17" fillId="7" borderId="15" xfId="0" applyNumberFormat="1" applyFont="1" applyFill="1" applyBorder="1" applyAlignment="1">
      <alignment horizontal="right" vertical="center"/>
    </xf>
    <xf numFmtId="172" fontId="8" fillId="0" borderId="0" xfId="0" applyNumberFormat="1" applyFont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14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71" fontId="9" fillId="8" borderId="13" xfId="0" applyNumberFormat="1" applyFont="1" applyFill="1" applyBorder="1" applyAlignment="1">
      <alignment vertical="center"/>
    </xf>
    <xf numFmtId="171" fontId="2" fillId="8" borderId="0" xfId="0" applyNumberFormat="1" applyFont="1" applyFill="1" applyAlignment="1">
      <alignment horizontal="right" vertical="center"/>
    </xf>
    <xf numFmtId="173" fontId="2" fillId="7" borderId="0" xfId="0" applyNumberFormat="1" applyFont="1" applyFill="1" applyAlignment="1">
      <alignment horizontal="right" vertical="center"/>
    </xf>
    <xf numFmtId="0" fontId="2" fillId="4" borderId="0" xfId="0" applyFont="1" applyFill="1" applyAlignment="1">
      <alignment horizontal="center" vertical="center"/>
    </xf>
    <xf numFmtId="171" fontId="3" fillId="8" borderId="0" xfId="0" applyNumberFormat="1" applyFont="1" applyFill="1" applyAlignment="1">
      <alignment horizontal="right" vertical="center"/>
    </xf>
    <xf numFmtId="173" fontId="3" fillId="7" borderId="0" xfId="0" applyNumberFormat="1" applyFont="1" applyFill="1" applyAlignment="1">
      <alignment vertical="center"/>
    </xf>
    <xf numFmtId="171" fontId="7" fillId="8" borderId="0" xfId="0" applyNumberFormat="1" applyFont="1" applyFill="1" applyBorder="1" applyAlignment="1">
      <alignment vertical="center"/>
    </xf>
    <xf numFmtId="171" fontId="7" fillId="0" borderId="0" xfId="0" applyNumberFormat="1" applyFont="1" applyFill="1" applyBorder="1" applyAlignment="1">
      <alignment vertical="center"/>
    </xf>
    <xf numFmtId="169" fontId="9" fillId="7" borderId="14" xfId="0" applyNumberFormat="1" applyFont="1" applyFill="1" applyBorder="1" applyAlignment="1">
      <alignment horizontal="right" vertical="center"/>
    </xf>
    <xf numFmtId="173" fontId="2" fillId="7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/>
    <xf numFmtId="0" fontId="2" fillId="0" borderId="0" xfId="0" applyFont="1" applyAlignment="1">
      <alignment horizontal="center"/>
    </xf>
    <xf numFmtId="0" fontId="11" fillId="8" borderId="14" xfId="0" applyFont="1" applyFill="1" applyBorder="1" applyAlignment="1">
      <alignment horizontal="center"/>
    </xf>
    <xf numFmtId="0" fontId="3" fillId="7" borderId="0" xfId="0" applyFont="1" applyFill="1" applyAlignment="1">
      <alignment horizontal="center" vertical="center"/>
    </xf>
    <xf numFmtId="0" fontId="15" fillId="0" borderId="0" xfId="0" applyFont="1" applyFill="1" applyBorder="1"/>
    <xf numFmtId="0" fontId="13" fillId="7" borderId="29" xfId="0" applyFont="1" applyFill="1" applyBorder="1" applyAlignment="1">
      <alignment horizontal="center" vertical="center"/>
    </xf>
    <xf numFmtId="0" fontId="15" fillId="0" borderId="0" xfId="0" applyFont="1" applyFill="1"/>
    <xf numFmtId="0" fontId="15" fillId="0" borderId="0" xfId="0" applyFont="1" applyFill="1" applyAlignment="1">
      <alignment horizontal="left"/>
    </xf>
    <xf numFmtId="0" fontId="20" fillId="0" borderId="0" xfId="0" applyFont="1" applyFill="1"/>
    <xf numFmtId="0" fontId="10" fillId="0" borderId="0" xfId="0" applyFont="1" applyFill="1" applyBorder="1" applyAlignment="1">
      <alignment horizontal="center"/>
    </xf>
    <xf numFmtId="0" fontId="15" fillId="0" borderId="12" xfId="0" applyFont="1" applyFill="1" applyBorder="1"/>
    <xf numFmtId="0" fontId="15" fillId="0" borderId="3" xfId="0" applyFont="1" applyFill="1" applyBorder="1"/>
    <xf numFmtId="0" fontId="15" fillId="0" borderId="4" xfId="0" applyFont="1" applyFill="1" applyBorder="1"/>
    <xf numFmtId="0" fontId="15" fillId="0" borderId="4" xfId="0" applyFont="1" applyFill="1" applyBorder="1" applyAlignment="1">
      <alignment horizontal="left"/>
    </xf>
    <xf numFmtId="0" fontId="15" fillId="0" borderId="4" xfId="0" applyFont="1" applyFill="1" applyBorder="1" applyAlignment="1">
      <alignment vertical="center"/>
    </xf>
    <xf numFmtId="0" fontId="15" fillId="0" borderId="1" xfId="0" applyFont="1" applyFill="1" applyBorder="1"/>
    <xf numFmtId="0" fontId="21" fillId="0" borderId="0" xfId="0" applyFont="1" applyFill="1" applyBorder="1"/>
    <xf numFmtId="0" fontId="15" fillId="0" borderId="5" xfId="0" applyFont="1" applyFill="1" applyBorder="1" applyAlignment="1" applyProtection="1">
      <alignment horizontal="left" vertical="center"/>
    </xf>
    <xf numFmtId="14" fontId="15" fillId="0" borderId="0" xfId="0" applyNumberFormat="1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6" xfId="0" applyFont="1" applyFill="1" applyBorder="1" applyAlignment="1">
      <alignment horizontal="center" vertical="center"/>
    </xf>
    <xf numFmtId="14" fontId="15" fillId="0" borderId="0" xfId="0" applyNumberFormat="1" applyFont="1" applyFill="1" applyAlignment="1">
      <alignment horizontal="left"/>
    </xf>
    <xf numFmtId="0" fontId="21" fillId="0" borderId="1" xfId="0" applyFont="1" applyFill="1" applyBorder="1"/>
    <xf numFmtId="14" fontId="15" fillId="0" borderId="0" xfId="0" applyNumberFormat="1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left"/>
    </xf>
    <xf numFmtId="164" fontId="15" fillId="0" borderId="0" xfId="0" applyNumberFormat="1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5" fillId="0" borderId="0" xfId="0" applyFont="1" applyFill="1" applyAlignment="1">
      <alignment vertical="center"/>
    </xf>
    <xf numFmtId="165" fontId="15" fillId="0" borderId="0" xfId="0" applyNumberFormat="1" applyFont="1" applyFill="1" applyAlignment="1" applyProtection="1">
      <alignment horizontal="center"/>
    </xf>
    <xf numFmtId="0" fontId="21" fillId="0" borderId="0" xfId="0" applyFont="1" applyFill="1"/>
    <xf numFmtId="0" fontId="15" fillId="0" borderId="2" xfId="0" applyFont="1" applyFill="1" applyBorder="1"/>
    <xf numFmtId="0" fontId="19" fillId="0" borderId="9" xfId="0" applyFont="1" applyFill="1" applyBorder="1" applyAlignment="1">
      <alignment horizontal="center" vertical="center"/>
    </xf>
    <xf numFmtId="14" fontId="19" fillId="0" borderId="0" xfId="0" applyNumberFormat="1" applyFont="1" applyFill="1" applyBorder="1" applyAlignment="1" applyProtection="1">
      <alignment horizontal="left" vertical="center"/>
    </xf>
    <xf numFmtId="0" fontId="19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>
      <alignment vertical="center"/>
    </xf>
    <xf numFmtId="165" fontId="19" fillId="0" borderId="0" xfId="0" applyNumberFormat="1" applyFont="1" applyFill="1" applyBorder="1" applyAlignment="1" applyProtection="1">
      <alignment vertical="center"/>
    </xf>
    <xf numFmtId="14" fontId="19" fillId="0" borderId="0" xfId="0" applyNumberFormat="1" applyFont="1" applyFill="1" applyBorder="1" applyAlignment="1" applyProtection="1">
      <alignment horizontal="left"/>
    </xf>
    <xf numFmtId="0" fontId="19" fillId="0" borderId="0" xfId="0" applyFont="1" applyFill="1" applyBorder="1" applyProtection="1"/>
    <xf numFmtId="0" fontId="23" fillId="0" borderId="0" xfId="0" quotePrefix="1" applyFont="1" applyFill="1" applyAlignment="1">
      <alignment horizontal="center"/>
    </xf>
    <xf numFmtId="0" fontId="23" fillId="0" borderId="0" xfId="0" applyFont="1" applyFill="1" applyBorder="1"/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/>
    </xf>
    <xf numFmtId="0" fontId="24" fillId="0" borderId="0" xfId="0" applyFont="1" applyFill="1"/>
    <xf numFmtId="0" fontId="12" fillId="0" borderId="0" xfId="0" applyFont="1" applyFill="1" applyAlignment="1">
      <alignment horizontal="right"/>
    </xf>
    <xf numFmtId="0" fontId="6" fillId="7" borderId="0" xfId="0" applyFont="1" applyFill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4" fontId="15" fillId="0" borderId="0" xfId="0" applyNumberFormat="1" applyFont="1" applyFill="1"/>
    <xf numFmtId="0" fontId="25" fillId="0" borderId="0" xfId="0" applyFont="1" applyFill="1"/>
    <xf numFmtId="0" fontId="21" fillId="0" borderId="0" xfId="0" applyFont="1" applyFill="1" applyAlignment="1">
      <alignment horizontal="center" vertical="center"/>
    </xf>
    <xf numFmtId="171" fontId="12" fillId="0" borderId="7" xfId="0" applyNumberFormat="1" applyFont="1" applyFill="1" applyBorder="1" applyAlignment="1" applyProtection="1">
      <alignment horizontal="right"/>
    </xf>
    <xf numFmtId="0" fontId="12" fillId="0" borderId="29" xfId="0" applyFont="1" applyFill="1" applyBorder="1"/>
    <xf numFmtId="0" fontId="19" fillId="0" borderId="8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26" fillId="0" borderId="0" xfId="0" applyFont="1" applyFill="1"/>
    <xf numFmtId="14" fontId="19" fillId="0" borderId="5" xfId="0" applyNumberFormat="1" applyFont="1" applyFill="1" applyBorder="1" applyAlignment="1" applyProtection="1">
      <alignment horizontal="left" vertical="center"/>
    </xf>
    <xf numFmtId="171" fontId="19" fillId="0" borderId="0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vertical="center"/>
    </xf>
    <xf numFmtId="0" fontId="26" fillId="0" borderId="0" xfId="0" applyFont="1" applyFill="1" applyAlignment="1">
      <alignment horizontal="center" vertical="center"/>
    </xf>
    <xf numFmtId="0" fontId="19" fillId="0" borderId="0" xfId="0" applyFont="1" applyFill="1" applyAlignment="1" applyProtection="1">
      <alignment horizontal="left"/>
      <protection locked="0"/>
    </xf>
    <xf numFmtId="0" fontId="19" fillId="0" borderId="0" xfId="0" applyFont="1" applyFill="1" applyBorder="1"/>
    <xf numFmtId="0" fontId="9" fillId="0" borderId="15" xfId="0" applyFont="1" applyFill="1" applyBorder="1" applyAlignment="1">
      <alignment horizontal="left" vertical="center"/>
    </xf>
    <xf numFmtId="14" fontId="27" fillId="0" borderId="15" xfId="0" applyNumberFormat="1" applyFont="1" applyFill="1" applyBorder="1" applyAlignment="1">
      <alignment horizontal="left" vertical="center"/>
    </xf>
    <xf numFmtId="171" fontId="7" fillId="8" borderId="0" xfId="0" applyNumberFormat="1" applyFont="1" applyFill="1" applyBorder="1" applyAlignment="1">
      <alignment horizontal="right" vertical="center"/>
    </xf>
    <xf numFmtId="0" fontId="15" fillId="7" borderId="0" xfId="0" applyFont="1" applyFill="1"/>
    <xf numFmtId="0" fontId="20" fillId="8" borderId="0" xfId="0" applyFont="1" applyFill="1"/>
    <xf numFmtId="0" fontId="2" fillId="7" borderId="0" xfId="0" applyFont="1" applyFill="1" applyAlignment="1">
      <alignment horizontal="center"/>
    </xf>
    <xf numFmtId="0" fontId="6" fillId="8" borderId="0" xfId="0" applyFont="1" applyFill="1"/>
    <xf numFmtId="0" fontId="9" fillId="7" borderId="14" xfId="0" applyFont="1" applyFill="1" applyBorder="1" applyAlignment="1">
      <alignment horizontal="center" vertical="center"/>
    </xf>
    <xf numFmtId="0" fontId="2" fillId="7" borderId="0" xfId="0" applyFont="1" applyFill="1"/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7" borderId="0" xfId="0" applyFont="1" applyFill="1" applyAlignment="1">
      <alignment horizontal="right"/>
    </xf>
    <xf numFmtId="172" fontId="2" fillId="0" borderId="0" xfId="0" applyNumberFormat="1" applyFont="1" applyAlignment="1">
      <alignment horizontal="right"/>
    </xf>
    <xf numFmtId="0" fontId="7" fillId="8" borderId="0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7" borderId="0" xfId="0" applyFont="1" applyFill="1" applyAlignment="1">
      <alignment horizontal="left"/>
    </xf>
    <xf numFmtId="0" fontId="2" fillId="6" borderId="0" xfId="0" applyFont="1" applyFill="1"/>
    <xf numFmtId="0" fontId="3" fillId="3" borderId="0" xfId="0" applyFont="1" applyFill="1" applyAlignment="1">
      <alignment horizontal="left" indent="1"/>
    </xf>
    <xf numFmtId="0" fontId="2" fillId="0" borderId="2" xfId="0" applyFont="1" applyBorder="1"/>
    <xf numFmtId="0" fontId="6" fillId="7" borderId="0" xfId="0" applyFont="1" applyFill="1" applyBorder="1" applyProtection="1">
      <protection locked="0"/>
    </xf>
    <xf numFmtId="0" fontId="6" fillId="0" borderId="0" xfId="0" applyFont="1" applyFill="1" applyBorder="1"/>
    <xf numFmtId="0" fontId="6" fillId="7" borderId="0" xfId="0" applyFont="1" applyFill="1" applyBorder="1"/>
    <xf numFmtId="0" fontId="11" fillId="0" borderId="0" xfId="0" applyFont="1" applyFill="1" applyBorder="1" applyProtection="1">
      <protection locked="0"/>
    </xf>
    <xf numFmtId="0" fontId="5" fillId="9" borderId="0" xfId="0" applyFont="1" applyFill="1" applyAlignment="1">
      <alignment horizontal="center" vertical="center"/>
    </xf>
    <xf numFmtId="171" fontId="22" fillId="0" borderId="0" xfId="0" applyNumberFormat="1" applyFont="1" applyFill="1" applyBorder="1" applyAlignment="1">
      <alignment horizontal="right" vertical="center"/>
    </xf>
    <xf numFmtId="0" fontId="6" fillId="5" borderId="0" xfId="0" applyFont="1" applyFill="1" applyBorder="1"/>
    <xf numFmtId="172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5" fillId="0" borderId="0" xfId="0" applyFont="1" applyFill="1" applyAlignment="1">
      <alignment wrapText="1"/>
    </xf>
    <xf numFmtId="0" fontId="20" fillId="0" borderId="0" xfId="0" applyFont="1" applyFill="1" applyAlignment="1">
      <alignment wrapText="1"/>
    </xf>
    <xf numFmtId="0" fontId="15" fillId="0" borderId="0" xfId="0" applyFont="1" applyFill="1" applyBorder="1" applyAlignment="1">
      <alignment wrapText="1"/>
    </xf>
    <xf numFmtId="0" fontId="3" fillId="3" borderId="0" xfId="0" applyFont="1" applyFill="1" applyAlignment="1">
      <alignment horizontal="center" vertical="center" wrapText="1"/>
    </xf>
    <xf numFmtId="0" fontId="19" fillId="0" borderId="0" xfId="0" applyFont="1" applyFill="1"/>
    <xf numFmtId="0" fontId="18" fillId="3" borderId="0" xfId="0" applyFont="1" applyFill="1" applyAlignment="1">
      <alignment horizontal="center" vertical="center"/>
    </xf>
    <xf numFmtId="14" fontId="15" fillId="12" borderId="0" xfId="0" applyNumberFormat="1" applyFont="1" applyFill="1" applyAlignment="1">
      <alignment horizontal="left"/>
    </xf>
    <xf numFmtId="0" fontId="15" fillId="12" borderId="0" xfId="0" applyFont="1" applyFill="1"/>
    <xf numFmtId="14" fontId="19" fillId="12" borderId="0" xfId="0" applyNumberFormat="1" applyFont="1" applyFill="1" applyBorder="1" applyAlignment="1" applyProtection="1">
      <alignment horizontal="left" vertical="center"/>
    </xf>
    <xf numFmtId="0" fontId="19" fillId="12" borderId="0" xfId="0" applyFont="1" applyFill="1" applyBorder="1" applyAlignment="1" applyProtection="1">
      <alignment vertical="center"/>
    </xf>
    <xf numFmtId="0" fontId="19" fillId="12" borderId="0" xfId="0" applyFont="1" applyFill="1" applyBorder="1" applyAlignment="1">
      <alignment vertical="center"/>
    </xf>
    <xf numFmtId="0" fontId="26" fillId="12" borderId="0" xfId="0" applyFont="1" applyFill="1"/>
    <xf numFmtId="171" fontId="19" fillId="12" borderId="0" xfId="0" applyNumberFormat="1" applyFont="1" applyFill="1" applyBorder="1" applyAlignment="1">
      <alignment horizontal="left" vertical="center"/>
    </xf>
    <xf numFmtId="49" fontId="19" fillId="12" borderId="0" xfId="0" applyNumberFormat="1" applyFont="1" applyFill="1" applyBorder="1" applyAlignment="1">
      <alignment vertical="center"/>
    </xf>
    <xf numFmtId="14" fontId="18" fillId="3" borderId="0" xfId="0" applyNumberFormat="1" applyFont="1" applyFill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171" fontId="9" fillId="3" borderId="13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5" fillId="5" borderId="0" xfId="0" applyFont="1" applyFill="1" applyBorder="1"/>
    <xf numFmtId="49" fontId="19" fillId="5" borderId="0" xfId="0" applyNumberFormat="1" applyFont="1" applyFill="1" applyAlignment="1">
      <alignment horizontal="center"/>
    </xf>
    <xf numFmtId="0" fontId="19" fillId="5" borderId="0" xfId="0" applyFont="1" applyFill="1"/>
    <xf numFmtId="165" fontId="15" fillId="5" borderId="0" xfId="0" applyNumberFormat="1" applyFont="1" applyFill="1" applyAlignment="1" applyProtection="1">
      <alignment horizontal="center"/>
    </xf>
    <xf numFmtId="0" fontId="2" fillId="13" borderId="0" xfId="0" applyFont="1" applyFill="1" applyAlignment="1">
      <alignment vertical="center"/>
    </xf>
  </cellXfs>
  <cellStyles count="1">
    <cellStyle name="Normal" xfId="0" builtinId="0"/>
  </cellStyles>
  <dxfs count="6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</border>
    </dxf>
    <dxf>
      <font>
        <b/>
        <i val="0"/>
      </font>
      <border>
        <top style="thin">
          <color auto="1"/>
        </top>
      </border>
    </dxf>
    <dxf>
      <font>
        <b/>
        <i val="0"/>
      </font>
      <border>
        <top style="thin">
          <color auto="1"/>
        </top>
      </border>
    </dxf>
    <dxf>
      <font>
        <b/>
        <i val="0"/>
      </font>
      <border>
        <top style="thin">
          <color auto="1"/>
        </top>
      </border>
    </dxf>
    <dxf>
      <font>
        <b/>
        <i val="0"/>
      </font>
      <border>
        <top style="thin">
          <color auto="1"/>
        </top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9E7"/>
      <color rgb="FF0000FF"/>
      <color rgb="FFFFFFCC"/>
      <color rgb="FFF2F2F2"/>
      <color rgb="FF00915A"/>
      <color rgb="FF008B21"/>
      <color rgb="FFEBF1DE"/>
      <color rgb="FFE2F3E4"/>
      <color rgb="FF78848A"/>
      <color rgb="FF007C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22896</xdr:colOff>
      <xdr:row>40</xdr:row>
      <xdr:rowOff>9235</xdr:rowOff>
    </xdr:from>
    <xdr:to>
      <xdr:col>6</xdr:col>
      <xdr:colOff>112428</xdr:colOff>
      <xdr:row>41</xdr:row>
      <xdr:rowOff>106735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24876" y="5107015"/>
          <a:ext cx="813432" cy="2499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6350">
          <a:solidFill>
            <a:schemeClr val="tx2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</xdr:colOff>
          <xdr:row>40</xdr:row>
          <xdr:rowOff>45720</xdr:rowOff>
        </xdr:from>
        <xdr:to>
          <xdr:col>6</xdr:col>
          <xdr:colOff>76200</xdr:colOff>
          <xdr:row>41</xdr:row>
          <xdr:rowOff>68580</xdr:rowOff>
        </xdr:to>
        <xdr:sp macro="" textlink="">
          <xdr:nvSpPr>
            <xdr:cNvPr id="33794" name="Button Synthèse 1" hidden="1">
              <a:extLst>
                <a:ext uri="{63B3BB69-23CF-44E3-9099-C40C66FF867C}">
                  <a14:compatExt spid="_x0000_s33794"/>
                </a:ext>
                <a:ext uri="{FF2B5EF4-FFF2-40B4-BE49-F238E27FC236}">
                  <a16:creationId xmlns:a16="http://schemas.microsoft.com/office/drawing/2014/main" id="{00000000-0008-0000-0300-000002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Regrouper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37422</xdr:colOff>
      <xdr:row>40</xdr:row>
      <xdr:rowOff>9235</xdr:rowOff>
    </xdr:from>
    <xdr:to>
      <xdr:col>8</xdr:col>
      <xdr:colOff>187914</xdr:colOff>
      <xdr:row>41</xdr:row>
      <xdr:rowOff>106735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2094822" y="5107015"/>
          <a:ext cx="813432" cy="2499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6350">
          <a:solidFill>
            <a:schemeClr val="tx2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969368</xdr:colOff>
      <xdr:row>3</xdr:row>
      <xdr:rowOff>166071</xdr:rowOff>
    </xdr:from>
    <xdr:to>
      <xdr:col>8</xdr:col>
      <xdr:colOff>1761368</xdr:colOff>
      <xdr:row>5</xdr:row>
      <xdr:rowOff>82596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5217518" y="537546"/>
          <a:ext cx="792000" cy="2880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6350">
          <a:solidFill>
            <a:schemeClr val="tx2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1013460</xdr:colOff>
          <xdr:row>4</xdr:row>
          <xdr:rowOff>22860</xdr:rowOff>
        </xdr:from>
        <xdr:to>
          <xdr:col>8</xdr:col>
          <xdr:colOff>1722120</xdr:colOff>
          <xdr:row>5</xdr:row>
          <xdr:rowOff>45720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7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709005</xdr:colOff>
      <xdr:row>3</xdr:row>
      <xdr:rowOff>112059</xdr:rowOff>
    </xdr:from>
    <xdr:to>
      <xdr:col>11</xdr:col>
      <xdr:colOff>70972</xdr:colOff>
      <xdr:row>6</xdr:row>
      <xdr:rowOff>78441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6860866" y="484465"/>
          <a:ext cx="1904354" cy="532153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188317</xdr:colOff>
      <xdr:row>3</xdr:row>
      <xdr:rowOff>160112</xdr:rowOff>
    </xdr:from>
    <xdr:to>
      <xdr:col>5</xdr:col>
      <xdr:colOff>657224</xdr:colOff>
      <xdr:row>5</xdr:row>
      <xdr:rowOff>50455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531217" y="531587"/>
          <a:ext cx="1535707" cy="261818"/>
        </a:xfrm>
        <a:prstGeom prst="rect">
          <a:avLst/>
        </a:prstGeom>
        <a:noFill/>
        <a:ln w="6350">
          <a:solidFill>
            <a:schemeClr val="bg1">
              <a:lumMod val="50000"/>
            </a:schemeClr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6</xdr:row>
          <xdr:rowOff>68580</xdr:rowOff>
        </xdr:from>
        <xdr:to>
          <xdr:col>3</xdr:col>
          <xdr:colOff>830580</xdr:colOff>
          <xdr:row>8</xdr:row>
          <xdr:rowOff>7620</xdr:rowOff>
        </xdr:to>
        <xdr:sp macro="" textlink="">
          <xdr:nvSpPr>
            <xdr:cNvPr id="36865" name="Button Check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1C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</xdr:colOff>
          <xdr:row>6</xdr:row>
          <xdr:rowOff>68580</xdr:rowOff>
        </xdr:from>
        <xdr:to>
          <xdr:col>7</xdr:col>
          <xdr:colOff>822960</xdr:colOff>
          <xdr:row>8</xdr:row>
          <xdr:rowOff>7620</xdr:rowOff>
        </xdr:to>
        <xdr:sp macro="" textlink="">
          <xdr:nvSpPr>
            <xdr:cNvPr id="36866" name="Button Check" hidden="1">
              <a:extLst>
                <a:ext uri="{63B3BB69-23CF-44E3-9099-C40C66FF867C}">
                  <a14:compatExt spid="_x0000_s36866"/>
                </a:ext>
                <a:ext uri="{FF2B5EF4-FFF2-40B4-BE49-F238E27FC236}">
                  <a16:creationId xmlns:a16="http://schemas.microsoft.com/office/drawing/2014/main" id="{00000000-0008-0000-1C00-000002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Optimiser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3" tint="0.79998168889431442"/>
  </sheetPr>
  <dimension ref="A1:AA202"/>
  <sheetViews>
    <sheetView showGridLines="0" tabSelected="1" topLeftCell="A28" zoomScaleNormal="100" zoomScaleSheetLayoutView="100" workbookViewId="0">
      <selection activeCell="P46" sqref="P46"/>
    </sheetView>
  </sheetViews>
  <sheetFormatPr defaultColWidth="0" defaultRowHeight="13.8" zeroHeight="1" outlineLevelRow="1" x14ac:dyDescent="0.3"/>
  <cols>
    <col min="1" max="1" width="2.5546875" style="10" customWidth="1"/>
    <col min="2" max="5" width="1.5546875" style="7" customWidth="1"/>
    <col min="6" max="6" width="10.5546875" style="7" customWidth="1"/>
    <col min="7" max="7" width="10.6640625" style="7" customWidth="1"/>
    <col min="8" max="10" width="9.6640625" style="7" customWidth="1"/>
    <col min="11" max="11" width="1.5546875" style="7" customWidth="1"/>
    <col min="12" max="12" width="2.44140625" style="186" customWidth="1"/>
    <col min="13" max="13" width="15.6640625" style="7" customWidth="1"/>
    <col min="14" max="14" width="18.6640625" style="7" customWidth="1"/>
    <col min="15" max="15" width="15.6640625" style="47" customWidth="1"/>
    <col min="16" max="16" width="23.6640625" style="7" customWidth="1"/>
    <col min="17" max="18" width="9.6640625" style="105" customWidth="1"/>
    <col min="19" max="19" width="9.6640625" style="106" customWidth="1"/>
    <col min="20" max="20" width="2.21875" style="7" customWidth="1"/>
    <col min="21" max="21" width="16.6640625" style="7" customWidth="1"/>
    <col min="22" max="22" width="12.6640625" style="7" customWidth="1"/>
    <col min="23" max="26" width="8.6640625" style="7" customWidth="1"/>
    <col min="27" max="27" width="1.6640625" style="7" customWidth="1"/>
    <col min="28" max="16384" width="8.6640625" style="7" hidden="1"/>
  </cols>
  <sheetData>
    <row r="1" spans="1:27" ht="5.25" customHeight="1" x14ac:dyDescent="0.3">
      <c r="A1" s="7"/>
      <c r="Q1" s="7"/>
      <c r="R1" s="7"/>
      <c r="S1" s="7"/>
      <c r="AA1" s="11"/>
    </row>
    <row r="2" spans="1:27" ht="20.100000000000001" customHeight="1" x14ac:dyDescent="0.3">
      <c r="A2" s="12"/>
      <c r="B2" s="13" t="str">
        <f>"Banque "&amp;$G$12&amp;" : Synthèse de trésorerie"</f>
        <v>Banque HSBC : Synthèse de trésorerie</v>
      </c>
      <c r="C2" s="14"/>
      <c r="D2" s="14"/>
      <c r="E2" s="14"/>
      <c r="F2" s="14"/>
      <c r="G2" s="14"/>
      <c r="H2" s="14"/>
      <c r="I2" s="14"/>
      <c r="J2" s="14"/>
      <c r="K2" s="14"/>
      <c r="L2" s="98"/>
      <c r="M2" s="14"/>
      <c r="N2" s="14"/>
      <c r="O2" s="14"/>
      <c r="P2" s="14"/>
      <c r="Q2" s="15"/>
      <c r="R2" s="15"/>
      <c r="S2" s="16"/>
      <c r="AA2" s="11"/>
    </row>
    <row r="3" spans="1:27" ht="5.25" customHeight="1" x14ac:dyDescent="0.3">
      <c r="Q3" s="15"/>
      <c r="R3" s="15"/>
      <c r="S3" s="26"/>
      <c r="AA3" s="11"/>
    </row>
    <row r="4" spans="1:27" ht="5.25" customHeight="1" x14ac:dyDescent="0.3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216"/>
      <c r="Q4" s="15"/>
      <c r="R4" s="15"/>
      <c r="S4" s="16"/>
      <c r="AA4" s="11"/>
    </row>
    <row r="5" spans="1:27" ht="12" customHeight="1" x14ac:dyDescent="0.3">
      <c r="A5" s="19"/>
      <c r="B5" s="20"/>
      <c r="C5" s="20"/>
      <c r="D5" s="20"/>
      <c r="E5" s="20"/>
      <c r="F5" s="48">
        <f>SUM($S$9:$S$192)</f>
        <v>0</v>
      </c>
      <c r="G5" s="21" t="str">
        <f>IF($F$5=0,"",IF($F$5=1,"Erreur détectée","Erreurs détectées"))</f>
        <v/>
      </c>
      <c r="H5" s="20"/>
      <c r="I5" s="22" t="s">
        <v>280</v>
      </c>
      <c r="J5" s="20"/>
      <c r="K5" s="20"/>
      <c r="L5" s="217"/>
      <c r="Q5" s="23" t="s">
        <v>192</v>
      </c>
      <c r="R5" s="23"/>
      <c r="S5" s="49" t="s">
        <v>205</v>
      </c>
      <c r="AA5" s="11"/>
    </row>
    <row r="6" spans="1:27" ht="5.25" customHeight="1" x14ac:dyDescent="0.3">
      <c r="A6" s="24"/>
      <c r="B6" s="25"/>
      <c r="C6" s="25"/>
      <c r="D6" s="25"/>
      <c r="E6" s="25"/>
      <c r="F6" s="25"/>
      <c r="G6" s="25"/>
      <c r="H6" s="25"/>
      <c r="I6" s="25"/>
      <c r="J6" s="25"/>
      <c r="K6" s="25"/>
      <c r="L6" s="218"/>
      <c r="Q6" s="15"/>
      <c r="R6" s="15"/>
      <c r="S6" s="16"/>
      <c r="AA6" s="11"/>
    </row>
    <row r="7" spans="1:27" ht="12" customHeight="1" x14ac:dyDescent="0.3">
      <c r="Q7" s="15" t="str">
        <f>INDEX(Configuration!$D$125:$D$151,MATCH(COLUMN(Q7),Configuration!$E$125:$E$151,0),0)</f>
        <v>Q</v>
      </c>
      <c r="R7" s="15"/>
      <c r="S7" s="26" t="str">
        <f>INDEX(Configuration!$D$125:$D$151,MATCH(COLUMN(S7),Configuration!$E$125:$E$151,0),0)</f>
        <v>S</v>
      </c>
      <c r="AA7" s="11"/>
    </row>
    <row r="8" spans="1:27" ht="12" customHeight="1" x14ac:dyDescent="0.3">
      <c r="Q8" s="15"/>
      <c r="R8" s="15"/>
      <c r="S8" s="16"/>
      <c r="AA8" s="11"/>
    </row>
    <row r="9" spans="1:27" ht="12" customHeight="1" x14ac:dyDescent="0.3">
      <c r="E9" s="50" t="s">
        <v>200</v>
      </c>
      <c r="F9" s="51"/>
      <c r="G9" s="51"/>
      <c r="H9" s="52">
        <f ca="1">TODAY()</f>
        <v>43302</v>
      </c>
      <c r="Q9" s="28" t="s">
        <v>214</v>
      </c>
      <c r="R9" s="29" t="str">
        <f ca="1">MID(CELL("filename", A1), FIND("]", CELL("filename", A1))+1,255)</f>
        <v>Synthèse</v>
      </c>
      <c r="S9" s="16"/>
      <c r="AA9" s="11"/>
    </row>
    <row r="10" spans="1:27" ht="12" customHeight="1" x14ac:dyDescent="0.3">
      <c r="E10" s="53" t="s">
        <v>190</v>
      </c>
      <c r="F10" s="54"/>
      <c r="G10" s="54"/>
      <c r="H10" s="55">
        <v>43302</v>
      </c>
      <c r="Q10" s="56"/>
      <c r="R10" s="56"/>
      <c r="S10" s="16"/>
      <c r="AA10" s="11"/>
    </row>
    <row r="11" spans="1:27" ht="12" customHeight="1" x14ac:dyDescent="0.3">
      <c r="H11" s="46"/>
      <c r="Q11" s="56"/>
      <c r="R11" s="56"/>
      <c r="S11" s="16"/>
      <c r="AA11" s="11"/>
    </row>
    <row r="12" spans="1:27" ht="12" customHeight="1" x14ac:dyDescent="0.3">
      <c r="E12" s="171" t="s">
        <v>55</v>
      </c>
      <c r="F12" s="58"/>
      <c r="G12" s="172" t="s">
        <v>139</v>
      </c>
      <c r="H12" s="9" t="s">
        <v>187</v>
      </c>
      <c r="I12" s="9" t="s">
        <v>188</v>
      </c>
      <c r="J12" s="9" t="s">
        <v>189</v>
      </c>
      <c r="N12" s="57" t="s">
        <v>276</v>
      </c>
      <c r="O12" s="57"/>
      <c r="Q12" s="15"/>
      <c r="R12" s="56"/>
      <c r="S12" s="16"/>
      <c r="AA12" s="11"/>
    </row>
    <row r="13" spans="1:27" ht="5.25" customHeight="1" x14ac:dyDescent="0.3">
      <c r="Q13" s="56"/>
      <c r="R13" s="56"/>
      <c r="S13" s="16"/>
      <c r="AA13" s="11"/>
    </row>
    <row r="14" spans="1:27" ht="12" customHeight="1" x14ac:dyDescent="0.3">
      <c r="E14" s="7" t="s">
        <v>106</v>
      </c>
      <c r="H14" s="34">
        <f>SUMPRODUCT((Check_Comptabilisation_1=Oui)*(Banque_émettrice_1=HSBC)*Fluxréel_1)+Départ_HSBC</f>
        <v>250.03000000000003</v>
      </c>
      <c r="I14" s="59">
        <v>5285.98</v>
      </c>
      <c r="J14" s="34">
        <f>IF(ABS($H$14-$I$14)&lt;0.009,0,ABS($H$14-$I$14))</f>
        <v>5035.95</v>
      </c>
      <c r="K14" s="37"/>
      <c r="N14" s="7" t="s">
        <v>277</v>
      </c>
      <c r="O14" s="34">
        <v>5646.7500000000164</v>
      </c>
      <c r="Q14" s="28" t="s">
        <v>213</v>
      </c>
      <c r="R14" s="60">
        <v>300.10000000000002</v>
      </c>
      <c r="S14" s="16"/>
      <c r="AA14" s="11"/>
    </row>
    <row r="15" spans="1:27" ht="12" customHeight="1" x14ac:dyDescent="0.3">
      <c r="E15" s="7" t="s">
        <v>219</v>
      </c>
      <c r="H15" s="34"/>
      <c r="I15" s="34"/>
      <c r="J15" s="34"/>
      <c r="N15" s="7" t="s">
        <v>278</v>
      </c>
      <c r="O15" s="34">
        <v>5461.4900000000134</v>
      </c>
      <c r="Q15" s="43"/>
      <c r="R15" s="43"/>
      <c r="S15" s="173">
        <f>IF(ISERROR(I15),1,0)</f>
        <v>0</v>
      </c>
      <c r="AA15" s="11"/>
    </row>
    <row r="16" spans="1:27" ht="12" customHeight="1" x14ac:dyDescent="0.3">
      <c r="E16" s="7" t="s">
        <v>186</v>
      </c>
      <c r="H16" s="34"/>
      <c r="I16" s="34"/>
      <c r="J16" s="34"/>
      <c r="Q16" s="43"/>
      <c r="R16" s="43"/>
      <c r="S16" s="173">
        <f>IF(ISERROR(I16),1,0)</f>
        <v>0</v>
      </c>
      <c r="AA16" s="11"/>
    </row>
    <row r="17" spans="5:27" ht="5.25" customHeight="1" x14ac:dyDescent="0.3">
      <c r="H17" s="34"/>
      <c r="I17" s="34"/>
      <c r="J17" s="34"/>
      <c r="Q17" s="43"/>
      <c r="R17" s="43"/>
      <c r="S17" s="173"/>
      <c r="AA17" s="11"/>
    </row>
    <row r="18" spans="5:27" ht="12" customHeight="1" x14ac:dyDescent="0.3">
      <c r="E18" s="61" t="str">
        <f>"Total "&amp;$G$12</f>
        <v>Total HSBC</v>
      </c>
      <c r="F18" s="61"/>
      <c r="G18" s="61"/>
      <c r="H18" s="41"/>
      <c r="I18" s="41">
        <f>$H$14+SUM($I$15:$I$17)</f>
        <v>250.03000000000003</v>
      </c>
      <c r="J18" s="41">
        <f>SUM($J$13:$J$17)</f>
        <v>5035.95</v>
      </c>
      <c r="Q18" s="43"/>
      <c r="R18" s="43"/>
      <c r="S18" s="173"/>
      <c r="AA18" s="11"/>
    </row>
    <row r="19" spans="5:27" ht="5.25" customHeight="1" x14ac:dyDescent="0.3">
      <c r="Q19" s="43"/>
      <c r="R19" s="43"/>
      <c r="S19" s="173"/>
      <c r="AA19" s="11"/>
    </row>
    <row r="20" spans="5:27" ht="12" customHeight="1" x14ac:dyDescent="0.3">
      <c r="Q20" s="43"/>
      <c r="R20" s="43"/>
      <c r="S20" s="173"/>
      <c r="AA20" s="11"/>
    </row>
    <row r="21" spans="5:27" ht="5.25" customHeight="1" x14ac:dyDescent="0.3">
      <c r="E21" s="62"/>
      <c r="F21" s="63"/>
      <c r="G21" s="63"/>
      <c r="H21" s="63"/>
      <c r="I21" s="63"/>
      <c r="J21" s="63"/>
      <c r="K21" s="64"/>
      <c r="Q21" s="43"/>
      <c r="R21" s="43"/>
      <c r="S21" s="173"/>
      <c r="AA21" s="11"/>
    </row>
    <row r="22" spans="5:27" ht="12" customHeight="1" x14ac:dyDescent="0.3">
      <c r="E22" s="65"/>
      <c r="F22" s="66" t="s">
        <v>191</v>
      </c>
      <c r="G22" s="66"/>
      <c r="H22" s="67">
        <v>43282</v>
      </c>
      <c r="I22" s="68" t="s">
        <v>110</v>
      </c>
      <c r="J22" s="67">
        <v>43465</v>
      </c>
      <c r="K22" s="69"/>
      <c r="Q22" s="43"/>
      <c r="R22" s="43"/>
      <c r="S22" s="173"/>
      <c r="AA22" s="11"/>
    </row>
    <row r="23" spans="5:27" ht="5.25" customHeight="1" x14ac:dyDescent="0.3">
      <c r="E23" s="70"/>
      <c r="F23" s="71"/>
      <c r="G23" s="71"/>
      <c r="H23" s="71"/>
      <c r="I23" s="71"/>
      <c r="J23" s="71"/>
      <c r="K23" s="72"/>
      <c r="Q23" s="43"/>
      <c r="R23" s="43"/>
      <c r="S23" s="173"/>
      <c r="AA23" s="11"/>
    </row>
    <row r="24" spans="5:27" ht="12" customHeight="1" x14ac:dyDescent="0.3">
      <c r="Q24" s="43"/>
      <c r="R24" s="43"/>
      <c r="S24" s="173"/>
      <c r="AA24" s="11"/>
    </row>
    <row r="25" spans="5:27" ht="5.25" customHeight="1" x14ac:dyDescent="0.3">
      <c r="Q25" s="43"/>
      <c r="R25" s="43"/>
      <c r="S25" s="173"/>
      <c r="AA25" s="11"/>
    </row>
    <row r="26" spans="5:27" ht="12" customHeight="1" x14ac:dyDescent="0.3">
      <c r="E26" s="73" t="s">
        <v>287</v>
      </c>
      <c r="F26" s="30"/>
      <c r="G26" s="39"/>
      <c r="H26" s="74">
        <f>Début_Période_1</f>
        <v>43282</v>
      </c>
      <c r="I26" s="75" t="s">
        <v>110</v>
      </c>
      <c r="J26" s="74">
        <f>Fin_Période_1</f>
        <v>43465</v>
      </c>
      <c r="N26" s="30" t="s">
        <v>281</v>
      </c>
      <c r="O26" s="30" t="s">
        <v>3</v>
      </c>
      <c r="Q26" s="43"/>
      <c r="R26" s="43"/>
      <c r="S26" s="173">
        <f>IF(ISERROR(J28),1,0)</f>
        <v>0</v>
      </c>
      <c r="AA26" s="11"/>
    </row>
    <row r="27" spans="5:27" ht="5.25" customHeight="1" x14ac:dyDescent="0.3">
      <c r="Q27" s="43"/>
      <c r="R27" s="43"/>
      <c r="S27" s="173"/>
      <c r="AA27" s="11"/>
    </row>
    <row r="28" spans="5:27" ht="12" customHeight="1" x14ac:dyDescent="0.3">
      <c r="E28" s="7" t="s">
        <v>148</v>
      </c>
      <c r="J28" s="76">
        <f>SUMPRODUCT((Datedetransaction_1&gt;=Début_Période_1)*(Datedetransaction_1&lt;=Fin_Période_1)*(Banque_émettrice_1=HSBC)*Comptage_transactions_1)</f>
        <v>10</v>
      </c>
      <c r="N28" s="7" t="s">
        <v>282</v>
      </c>
      <c r="O28" s="34">
        <f>SUMIF($N$46:$N$172,Oui,Synthèse!$I$46:$I$172)</f>
        <v>0</v>
      </c>
      <c r="Q28" s="43"/>
      <c r="R28" s="43"/>
      <c r="S28" s="173">
        <f>IF(ISERROR(J29),1,0)</f>
        <v>0</v>
      </c>
      <c r="AA28" s="11"/>
    </row>
    <row r="29" spans="5:27" ht="12" customHeight="1" x14ac:dyDescent="0.3">
      <c r="E29" s="7" t="s">
        <v>279</v>
      </c>
      <c r="J29" s="34">
        <f>SUMPRODUCT((Datedetransaction_1&gt;=Début_Période_1)*(Datedetransaction_1&lt;=Fin_Période_1)*(Fluxréel_1&gt;0)*(Typedetransaction_1&lt;&gt;Config_Transferts)*(Typedetransaction_1&lt;&gt;Config_Rééquilibrage)*(Check_Comptabilisation_1=Oui)*(Statut_transaction_1=Incluse)*(Banque_émettrice_1=HSBC)*Fluxréel_1)</f>
        <v>50</v>
      </c>
      <c r="N29" s="7" t="s">
        <v>279</v>
      </c>
      <c r="O29" s="34">
        <f>J29</f>
        <v>50</v>
      </c>
      <c r="Q29" s="43">
        <f>$J$29-$I$50-$I$180</f>
        <v>0</v>
      </c>
      <c r="R29" s="43"/>
      <c r="S29" s="173">
        <f>IF(ABS(Q29)&gt;0.001,1,0)</f>
        <v>0</v>
      </c>
      <c r="AA29" s="11"/>
    </row>
    <row r="30" spans="5:27" ht="12" customHeight="1" x14ac:dyDescent="0.3">
      <c r="E30" s="7" t="s">
        <v>119</v>
      </c>
      <c r="J30" s="34">
        <f>SUMPRODUCT((Datedetransaction_1&gt;=Début_Période_1)*(Datedetransaction_1&lt;=Fin_Période_1)*(Fluxréel_1&lt;0)*(Typedetransaction_1&lt;&gt;Config_Transferts)*(Typedetransaction_1&lt;&gt;Config_Rééquilibrage)*(Check_Comptabilisation_1=Oui)*(Statut_transaction_1=Incluse)*(Banque_émettrice_1=HSBC)*Fluxréel_1)</f>
        <v>-360.77</v>
      </c>
      <c r="N30" s="7" t="s">
        <v>133</v>
      </c>
      <c r="O30" s="34">
        <f>O29-O28</f>
        <v>50</v>
      </c>
      <c r="Q30" s="43">
        <f>$J$30+$I$175</f>
        <v>0</v>
      </c>
      <c r="R30" s="43"/>
      <c r="S30" s="173">
        <f>IF(ABS(Q30)&gt;0.001,1,0)</f>
        <v>0</v>
      </c>
      <c r="AA30" s="11"/>
    </row>
    <row r="31" spans="5:27" ht="12" customHeight="1" x14ac:dyDescent="0.3">
      <c r="E31" s="7" t="s">
        <v>285</v>
      </c>
      <c r="J31" s="34">
        <f>$J$30+$I$93+$I$99</f>
        <v>-317.91999999999996</v>
      </c>
      <c r="N31" s="31"/>
      <c r="O31" s="76"/>
      <c r="Q31" s="43"/>
      <c r="R31" s="43"/>
      <c r="S31" s="173"/>
      <c r="AA31" s="11"/>
    </row>
    <row r="32" spans="5:27" ht="5.25" customHeight="1" x14ac:dyDescent="0.3">
      <c r="J32" s="34"/>
      <c r="Q32" s="43"/>
      <c r="R32" s="43"/>
      <c r="S32" s="173"/>
      <c r="AA32" s="11"/>
    </row>
    <row r="33" spans="1:27" ht="12" customHeight="1" x14ac:dyDescent="0.3">
      <c r="E33" s="44" t="s">
        <v>286</v>
      </c>
      <c r="F33" s="18"/>
      <c r="G33" s="18"/>
      <c r="H33" s="18"/>
      <c r="I33" s="18"/>
      <c r="J33" s="45">
        <f>SUM($J$29:$J$30)</f>
        <v>-310.77</v>
      </c>
      <c r="M33" s="77"/>
      <c r="N33" s="44" t="s">
        <v>283</v>
      </c>
      <c r="O33" s="18"/>
      <c r="Q33" s="43"/>
      <c r="R33" s="43"/>
      <c r="S33" s="173">
        <f>IF(ISERROR(J30),1,0)</f>
        <v>0</v>
      </c>
      <c r="AA33" s="11"/>
    </row>
    <row r="34" spans="1:27" ht="12" customHeight="1" x14ac:dyDescent="0.3">
      <c r="E34" s="78" t="s">
        <v>284</v>
      </c>
      <c r="F34" s="79"/>
      <c r="G34" s="79"/>
      <c r="H34" s="79"/>
      <c r="I34" s="79"/>
      <c r="J34" s="80">
        <f>IFERROR($J$33/$J$29,"n.a.")</f>
        <v>-6.2153999999999998</v>
      </c>
      <c r="N34" s="81" t="s">
        <v>282</v>
      </c>
      <c r="O34" s="80">
        <f>IFERROR(O28/O29,"n.a.")</f>
        <v>0</v>
      </c>
      <c r="Q34" s="43"/>
      <c r="R34" s="43"/>
      <c r="S34" s="173">
        <f>IF(ISERROR(J33),1,0)</f>
        <v>0</v>
      </c>
      <c r="AA34" s="11"/>
    </row>
    <row r="35" spans="1:27" ht="12" customHeight="1" x14ac:dyDescent="0.3">
      <c r="E35" s="82" t="s">
        <v>288</v>
      </c>
      <c r="F35" s="83"/>
      <c r="G35" s="83"/>
      <c r="H35" s="83"/>
      <c r="I35" s="83"/>
      <c r="J35" s="84">
        <f>J29+J31</f>
        <v>-267.91999999999996</v>
      </c>
      <c r="N35" s="78" t="s">
        <v>133</v>
      </c>
      <c r="O35" s="80">
        <f>IFERROR(O30/O29,"n.a.")</f>
        <v>1</v>
      </c>
      <c r="Q35" s="43"/>
      <c r="R35" s="43"/>
      <c r="S35" s="173"/>
      <c r="T35" s="199"/>
      <c r="U35" s="200"/>
      <c r="AA35" s="11"/>
    </row>
    <row r="36" spans="1:27" ht="12" customHeight="1" x14ac:dyDescent="0.3">
      <c r="E36" s="85" t="s">
        <v>284</v>
      </c>
      <c r="F36" s="86"/>
      <c r="G36" s="86"/>
      <c r="H36" s="86"/>
      <c r="I36" s="86"/>
      <c r="J36" s="87">
        <f>IFERROR(J35/$J$29,"n.a.")</f>
        <v>-5.3583999999999996</v>
      </c>
      <c r="N36" s="25"/>
      <c r="O36" s="25"/>
      <c r="Q36" s="43"/>
      <c r="R36" s="43"/>
      <c r="S36" s="173"/>
      <c r="AA36" s="11"/>
    </row>
    <row r="37" spans="1:27" ht="12" customHeight="1" x14ac:dyDescent="0.3">
      <c r="Q37" s="43"/>
      <c r="R37" s="43"/>
      <c r="S37" s="173"/>
      <c r="AA37" s="11"/>
    </row>
    <row r="38" spans="1:27" ht="12" customHeight="1" x14ac:dyDescent="0.3">
      <c r="Q38" s="43"/>
      <c r="R38" s="43"/>
      <c r="S38" s="173"/>
      <c r="AA38" s="11"/>
    </row>
    <row r="39" spans="1:27" ht="12" customHeight="1" x14ac:dyDescent="0.3">
      <c r="A39" s="88"/>
      <c r="C39" s="89"/>
      <c r="D39" s="90" t="s">
        <v>112</v>
      </c>
      <c r="E39" s="11"/>
      <c r="F39" s="11"/>
      <c r="G39" s="11"/>
      <c r="H39" s="11"/>
      <c r="I39" s="11"/>
      <c r="J39" s="11"/>
      <c r="O39" s="7"/>
      <c r="Q39" s="43"/>
      <c r="R39" s="43"/>
      <c r="S39" s="173"/>
      <c r="AA39" s="11"/>
    </row>
    <row r="40" spans="1:27" ht="12" customHeight="1" x14ac:dyDescent="0.3">
      <c r="A40" s="88"/>
      <c r="Q40" s="43"/>
      <c r="R40" s="43"/>
      <c r="S40" s="173"/>
      <c r="AA40" s="11"/>
    </row>
    <row r="41" spans="1:27" ht="12" customHeight="1" x14ac:dyDescent="0.3">
      <c r="A41" s="88"/>
      <c r="Q41" s="43"/>
      <c r="R41" s="43"/>
      <c r="S41" s="173"/>
      <c r="AA41" s="11"/>
    </row>
    <row r="42" spans="1:27" ht="12" customHeight="1" x14ac:dyDescent="0.3">
      <c r="A42" s="88"/>
      <c r="Q42" s="43"/>
      <c r="R42" s="43"/>
      <c r="S42" s="173"/>
      <c r="AA42" s="11"/>
    </row>
    <row r="43" spans="1:27" ht="12" customHeight="1" x14ac:dyDescent="0.3">
      <c r="A43" s="88"/>
      <c r="Q43" s="43"/>
      <c r="R43" s="43"/>
      <c r="S43" s="173"/>
      <c r="AA43" s="11"/>
    </row>
    <row r="44" spans="1:27" ht="12" customHeight="1" x14ac:dyDescent="0.3">
      <c r="A44" s="88"/>
      <c r="E44" s="91" t="s">
        <v>1</v>
      </c>
      <c r="F44" s="91"/>
      <c r="G44" s="92" t="s">
        <v>193</v>
      </c>
      <c r="H44" s="93">
        <f>Début_Période_1</f>
        <v>43282</v>
      </c>
      <c r="I44" s="94" t="s">
        <v>110</v>
      </c>
      <c r="J44" s="93">
        <f>Fin_Période_1</f>
        <v>43465</v>
      </c>
      <c r="L44" s="215" t="s">
        <v>268</v>
      </c>
      <c r="N44" s="36" t="s">
        <v>289</v>
      </c>
      <c r="Q44" s="43"/>
      <c r="R44" s="43"/>
      <c r="S44" s="173"/>
      <c r="U44" s="36" t="s">
        <v>291</v>
      </c>
      <c r="AA44" s="11"/>
    </row>
    <row r="45" spans="1:27" ht="5.25" customHeight="1" x14ac:dyDescent="0.3">
      <c r="A45" s="88"/>
      <c r="D45" s="32"/>
      <c r="E45" s="32"/>
      <c r="F45" s="32"/>
      <c r="G45" s="32"/>
      <c r="H45" s="32"/>
      <c r="I45" s="95"/>
      <c r="J45" s="45"/>
      <c r="L45" s="219"/>
      <c r="Q45" s="43"/>
      <c r="R45" s="43"/>
      <c r="S45" s="173"/>
      <c r="AA45" s="11"/>
    </row>
    <row r="46" spans="1:27" ht="12" customHeight="1" outlineLevel="1" x14ac:dyDescent="0.3">
      <c r="A46" s="88"/>
      <c r="F46" s="7" t="s">
        <v>105</v>
      </c>
      <c r="I46" s="96">
        <f>IFERROR(SUMPRODUCT((Datedetransaction_1&gt;=Début_Période_1)*(Datedetransaction_1&lt;=Fin_Période_1)*(Typedetransaction_1=Config_Rev)*(Souscatégoriedetransaction_1=F46)*(Check_Comptabilisation_1=Oui)*(Statut_transaction_1=Incluse)*(Banque_émettrice_1=HSBC)*Montant_1),"n.a.")</f>
        <v>50</v>
      </c>
      <c r="J46" s="97">
        <f>IFERROR(I46/$I$50,"n.a.")</f>
        <v>1</v>
      </c>
      <c r="L46" s="40"/>
      <c r="N46" s="98" t="s">
        <v>126</v>
      </c>
      <c r="P46" s="225">
        <f>IFERROR(SUMPRODUCT((Datedetransaction_1&gt;=Début_Période_1)*(Datedetransaction_1&lt;=Fin_Période_1)*(Typedetransaction_1=Config_Rev)*(Souscatégoriedetransaction_1=$F46)*(Check_Comptabilisation_1=Oui)*(Statut_transaction_1=Incluse)*(Banque_émettrice_1=HSBC)*Signature_1),"n.a.")</f>
        <v>19487</v>
      </c>
      <c r="Q46" s="43"/>
      <c r="R46" s="43"/>
      <c r="S46" s="173"/>
      <c r="AA46" s="11"/>
    </row>
    <row r="47" spans="1:27" ht="12" customHeight="1" outlineLevel="1" x14ac:dyDescent="0.3">
      <c r="A47" s="88"/>
      <c r="F47" s="7" t="s">
        <v>194</v>
      </c>
      <c r="I47" s="96">
        <f>IFERROR(SUMPRODUCT((Datedetransaction_1&gt;=Début_Période_1)*(Datedetransaction_1&lt;=Fin_Période_1)*(Typedetransaction_1=Config_Rev)*(Souscatégoriedetransaction_1=$F47)*(Check_Comptabilisation_1=Oui)*(Statut_transaction_1=Incluse)*(Banque_émettrice_1=HSBC)*Montant_1),"n.a.")</f>
        <v>0</v>
      </c>
      <c r="J47" s="97">
        <f>IFERROR(I47/$I$50,"n.a.")</f>
        <v>0</v>
      </c>
      <c r="L47" s="40" t="s">
        <v>292</v>
      </c>
      <c r="N47" s="98" t="s">
        <v>126</v>
      </c>
      <c r="P47" s="7" t="str">
        <f>IFERROR(CONCATENATE(SUMPRODUCT((Datedetransaction_1&gt;=Début_Période_1)*(Datedetransaction_1&lt;=Fin_Période_1)*(Typedetransaction_1=Config_Rev)*(Souscatégoriedetransaction_1=$F47)*(Check_Comptabilisation_1=Oui)*(Statut_transaction_1=Incluse)*(Banque_émettrice_1=HSBC)*Signature_1)),"n.a.")</f>
        <v>0</v>
      </c>
      <c r="Q47" s="43"/>
      <c r="R47" s="43"/>
      <c r="S47" s="173"/>
      <c r="AA47" s="11"/>
    </row>
    <row r="48" spans="1:27" ht="12" customHeight="1" outlineLevel="1" x14ac:dyDescent="0.3">
      <c r="A48" s="88"/>
      <c r="E48" s="46"/>
      <c r="F48" s="46" t="s">
        <v>177</v>
      </c>
      <c r="G48" s="46"/>
      <c r="H48" s="46"/>
      <c r="I48" s="96">
        <f>IFERROR(SUMPRODUCT((Datedetransaction_1&gt;=Début_Période_1)*(Datedetransaction_1&lt;=Fin_Période_1)*(Typedetransaction_1=Config_Rev)*(Souscatégoriedetransaction_1=F48)*(Check_Comptabilisation_1=Oui)*(Statut_transaction_1=Incluse)*(Banque_émettrice_1=HSBC)*Montant_1),"n.a.")</f>
        <v>0</v>
      </c>
      <c r="J48" s="97">
        <f>IFERROR(I48/$I$50,"n.a.")</f>
        <v>0</v>
      </c>
      <c r="L48" s="40"/>
      <c r="N48" s="98" t="s">
        <v>126</v>
      </c>
      <c r="P48" s="7">
        <f>IFERROR(SUMPRODUCT((Datedetransaction_1&gt;=Début_Période_1)*(Datedetransaction_1&lt;=Fin_Période_1)*(Typedetransaction_1=Config_Rev)*(Souscatégoriedetransaction_1=$F93)*(Check_Comptabilisation_1=Oui)*(Statut_transaction_1=Incluse)*(Banque_émettrice_1=HSBC)*Signature_1),"n.a.")</f>
        <v>0</v>
      </c>
      <c r="Q48" s="43"/>
      <c r="R48" s="43"/>
      <c r="S48" s="173"/>
      <c r="AA48" s="11"/>
    </row>
    <row r="49" spans="1:27" ht="12" customHeight="1" outlineLevel="1" x14ac:dyDescent="0.3">
      <c r="A49" s="88"/>
      <c r="F49" s="7" t="s">
        <v>44</v>
      </c>
      <c r="I49" s="96">
        <f>IFERROR(SUMPRODUCT((Datedetransaction_1&gt;=Début_Période_1)*(Datedetransaction_1&lt;=Fin_Période_1)*(Typedetransaction_1=Config_Rev)*(Check_Comptabilisation_1=Oui)*(Statut_transaction_1=Incluse)*(Banque_émettrice_1=HSBC)*Montant_1),"n.a.")-SUM($I$46:$I$48)</f>
        <v>0</v>
      </c>
      <c r="J49" s="97">
        <f>IFERROR(I49/$I$50,"n.a.")</f>
        <v>0</v>
      </c>
      <c r="L49" s="40"/>
      <c r="N49" s="98" t="s">
        <v>126</v>
      </c>
      <c r="Q49" s="43"/>
      <c r="R49" s="43"/>
      <c r="S49" s="173"/>
      <c r="AA49" s="11"/>
    </row>
    <row r="50" spans="1:27" ht="12" customHeight="1" x14ac:dyDescent="0.3">
      <c r="E50" s="27" t="s">
        <v>115</v>
      </c>
      <c r="I50" s="99">
        <f>SUM(I46:I49)</f>
        <v>50</v>
      </c>
      <c r="J50" s="100">
        <f>SUM(J46:J49)</f>
        <v>1</v>
      </c>
      <c r="L50" s="40"/>
      <c r="N50" s="98"/>
      <c r="Q50" s="43">
        <f>SUM(I46:I49)-I50</f>
        <v>0</v>
      </c>
      <c r="R50" s="43">
        <f>IF(SUM($J$46:$J$49)&lt;0.01%,0,1-SUM($J$46:$J$49))</f>
        <v>0</v>
      </c>
      <c r="S50" s="173">
        <f>IF(ABS(Q50)&gt;0.001,1,0)</f>
        <v>0</v>
      </c>
      <c r="AA50" s="11"/>
    </row>
    <row r="51" spans="1:27" ht="5.25" customHeight="1" x14ac:dyDescent="0.3">
      <c r="I51" s="96"/>
      <c r="J51" s="97"/>
      <c r="L51" s="40"/>
      <c r="N51" s="98"/>
      <c r="Q51" s="43"/>
      <c r="R51" s="43"/>
      <c r="S51" s="173"/>
      <c r="AA51" s="11"/>
    </row>
    <row r="52" spans="1:27" ht="12" customHeight="1" outlineLevel="1" x14ac:dyDescent="0.3">
      <c r="F52" s="7" t="s">
        <v>8</v>
      </c>
      <c r="I52" s="96">
        <f>IFERROR(SUMPRODUCT((Datedetransaction_1&gt;=Début_Période_1)*(Datedetransaction_1&lt;=Fin_Période_1)*(Catégoriedetransaction_1=$E$55)*(Souscatégoriedetransaction_1=F52)*(Check_Comptabilisation_1=Oui)*(Statut_transaction_1=Incluse)*(Banque_émettrice_1=HSBC)*Montant_1),"n.a.")</f>
        <v>0</v>
      </c>
      <c r="J52" s="97" t="str">
        <f>IFERROR(I52/$I$55,"n.a.")</f>
        <v>n.a.</v>
      </c>
      <c r="L52" s="40"/>
      <c r="N52" s="98" t="s">
        <v>125</v>
      </c>
      <c r="Q52" s="43"/>
      <c r="R52" s="43"/>
      <c r="S52" s="173"/>
      <c r="AA52" s="11"/>
    </row>
    <row r="53" spans="1:27" ht="12" customHeight="1" outlineLevel="1" x14ac:dyDescent="0.3">
      <c r="F53" s="7" t="s">
        <v>9</v>
      </c>
      <c r="I53" s="96">
        <f>IFERROR(SUMPRODUCT((Datedetransaction_1&gt;=Début_Période_1)*(Datedetransaction_1&lt;=Fin_Période_1)*(Catégoriedetransaction_1=$E$55)*(Souscatégoriedetransaction_1=F53)*(Check_Comptabilisation_1=Oui)*(Statut_transaction_1=Incluse)*(Banque_émettrice_1=HSBC)*Montant_1),"n.a.")</f>
        <v>0</v>
      </c>
      <c r="J53" s="97" t="str">
        <f>IFERROR(I53/$I$55,"n.a.")</f>
        <v>n.a.</v>
      </c>
      <c r="L53" s="40"/>
      <c r="N53" s="98" t="s">
        <v>125</v>
      </c>
      <c r="Q53" s="43"/>
      <c r="R53" s="43"/>
      <c r="S53" s="173"/>
      <c r="AA53" s="11"/>
    </row>
    <row r="54" spans="1:27" ht="12" customHeight="1" outlineLevel="1" x14ac:dyDescent="0.3">
      <c r="F54" s="7" t="s">
        <v>10</v>
      </c>
      <c r="I54" s="96">
        <f>IFERROR(SUMPRODUCT((Datedetransaction_1&gt;=Début_Période_1)*(Datedetransaction_1&lt;=Fin_Période_1)*(Catégoriedetransaction_1=$E$55)*(Souscatégoriedetransaction_1=F54)*(Check_Comptabilisation_1=Oui)*(Statut_transaction_1=Incluse)*(Banque_émettrice_1=HSBC)*Montant_1),"n.a.")</f>
        <v>0</v>
      </c>
      <c r="J54" s="97" t="str">
        <f>IFERROR(I54/$I$55,"n.a.")</f>
        <v>n.a.</v>
      </c>
      <c r="L54" s="40"/>
      <c r="N54" s="98" t="s">
        <v>125</v>
      </c>
      <c r="Q54" s="43"/>
      <c r="R54" s="43"/>
      <c r="S54" s="173"/>
      <c r="AA54" s="11"/>
    </row>
    <row r="55" spans="1:27" ht="12" customHeight="1" x14ac:dyDescent="0.3">
      <c r="E55" s="7" t="s">
        <v>98</v>
      </c>
      <c r="I55" s="96">
        <f>IFERROR(SUMPRODUCT((Catégoriedetransaction_1=E55)*(Datedetransaction_1&gt;=Début_Période_1)*(Datedetransaction_1&lt;=Fin_Période_1)*(Check_Comptabilisation_1=Oui)*(Statut_transaction_1=Incluse)*(Banque_émettrice_1=HSBC)*Montant_1),"n.a.")</f>
        <v>0</v>
      </c>
      <c r="J55" s="97">
        <f>IFERROR(I55/$I$175,"n.a.")</f>
        <v>0</v>
      </c>
      <c r="L55" s="40"/>
      <c r="N55" s="98"/>
      <c r="Q55" s="43">
        <f>SUM(I52:I54)-I55</f>
        <v>0</v>
      </c>
      <c r="R55" s="43">
        <f>IF(SUM($J$52:$J$54)&lt;0.01%,0,1-SUM($J$52:$J$54))</f>
        <v>0</v>
      </c>
      <c r="S55" s="173">
        <f>IF(ABS(Q55)&gt;0.001,1,0)</f>
        <v>0</v>
      </c>
      <c r="AA55" s="11"/>
    </row>
    <row r="56" spans="1:27" ht="5.25" customHeight="1" outlineLevel="1" x14ac:dyDescent="0.3">
      <c r="I56" s="96"/>
      <c r="J56" s="97"/>
      <c r="L56" s="40"/>
      <c r="N56" s="98"/>
      <c r="Q56" s="43"/>
      <c r="R56" s="43"/>
      <c r="S56" s="173"/>
      <c r="AA56" s="11"/>
    </row>
    <row r="57" spans="1:27" ht="12" customHeight="1" outlineLevel="1" x14ac:dyDescent="0.3">
      <c r="F57" s="7" t="s">
        <v>11</v>
      </c>
      <c r="I57" s="96">
        <f t="shared" ref="I57:I65" si="0">IFERROR(SUMPRODUCT((Datedetransaction_1&gt;=Début_Période_1)*(Datedetransaction_1&lt;=Fin_Période_1)*(Catégoriedetransaction_1=$E$66)*(Souscatégoriedetransaction_1=F57)*(Check_Comptabilisation_1=Oui)*(Statut_transaction_1=Incluse)*(Banque_émettrice_1=HSBC)*Montant_1),"n.a.")</f>
        <v>0</v>
      </c>
      <c r="J57" s="97">
        <f t="shared" ref="J57:J65" si="1">IFERROR(I57/$I$66,"n.a.")</f>
        <v>0</v>
      </c>
      <c r="L57" s="40"/>
      <c r="N57" s="98" t="s">
        <v>126</v>
      </c>
      <c r="Q57" s="43"/>
      <c r="R57" s="43"/>
      <c r="S57" s="173"/>
      <c r="AA57" s="11"/>
    </row>
    <row r="58" spans="1:27" ht="12" customHeight="1" outlineLevel="1" x14ac:dyDescent="0.3">
      <c r="F58" s="7" t="s">
        <v>7</v>
      </c>
      <c r="I58" s="96">
        <f t="shared" si="0"/>
        <v>72.5</v>
      </c>
      <c r="J58" s="97">
        <f t="shared" si="1"/>
        <v>1</v>
      </c>
      <c r="L58" s="40"/>
      <c r="N58" s="98" t="s">
        <v>126</v>
      </c>
      <c r="Q58" s="43"/>
      <c r="R58" s="43"/>
      <c r="S58" s="173"/>
      <c r="AA58" s="11"/>
    </row>
    <row r="59" spans="1:27" ht="12" customHeight="1" outlineLevel="1" x14ac:dyDescent="0.3">
      <c r="F59" s="7" t="s">
        <v>12</v>
      </c>
      <c r="I59" s="96">
        <f t="shared" si="0"/>
        <v>0</v>
      </c>
      <c r="J59" s="97">
        <f t="shared" si="1"/>
        <v>0</v>
      </c>
      <c r="L59" s="40"/>
      <c r="N59" s="98" t="s">
        <v>126</v>
      </c>
      <c r="Q59" s="43"/>
      <c r="R59" s="43"/>
      <c r="S59" s="173"/>
      <c r="AA59" s="11"/>
    </row>
    <row r="60" spans="1:27" ht="12" customHeight="1" outlineLevel="1" x14ac:dyDescent="0.3">
      <c r="F60" s="7" t="s">
        <v>13</v>
      </c>
      <c r="I60" s="96">
        <f t="shared" si="0"/>
        <v>0</v>
      </c>
      <c r="J60" s="97">
        <f t="shared" si="1"/>
        <v>0</v>
      </c>
      <c r="L60" s="40"/>
      <c r="N60" s="98" t="s">
        <v>126</v>
      </c>
      <c r="Q60" s="43"/>
      <c r="R60" s="43"/>
      <c r="S60" s="173"/>
      <c r="AA60" s="11"/>
    </row>
    <row r="61" spans="1:27" ht="12" customHeight="1" outlineLevel="1" x14ac:dyDescent="0.3">
      <c r="F61" s="7" t="s">
        <v>14</v>
      </c>
      <c r="I61" s="96">
        <f t="shared" si="0"/>
        <v>0</v>
      </c>
      <c r="J61" s="97">
        <f t="shared" si="1"/>
        <v>0</v>
      </c>
      <c r="L61" s="40"/>
      <c r="N61" s="98" t="s">
        <v>126</v>
      </c>
      <c r="Q61" s="43"/>
      <c r="R61" s="43"/>
      <c r="S61" s="173"/>
      <c r="AA61" s="11"/>
    </row>
    <row r="62" spans="1:27" ht="12" customHeight="1" outlineLevel="1" x14ac:dyDescent="0.3">
      <c r="F62" s="7" t="s">
        <v>15</v>
      </c>
      <c r="I62" s="96">
        <f t="shared" si="0"/>
        <v>0</v>
      </c>
      <c r="J62" s="97">
        <f t="shared" si="1"/>
        <v>0</v>
      </c>
      <c r="L62" s="40"/>
      <c r="N62" s="98" t="s">
        <v>126</v>
      </c>
      <c r="Q62" s="43"/>
      <c r="R62" s="43"/>
      <c r="S62" s="173"/>
      <c r="AA62" s="11"/>
    </row>
    <row r="63" spans="1:27" ht="12" customHeight="1" outlineLevel="1" x14ac:dyDescent="0.3">
      <c r="F63" s="7" t="s">
        <v>16</v>
      </c>
      <c r="I63" s="96">
        <f t="shared" si="0"/>
        <v>0</v>
      </c>
      <c r="J63" s="97">
        <f t="shared" si="1"/>
        <v>0</v>
      </c>
      <c r="L63" s="40"/>
      <c r="N63" s="98" t="s">
        <v>126</v>
      </c>
      <c r="Q63" s="43"/>
      <c r="R63" s="43"/>
      <c r="S63" s="173"/>
      <c r="AA63" s="11"/>
    </row>
    <row r="64" spans="1:27" ht="12" customHeight="1" outlineLevel="1" x14ac:dyDescent="0.3">
      <c r="F64" s="7" t="s">
        <v>17</v>
      </c>
      <c r="I64" s="96">
        <f t="shared" si="0"/>
        <v>0</v>
      </c>
      <c r="J64" s="97">
        <f t="shared" si="1"/>
        <v>0</v>
      </c>
      <c r="L64" s="40"/>
      <c r="N64" s="98" t="s">
        <v>126</v>
      </c>
      <c r="Q64" s="43"/>
      <c r="R64" s="43"/>
      <c r="S64" s="173"/>
      <c r="AA64" s="11"/>
    </row>
    <row r="65" spans="5:27" ht="12" customHeight="1" outlineLevel="1" x14ac:dyDescent="0.3">
      <c r="F65" s="7" t="s">
        <v>18</v>
      </c>
      <c r="I65" s="96">
        <f t="shared" si="0"/>
        <v>0</v>
      </c>
      <c r="J65" s="97">
        <f t="shared" si="1"/>
        <v>0</v>
      </c>
      <c r="L65" s="40"/>
      <c r="N65" s="98" t="s">
        <v>126</v>
      </c>
      <c r="Q65" s="43"/>
      <c r="R65" s="43"/>
      <c r="S65" s="173"/>
      <c r="AA65" s="11"/>
    </row>
    <row r="66" spans="5:27" ht="12" customHeight="1" x14ac:dyDescent="0.3">
      <c r="E66" s="7" t="s">
        <v>99</v>
      </c>
      <c r="I66" s="96">
        <f>IFERROR(SUMPRODUCT((Catégoriedetransaction_1=E66)*(Datedetransaction_1&gt;=Début_Période_1)*(Datedetransaction_1&lt;=Fin_Période_1)*(Check_Comptabilisation_1=Oui)*(Statut_transaction_1=Incluse)*(Banque_émettrice_1=HSBC)*Montant_1),"n.a.")</f>
        <v>72.5</v>
      </c>
      <c r="J66" s="97">
        <f>IFERROR(I66/$I$175,"n.a.")</f>
        <v>0.20095905978878512</v>
      </c>
      <c r="L66" s="40"/>
      <c r="N66" s="98"/>
      <c r="Q66" s="43">
        <f>SUM(I57:I65)-I66</f>
        <v>0</v>
      </c>
      <c r="R66" s="43">
        <f>IF(SUM($J$57:$J$65)&lt;0.01%,0,1-SUM($J$57:$J$65))</f>
        <v>0</v>
      </c>
      <c r="S66" s="173">
        <f>IF(ABS(Q66)&gt;0.001,1,0)</f>
        <v>0</v>
      </c>
      <c r="AA66" s="11"/>
    </row>
    <row r="67" spans="5:27" ht="5.25" customHeight="1" outlineLevel="1" x14ac:dyDescent="0.3">
      <c r="I67" s="96"/>
      <c r="J67" s="97"/>
      <c r="L67" s="40"/>
      <c r="N67" s="98"/>
      <c r="Q67" s="43"/>
      <c r="R67" s="43"/>
      <c r="S67" s="173"/>
      <c r="AA67" s="11"/>
    </row>
    <row r="68" spans="5:27" ht="12" customHeight="1" outlineLevel="1" x14ac:dyDescent="0.3">
      <c r="F68" s="7" t="s">
        <v>19</v>
      </c>
      <c r="I68" s="96">
        <f t="shared" ref="I68:I77" si="2">IFERROR(SUMPRODUCT((Datedetransaction_1&gt;=Début_Période_1)*(Datedetransaction_1&lt;=Fin_Période_1)*(Catégoriedetransaction_1=$E$78)*(Souscatégoriedetransaction_1=F68)*(Check_Comptabilisation_1=Oui)*(Statut_transaction_1=Incluse)*(Banque_émettrice_1=HSBC)*Montant_1),"n.a.")</f>
        <v>0</v>
      </c>
      <c r="J68" s="97">
        <f t="shared" ref="J68:J77" si="3">IFERROR(I68/$I$78,"n.a.")</f>
        <v>0</v>
      </c>
      <c r="L68" s="40"/>
      <c r="N68" s="98" t="s">
        <v>126</v>
      </c>
      <c r="Q68" s="43"/>
      <c r="R68" s="43"/>
      <c r="S68" s="173"/>
      <c r="AA68" s="11"/>
    </row>
    <row r="69" spans="5:27" ht="12" customHeight="1" outlineLevel="1" x14ac:dyDescent="0.3">
      <c r="F69" s="7" t="s">
        <v>17</v>
      </c>
      <c r="I69" s="96">
        <f t="shared" si="2"/>
        <v>0</v>
      </c>
      <c r="J69" s="97">
        <f t="shared" si="3"/>
        <v>0</v>
      </c>
      <c r="L69" s="40"/>
      <c r="N69" s="98" t="s">
        <v>126</v>
      </c>
      <c r="Q69" s="43"/>
      <c r="R69" s="43"/>
      <c r="S69" s="173"/>
      <c r="AA69" s="11"/>
    </row>
    <row r="70" spans="5:27" ht="12" customHeight="1" outlineLevel="1" x14ac:dyDescent="0.3">
      <c r="F70" s="7" t="s">
        <v>20</v>
      </c>
      <c r="I70" s="96">
        <f t="shared" si="2"/>
        <v>0</v>
      </c>
      <c r="J70" s="97">
        <f t="shared" si="3"/>
        <v>0</v>
      </c>
      <c r="L70" s="40"/>
      <c r="N70" s="98" t="s">
        <v>126</v>
      </c>
      <c r="Q70" s="43"/>
      <c r="R70" s="43"/>
      <c r="S70" s="173"/>
      <c r="AA70" s="11"/>
    </row>
    <row r="71" spans="5:27" ht="12" customHeight="1" outlineLevel="1" x14ac:dyDescent="0.3">
      <c r="F71" s="7" t="s">
        <v>21</v>
      </c>
      <c r="I71" s="96">
        <f t="shared" si="2"/>
        <v>0</v>
      </c>
      <c r="J71" s="97">
        <f t="shared" si="3"/>
        <v>0</v>
      </c>
      <c r="L71" s="40"/>
      <c r="N71" s="98" t="s">
        <v>126</v>
      </c>
      <c r="Q71" s="43"/>
      <c r="R71" s="43"/>
      <c r="S71" s="173"/>
      <c r="AA71" s="11"/>
    </row>
    <row r="72" spans="5:27" ht="12" customHeight="1" outlineLevel="1" x14ac:dyDescent="0.3">
      <c r="F72" s="7" t="s">
        <v>22</v>
      </c>
      <c r="I72" s="96">
        <f t="shared" si="2"/>
        <v>0</v>
      </c>
      <c r="J72" s="97">
        <f t="shared" si="3"/>
        <v>0</v>
      </c>
      <c r="L72" s="40"/>
      <c r="N72" s="98" t="s">
        <v>126</v>
      </c>
      <c r="Q72" s="43"/>
      <c r="R72" s="43"/>
      <c r="S72" s="173"/>
      <c r="AA72" s="11"/>
    </row>
    <row r="73" spans="5:27" ht="12" customHeight="1" outlineLevel="1" x14ac:dyDescent="0.3">
      <c r="F73" s="7" t="s">
        <v>23</v>
      </c>
      <c r="I73" s="96">
        <f t="shared" si="2"/>
        <v>75.92</v>
      </c>
      <c r="J73" s="97">
        <f t="shared" si="3"/>
        <v>1</v>
      </c>
      <c r="L73" s="40"/>
      <c r="N73" s="98" t="s">
        <v>126</v>
      </c>
      <c r="Q73" s="43"/>
      <c r="R73" s="43"/>
      <c r="S73" s="173"/>
      <c r="AA73" s="11"/>
    </row>
    <row r="74" spans="5:27" ht="12" customHeight="1" outlineLevel="1" x14ac:dyDescent="0.3">
      <c r="F74" s="7" t="s">
        <v>24</v>
      </c>
      <c r="I74" s="96">
        <f t="shared" si="2"/>
        <v>0</v>
      </c>
      <c r="J74" s="97">
        <f t="shared" si="3"/>
        <v>0</v>
      </c>
      <c r="L74" s="40"/>
      <c r="N74" s="98" t="s">
        <v>126</v>
      </c>
      <c r="Q74" s="43"/>
      <c r="R74" s="43"/>
      <c r="S74" s="173"/>
      <c r="AA74" s="11"/>
    </row>
    <row r="75" spans="5:27" ht="12" customHeight="1" outlineLevel="1" x14ac:dyDescent="0.3">
      <c r="F75" s="7" t="s">
        <v>25</v>
      </c>
      <c r="I75" s="96">
        <f t="shared" si="2"/>
        <v>0</v>
      </c>
      <c r="J75" s="97">
        <f t="shared" si="3"/>
        <v>0</v>
      </c>
      <c r="L75" s="40"/>
      <c r="N75" s="98" t="s">
        <v>125</v>
      </c>
      <c r="Q75" s="43"/>
      <c r="R75" s="43"/>
      <c r="S75" s="173"/>
      <c r="AA75" s="11"/>
    </row>
    <row r="76" spans="5:27" ht="12" customHeight="1" outlineLevel="1" x14ac:dyDescent="0.3">
      <c r="F76" s="7" t="s">
        <v>111</v>
      </c>
      <c r="I76" s="96">
        <f t="shared" si="2"/>
        <v>0</v>
      </c>
      <c r="J76" s="97">
        <f t="shared" si="3"/>
        <v>0</v>
      </c>
      <c r="L76" s="40"/>
      <c r="N76" s="98" t="s">
        <v>126</v>
      </c>
      <c r="Q76" s="43"/>
      <c r="R76" s="43"/>
      <c r="S76" s="173"/>
      <c r="AA76" s="11"/>
    </row>
    <row r="77" spans="5:27" ht="12" customHeight="1" outlineLevel="1" x14ac:dyDescent="0.3">
      <c r="F77" s="7" t="s">
        <v>44</v>
      </c>
      <c r="I77" s="96">
        <f t="shared" si="2"/>
        <v>0</v>
      </c>
      <c r="J77" s="97">
        <f t="shared" si="3"/>
        <v>0</v>
      </c>
      <c r="L77" s="40"/>
      <c r="N77" s="98" t="s">
        <v>126</v>
      </c>
      <c r="Q77" s="43"/>
      <c r="R77" s="43"/>
      <c r="S77" s="173"/>
      <c r="AA77" s="11"/>
    </row>
    <row r="78" spans="5:27" ht="12" customHeight="1" x14ac:dyDescent="0.3">
      <c r="E78" s="7" t="s">
        <v>100</v>
      </c>
      <c r="I78" s="96">
        <f>IFERROR(SUMPRODUCT((Catégoriedetransaction_1=E78)*(Datedetransaction_1&gt;=Début_Période_1)*(Datedetransaction_1&lt;=Fin_Période_1)*(Check_Comptabilisation_1=Oui)*(Statut_transaction_1=Incluse)*(Banque_émettrice_1=HSBC)*Montant_1),"n.a.")</f>
        <v>75.92</v>
      </c>
      <c r="J78" s="97">
        <f>IFERROR(I78/$I$175,"n.a.")</f>
        <v>0.21043878371261471</v>
      </c>
      <c r="L78" s="40"/>
      <c r="N78" s="98"/>
      <c r="Q78" s="43">
        <f>SUM(I68:I77)-I78</f>
        <v>0</v>
      </c>
      <c r="R78" s="43">
        <f>IF(SUM($J$68:$J$77)&lt;0.01%,0,1-SUM($J$68:$J$77))</f>
        <v>0</v>
      </c>
      <c r="S78" s="173">
        <f>IF(ABS(Q78)&gt;0.001,1,0)</f>
        <v>0</v>
      </c>
      <c r="AA78" s="11"/>
    </row>
    <row r="79" spans="5:27" ht="5.25" customHeight="1" outlineLevel="1" x14ac:dyDescent="0.3">
      <c r="I79" s="96"/>
      <c r="J79" s="97"/>
      <c r="L79" s="40"/>
      <c r="N79" s="98"/>
      <c r="Q79" s="43"/>
      <c r="R79" s="43"/>
      <c r="S79" s="173"/>
      <c r="AA79" s="11"/>
    </row>
    <row r="80" spans="5:27" ht="12" customHeight="1" outlineLevel="1" x14ac:dyDescent="0.3">
      <c r="F80" s="7" t="s">
        <v>27</v>
      </c>
      <c r="I80" s="96">
        <f>IFERROR(SUMPRODUCT((Datedetransaction_1&gt;=Début_Période_1)*(Datedetransaction_1&lt;=Fin_Période_1)*(Catégoriedetransaction_1=$E$82)*(Souscatégoriedetransaction_1=F80)*(Check_Comptabilisation_1=Oui)*(Statut_transaction_1=Incluse)*(Banque_émettrice_1=HSBC)*Montant_1),"n.a.")</f>
        <v>0</v>
      </c>
      <c r="J80" s="97">
        <f>IFERROR(I80/$I$82,"n.a.")</f>
        <v>0</v>
      </c>
      <c r="L80" s="40"/>
      <c r="N80" s="98" t="s">
        <v>126</v>
      </c>
      <c r="Q80" s="43"/>
      <c r="R80" s="43"/>
      <c r="S80" s="173"/>
      <c r="AA80" s="11"/>
    </row>
    <row r="81" spans="5:27" ht="12" customHeight="1" outlineLevel="1" x14ac:dyDescent="0.3">
      <c r="F81" s="7" t="s">
        <v>26</v>
      </c>
      <c r="I81" s="96">
        <f>IFERROR(SUMPRODUCT((Datedetransaction_1&gt;=Début_Période_1)*(Datedetransaction_1&lt;=Fin_Période_1)*(Catégoriedetransaction_1="Retraits_Chèques")*(Souscatégoriedetransaction_1=F81)*(Check_Comptabilisation_1=Oui)*(Statut_transaction_1=Incluse)*(Banque_émettrice_1=HSBC)*Montant_1),"n.a.")</f>
        <v>140</v>
      </c>
      <c r="J81" s="97">
        <f>IFERROR(I81/$I$82,"n.a.")</f>
        <v>1</v>
      </c>
      <c r="L81" s="40"/>
      <c r="N81" s="98" t="s">
        <v>126</v>
      </c>
      <c r="Q81" s="43"/>
      <c r="R81" s="43"/>
      <c r="S81" s="173"/>
      <c r="AA81" s="11"/>
    </row>
    <row r="82" spans="5:27" ht="12" customHeight="1" x14ac:dyDescent="0.3">
      <c r="E82" s="7" t="s">
        <v>154</v>
      </c>
      <c r="I82" s="96">
        <f>IFERROR(SUMPRODUCT((Catégoriedetransaction_1="Retraits_Chèques")*(Datedetransaction_1&gt;=Début_Période_1)*(Datedetransaction_1&lt;=Fin_Période_1)*(Check_Comptabilisation_1=Oui)*(Statut_transaction_1=Incluse)*(Banque_émettrice_1=HSBC)*Montant_1),"n.a.")</f>
        <v>140</v>
      </c>
      <c r="J82" s="97">
        <f>IFERROR(I82/$I$175,"n.a.")</f>
        <v>0.38805887407489537</v>
      </c>
      <c r="L82" s="40"/>
      <c r="N82" s="98"/>
      <c r="Q82" s="43">
        <f>SUM($I$80:$I$81)-I82</f>
        <v>0</v>
      </c>
      <c r="R82" s="43">
        <f>IF(SUM($J$80:$J$81)&lt;0.01%,0,1-SUM($J$80:$J$81))</f>
        <v>0</v>
      </c>
      <c r="S82" s="173">
        <f>IF(ABS(Q82)&gt;0.001,1,0)</f>
        <v>0</v>
      </c>
      <c r="AA82" s="11"/>
    </row>
    <row r="83" spans="5:27" ht="5.25" customHeight="1" outlineLevel="1" x14ac:dyDescent="0.3">
      <c r="I83" s="96"/>
      <c r="J83" s="97"/>
      <c r="L83" s="40"/>
      <c r="N83" s="98"/>
      <c r="Q83" s="43"/>
      <c r="R83" s="43"/>
      <c r="S83" s="173"/>
      <c r="AA83" s="11"/>
    </row>
    <row r="84" spans="5:27" ht="12" customHeight="1" outlineLevel="1" x14ac:dyDescent="0.3">
      <c r="F84" s="7" t="s">
        <v>29</v>
      </c>
      <c r="I84" s="96">
        <f t="shared" ref="I84:I89" si="4">IFERROR(SUMPRODUCT((Datedetransaction_1&gt;=Début_Période_1)*(Datedetransaction_1&lt;=Fin_Période_1)*(Catégoriedetransaction_1=$E$90)*(Souscatégoriedetransaction_1=F84)*(Check_Comptabilisation_1=Oui)*(Statut_transaction_1=Incluse)*(Banque_émettrice_1=HSBC)*Montant_1),"n.a.")</f>
        <v>0</v>
      </c>
      <c r="J84" s="97" t="str">
        <f t="shared" ref="J84:J89" si="5">IFERROR(I84/$I$90,"n.a.")</f>
        <v>n.a.</v>
      </c>
      <c r="L84" s="40"/>
      <c r="N84" s="98" t="s">
        <v>125</v>
      </c>
      <c r="Q84" s="43"/>
      <c r="R84" s="43"/>
      <c r="S84" s="173"/>
      <c r="AA84" s="11"/>
    </row>
    <row r="85" spans="5:27" ht="12" customHeight="1" outlineLevel="1" x14ac:dyDescent="0.3">
      <c r="F85" s="7" t="s">
        <v>30</v>
      </c>
      <c r="I85" s="96">
        <f t="shared" si="4"/>
        <v>0</v>
      </c>
      <c r="J85" s="97" t="str">
        <f t="shared" si="5"/>
        <v>n.a.</v>
      </c>
      <c r="L85" s="40"/>
      <c r="N85" s="98" t="s">
        <v>126</v>
      </c>
      <c r="Q85" s="43"/>
      <c r="R85" s="43"/>
      <c r="S85" s="173"/>
      <c r="AA85" s="11"/>
    </row>
    <row r="86" spans="5:27" ht="12" customHeight="1" outlineLevel="1" x14ac:dyDescent="0.3">
      <c r="F86" s="7" t="s">
        <v>31</v>
      </c>
      <c r="I86" s="96">
        <f t="shared" si="4"/>
        <v>0</v>
      </c>
      <c r="J86" s="97" t="str">
        <f t="shared" si="5"/>
        <v>n.a.</v>
      </c>
      <c r="L86" s="40"/>
      <c r="N86" s="98" t="s">
        <v>126</v>
      </c>
      <c r="Q86" s="43"/>
      <c r="R86" s="43"/>
      <c r="S86" s="173"/>
      <c r="AA86" s="11"/>
    </row>
    <row r="87" spans="5:27" ht="12" customHeight="1" outlineLevel="1" x14ac:dyDescent="0.3">
      <c r="F87" s="7" t="s">
        <v>32</v>
      </c>
      <c r="I87" s="96">
        <f t="shared" si="4"/>
        <v>0</v>
      </c>
      <c r="J87" s="97" t="str">
        <f t="shared" si="5"/>
        <v>n.a.</v>
      </c>
      <c r="L87" s="40"/>
      <c r="N87" s="98" t="s">
        <v>126</v>
      </c>
      <c r="Q87" s="43"/>
      <c r="R87" s="43"/>
      <c r="S87" s="173"/>
      <c r="AA87" s="11"/>
    </row>
    <row r="88" spans="5:27" ht="12" customHeight="1" outlineLevel="1" x14ac:dyDescent="0.3">
      <c r="F88" s="7" t="s">
        <v>33</v>
      </c>
      <c r="I88" s="96">
        <f t="shared" si="4"/>
        <v>0</v>
      </c>
      <c r="J88" s="97" t="str">
        <f t="shared" si="5"/>
        <v>n.a.</v>
      </c>
      <c r="L88" s="40"/>
      <c r="N88" s="98" t="s">
        <v>126</v>
      </c>
      <c r="Q88" s="43"/>
      <c r="R88" s="43"/>
      <c r="S88" s="173"/>
      <c r="AA88" s="11"/>
    </row>
    <row r="89" spans="5:27" ht="12" customHeight="1" outlineLevel="1" x14ac:dyDescent="0.3">
      <c r="F89" s="7" t="s">
        <v>34</v>
      </c>
      <c r="I89" s="96">
        <f t="shared" si="4"/>
        <v>0</v>
      </c>
      <c r="J89" s="97" t="str">
        <f t="shared" si="5"/>
        <v>n.a.</v>
      </c>
      <c r="L89" s="40"/>
      <c r="N89" s="98" t="s">
        <v>126</v>
      </c>
      <c r="Q89" s="43"/>
      <c r="R89" s="43"/>
      <c r="S89" s="173"/>
      <c r="AA89" s="11"/>
    </row>
    <row r="90" spans="5:27" ht="12" customHeight="1" x14ac:dyDescent="0.3">
      <c r="E90" s="7" t="s">
        <v>28</v>
      </c>
      <c r="I90" s="96">
        <f>IFERROR(SUMPRODUCT((Catégoriedetransaction_1=E90)*(Datedetransaction_1&gt;=Début_Période_1)*(Datedetransaction_1&lt;=Fin_Période_1)*(Fluxréel_1&lt;=0)*(Check_Comptabilisation_1=Oui)*(Statut_transaction_1=Incluse)*(Banque_émettrice_1=HSBC)*Montant_1),"n.a.")</f>
        <v>0</v>
      </c>
      <c r="J90" s="97">
        <f>IFERROR(I90/$I$175,"n.a.")</f>
        <v>0</v>
      </c>
      <c r="L90" s="40"/>
      <c r="N90" s="98"/>
      <c r="Q90" s="43">
        <f>SUM(I84:I89)-I90</f>
        <v>0</v>
      </c>
      <c r="R90" s="43">
        <f>IF(SUM($J$84:$J$89)=0,0,1-SUM($J$84:$J$89))</f>
        <v>0</v>
      </c>
      <c r="S90" s="173">
        <f>IF(ABS(Q90)&gt;0.001,1,0)</f>
        <v>0</v>
      </c>
      <c r="AA90" s="11"/>
    </row>
    <row r="91" spans="5:27" ht="5.25" customHeight="1" outlineLevel="1" x14ac:dyDescent="0.3">
      <c r="I91" s="96"/>
      <c r="J91" s="97"/>
      <c r="L91" s="40"/>
      <c r="N91" s="98"/>
      <c r="Q91" s="43"/>
      <c r="R91" s="43"/>
      <c r="S91" s="173"/>
      <c r="AA91" s="11"/>
    </row>
    <row r="92" spans="5:27" ht="12" customHeight="1" outlineLevel="1" x14ac:dyDescent="0.3">
      <c r="F92" s="7" t="s">
        <v>136</v>
      </c>
      <c r="I92" s="96">
        <f>IFERROR(SUMPRODUCT((Datedetransaction_1&gt;=Début_Période_1)*(Datedetransaction_1&lt;=Fin_Période_1)*(Catégoriedetransaction_1=$E$96)*(Souscatégoriedetransaction_1=F92)*(Check_Comptabilisation_1=Oui)*(Statut_transaction_1=Incluse)*(Banque_émettrice_1=HSBC)*Montant_1),"n.a.")</f>
        <v>0</v>
      </c>
      <c r="J92" s="97">
        <f>IFERROR(I92/$I$96,"n.a.")</f>
        <v>0</v>
      </c>
      <c r="L92" s="40"/>
      <c r="N92" s="98" t="s">
        <v>125</v>
      </c>
      <c r="Q92" s="43"/>
      <c r="R92" s="43"/>
      <c r="S92" s="173"/>
      <c r="AA92" s="11"/>
    </row>
    <row r="93" spans="5:27" ht="12" customHeight="1" outlineLevel="1" x14ac:dyDescent="0.3">
      <c r="F93" s="7" t="s">
        <v>35</v>
      </c>
      <c r="I93" s="96">
        <f>IFERROR(SUMPRODUCT((Datedetransaction_1&gt;=Début_Période_1)*(Datedetransaction_1&lt;=Fin_Période_1)*(Catégoriedetransaction_1=$E$96)*(Souscatégoriedetransaction_1=F93)*(Check_Comptabilisation_1=Oui)*(Statut_transaction_1=Incluse)*(Banque_émettrice_1=HSBC)*Montant_1),"n.a.")</f>
        <v>42.849999999999994</v>
      </c>
      <c r="J93" s="97">
        <f>IFERROR(I93/$I$96,"n.a.")</f>
        <v>1</v>
      </c>
      <c r="L93" s="40"/>
      <c r="N93" s="98" t="s">
        <v>126</v>
      </c>
      <c r="Q93" s="43"/>
      <c r="R93" s="43"/>
      <c r="S93" s="173"/>
      <c r="AA93" s="11"/>
    </row>
    <row r="94" spans="5:27" ht="12" customHeight="1" outlineLevel="1" x14ac:dyDescent="0.3">
      <c r="F94" s="7" t="s">
        <v>36</v>
      </c>
      <c r="I94" s="96">
        <f>IFERROR(SUMPRODUCT((Datedetransaction_1&gt;=Début_Période_1)*(Datedetransaction_1&lt;=Fin_Période_1)*(Catégoriedetransaction_1=$E$96)*(Souscatégoriedetransaction_1=F94)*(Check_Comptabilisation_1=Oui)*(Statut_transaction_1=Incluse)*(Banque_émettrice_1=HSBC)*Montant_1),"n.a.")</f>
        <v>0</v>
      </c>
      <c r="J94" s="97">
        <f>IFERROR(I94/$I$96,"n.a.")</f>
        <v>0</v>
      </c>
      <c r="L94" s="40"/>
      <c r="N94" s="98" t="s">
        <v>126</v>
      </c>
      <c r="Q94" s="43"/>
      <c r="R94" s="43"/>
      <c r="S94" s="173"/>
      <c r="AA94" s="11"/>
    </row>
    <row r="95" spans="5:27" ht="12" customHeight="1" outlineLevel="1" x14ac:dyDescent="0.3">
      <c r="F95" s="7" t="s">
        <v>37</v>
      </c>
      <c r="I95" s="96">
        <f>IFERROR(SUMPRODUCT((Datedetransaction_1&gt;=Début_Période_1)*(Datedetransaction_1&lt;=Fin_Période_1)*(Catégoriedetransaction_1=$E$96)*(Souscatégoriedetransaction_1=F95)*(Check_Comptabilisation_1=Oui)*(Statut_transaction_1=Incluse)*(Banque_émettrice_1=HSBC)*Montant_1),"n.a.")</f>
        <v>0</v>
      </c>
      <c r="J95" s="97">
        <f>IFERROR(I95/$I$96,"n.a.")</f>
        <v>0</v>
      </c>
      <c r="L95" s="40"/>
      <c r="N95" s="98" t="s">
        <v>126</v>
      </c>
      <c r="Q95" s="43"/>
      <c r="R95" s="43"/>
      <c r="S95" s="173"/>
      <c r="AA95" s="11"/>
    </row>
    <row r="96" spans="5:27" ht="12" customHeight="1" x14ac:dyDescent="0.3">
      <c r="E96" s="7" t="s">
        <v>101</v>
      </c>
      <c r="I96" s="96">
        <f>IFERROR(SUMPRODUCT((Catégoriedetransaction_1=E96)*(Datedetransaction_1&gt;=Début_Période_1)*(Datedetransaction_1&lt;=Fin_Période_1)*(Fluxréel_1&lt;=0)*(Check_Comptabilisation_1=Oui)*(Statut_transaction_1=Incluse)*(Banque_émettrice_1=HSBC)*Montant_1),"n.a.")</f>
        <v>42.849999999999994</v>
      </c>
      <c r="J96" s="97">
        <f>IFERROR(I96/$I$175,"n.a.")</f>
        <v>0.11877373395792332</v>
      </c>
      <c r="L96" s="40"/>
      <c r="N96" s="98"/>
      <c r="Q96" s="43">
        <f>SUM(I92:I95)-I96</f>
        <v>0</v>
      </c>
      <c r="R96" s="43">
        <f>IF(SUM($J$92:$J$95)=0,0,1-SUM($J$92:$J$95))</f>
        <v>0</v>
      </c>
      <c r="S96" s="173">
        <f>IF(ABS(Q96)&gt;0.001,1,0)</f>
        <v>0</v>
      </c>
      <c r="AA96" s="11"/>
    </row>
    <row r="97" spans="5:27" ht="5.25" customHeight="1" outlineLevel="1" x14ac:dyDescent="0.3">
      <c r="I97" s="96"/>
      <c r="J97" s="97"/>
      <c r="L97" s="40"/>
      <c r="N97" s="98"/>
      <c r="Q97" s="43"/>
      <c r="R97" s="43"/>
      <c r="S97" s="173"/>
      <c r="AA97" s="11"/>
    </row>
    <row r="98" spans="5:27" ht="12" customHeight="1" outlineLevel="1" x14ac:dyDescent="0.3">
      <c r="F98" s="7" t="s">
        <v>176</v>
      </c>
      <c r="I98" s="96">
        <f>IFERROR(SUMPRODUCT((Datedetransaction_1&gt;=Début_Période_1)*(Datedetransaction_1&lt;=Fin_Période_1)*(Catégoriedetransaction_1=$E$99)*(Souscatégoriedetransaction_1=F98)*(Check_Comptabilisation_1=Oui)*(Statut_transaction_1=Incluse)*(Banque_émettrice_1=HSBC)*Montant_1),"n.a.")</f>
        <v>0</v>
      </c>
      <c r="J98" s="97" t="str">
        <f>IFERROR(I98/$I$99,"n.a.")</f>
        <v>n.a.</v>
      </c>
      <c r="L98" s="40"/>
      <c r="N98" s="98" t="s">
        <v>126</v>
      </c>
      <c r="Q98" s="43"/>
      <c r="R98" s="43"/>
      <c r="S98" s="173"/>
      <c r="AA98" s="11"/>
    </row>
    <row r="99" spans="5:27" ht="12" customHeight="1" x14ac:dyDescent="0.3">
      <c r="E99" s="7" t="s">
        <v>175</v>
      </c>
      <c r="I99" s="96">
        <f>IFERROR(SUMPRODUCT((Catégoriedetransaction_1=E99)*(Datedetransaction_1&gt;=Début_Période_1)*(Datedetransaction_1&lt;=Fin_Période_1)*(Check_Comptabilisation_1=Oui)*(Souscatégoriedetransaction_1&lt;&gt;Revenus_d_invt)*(Statut_transaction_1=Incluse)*(Banque_émettrice_1=HSBC)*Montant_1),"n.a.")</f>
        <v>0</v>
      </c>
      <c r="J99" s="97">
        <f>IFERROR(I99/$I$175,"n.a.")</f>
        <v>0</v>
      </c>
      <c r="L99" s="40"/>
      <c r="N99" s="98"/>
      <c r="Q99" s="43">
        <f>SUM(I98:I98)-I99</f>
        <v>0</v>
      </c>
      <c r="R99" s="43">
        <f>IF(SUM($J$98:$J$98)=0,0,1-SUM($J$98:$J$98))</f>
        <v>0</v>
      </c>
      <c r="S99" s="173">
        <f>IF(ABS(Q99)&gt;0.001,1,0)</f>
        <v>0</v>
      </c>
      <c r="AA99" s="11"/>
    </row>
    <row r="100" spans="5:27" ht="5.25" customHeight="1" outlineLevel="1" x14ac:dyDescent="0.3">
      <c r="I100" s="96"/>
      <c r="J100" s="97"/>
      <c r="L100" s="40"/>
      <c r="N100" s="98"/>
      <c r="Q100" s="43"/>
      <c r="R100" s="43"/>
      <c r="S100" s="173"/>
      <c r="AA100" s="11"/>
    </row>
    <row r="101" spans="5:27" ht="12" customHeight="1" outlineLevel="1" x14ac:dyDescent="0.3">
      <c r="F101" s="7" t="s">
        <v>39</v>
      </c>
      <c r="I101" s="96">
        <f t="shared" ref="I101:I106" si="6">IFERROR(SUMPRODUCT((Datedetransaction_1&gt;=Début_Période_1)*(Datedetransaction_1&lt;=Fin_Période_1)*(Catégoriedetransaction_1=$E$107)*(Souscatégoriedetransaction_1=F101)*(Check_Comptabilisation_1=Oui)*(Statut_transaction_1=Incluse)*(Banque_émettrice_1=HSBC)*Montant_1),"n.a.")</f>
        <v>0</v>
      </c>
      <c r="J101" s="97" t="str">
        <f t="shared" ref="J101:J106" si="7">IFERROR(I101/$I$107,"n.a.")</f>
        <v>n.a.</v>
      </c>
      <c r="L101" s="40"/>
      <c r="N101" s="98" t="s">
        <v>125</v>
      </c>
      <c r="Q101" s="43"/>
      <c r="R101" s="43"/>
      <c r="S101" s="173"/>
      <c r="AA101" s="11"/>
    </row>
    <row r="102" spans="5:27" ht="12" customHeight="1" outlineLevel="1" x14ac:dyDescent="0.3">
      <c r="F102" s="7" t="s">
        <v>42</v>
      </c>
      <c r="I102" s="96">
        <f t="shared" si="6"/>
        <v>0</v>
      </c>
      <c r="J102" s="97" t="str">
        <f t="shared" si="7"/>
        <v>n.a.</v>
      </c>
      <c r="L102" s="40"/>
      <c r="N102" s="98" t="s">
        <v>125</v>
      </c>
      <c r="Q102" s="43"/>
      <c r="R102" s="43"/>
      <c r="S102" s="173"/>
      <c r="AA102" s="11"/>
    </row>
    <row r="103" spans="5:27" ht="12" customHeight="1" outlineLevel="1" x14ac:dyDescent="0.3">
      <c r="F103" s="7" t="s">
        <v>40</v>
      </c>
      <c r="I103" s="96">
        <f t="shared" si="6"/>
        <v>0</v>
      </c>
      <c r="J103" s="97" t="str">
        <f t="shared" si="7"/>
        <v>n.a.</v>
      </c>
      <c r="L103" s="40"/>
      <c r="N103" s="98" t="s">
        <v>125</v>
      </c>
      <c r="Q103" s="43"/>
      <c r="R103" s="43"/>
      <c r="S103" s="173"/>
      <c r="AA103" s="11"/>
    </row>
    <row r="104" spans="5:27" ht="12" customHeight="1" outlineLevel="1" x14ac:dyDescent="0.3">
      <c r="F104" s="7" t="s">
        <v>41</v>
      </c>
      <c r="I104" s="96">
        <f t="shared" si="6"/>
        <v>0</v>
      </c>
      <c r="J104" s="97" t="str">
        <f t="shared" si="7"/>
        <v>n.a.</v>
      </c>
      <c r="L104" s="40"/>
      <c r="N104" s="98" t="s">
        <v>125</v>
      </c>
      <c r="Q104" s="43"/>
      <c r="R104" s="43"/>
      <c r="S104" s="173"/>
      <c r="AA104" s="11"/>
    </row>
    <row r="105" spans="5:27" ht="12" customHeight="1" outlineLevel="1" x14ac:dyDescent="0.3">
      <c r="F105" s="7" t="s">
        <v>43</v>
      </c>
      <c r="I105" s="96">
        <f t="shared" si="6"/>
        <v>0</v>
      </c>
      <c r="J105" s="97" t="str">
        <f t="shared" si="7"/>
        <v>n.a.</v>
      </c>
      <c r="L105" s="40"/>
      <c r="N105" s="98" t="s">
        <v>125</v>
      </c>
      <c r="Q105" s="43"/>
      <c r="R105" s="43"/>
      <c r="S105" s="173"/>
      <c r="AA105" s="11"/>
    </row>
    <row r="106" spans="5:27" ht="12" customHeight="1" outlineLevel="1" x14ac:dyDescent="0.3">
      <c r="F106" s="7" t="s">
        <v>44</v>
      </c>
      <c r="I106" s="96">
        <f t="shared" si="6"/>
        <v>0</v>
      </c>
      <c r="J106" s="97" t="str">
        <f t="shared" si="7"/>
        <v>n.a.</v>
      </c>
      <c r="L106" s="40"/>
      <c r="N106" s="98" t="s">
        <v>125</v>
      </c>
      <c r="Q106" s="43"/>
      <c r="R106" s="43"/>
      <c r="S106" s="173"/>
      <c r="AA106" s="11"/>
    </row>
    <row r="107" spans="5:27" ht="12" customHeight="1" x14ac:dyDescent="0.3">
      <c r="E107" s="7" t="s">
        <v>38</v>
      </c>
      <c r="I107" s="96">
        <f>IFERROR(SUMPRODUCT((Catégoriedetransaction_1=E107)*(Datedetransaction_1&gt;=Début_Période_1)*(Datedetransaction_1&lt;=Fin_Période_1)*(Check_Comptabilisation_1=Oui)*(Statut_transaction_1=Incluse)*(Banque_émettrice_1=HSBC)*Montant_1),"n.a.")</f>
        <v>0</v>
      </c>
      <c r="J107" s="97">
        <f>IFERROR(I107/$I$175,"n.a.")</f>
        <v>0</v>
      </c>
      <c r="L107" s="40"/>
      <c r="N107" s="98"/>
      <c r="Q107" s="43">
        <f>SUM(I101:I106)-I107</f>
        <v>0</v>
      </c>
      <c r="R107" s="43">
        <f>IF(SUM($J$101:$J$106)=0,0,1-SUM($J$101:$J$106))</f>
        <v>0</v>
      </c>
      <c r="S107" s="173">
        <f>IF(ABS(Q107)&gt;0.001,1,0)</f>
        <v>0</v>
      </c>
      <c r="AA107" s="11"/>
    </row>
    <row r="108" spans="5:27" ht="5.25" customHeight="1" outlineLevel="1" x14ac:dyDescent="0.3">
      <c r="I108" s="96"/>
      <c r="J108" s="97"/>
      <c r="L108" s="40"/>
      <c r="N108" s="98"/>
      <c r="Q108" s="43"/>
      <c r="R108" s="43"/>
      <c r="S108" s="173"/>
      <c r="AA108" s="11"/>
    </row>
    <row r="109" spans="5:27" ht="12" customHeight="1" outlineLevel="1" x14ac:dyDescent="0.3">
      <c r="F109" s="7" t="s">
        <v>45</v>
      </c>
      <c r="I109" s="96">
        <f t="shared" ref="I109:I119" si="8">IFERROR(SUMPRODUCT((Datedetransaction_1&gt;=Début_Période_1)*(Datedetransaction_1&lt;=Fin_Période_1)*(Catégoriedetransaction_1=$E$120)*(Souscatégoriedetransaction_1=F109)*(Check_Comptabilisation_1=Oui)*(Statut_transaction_1=Incluse)*(Banque_émettrice_1=HSBC)*Montant_1),"n.a.")</f>
        <v>0</v>
      </c>
      <c r="J109" s="97" t="str">
        <f t="shared" ref="J109:J119" si="9">IFERROR(I109/$I$120,"n.a.")</f>
        <v>n.a.</v>
      </c>
      <c r="L109" s="40"/>
      <c r="N109" s="98" t="s">
        <v>126</v>
      </c>
      <c r="Q109" s="43"/>
      <c r="R109" s="43"/>
      <c r="S109" s="173"/>
      <c r="AA109" s="11"/>
    </row>
    <row r="110" spans="5:27" ht="12" customHeight="1" outlineLevel="1" x14ac:dyDescent="0.3">
      <c r="F110" s="7" t="s">
        <v>46</v>
      </c>
      <c r="I110" s="96">
        <f t="shared" si="8"/>
        <v>0</v>
      </c>
      <c r="J110" s="97" t="str">
        <f t="shared" si="9"/>
        <v>n.a.</v>
      </c>
      <c r="L110" s="40"/>
      <c r="N110" s="98" t="s">
        <v>126</v>
      </c>
      <c r="Q110" s="43"/>
      <c r="R110" s="43"/>
      <c r="S110" s="173"/>
      <c r="AA110" s="11"/>
    </row>
    <row r="111" spans="5:27" ht="12" customHeight="1" outlineLevel="1" x14ac:dyDescent="0.3">
      <c r="F111" s="7" t="s">
        <v>47</v>
      </c>
      <c r="I111" s="96">
        <f t="shared" si="8"/>
        <v>0</v>
      </c>
      <c r="J111" s="97" t="str">
        <f t="shared" si="9"/>
        <v>n.a.</v>
      </c>
      <c r="L111" s="40"/>
      <c r="N111" s="98" t="s">
        <v>126</v>
      </c>
      <c r="Q111" s="43"/>
      <c r="R111" s="43"/>
      <c r="S111" s="173"/>
      <c r="AA111" s="11"/>
    </row>
    <row r="112" spans="5:27" ht="12" customHeight="1" outlineLevel="1" x14ac:dyDescent="0.3">
      <c r="F112" s="7" t="s">
        <v>48</v>
      </c>
      <c r="I112" s="96">
        <f t="shared" si="8"/>
        <v>0</v>
      </c>
      <c r="J112" s="97" t="str">
        <f t="shared" si="9"/>
        <v>n.a.</v>
      </c>
      <c r="L112" s="40"/>
      <c r="N112" s="98" t="s">
        <v>126</v>
      </c>
      <c r="Q112" s="43"/>
      <c r="R112" s="43"/>
      <c r="S112" s="173"/>
      <c r="AA112" s="11"/>
    </row>
    <row r="113" spans="5:27" ht="12" customHeight="1" outlineLevel="1" x14ac:dyDescent="0.3">
      <c r="F113" s="7" t="s">
        <v>49</v>
      </c>
      <c r="I113" s="96">
        <f t="shared" si="8"/>
        <v>0</v>
      </c>
      <c r="J113" s="97" t="str">
        <f t="shared" si="9"/>
        <v>n.a.</v>
      </c>
      <c r="L113" s="40"/>
      <c r="N113" s="98" t="s">
        <v>126</v>
      </c>
      <c r="Q113" s="43"/>
      <c r="R113" s="43"/>
      <c r="S113" s="173"/>
      <c r="AA113" s="11"/>
    </row>
    <row r="114" spans="5:27" ht="12" customHeight="1" outlineLevel="1" x14ac:dyDescent="0.3">
      <c r="F114" s="7" t="s">
        <v>50</v>
      </c>
      <c r="I114" s="96">
        <f t="shared" si="8"/>
        <v>0</v>
      </c>
      <c r="J114" s="97" t="str">
        <f t="shared" si="9"/>
        <v>n.a.</v>
      </c>
      <c r="L114" s="40"/>
      <c r="N114" s="98" t="s">
        <v>126</v>
      </c>
      <c r="Q114" s="43"/>
      <c r="R114" s="43"/>
      <c r="S114" s="173"/>
      <c r="AA114" s="11"/>
    </row>
    <row r="115" spans="5:27" ht="12" customHeight="1" outlineLevel="1" x14ac:dyDescent="0.3">
      <c r="F115" s="7" t="s">
        <v>51</v>
      </c>
      <c r="I115" s="96">
        <f t="shared" si="8"/>
        <v>0</v>
      </c>
      <c r="J115" s="97" t="str">
        <f t="shared" si="9"/>
        <v>n.a.</v>
      </c>
      <c r="L115" s="40"/>
      <c r="N115" s="98" t="s">
        <v>126</v>
      </c>
      <c r="Q115" s="43"/>
      <c r="R115" s="43"/>
      <c r="S115" s="173"/>
      <c r="AA115" s="11"/>
    </row>
    <row r="116" spans="5:27" ht="12" customHeight="1" outlineLevel="1" x14ac:dyDescent="0.3">
      <c r="F116" s="7" t="s">
        <v>52</v>
      </c>
      <c r="I116" s="96">
        <f t="shared" si="8"/>
        <v>0</v>
      </c>
      <c r="J116" s="97" t="str">
        <f t="shared" si="9"/>
        <v>n.a.</v>
      </c>
      <c r="L116" s="40"/>
      <c r="N116" s="98" t="s">
        <v>126</v>
      </c>
      <c r="Q116" s="43"/>
      <c r="R116" s="43"/>
      <c r="S116" s="173"/>
      <c r="AA116" s="11"/>
    </row>
    <row r="117" spans="5:27" ht="12" customHeight="1" outlineLevel="1" x14ac:dyDescent="0.3">
      <c r="F117" s="7" t="s">
        <v>53</v>
      </c>
      <c r="I117" s="96">
        <f t="shared" si="8"/>
        <v>0</v>
      </c>
      <c r="J117" s="97" t="str">
        <f t="shared" si="9"/>
        <v>n.a.</v>
      </c>
      <c r="L117" s="40"/>
      <c r="N117" s="98" t="s">
        <v>126</v>
      </c>
      <c r="Q117" s="43"/>
      <c r="R117" s="43"/>
      <c r="S117" s="173"/>
      <c r="AA117" s="11"/>
    </row>
    <row r="118" spans="5:27" ht="12" customHeight="1" outlineLevel="1" x14ac:dyDescent="0.3">
      <c r="F118" s="7" t="s">
        <v>54</v>
      </c>
      <c r="I118" s="96">
        <f t="shared" si="8"/>
        <v>0</v>
      </c>
      <c r="J118" s="97" t="str">
        <f t="shared" si="9"/>
        <v>n.a.</v>
      </c>
      <c r="L118" s="40"/>
      <c r="N118" s="98" t="s">
        <v>126</v>
      </c>
      <c r="Q118" s="43"/>
      <c r="R118" s="43"/>
      <c r="S118" s="173"/>
      <c r="AA118" s="11"/>
    </row>
    <row r="119" spans="5:27" ht="12" customHeight="1" outlineLevel="1" x14ac:dyDescent="0.3">
      <c r="F119" s="7" t="s">
        <v>143</v>
      </c>
      <c r="I119" s="96">
        <f t="shared" si="8"/>
        <v>0</v>
      </c>
      <c r="J119" s="97" t="str">
        <f t="shared" si="9"/>
        <v>n.a.</v>
      </c>
      <c r="L119" s="40"/>
      <c r="N119" s="98" t="s">
        <v>126</v>
      </c>
      <c r="Q119" s="43"/>
      <c r="R119" s="43"/>
      <c r="S119" s="173"/>
      <c r="AA119" s="11"/>
    </row>
    <row r="120" spans="5:27" ht="12" customHeight="1" x14ac:dyDescent="0.3">
      <c r="E120" s="7" t="s">
        <v>102</v>
      </c>
      <c r="I120" s="96">
        <f>IFERROR(SUMPRODUCT((Catégoriedetransaction_1=E120)*(Datedetransaction_1&gt;=Début_Période_1)*(Datedetransaction_1&lt;=Fin_Période_1)*(Typedetransaction_1&lt;&gt;"Revenu")*(Check_Comptabilisation_1=Oui)*(Statut_transaction_1=Incluse)*(Banque_émettrice_1=HSBC)*Montant_1),"n.a.")</f>
        <v>0</v>
      </c>
      <c r="J120" s="97">
        <f>IFERROR(I120/$I$175,"n.a.")</f>
        <v>0</v>
      </c>
      <c r="L120" s="40"/>
      <c r="N120" s="98"/>
      <c r="Q120" s="43">
        <f>SUM(I109:I119)-I120</f>
        <v>0</v>
      </c>
      <c r="R120" s="43">
        <f>IF(SUM($J$109:$J$119)=0,0,1-SUM($J$109:$J$119))</f>
        <v>0</v>
      </c>
      <c r="S120" s="173">
        <f>IF(ABS(Q120)&gt;0.001,1,0)</f>
        <v>0</v>
      </c>
      <c r="AA120" s="11"/>
    </row>
    <row r="121" spans="5:27" ht="5.25" customHeight="1" outlineLevel="1" x14ac:dyDescent="0.3">
      <c r="I121" s="96"/>
      <c r="J121" s="97"/>
      <c r="L121" s="40"/>
      <c r="N121" s="98"/>
      <c r="Q121" s="43"/>
      <c r="R121" s="43"/>
      <c r="S121" s="173"/>
      <c r="AA121" s="11"/>
    </row>
    <row r="122" spans="5:27" ht="12" customHeight="1" outlineLevel="1" x14ac:dyDescent="0.3">
      <c r="F122" s="7" t="s">
        <v>56</v>
      </c>
      <c r="I122" s="96">
        <f t="shared" ref="I122:I128" si="10">IFERROR(SUMPRODUCT((Datedetransaction_1&gt;=Début_Période_1)*(Datedetransaction_1&lt;=Fin_Période_1)*(Catégoriedetransaction_1=$E$129)*(Souscatégoriedetransaction_1=F122)*(Check_Comptabilisation_1=Oui)*(Statut_transaction_1=Incluse)*(Banque_émettrice_1=HSBC)*Montant_1),"n.a.")</f>
        <v>0</v>
      </c>
      <c r="J122" s="97" t="str">
        <f t="shared" ref="J122:J128" si="11">IFERROR(I122/$I$129,"n.a.")</f>
        <v>n.a.</v>
      </c>
      <c r="L122" s="40"/>
      <c r="N122" s="98" t="s">
        <v>126</v>
      </c>
      <c r="Q122" s="43"/>
      <c r="R122" s="43"/>
      <c r="S122" s="173"/>
      <c r="AA122" s="11"/>
    </row>
    <row r="123" spans="5:27" ht="12" customHeight="1" outlineLevel="1" x14ac:dyDescent="0.3">
      <c r="F123" s="7" t="s">
        <v>57</v>
      </c>
      <c r="I123" s="96">
        <f t="shared" si="10"/>
        <v>0</v>
      </c>
      <c r="J123" s="97" t="str">
        <f t="shared" si="11"/>
        <v>n.a.</v>
      </c>
      <c r="L123" s="40"/>
      <c r="N123" s="98" t="s">
        <v>126</v>
      </c>
      <c r="Q123" s="43"/>
      <c r="R123" s="43"/>
      <c r="S123" s="173"/>
      <c r="AA123" s="11"/>
    </row>
    <row r="124" spans="5:27" ht="12" customHeight="1" outlineLevel="1" x14ac:dyDescent="0.3">
      <c r="F124" s="7" t="s">
        <v>58</v>
      </c>
      <c r="I124" s="96">
        <f t="shared" si="10"/>
        <v>0</v>
      </c>
      <c r="J124" s="97" t="str">
        <f t="shared" si="11"/>
        <v>n.a.</v>
      </c>
      <c r="L124" s="40"/>
      <c r="N124" s="98" t="s">
        <v>126</v>
      </c>
      <c r="Q124" s="43"/>
      <c r="R124" s="43"/>
      <c r="S124" s="173"/>
      <c r="AA124" s="11"/>
    </row>
    <row r="125" spans="5:27" ht="12" customHeight="1" outlineLevel="1" x14ac:dyDescent="0.3">
      <c r="F125" s="7" t="s">
        <v>59</v>
      </c>
      <c r="I125" s="96">
        <f t="shared" si="10"/>
        <v>0</v>
      </c>
      <c r="J125" s="97" t="str">
        <f t="shared" si="11"/>
        <v>n.a.</v>
      </c>
      <c r="L125" s="40"/>
      <c r="N125" s="98" t="s">
        <v>126</v>
      </c>
      <c r="Q125" s="43"/>
      <c r="R125" s="43"/>
      <c r="S125" s="173"/>
      <c r="AA125" s="11"/>
    </row>
    <row r="126" spans="5:27" ht="12" customHeight="1" outlineLevel="1" x14ac:dyDescent="0.3">
      <c r="F126" s="7" t="s">
        <v>60</v>
      </c>
      <c r="I126" s="96">
        <f t="shared" si="10"/>
        <v>0</v>
      </c>
      <c r="J126" s="97" t="str">
        <f t="shared" si="11"/>
        <v>n.a.</v>
      </c>
      <c r="L126" s="40"/>
      <c r="N126" s="98" t="s">
        <v>126</v>
      </c>
      <c r="Q126" s="43"/>
      <c r="R126" s="43"/>
      <c r="S126" s="173"/>
      <c r="AA126" s="11"/>
    </row>
    <row r="127" spans="5:27" ht="12" customHeight="1" outlineLevel="1" x14ac:dyDescent="0.3">
      <c r="F127" s="7" t="s">
        <v>61</v>
      </c>
      <c r="I127" s="96">
        <f t="shared" si="10"/>
        <v>0</v>
      </c>
      <c r="J127" s="97" t="str">
        <f t="shared" si="11"/>
        <v>n.a.</v>
      </c>
      <c r="L127" s="40"/>
      <c r="N127" s="98" t="s">
        <v>126</v>
      </c>
      <c r="Q127" s="43"/>
      <c r="R127" s="43"/>
      <c r="S127" s="173"/>
      <c r="AA127" s="11"/>
    </row>
    <row r="128" spans="5:27" ht="12" customHeight="1" outlineLevel="1" x14ac:dyDescent="0.3">
      <c r="F128" s="7" t="s">
        <v>62</v>
      </c>
      <c r="I128" s="96">
        <f t="shared" si="10"/>
        <v>0</v>
      </c>
      <c r="J128" s="97" t="str">
        <f t="shared" si="11"/>
        <v>n.a.</v>
      </c>
      <c r="L128" s="40"/>
      <c r="N128" s="98" t="s">
        <v>126</v>
      </c>
      <c r="Q128" s="43"/>
      <c r="R128" s="43"/>
      <c r="S128" s="173"/>
      <c r="AA128" s="11"/>
    </row>
    <row r="129" spans="5:27" ht="12" customHeight="1" x14ac:dyDescent="0.3">
      <c r="E129" s="7" t="s">
        <v>55</v>
      </c>
      <c r="I129" s="96">
        <f>IFERROR(SUMPRODUCT((Catégoriedetransaction_1=E129)*(Datedetransaction_1&gt;=Début_Période_1)*(Datedetransaction_1&lt;=Fin_Période_1)*(Check_Comptabilisation_1=Oui)*(Statut_transaction_1=Incluse)*(Banque_émettrice_1=HSBC)*Montant_1),"n.a.")</f>
        <v>0</v>
      </c>
      <c r="J129" s="97">
        <f>IFERROR(I129/$I$175,"n.a.")</f>
        <v>0</v>
      </c>
      <c r="L129" s="40"/>
      <c r="N129" s="98"/>
      <c r="Q129" s="43">
        <f>SUM(I122:I128)-I129</f>
        <v>0</v>
      </c>
      <c r="R129" s="43">
        <f>IF(SUM($J$122:$J$128)=0,0,1-SUM($J$122:$J$128))</f>
        <v>0</v>
      </c>
      <c r="S129" s="173">
        <f>IF(ABS(Q129)&gt;0.001,1,0)</f>
        <v>0</v>
      </c>
      <c r="AA129" s="11"/>
    </row>
    <row r="130" spans="5:27" ht="5.25" customHeight="1" outlineLevel="1" x14ac:dyDescent="0.3">
      <c r="I130" s="96"/>
      <c r="J130" s="97"/>
      <c r="L130" s="40"/>
      <c r="N130" s="98"/>
      <c r="Q130" s="43"/>
      <c r="R130" s="43"/>
      <c r="S130" s="173"/>
      <c r="AA130" s="11"/>
    </row>
    <row r="131" spans="5:27" ht="12" customHeight="1" outlineLevel="1" x14ac:dyDescent="0.3">
      <c r="F131" s="7" t="s">
        <v>63</v>
      </c>
      <c r="I131" s="96">
        <f t="shared" ref="I131:I136" si="12">IFERROR(SUMPRODUCT((Datedetransaction_1&gt;=Début_Période_1)*(Datedetransaction_1&lt;=Fin_Période_1)*(Catégoriedetransaction_1=$E$137)*(Souscatégoriedetransaction_1=F131)*(Check_Comptabilisation_1=Oui)*(Statut_transaction_1=Incluse)*(Banque_émettrice_1=HSBC)*Montant_1),"n.a.")</f>
        <v>0</v>
      </c>
      <c r="J131" s="97" t="str">
        <f>IFERROR(I131/$I$137,"n.a.")</f>
        <v>n.a.</v>
      </c>
      <c r="L131" s="40"/>
      <c r="N131" s="98" t="s">
        <v>126</v>
      </c>
      <c r="Q131" s="43"/>
      <c r="R131" s="43"/>
      <c r="S131" s="173"/>
      <c r="AA131" s="11"/>
    </row>
    <row r="132" spans="5:27" ht="12" customHeight="1" outlineLevel="1" x14ac:dyDescent="0.3">
      <c r="F132" s="7" t="s">
        <v>113</v>
      </c>
      <c r="I132" s="96">
        <f t="shared" si="12"/>
        <v>0</v>
      </c>
      <c r="J132" s="97" t="str">
        <f t="shared" ref="J132:J136" si="13">IFERROR(I132/$I$137,"n.a.")</f>
        <v>n.a.</v>
      </c>
      <c r="L132" s="40"/>
      <c r="N132" s="98" t="s">
        <v>126</v>
      </c>
      <c r="Q132" s="43"/>
      <c r="R132" s="43"/>
      <c r="S132" s="173"/>
      <c r="AA132" s="11"/>
    </row>
    <row r="133" spans="5:27" ht="12" customHeight="1" outlineLevel="1" x14ac:dyDescent="0.3">
      <c r="F133" s="7" t="s">
        <v>65</v>
      </c>
      <c r="I133" s="96">
        <f t="shared" si="12"/>
        <v>0</v>
      </c>
      <c r="J133" s="97" t="str">
        <f t="shared" si="13"/>
        <v>n.a.</v>
      </c>
      <c r="L133" s="40"/>
      <c r="N133" s="98" t="s">
        <v>126</v>
      </c>
      <c r="Q133" s="43"/>
      <c r="R133" s="43"/>
      <c r="S133" s="173"/>
      <c r="AA133" s="11"/>
    </row>
    <row r="134" spans="5:27" ht="12" customHeight="1" outlineLevel="1" x14ac:dyDescent="0.3">
      <c r="F134" s="7" t="s">
        <v>66</v>
      </c>
      <c r="I134" s="96">
        <f t="shared" si="12"/>
        <v>0</v>
      </c>
      <c r="J134" s="97" t="str">
        <f t="shared" si="13"/>
        <v>n.a.</v>
      </c>
      <c r="L134" s="40"/>
      <c r="N134" s="98" t="s">
        <v>126</v>
      </c>
      <c r="Q134" s="43"/>
      <c r="R134" s="43"/>
      <c r="S134" s="173"/>
      <c r="AA134" s="11"/>
    </row>
    <row r="135" spans="5:27" ht="12" customHeight="1" outlineLevel="1" x14ac:dyDescent="0.3">
      <c r="F135" s="7" t="s">
        <v>67</v>
      </c>
      <c r="I135" s="96">
        <f t="shared" si="12"/>
        <v>0</v>
      </c>
      <c r="J135" s="97" t="str">
        <f t="shared" si="13"/>
        <v>n.a.</v>
      </c>
      <c r="L135" s="40"/>
      <c r="N135" s="98" t="s">
        <v>126</v>
      </c>
      <c r="Q135" s="43"/>
      <c r="R135" s="43"/>
      <c r="S135" s="173"/>
      <c r="AA135" s="11"/>
    </row>
    <row r="136" spans="5:27" ht="12" customHeight="1" outlineLevel="1" x14ac:dyDescent="0.3">
      <c r="F136" s="7" t="s">
        <v>68</v>
      </c>
      <c r="I136" s="96">
        <f t="shared" si="12"/>
        <v>0</v>
      </c>
      <c r="J136" s="97" t="str">
        <f t="shared" si="13"/>
        <v>n.a.</v>
      </c>
      <c r="L136" s="40"/>
      <c r="N136" s="98" t="s">
        <v>126</v>
      </c>
      <c r="Q136" s="43"/>
      <c r="R136" s="43"/>
      <c r="S136" s="173"/>
      <c r="AA136" s="11"/>
    </row>
    <row r="137" spans="5:27" ht="12" customHeight="1" x14ac:dyDescent="0.3">
      <c r="E137" s="7" t="s">
        <v>103</v>
      </c>
      <c r="I137" s="96">
        <f>IFERROR(SUMPRODUCT((Catégoriedetransaction_1=E137)*(Datedetransaction_1&gt;=Début_Période_1)*(Datedetransaction_1&lt;=Fin_Période_1)*(Check_Comptabilisation_1=Oui)*(Statut_transaction_1=Incluse)*(Banque_émettrice_1=HSBC)*Montant_1),"n.a.")</f>
        <v>0</v>
      </c>
      <c r="J137" s="97">
        <f>IFERROR(I137/$I$175,"n.a.")</f>
        <v>0</v>
      </c>
      <c r="L137" s="40"/>
      <c r="N137" s="98"/>
      <c r="Q137" s="43">
        <f>SUM(I131:I136)-I137</f>
        <v>0</v>
      </c>
      <c r="R137" s="43">
        <f>IF(SUM($J$131:$J$136)=0,0,1-SUM($J$131:$J$136))</f>
        <v>0</v>
      </c>
      <c r="S137" s="173">
        <f>IF(ABS(Q137)&gt;0.001,1,0)</f>
        <v>0</v>
      </c>
      <c r="AA137" s="11"/>
    </row>
    <row r="138" spans="5:27" ht="5.25" customHeight="1" outlineLevel="1" x14ac:dyDescent="0.3">
      <c r="I138" s="96"/>
      <c r="J138" s="97"/>
      <c r="L138" s="40"/>
      <c r="N138" s="98"/>
      <c r="Q138" s="43"/>
      <c r="R138" s="43"/>
      <c r="S138" s="173"/>
      <c r="AA138" s="11"/>
    </row>
    <row r="139" spans="5:27" ht="12" customHeight="1" outlineLevel="1" x14ac:dyDescent="0.3">
      <c r="F139" s="7" t="s">
        <v>76</v>
      </c>
      <c r="I139" s="96">
        <f t="shared" ref="I139:I148" si="14">IFERROR(SUMPRODUCT((Datedetransaction_1&gt;=Début_Période_1)*(Datedetransaction_1&lt;=Fin_Période_1)*(Catégoriedetransaction_1=$E$149)*(Souscatégoriedetransaction_1=F139)*(Check_Comptabilisation_1=Oui)*(Statut_transaction_1=Incluse)*(Banque_émettrice_1=HSBC)*Montant_1),"n.a.")</f>
        <v>0</v>
      </c>
      <c r="J139" s="97" t="str">
        <f t="shared" ref="J139:J148" si="15">IFERROR(I139/$I$149,"n.a.")</f>
        <v>n.a.</v>
      </c>
      <c r="L139" s="40"/>
      <c r="N139" s="98" t="s">
        <v>126</v>
      </c>
      <c r="Q139" s="43"/>
      <c r="R139" s="43"/>
      <c r="S139" s="173"/>
      <c r="AA139" s="11"/>
    </row>
    <row r="140" spans="5:27" ht="12" customHeight="1" outlineLevel="1" x14ac:dyDescent="0.3">
      <c r="F140" s="7" t="s">
        <v>77</v>
      </c>
      <c r="I140" s="96">
        <f t="shared" si="14"/>
        <v>0</v>
      </c>
      <c r="J140" s="97" t="str">
        <f t="shared" si="15"/>
        <v>n.a.</v>
      </c>
      <c r="L140" s="40"/>
      <c r="N140" s="98" t="s">
        <v>126</v>
      </c>
      <c r="Q140" s="43"/>
      <c r="R140" s="43"/>
      <c r="S140" s="173"/>
      <c r="AA140" s="11"/>
    </row>
    <row r="141" spans="5:27" ht="12" customHeight="1" outlineLevel="1" x14ac:dyDescent="0.3">
      <c r="F141" s="7" t="s">
        <v>109</v>
      </c>
      <c r="I141" s="96">
        <f t="shared" si="14"/>
        <v>0</v>
      </c>
      <c r="J141" s="97" t="str">
        <f t="shared" si="15"/>
        <v>n.a.</v>
      </c>
      <c r="L141" s="40"/>
      <c r="N141" s="98" t="s">
        <v>126</v>
      </c>
      <c r="Q141" s="43"/>
      <c r="R141" s="43"/>
      <c r="S141" s="173"/>
      <c r="AA141" s="11"/>
    </row>
    <row r="142" spans="5:27" ht="12" customHeight="1" outlineLevel="1" x14ac:dyDescent="0.3">
      <c r="F142" s="7" t="s">
        <v>78</v>
      </c>
      <c r="I142" s="96">
        <f t="shared" si="14"/>
        <v>0</v>
      </c>
      <c r="J142" s="97" t="str">
        <f t="shared" si="15"/>
        <v>n.a.</v>
      </c>
      <c r="L142" s="40"/>
      <c r="N142" s="98" t="s">
        <v>126</v>
      </c>
      <c r="Q142" s="43"/>
      <c r="R142" s="43"/>
      <c r="S142" s="173"/>
      <c r="AA142" s="11"/>
    </row>
    <row r="143" spans="5:27" ht="12" customHeight="1" outlineLevel="1" x14ac:dyDescent="0.3">
      <c r="F143" s="7" t="s">
        <v>79</v>
      </c>
      <c r="I143" s="96">
        <f t="shared" si="14"/>
        <v>0</v>
      </c>
      <c r="J143" s="97" t="str">
        <f t="shared" si="15"/>
        <v>n.a.</v>
      </c>
      <c r="L143" s="40"/>
      <c r="N143" s="98" t="s">
        <v>126</v>
      </c>
      <c r="Q143" s="43"/>
      <c r="R143" s="43"/>
      <c r="S143" s="173"/>
      <c r="AA143" s="11"/>
    </row>
    <row r="144" spans="5:27" ht="12" customHeight="1" outlineLevel="1" x14ac:dyDescent="0.3">
      <c r="F144" s="7" t="s">
        <v>80</v>
      </c>
      <c r="I144" s="96">
        <f t="shared" si="14"/>
        <v>0</v>
      </c>
      <c r="J144" s="97" t="str">
        <f t="shared" si="15"/>
        <v>n.a.</v>
      </c>
      <c r="L144" s="40"/>
      <c r="N144" s="98" t="s">
        <v>126</v>
      </c>
      <c r="Q144" s="43"/>
      <c r="R144" s="43"/>
      <c r="S144" s="173"/>
      <c r="AA144" s="11"/>
    </row>
    <row r="145" spans="5:27" ht="12" customHeight="1" outlineLevel="1" x14ac:dyDescent="0.3">
      <c r="F145" s="7" t="s">
        <v>81</v>
      </c>
      <c r="I145" s="96">
        <f t="shared" si="14"/>
        <v>0</v>
      </c>
      <c r="J145" s="97" t="str">
        <f t="shared" si="15"/>
        <v>n.a.</v>
      </c>
      <c r="L145" s="40"/>
      <c r="N145" s="98" t="s">
        <v>126</v>
      </c>
      <c r="Q145" s="43"/>
      <c r="R145" s="43"/>
      <c r="S145" s="173"/>
      <c r="AA145" s="11"/>
    </row>
    <row r="146" spans="5:27" ht="12" customHeight="1" outlineLevel="1" x14ac:dyDescent="0.3">
      <c r="F146" s="7" t="s">
        <v>82</v>
      </c>
      <c r="I146" s="96">
        <f t="shared" si="14"/>
        <v>0</v>
      </c>
      <c r="J146" s="97" t="str">
        <f t="shared" si="15"/>
        <v>n.a.</v>
      </c>
      <c r="L146" s="40"/>
      <c r="N146" s="98" t="s">
        <v>126</v>
      </c>
      <c r="Q146" s="43"/>
      <c r="R146" s="43"/>
      <c r="S146" s="173"/>
      <c r="AA146" s="11"/>
    </row>
    <row r="147" spans="5:27" ht="12" customHeight="1" outlineLevel="1" x14ac:dyDescent="0.3">
      <c r="F147" s="7" t="s">
        <v>83</v>
      </c>
      <c r="I147" s="96">
        <f t="shared" si="14"/>
        <v>0</v>
      </c>
      <c r="J147" s="97" t="str">
        <f t="shared" si="15"/>
        <v>n.a.</v>
      </c>
      <c r="L147" s="40"/>
      <c r="N147" s="98" t="s">
        <v>126</v>
      </c>
      <c r="Q147" s="43"/>
      <c r="R147" s="43"/>
      <c r="S147" s="173"/>
      <c r="AA147" s="11"/>
    </row>
    <row r="148" spans="5:27" ht="12" customHeight="1" outlineLevel="1" x14ac:dyDescent="0.3">
      <c r="F148" s="7" t="s">
        <v>84</v>
      </c>
      <c r="I148" s="96">
        <f t="shared" si="14"/>
        <v>0</v>
      </c>
      <c r="J148" s="97" t="str">
        <f t="shared" si="15"/>
        <v>n.a.</v>
      </c>
      <c r="L148" s="40"/>
      <c r="N148" s="98" t="s">
        <v>126</v>
      </c>
      <c r="Q148" s="43"/>
      <c r="R148" s="43"/>
      <c r="S148" s="173"/>
      <c r="AA148" s="11"/>
    </row>
    <row r="149" spans="5:27" ht="12" customHeight="1" x14ac:dyDescent="0.3">
      <c r="E149" s="7" t="s">
        <v>75</v>
      </c>
      <c r="I149" s="96">
        <f>IFERROR(SUMPRODUCT((Catégoriedetransaction_1=E149)*(Datedetransaction_1&gt;=Début_Période_1)*(Datedetransaction_1&lt;=Fin_Période_1)*(Check_Comptabilisation_1=Oui)*(Statut_transaction_1=Incluse)*(Banque_émettrice_1=HSBC)*Montant_1),"n.a.")</f>
        <v>0</v>
      </c>
      <c r="J149" s="97">
        <f>IFERROR(I149/$I$175,"n.a.")</f>
        <v>0</v>
      </c>
      <c r="L149" s="40"/>
      <c r="N149" s="98"/>
      <c r="Q149" s="43">
        <f>SUM(I139:I148)-I149</f>
        <v>0</v>
      </c>
      <c r="R149" s="43">
        <f>IF(SUM($J$139:$J$148)=0,0,1-SUM($J$139:$J$148))</f>
        <v>0</v>
      </c>
      <c r="S149" s="173">
        <f>IF(ABS(Q149)&gt;0.001,1,0)</f>
        <v>0</v>
      </c>
      <c r="AA149" s="11"/>
    </row>
    <row r="150" spans="5:27" ht="5.25" customHeight="1" outlineLevel="1" x14ac:dyDescent="0.3">
      <c r="E150" s="38"/>
      <c r="F150" s="38"/>
      <c r="G150" s="38"/>
      <c r="H150" s="38"/>
      <c r="I150" s="101"/>
      <c r="J150" s="83"/>
      <c r="L150" s="40"/>
      <c r="N150" s="98"/>
      <c r="Q150" s="43"/>
      <c r="R150" s="43"/>
      <c r="S150" s="173"/>
      <c r="AA150" s="11"/>
    </row>
    <row r="151" spans="5:27" ht="12" customHeight="1" outlineLevel="1" x14ac:dyDescent="0.3">
      <c r="F151" s="7" t="s">
        <v>85</v>
      </c>
      <c r="I151" s="96">
        <f t="shared" ref="I151:I158" si="16">IFERROR(SUMPRODUCT((Datedetransaction_1&gt;=Début_Période_1)*(Datedetransaction_1&lt;=Fin_Période_1)*(Catégoriedetransaction_1=$E$159)*(Souscatégoriedetransaction_1=F151)*(Check_Comptabilisation_1=Oui)*(Statut_transaction_1=Incluse)*(Banque_émettrice_1=HSBC)*Montant_1),"n.a.")</f>
        <v>0</v>
      </c>
      <c r="J151" s="97" t="str">
        <f>IFERROR(I151/$I$159,"n.a.")</f>
        <v>n.a.</v>
      </c>
      <c r="L151" s="40"/>
      <c r="N151" s="98" t="s">
        <v>126</v>
      </c>
      <c r="Q151" s="43"/>
      <c r="R151" s="43"/>
      <c r="S151" s="173"/>
      <c r="AA151" s="11"/>
    </row>
    <row r="152" spans="5:27" ht="12" customHeight="1" outlineLevel="1" x14ac:dyDescent="0.3">
      <c r="F152" s="7" t="s">
        <v>86</v>
      </c>
      <c r="I152" s="96">
        <f t="shared" si="16"/>
        <v>0</v>
      </c>
      <c r="J152" s="97" t="str">
        <f t="shared" ref="J152:J158" si="17">IFERROR(I152/$I$159,"n.a.")</f>
        <v>n.a.</v>
      </c>
      <c r="L152" s="40"/>
      <c r="N152" s="98" t="s">
        <v>126</v>
      </c>
      <c r="Q152" s="43"/>
      <c r="R152" s="43"/>
      <c r="S152" s="173"/>
      <c r="AA152" s="11"/>
    </row>
    <row r="153" spans="5:27" ht="12" customHeight="1" outlineLevel="1" x14ac:dyDescent="0.3">
      <c r="F153" s="7" t="s">
        <v>87</v>
      </c>
      <c r="I153" s="96">
        <f t="shared" si="16"/>
        <v>0</v>
      </c>
      <c r="J153" s="97" t="str">
        <f t="shared" si="17"/>
        <v>n.a.</v>
      </c>
      <c r="L153" s="40"/>
      <c r="N153" s="98" t="s">
        <v>126</v>
      </c>
      <c r="Q153" s="43"/>
      <c r="R153" s="43"/>
      <c r="S153" s="173"/>
      <c r="AA153" s="11"/>
    </row>
    <row r="154" spans="5:27" ht="12" customHeight="1" outlineLevel="1" x14ac:dyDescent="0.3">
      <c r="F154" s="7" t="s">
        <v>88</v>
      </c>
      <c r="I154" s="96">
        <f t="shared" si="16"/>
        <v>0</v>
      </c>
      <c r="J154" s="97" t="str">
        <f t="shared" si="17"/>
        <v>n.a.</v>
      </c>
      <c r="L154" s="40"/>
      <c r="N154" s="98" t="s">
        <v>126</v>
      </c>
      <c r="Q154" s="43"/>
      <c r="R154" s="43"/>
      <c r="S154" s="173"/>
      <c r="AA154" s="11"/>
    </row>
    <row r="155" spans="5:27" ht="12" customHeight="1" outlineLevel="1" x14ac:dyDescent="0.3">
      <c r="F155" s="7" t="s">
        <v>89</v>
      </c>
      <c r="I155" s="96">
        <f t="shared" si="16"/>
        <v>0</v>
      </c>
      <c r="J155" s="97" t="str">
        <f t="shared" si="17"/>
        <v>n.a.</v>
      </c>
      <c r="L155" s="40"/>
      <c r="N155" s="98" t="s">
        <v>126</v>
      </c>
      <c r="Q155" s="43"/>
      <c r="R155" s="43"/>
      <c r="S155" s="173"/>
      <c r="AA155" s="11"/>
    </row>
    <row r="156" spans="5:27" ht="12" customHeight="1" outlineLevel="1" x14ac:dyDescent="0.3">
      <c r="F156" s="7" t="s">
        <v>90</v>
      </c>
      <c r="I156" s="96">
        <f t="shared" si="16"/>
        <v>0</v>
      </c>
      <c r="J156" s="97" t="str">
        <f t="shared" si="17"/>
        <v>n.a.</v>
      </c>
      <c r="L156" s="40"/>
      <c r="N156" s="98" t="s">
        <v>126</v>
      </c>
      <c r="Q156" s="43"/>
      <c r="R156" s="43"/>
      <c r="S156" s="173"/>
      <c r="AA156" s="11"/>
    </row>
    <row r="157" spans="5:27" ht="12" customHeight="1" outlineLevel="1" x14ac:dyDescent="0.3">
      <c r="F157" s="7" t="s">
        <v>91</v>
      </c>
      <c r="I157" s="96">
        <f t="shared" si="16"/>
        <v>0</v>
      </c>
      <c r="J157" s="97" t="str">
        <f>IFERROR(I157/$I$159,"n.a.")</f>
        <v>n.a.</v>
      </c>
      <c r="L157" s="40"/>
      <c r="N157" s="98" t="s">
        <v>126</v>
      </c>
      <c r="Q157" s="43"/>
      <c r="R157" s="43"/>
      <c r="S157" s="173"/>
      <c r="AA157" s="11"/>
    </row>
    <row r="158" spans="5:27" ht="12" customHeight="1" outlineLevel="1" x14ac:dyDescent="0.3">
      <c r="F158" s="7" t="s">
        <v>92</v>
      </c>
      <c r="I158" s="96">
        <f t="shared" si="16"/>
        <v>0</v>
      </c>
      <c r="J158" s="97" t="str">
        <f t="shared" si="17"/>
        <v>n.a.</v>
      </c>
      <c r="L158" s="40"/>
      <c r="N158" s="98" t="s">
        <v>126</v>
      </c>
      <c r="Q158" s="43"/>
      <c r="R158" s="43"/>
      <c r="S158" s="173"/>
      <c r="AA158" s="11"/>
    </row>
    <row r="159" spans="5:27" ht="12" customHeight="1" x14ac:dyDescent="0.3">
      <c r="E159" s="7" t="s">
        <v>104</v>
      </c>
      <c r="I159" s="96">
        <f>IFERROR(SUMPRODUCT((Catégoriedetransaction_1=E159)*(Datedetransaction_1&gt;=Début_Période_1)*(Datedetransaction_1&lt;=Fin_Période_1)*(Check_Comptabilisation_1=Oui)*(Statut_transaction_1=Incluse)*(Banque_émettrice_1=HSBC)*Montant_1),"n.a.")</f>
        <v>0</v>
      </c>
      <c r="J159" s="97">
        <f>IFERROR(I159/$I$175,"n.a.")</f>
        <v>0</v>
      </c>
      <c r="L159" s="40"/>
      <c r="N159" s="98"/>
      <c r="Q159" s="43">
        <f>SUM(I151:I158)-I159</f>
        <v>0</v>
      </c>
      <c r="R159" s="43">
        <f>IF(SUM($J$151:$J$158)=0,0,1-SUM($J$151:$J$158))</f>
        <v>0</v>
      </c>
      <c r="S159" s="173">
        <f>IF(ABS(Q159)&gt;0.001,1,0)</f>
        <v>0</v>
      </c>
      <c r="AA159" s="11"/>
    </row>
    <row r="160" spans="5:27" ht="5.25" customHeight="1" outlineLevel="1" x14ac:dyDescent="0.3">
      <c r="E160" s="38"/>
      <c r="F160" s="38"/>
      <c r="G160" s="38"/>
      <c r="H160" s="38"/>
      <c r="I160" s="101"/>
      <c r="J160" s="83"/>
      <c r="L160" s="40"/>
      <c r="N160" s="98"/>
      <c r="Q160" s="43"/>
      <c r="R160" s="43"/>
      <c r="S160" s="173"/>
      <c r="AA160" s="11"/>
    </row>
    <row r="161" spans="5:27" ht="12" customHeight="1" outlineLevel="1" x14ac:dyDescent="0.3">
      <c r="F161" s="7" t="s">
        <v>93</v>
      </c>
      <c r="I161" s="96">
        <f>IFERROR(SUMPRODUCT((Datedetransaction_1&gt;=Début_Période_1)*(Datedetransaction_1&lt;=Fin_Période_1)*(Catégoriedetransaction_1=$E$166)*(Souscatégoriedetransaction_1=F161)*(Check_Comptabilisation_1=Oui)*(Statut_transaction_1=Incluse)*(Banque_émettrice_1=HSBC)*Montant_1),"n.a.")</f>
        <v>0</v>
      </c>
      <c r="J161" s="97" t="str">
        <f>IFERROR(I161/$I$166,"n.a.")</f>
        <v>n.a.</v>
      </c>
      <c r="L161" s="40"/>
      <c r="N161" s="98" t="s">
        <v>125</v>
      </c>
      <c r="Q161" s="43"/>
      <c r="R161" s="43"/>
      <c r="S161" s="173"/>
      <c r="AA161" s="11"/>
    </row>
    <row r="162" spans="5:27" ht="12" customHeight="1" outlineLevel="1" x14ac:dyDescent="0.3">
      <c r="F162" s="7" t="s">
        <v>94</v>
      </c>
      <c r="I162" s="96">
        <f>IFERROR(SUMPRODUCT((Datedetransaction_1&gt;=Début_Période_1)*(Datedetransaction_1&lt;=Fin_Période_1)*(Catégoriedetransaction_1=$E$166)*(Souscatégoriedetransaction_1=F162)*(Check_Comptabilisation_1=Oui)*(Statut_transaction_1=Incluse)*(Banque_émettrice_1=HSBC)*Montant_1),"n.a.")</f>
        <v>0</v>
      </c>
      <c r="J162" s="97" t="str">
        <f>IFERROR(I162/$I$166,"n.a.")</f>
        <v>n.a.</v>
      </c>
      <c r="L162" s="40"/>
      <c r="N162" s="98" t="s">
        <v>126</v>
      </c>
      <c r="Q162" s="43"/>
      <c r="R162" s="43"/>
      <c r="S162" s="173"/>
      <c r="AA162" s="11"/>
    </row>
    <row r="163" spans="5:27" ht="12" customHeight="1" outlineLevel="1" x14ac:dyDescent="0.3">
      <c r="F163" s="7" t="s">
        <v>95</v>
      </c>
      <c r="I163" s="96">
        <f>IFERROR(SUMPRODUCT((Datedetransaction_1&gt;=Début_Période_1)*(Datedetransaction_1&lt;=Fin_Période_1)*(Catégoriedetransaction_1=$E$166)*(Souscatégoriedetransaction_1=F163)*(Check_Comptabilisation_1=Oui)*(Statut_transaction_1=Incluse)*(Banque_émettrice_1=HSBC)*Montant_1),"n.a.")</f>
        <v>0</v>
      </c>
      <c r="J163" s="97" t="str">
        <f>IFERROR(I163/$I$166,"n.a.")</f>
        <v>n.a.</v>
      </c>
      <c r="L163" s="40"/>
      <c r="N163" s="98" t="s">
        <v>126</v>
      </c>
      <c r="Q163" s="43"/>
      <c r="R163" s="43"/>
      <c r="S163" s="173"/>
      <c r="AA163" s="11"/>
    </row>
    <row r="164" spans="5:27" ht="12" customHeight="1" outlineLevel="1" x14ac:dyDescent="0.3">
      <c r="F164" s="7" t="s">
        <v>96</v>
      </c>
      <c r="I164" s="96">
        <f>IFERROR(SUMPRODUCT((Datedetransaction_1&gt;=Début_Période_1)*(Datedetransaction_1&lt;=Fin_Période_1)*(Catégoriedetransaction_1=$E$166)*(Souscatégoriedetransaction_1=F164)*(Check_Comptabilisation_1=Oui)*(Statut_transaction_1=Incluse)*(Banque_émettrice_1=HSBC)*Montant_1),"n.a.")</f>
        <v>0</v>
      </c>
      <c r="J164" s="97" t="str">
        <f>IFERROR(I164/$I$166,"n.a.")</f>
        <v>n.a.</v>
      </c>
      <c r="L164" s="40"/>
      <c r="N164" s="98" t="s">
        <v>126</v>
      </c>
      <c r="Q164" s="43"/>
      <c r="R164" s="43"/>
      <c r="S164" s="173"/>
      <c r="AA164" s="11"/>
    </row>
    <row r="165" spans="5:27" ht="12" customHeight="1" outlineLevel="1" x14ac:dyDescent="0.3">
      <c r="F165" s="7" t="s">
        <v>44</v>
      </c>
      <c r="I165" s="96">
        <f>IFERROR(SUMPRODUCT((Datedetransaction_1&gt;=Début_Période_1)*(Datedetransaction_1&lt;=Fin_Période_1)*(Catégoriedetransaction_1=$E$166)*(Souscatégoriedetransaction_1=F165)*(Check_Comptabilisation_1=Oui)*(Statut_transaction_1=Incluse)*(Banque_émettrice_1=HSBC)*Montant_1),"n.a.")</f>
        <v>0</v>
      </c>
      <c r="J165" s="97" t="str">
        <f>IFERROR(I165/$I$166,"n.a.")</f>
        <v>n.a.</v>
      </c>
      <c r="L165" s="40"/>
      <c r="N165" s="98" t="s">
        <v>126</v>
      </c>
      <c r="Q165" s="43"/>
      <c r="R165" s="43"/>
      <c r="S165" s="173"/>
      <c r="AA165" s="11"/>
    </row>
    <row r="166" spans="5:27" ht="12" customHeight="1" x14ac:dyDescent="0.3">
      <c r="E166" s="7" t="s">
        <v>95</v>
      </c>
      <c r="I166" s="96">
        <f>IFERROR(SUMPRODUCT((Catégoriedetransaction_1=E166)*(Datedetransaction_1&gt;=Début_Période_1)*(Datedetransaction_1&lt;=Fin_Période_1)*(Check_Comptabilisation_1=Oui)*(Statut_transaction_1=Incluse)*(Banque_émettrice_1=HSBC)*Montant_1),"n.a.")</f>
        <v>0</v>
      </c>
      <c r="J166" s="97">
        <f>IFERROR(I166/$I$175,"n.a.")</f>
        <v>0</v>
      </c>
      <c r="L166" s="40"/>
      <c r="N166" s="98"/>
      <c r="Q166" s="43">
        <f>SUM(I161:I165)-I166</f>
        <v>0</v>
      </c>
      <c r="R166" s="43">
        <f>IF(SUM($J$161:$J$165)=0,0,1-SUM($J$161:$J$165))</f>
        <v>0</v>
      </c>
      <c r="S166" s="173">
        <f>IF(ABS(Q166)&gt;0.001,1,0)</f>
        <v>0</v>
      </c>
      <c r="AA166" s="11"/>
    </row>
    <row r="167" spans="5:27" ht="5.25" customHeight="1" outlineLevel="1" x14ac:dyDescent="0.3">
      <c r="E167" s="38"/>
      <c r="F167" s="38"/>
      <c r="G167" s="38"/>
      <c r="H167" s="38"/>
      <c r="I167" s="101"/>
      <c r="J167" s="83"/>
      <c r="L167" s="40"/>
      <c r="N167" s="98"/>
      <c r="Q167" s="43"/>
      <c r="R167" s="43"/>
      <c r="S167" s="173"/>
      <c r="AA167" s="11"/>
    </row>
    <row r="168" spans="5:27" ht="12" customHeight="1" outlineLevel="1" x14ac:dyDescent="0.3">
      <c r="F168" s="7" t="s">
        <v>70</v>
      </c>
      <c r="I168" s="96">
        <f>IFERROR(SUMPRODUCT((Datedetransaction_1&gt;=Début_Période_1)*(Datedetransaction_1&lt;=Fin_Période_1)*(Catégoriedetransaction_1=$E$173)*(Souscatégoriedetransaction_1=F168)*(Check_Comptabilisation_1=Oui)*(Statut_transaction_1=Incluse)*(Banque_émettrice_1=HSBC)*Montant_1),"n.a.")</f>
        <v>0</v>
      </c>
      <c r="J168" s="97">
        <f>IFERROR(I168/$I$173,"n.a.")</f>
        <v>0</v>
      </c>
      <c r="L168" s="40"/>
      <c r="N168" s="98" t="s">
        <v>126</v>
      </c>
      <c r="Q168" s="43"/>
      <c r="R168" s="43"/>
      <c r="S168" s="173"/>
      <c r="AA168" s="11"/>
    </row>
    <row r="169" spans="5:27" ht="12" customHeight="1" outlineLevel="1" x14ac:dyDescent="0.3">
      <c r="F169" s="7" t="s">
        <v>71</v>
      </c>
      <c r="I169" s="96">
        <f>IFERROR(SUMPRODUCT((Datedetransaction_1&gt;=Début_Période_1)*(Datedetransaction_1&lt;=Fin_Période_1)*(Catégoriedetransaction_1=$E$173)*(Souscatégoriedetransaction_1=F169)*(Check_Comptabilisation_1=Oui)*(Statut_transaction_1=Incluse)*(Banque_émettrice_1=HSBC)*Montant_1),"n.a.")</f>
        <v>0</v>
      </c>
      <c r="J169" s="97">
        <f>IFERROR(I169/$I$173,"n.a.")</f>
        <v>0</v>
      </c>
      <c r="L169" s="40"/>
      <c r="N169" s="98" t="s">
        <v>126</v>
      </c>
      <c r="Q169" s="43"/>
      <c r="R169" s="43"/>
      <c r="S169" s="173"/>
      <c r="AA169" s="11"/>
    </row>
    <row r="170" spans="5:27" ht="12" customHeight="1" outlineLevel="1" x14ac:dyDescent="0.3">
      <c r="F170" s="7" t="s">
        <v>72</v>
      </c>
      <c r="I170" s="96">
        <f>IFERROR(SUMPRODUCT((Datedetransaction_1&gt;=Début_Période_1)*(Datedetransaction_1&lt;=Fin_Période_1)*(Catégoriedetransaction_1=$E$173)*(Souscatégoriedetransaction_1=F170)*(Check_Comptabilisation_1=Oui)*(Statut_transaction_1=Incluse)*(Banque_émettrice_1=HSBC)*Montant_1),"n.a.")</f>
        <v>29.5</v>
      </c>
      <c r="J170" s="97">
        <f>IFERROR(I170/$I$173,"n.a.")</f>
        <v>1</v>
      </c>
      <c r="L170" s="40"/>
      <c r="N170" s="98" t="s">
        <v>126</v>
      </c>
      <c r="Q170" s="43"/>
      <c r="R170" s="43"/>
      <c r="S170" s="173"/>
      <c r="AA170" s="11"/>
    </row>
    <row r="171" spans="5:27" ht="12" customHeight="1" outlineLevel="1" x14ac:dyDescent="0.3">
      <c r="F171" s="7" t="s">
        <v>73</v>
      </c>
      <c r="I171" s="96">
        <f>IFERROR(SUMPRODUCT((Datedetransaction_1&gt;=Début_Période_1)*(Datedetransaction_1&lt;=Fin_Période_1)*(Catégoriedetransaction_1=$E$173)*(Souscatégoriedetransaction_1=F171)*(Check_Comptabilisation_1=Oui)*(Statut_transaction_1=Incluse)*(Banque_émettrice_1=HSBC)*Montant_1),"n.a.")</f>
        <v>0</v>
      </c>
      <c r="J171" s="97">
        <f>IFERROR(I171/$I$173,"n.a.")</f>
        <v>0</v>
      </c>
      <c r="L171" s="40"/>
      <c r="N171" s="98" t="s">
        <v>126</v>
      </c>
      <c r="Q171" s="43"/>
      <c r="R171" s="43"/>
      <c r="S171" s="173"/>
      <c r="AA171" s="11"/>
    </row>
    <row r="172" spans="5:27" ht="12" customHeight="1" outlineLevel="1" x14ac:dyDescent="0.3">
      <c r="F172" s="7" t="s">
        <v>74</v>
      </c>
      <c r="I172" s="96">
        <f>IFERROR(SUMPRODUCT((Datedetransaction_1&gt;=Début_Période_1)*(Datedetransaction_1&lt;=Fin_Période_1)*(Catégoriedetransaction_1=$E$173)*(Souscatégoriedetransaction_1=F172)*(Check_Comptabilisation_1=Oui)*(Statut_transaction_1=Incluse)*(Banque_émettrice_1=HSBC)*Montant_1),"n.a.")</f>
        <v>0</v>
      </c>
      <c r="J172" s="97">
        <f>IFERROR(I172/$I$173,"n.a.")</f>
        <v>0</v>
      </c>
      <c r="L172" s="40"/>
      <c r="N172" s="98" t="s">
        <v>126</v>
      </c>
      <c r="Q172" s="43"/>
      <c r="R172" s="43"/>
      <c r="S172" s="173"/>
      <c r="AA172" s="11"/>
    </row>
    <row r="173" spans="5:27" ht="12" customHeight="1" x14ac:dyDescent="0.3">
      <c r="E173" s="38" t="s">
        <v>69</v>
      </c>
      <c r="F173" s="38"/>
      <c r="G173" s="38"/>
      <c r="H173" s="38"/>
      <c r="I173" s="101">
        <f>IFERROR(SUMPRODUCT((Catégoriedetransaction_1=E173)*(Datedetransaction_1&gt;=Début_Période_1)*(Datedetransaction_1&lt;=Fin_Période_1)*(Typedetransaction_1&lt;&gt;Config_Rev)*(Check_Comptabilisation_1=Oui)*(Statut_transaction_1=Incluse)*(Banque_émettrice_1=HSBC)*Montant_1),"n.a.")</f>
        <v>29.5</v>
      </c>
      <c r="J173" s="97">
        <f>IFERROR(I173/$I$175,"n.a.")</f>
        <v>8.1769548465781522E-2</v>
      </c>
      <c r="L173" s="40"/>
      <c r="N173" s="98"/>
      <c r="Q173" s="43">
        <f>SUM(I168:I172)-I173</f>
        <v>0</v>
      </c>
      <c r="R173" s="43">
        <f>IF(SUM($J$168:$J$172)=0,0,1-SUM($J$168:$J$172))</f>
        <v>0</v>
      </c>
      <c r="S173" s="173">
        <f>IF(ABS(Q173)&gt;0.001,1,0)</f>
        <v>0</v>
      </c>
      <c r="AA173" s="11"/>
    </row>
    <row r="174" spans="5:27" ht="5.25" customHeight="1" x14ac:dyDescent="0.3">
      <c r="E174" s="102"/>
      <c r="F174" s="102"/>
      <c r="G174" s="102"/>
      <c r="H174" s="102"/>
      <c r="I174" s="101"/>
      <c r="J174" s="97"/>
      <c r="L174" s="5"/>
      <c r="Q174" s="43"/>
      <c r="R174" s="43"/>
      <c r="S174" s="173"/>
      <c r="AA174" s="11"/>
    </row>
    <row r="175" spans="5:27" ht="12" customHeight="1" x14ac:dyDescent="0.3">
      <c r="E175" s="61" t="s">
        <v>211</v>
      </c>
      <c r="F175" s="61"/>
      <c r="G175" s="61"/>
      <c r="H175" s="61"/>
      <c r="I175" s="41">
        <f>I55+I66+I78+I82+I90+I96+I99+I107+I120+I129+I137+I149+I159+I166+I173</f>
        <v>360.77</v>
      </c>
      <c r="J175" s="103">
        <f>IFERROR(J55+J66+J78+J82+J90+J96+J99+J107+J120+J129+J137+J149+J159+J166+J173,"n.a.")</f>
        <v>1</v>
      </c>
      <c r="L175" s="5"/>
      <c r="Q175" s="43"/>
      <c r="R175" s="43"/>
      <c r="S175" s="173"/>
      <c r="AA175" s="11"/>
    </row>
    <row r="176" spans="5:27" ht="5.25" customHeight="1" x14ac:dyDescent="0.3">
      <c r="I176" s="31"/>
      <c r="L176" s="5"/>
      <c r="Q176" s="43"/>
      <c r="R176" s="43"/>
      <c r="S176" s="173"/>
      <c r="AA176" s="11"/>
    </row>
    <row r="177" spans="5:27" ht="12" customHeight="1" x14ac:dyDescent="0.3">
      <c r="E177" s="38" t="s">
        <v>152</v>
      </c>
      <c r="G177" s="38"/>
      <c r="H177" s="38"/>
      <c r="I177" s="96">
        <f>IFERROR(SUMPRODUCT((Datedetransaction_1&gt;=Début_Période_1)*(Datedetransaction_1&lt;=Fin_Période_1)*(Typedetransaction_1=Config_Rééquilibrage)*(Check_Comptabilisation_1=Oui)*(Statut_transaction_1=Incluse)*(Banque_émettrice_1=HSBC)*Montant_1),"n.a.")</f>
        <v>0</v>
      </c>
      <c r="J177" s="97">
        <f>IFERROR(I177/$I$175,"n.a.")</f>
        <v>0</v>
      </c>
      <c r="L177" s="5"/>
      <c r="Q177" s="43"/>
      <c r="R177" s="43"/>
      <c r="S177" s="173"/>
      <c r="AA177" s="11"/>
    </row>
    <row r="178" spans="5:27" ht="5.25" customHeight="1" outlineLevel="1" x14ac:dyDescent="0.3">
      <c r="E178" s="38"/>
      <c r="F178" s="38"/>
      <c r="G178" s="38"/>
      <c r="H178" s="38"/>
      <c r="I178" s="101"/>
      <c r="J178" s="97"/>
      <c r="L178" s="5"/>
      <c r="Q178" s="43"/>
      <c r="R178" s="43"/>
      <c r="S178" s="173"/>
      <c r="AA178" s="11"/>
    </row>
    <row r="179" spans="5:27" ht="12" customHeight="1" outlineLevel="1" x14ac:dyDescent="0.3">
      <c r="E179" s="38"/>
      <c r="F179" s="38" t="s">
        <v>197</v>
      </c>
      <c r="G179" s="38"/>
      <c r="H179" s="38" t="str">
        <f>"Nb : "&amp;IFERROR(SUMPRODUCT((Datedetransaction_1&gt;=Début_Période_1)*(Datedetransaction_1&lt;=Fin_Période_1)*(Typedetransaction_1=Config_Virements_Envoyés)*(Fluxréel_1&lt;=0)*(Check_Comptabilisation_1=Oui)*(Statut_transaction_1=Incluse)*(Banque_émettrice_1=HSBC)*Comptage_transactions_1),"n.a.")</f>
        <v>Nb : 0</v>
      </c>
      <c r="I179" s="96">
        <f>IFERROR(SUMPRODUCT((Datedetransaction_1&gt;=Début_Période_1)*(Datedetransaction_1&lt;=Fin_Période_1)*(Typedetransaction_1=Config_Virements_Envoyés)*(Fluxréel_1&lt;=0)*(Check_Comptabilisation_1=Oui)*(Statut_transaction_1=Incluse)*(Banque_émettrice_1=HSBC)*Montant_1),"n.a.")</f>
        <v>0</v>
      </c>
      <c r="J179" s="97" t="str">
        <f>IFERROR(I179/SUM($I$179:$I$180),"n.a.")</f>
        <v>n.a.</v>
      </c>
      <c r="L179" s="5"/>
      <c r="Q179" s="43"/>
      <c r="R179" s="43"/>
      <c r="S179" s="173"/>
      <c r="AA179" s="11"/>
    </row>
    <row r="180" spans="5:27" ht="12" customHeight="1" outlineLevel="1" x14ac:dyDescent="0.3">
      <c r="E180" s="38"/>
      <c r="F180" s="38" t="s">
        <v>198</v>
      </c>
      <c r="G180" s="38"/>
      <c r="H180" s="38" t="str">
        <f>"Nb : "&amp;IFERROR(SUMPRODUCT((Datedetransaction_1&gt;=Début_Période_1)*(Datedetransaction_1&lt;=Fin_Période_1)*(Typedetransaction_1=Config_Virements_Reçus)*(Fluxréel_1&gt;=0)*(Check_Comptabilisation_1=Oui)*(Statut_transaction_1=Incluse)*(Banque_émettrice_1=HSBC)*Comptage_transactions_1),"n.a.")</f>
        <v>Nb : 0</v>
      </c>
      <c r="I180" s="96">
        <f>IFERROR(SUMPRODUCT((Datedetransaction_1&gt;=Début_Période_1)*(Datedetransaction_1&lt;=Fin_Période_1)*(Typedetransaction_1=Config_Virements_Reçus)*(Fluxréel_1&gt;=0)*(Check_Comptabilisation_1=Oui)*(Statut_transaction_1=Incluse)*(Banque_émettrice_1=HSBC)*Montant_1),"n.a.")</f>
        <v>0</v>
      </c>
      <c r="J180" s="97" t="str">
        <f>IFERROR(I180/SUM($I$179:$I$180),"n.a.")</f>
        <v>n.a.</v>
      </c>
      <c r="L180" s="5"/>
      <c r="Q180" s="43">
        <f>IFERROR(SUMPRODUCT((Datedetransaction_1&gt;=Début_Période_1)*(Datedetransaction_1&lt;=Fin_Période_1)*((Typedetransaction_1=Config_Virements_Envoyés)+(Typedetransaction_1=Config_Virements_Reçus))*(Check_Comptabilisation_1=Oui)*(Statut_transaction_1=Incluse)*(Banque_émettrice_1=HSBC)*Montant_1),"n.a.")-I179-I180</f>
        <v>0</v>
      </c>
      <c r="R180" s="43"/>
      <c r="S180" s="173">
        <f>IF(ABS(Q180)&gt;0.001,1,0)</f>
        <v>0</v>
      </c>
      <c r="AA180" s="11"/>
    </row>
    <row r="181" spans="5:27" ht="12" customHeight="1" x14ac:dyDescent="0.3">
      <c r="E181" s="38" t="s">
        <v>196</v>
      </c>
      <c r="G181" s="38"/>
      <c r="H181" s="38"/>
      <c r="I181" s="96">
        <f>I180-I179</f>
        <v>0</v>
      </c>
      <c r="J181" s="97">
        <f>IFERROR(I181/$I$175,"n.a.")</f>
        <v>0</v>
      </c>
      <c r="L181" s="5"/>
      <c r="Q181" s="43"/>
      <c r="R181" s="43"/>
      <c r="S181" s="173"/>
      <c r="AA181" s="11"/>
    </row>
    <row r="182" spans="5:27" ht="5.25" customHeight="1" outlineLevel="1" x14ac:dyDescent="0.3">
      <c r="E182" s="38"/>
      <c r="F182" s="38"/>
      <c r="G182" s="38"/>
      <c r="H182" s="38"/>
      <c r="I182" s="101"/>
      <c r="J182" s="97"/>
      <c r="L182" s="5"/>
      <c r="Q182" s="43"/>
      <c r="R182" s="43"/>
      <c r="S182" s="173"/>
      <c r="AA182" s="11"/>
    </row>
    <row r="183" spans="5:27" ht="12" customHeight="1" outlineLevel="1" x14ac:dyDescent="0.3">
      <c r="E183" s="38"/>
      <c r="F183" s="38" t="s">
        <v>241</v>
      </c>
      <c r="G183" s="38"/>
      <c r="H183" s="38" t="str">
        <f>"Nb : "&amp;IFERROR(SUMPRODUCT((Datedetransaction_1&gt;=Début_Période_1)*(Datedetransaction_1&lt;=Fin_Période_1)*(Statut_transaction_1=Exclue)*(Check_Comptabilisation_1=Oui)*(Fluxréel_1&lt;0)*(Banque_émettrice_1=HSBC)*Comptage_transactions_1),"n.a.")</f>
        <v>Nb : 0</v>
      </c>
      <c r="I183" s="101">
        <f>IFERROR(SUMPRODUCT((Datedetransaction_1&gt;=Début_Période_1)*(Datedetransaction_1&lt;=Fin_Période_1)*(Statut_transaction_1=Exclue)*(Check_Comptabilisation_1=Oui)*(Fluxréel_1&lt;0)*(Banque_émettrice_1=HSBC)*Montant_1),"n.a.")</f>
        <v>0</v>
      </c>
      <c r="J183" s="97" t="str">
        <f>IFERROR(I183/SUM($I$183:$I$184),"n.a.")</f>
        <v>n.a.</v>
      </c>
      <c r="L183" s="5"/>
      <c r="Q183" s="43"/>
      <c r="R183" s="43"/>
      <c r="S183" s="173"/>
      <c r="AA183" s="11"/>
    </row>
    <row r="184" spans="5:27" ht="12" customHeight="1" outlineLevel="1" x14ac:dyDescent="0.3">
      <c r="E184" s="38"/>
      <c r="F184" s="38" t="s">
        <v>242</v>
      </c>
      <c r="G184" s="38"/>
      <c r="H184" s="38" t="str">
        <f>"Nb : "&amp;IFERROR(SUMPRODUCT((Datedetransaction_1&gt;=Début_Période_1)*(Datedetransaction_1&lt;=Fin_Période_1)*(Statut_transaction_1=Exclue)*(Check_Comptabilisation_1=Oui)*(Fluxréel_1&gt;=0)*(Banque_émettrice_1=HSBC)*Comptage_transactions_1),"n.a.")</f>
        <v>Nb : 0</v>
      </c>
      <c r="I184" s="101">
        <f>IFERROR(SUMPRODUCT((Datedetransaction_1&gt;=Début_Période_1)*(Datedetransaction_1&lt;=Fin_Période_1)*(Statut_transaction_1=Exclue)*(Check_Comptabilisation_1=Oui)*(Fluxréel_1&gt;=0)*(Banque_émettrice_1=HSBC)*Montant_1),"n.a.")</f>
        <v>0</v>
      </c>
      <c r="J184" s="97" t="str">
        <f>IFERROR(I184/SUM($I$183:$I$184),"n.a.")</f>
        <v>n.a.</v>
      </c>
      <c r="L184" s="5"/>
      <c r="Q184" s="43">
        <f>IFERROR(SUMPRODUCT((Datedetransaction_1&gt;=Début_Période_1)*(Datedetransaction_1&lt;=Fin_Période_1)*(Statut_transaction_1=Exclue)*(Check_Comptabilisation_1=Oui)*(Banque_émettrice_1=HSBC)*Montant_1),"n.a.")-I183-I184</f>
        <v>0</v>
      </c>
      <c r="R184" s="43"/>
      <c r="S184" s="173">
        <f>IF(ABS(Q184)&gt;0.001,1,0)</f>
        <v>0</v>
      </c>
      <c r="AA184" s="11"/>
    </row>
    <row r="185" spans="5:27" ht="12" customHeight="1" x14ac:dyDescent="0.3">
      <c r="E185" s="38" t="s">
        <v>212</v>
      </c>
      <c r="G185" s="38"/>
      <c r="H185" s="38"/>
      <c r="I185" s="96">
        <f>I184-I183</f>
        <v>0</v>
      </c>
      <c r="J185" s="97">
        <f>SUM(J183:J184)</f>
        <v>0</v>
      </c>
      <c r="L185" s="5"/>
      <c r="Q185" s="42"/>
      <c r="R185" s="104"/>
      <c r="S185" s="33"/>
      <c r="AA185" s="11"/>
    </row>
    <row r="186" spans="5:27" ht="5.25" customHeight="1" x14ac:dyDescent="0.3">
      <c r="E186" s="30"/>
      <c r="F186" s="30"/>
      <c r="G186" s="30"/>
      <c r="H186" s="30"/>
      <c r="I186" s="30"/>
      <c r="J186" s="30"/>
      <c r="L186" s="5"/>
      <c r="Q186" s="15"/>
      <c r="R186" s="15"/>
      <c r="S186" s="16"/>
      <c r="AA186" s="11"/>
    </row>
    <row r="187" spans="5:27" ht="12" customHeight="1" x14ac:dyDescent="0.3">
      <c r="L187" s="5"/>
      <c r="Q187" s="56" t="s">
        <v>243</v>
      </c>
      <c r="R187" s="15"/>
      <c r="S187" s="16"/>
      <c r="AA187" s="11"/>
    </row>
    <row r="188" spans="5:27" ht="12" customHeight="1" x14ac:dyDescent="0.3">
      <c r="I188" s="31"/>
      <c r="L188" s="5"/>
      <c r="Q188" s="56" t="s">
        <v>197</v>
      </c>
      <c r="R188" s="35">
        <f>IFERROR(SUMPRODUCT((Datedetransaction_1&gt;=Début_Période_1)*(Datedetransaction_1&lt;=Fin_Période_1)*(Typedetransaction_1=Config_Virements_Envoyés)*(Fluxréel_1&lt;=0)*(Check_Comptabilisation_1=Oui)*(Statut_transaction_1=Incluse)*(Banque_émettrice_1=HSBC)*Comptage_transactions_1),"n.a.")</f>
        <v>0</v>
      </c>
      <c r="S188" s="16"/>
      <c r="AA188" s="11"/>
    </row>
    <row r="189" spans="5:27" ht="12" customHeight="1" x14ac:dyDescent="0.3">
      <c r="L189" s="5"/>
      <c r="Q189" s="56" t="s">
        <v>198</v>
      </c>
      <c r="R189" s="35">
        <f>IFERROR(SUMPRODUCT((Datedetransaction_1&gt;=Début_Période_1)*(Datedetransaction_1&lt;=Fin_Période_1)*(Typedetransaction_1=Config_Virements_Reçus)*(Fluxréel_1&gt;=0)*(Check_Comptabilisation_1=Oui)*(Statut_transaction_1=Incluse)*(Banque_émettrice_1=HSBC)*Comptage_transactions_1),"n.a.")</f>
        <v>0</v>
      </c>
      <c r="S189" s="16"/>
      <c r="AA189" s="11"/>
    </row>
    <row r="190" spans="5:27" ht="12" customHeight="1" x14ac:dyDescent="0.3">
      <c r="L190" s="5"/>
      <c r="Q190" s="56" t="s">
        <v>244</v>
      </c>
      <c r="R190" s="15"/>
      <c r="S190" s="16"/>
      <c r="AA190" s="11"/>
    </row>
    <row r="191" spans="5:27" ht="12" customHeight="1" x14ac:dyDescent="0.3">
      <c r="L191" s="5"/>
      <c r="Q191" s="56" t="s">
        <v>245</v>
      </c>
      <c r="R191" s="35">
        <f>IFERROR(SUMPRODUCT((Datedetransaction_1&gt;=Début_Période_1)*(Datedetransaction_1&lt;=Fin_Période_1)*(Statut_transaction_1=Exclue)*(Check_Comptabilisation_1=Oui)*(Fluxréel_1&lt;0)*(Banque_émettrice_1=HSBC)*Comptage_transactions_1),"n.a.")</f>
        <v>0</v>
      </c>
      <c r="S191" s="16"/>
      <c r="AA191" s="11"/>
    </row>
    <row r="192" spans="5:27" ht="12" customHeight="1" x14ac:dyDescent="0.3">
      <c r="L192" s="5"/>
      <c r="Q192" s="56" t="s">
        <v>246</v>
      </c>
      <c r="R192" s="35">
        <f>IFERROR(SUMPRODUCT((Datedetransaction_1&gt;=Début_Période_1)*(Datedetransaction_1&lt;=Fin_Période_1)*(Statut_transaction_1=Exclue)*(Check_Comptabilisation_1=Oui)*(Fluxréel_1&gt;=0)*(Banque_émettrice_1=HSBC)*Comptage_transactions_1),"n.a.")</f>
        <v>0</v>
      </c>
      <c r="S192" s="16"/>
      <c r="AA192" s="11"/>
    </row>
    <row r="193" spans="1:27" ht="12" customHeight="1" x14ac:dyDescent="0.3">
      <c r="L193" s="5"/>
      <c r="Q193" s="15"/>
      <c r="R193" s="15"/>
      <c r="S193" s="16"/>
      <c r="AA193" s="11"/>
    </row>
    <row r="194" spans="1:27" ht="12" customHeight="1" x14ac:dyDescent="0.3">
      <c r="L194" s="5"/>
      <c r="Q194" s="15"/>
      <c r="R194" s="15"/>
      <c r="S194" s="16"/>
      <c r="AA194" s="11"/>
    </row>
    <row r="195" spans="1:27" ht="12" customHeight="1" x14ac:dyDescent="0.3">
      <c r="L195" s="5"/>
      <c r="Q195" s="15"/>
      <c r="R195" s="15"/>
      <c r="S195" s="16"/>
      <c r="AA195" s="11"/>
    </row>
    <row r="196" spans="1:27" ht="12" customHeight="1" x14ac:dyDescent="0.3">
      <c r="L196" s="5"/>
      <c r="Q196" s="15"/>
      <c r="R196" s="15"/>
      <c r="S196" s="16"/>
      <c r="AA196" s="11"/>
    </row>
    <row r="197" spans="1:27" ht="12" customHeight="1" x14ac:dyDescent="0.3">
      <c r="L197" s="5"/>
      <c r="Q197" s="15"/>
      <c r="R197" s="15"/>
      <c r="S197" s="16"/>
      <c r="AA197" s="11"/>
    </row>
    <row r="198" spans="1:27" ht="12" customHeight="1" x14ac:dyDescent="0.3">
      <c r="L198" s="5"/>
      <c r="Q198" s="15"/>
      <c r="R198" s="15"/>
      <c r="S198" s="16"/>
      <c r="AA198" s="11"/>
    </row>
    <row r="199" spans="1:27" ht="12" customHeight="1" x14ac:dyDescent="0.3">
      <c r="Q199" s="15"/>
      <c r="R199" s="15"/>
      <c r="S199" s="16"/>
      <c r="AA199" s="11"/>
    </row>
    <row r="200" spans="1:27" ht="12" customHeight="1" x14ac:dyDescent="0.3">
      <c r="Q200" s="15"/>
      <c r="R200" s="15"/>
      <c r="S200" s="16"/>
      <c r="AA200" s="11"/>
    </row>
    <row r="201" spans="1:27" ht="12" customHeight="1" x14ac:dyDescent="0.3">
      <c r="Q201" s="15"/>
      <c r="R201" s="15"/>
      <c r="S201" s="16"/>
      <c r="AA201" s="11"/>
    </row>
    <row r="202" spans="1:27" ht="12" customHeight="1" x14ac:dyDescent="0.3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220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40" t="s">
        <v>236</v>
      </c>
    </row>
  </sheetData>
  <conditionalFormatting sqref="J14 S6 S8:S1048576">
    <cfRule type="cellIs" dxfId="65" priority="128" operator="greaterThan">
      <formula>0</formula>
    </cfRule>
  </conditionalFormatting>
  <conditionalFormatting sqref="Q55:Q56 R67:R77 R97:R98 Q182:Q183 Q173:Q174 Q177:Q180">
    <cfRule type="cellIs" dxfId="64" priority="127" operator="notEqual">
      <formula>0</formula>
    </cfRule>
  </conditionalFormatting>
  <conditionalFormatting sqref="Q66:Q67">
    <cfRule type="cellIs" dxfId="63" priority="125" operator="notEqual">
      <formula>0</formula>
    </cfRule>
  </conditionalFormatting>
  <conditionalFormatting sqref="Q78:Q79">
    <cfRule type="cellIs" dxfId="62" priority="124" operator="notEqual">
      <formula>0</formula>
    </cfRule>
  </conditionalFormatting>
  <conditionalFormatting sqref="Q90:Q91">
    <cfRule type="cellIs" dxfId="61" priority="123" operator="notEqual">
      <formula>0</formula>
    </cfRule>
  </conditionalFormatting>
  <conditionalFormatting sqref="Q96:Q97">
    <cfRule type="cellIs" dxfId="60" priority="122" operator="notEqual">
      <formula>0</formula>
    </cfRule>
  </conditionalFormatting>
  <conditionalFormatting sqref="Q100">
    <cfRule type="cellIs" dxfId="59" priority="121" operator="notEqual">
      <formula>0</formula>
    </cfRule>
  </conditionalFormatting>
  <conditionalFormatting sqref="Q107:Q108">
    <cfRule type="cellIs" dxfId="58" priority="120" operator="notEqual">
      <formula>0</formula>
    </cfRule>
  </conditionalFormatting>
  <conditionalFormatting sqref="Q120:Q121">
    <cfRule type="cellIs" dxfId="57" priority="119" operator="notEqual">
      <formula>0</formula>
    </cfRule>
  </conditionalFormatting>
  <conditionalFormatting sqref="Q129:Q130">
    <cfRule type="cellIs" dxfId="56" priority="118" operator="notEqual">
      <formula>0</formula>
    </cfRule>
  </conditionalFormatting>
  <conditionalFormatting sqref="Q137:Q138">
    <cfRule type="cellIs" dxfId="55" priority="117" operator="notEqual">
      <formula>0</formula>
    </cfRule>
  </conditionalFormatting>
  <conditionalFormatting sqref="Q166:Q167">
    <cfRule type="cellIs" dxfId="54" priority="115" operator="notEqual">
      <formula>0</formula>
    </cfRule>
  </conditionalFormatting>
  <conditionalFormatting sqref="Q159:Q160">
    <cfRule type="cellIs" dxfId="53" priority="114" operator="notEqual">
      <formula>0</formula>
    </cfRule>
  </conditionalFormatting>
  <conditionalFormatting sqref="Q149:Q150">
    <cfRule type="cellIs" dxfId="52" priority="113" operator="notEqual">
      <formula>0</formula>
    </cfRule>
  </conditionalFormatting>
  <conditionalFormatting sqref="R79:R89 R91:R95 R100:R106 R108:R119 R121:R128 R130:R136 R138:R148 R150:R158 R160:R165 R167:R172">
    <cfRule type="cellIs" dxfId="51" priority="110" operator="notEqual">
      <formula>0</formula>
    </cfRule>
  </conditionalFormatting>
  <conditionalFormatting sqref="R166 R159 R149 R137 R129 R120 R107 R96 R90 R55 R66 R182:R183 R173:R175 R177:R179 R78">
    <cfRule type="cellIs" dxfId="50" priority="87" operator="greaterThan">
      <formula>0.0001</formula>
    </cfRule>
  </conditionalFormatting>
  <conditionalFormatting sqref="R182:R183 R186 R177:R179 R55:R98 R100:R175">
    <cfRule type="cellIs" dxfId="49" priority="86" operator="greaterThan">
      <formula>0.001</formula>
    </cfRule>
  </conditionalFormatting>
  <conditionalFormatting sqref="A5:L5">
    <cfRule type="expression" dxfId="48" priority="85">
      <formula>($F$5&gt;0)</formula>
    </cfRule>
  </conditionalFormatting>
  <conditionalFormatting sqref="Q82">
    <cfRule type="cellIs" dxfId="47" priority="80" operator="notEqual">
      <formula>0</formula>
    </cfRule>
  </conditionalFormatting>
  <conditionalFormatting sqref="R82">
    <cfRule type="cellIs" dxfId="46" priority="79" operator="greaterThan">
      <formula>0.0001</formula>
    </cfRule>
  </conditionalFormatting>
  <conditionalFormatting sqref="Q181">
    <cfRule type="cellIs" dxfId="45" priority="71" operator="notEqual">
      <formula>0</formula>
    </cfRule>
  </conditionalFormatting>
  <conditionalFormatting sqref="R181">
    <cfRule type="cellIs" dxfId="44" priority="70" operator="greaterThan">
      <formula>0.0001</formula>
    </cfRule>
  </conditionalFormatting>
  <conditionalFormatting sqref="R181">
    <cfRule type="cellIs" dxfId="43" priority="69" operator="greaterThan">
      <formula>0.001</formula>
    </cfRule>
  </conditionalFormatting>
  <conditionalFormatting sqref="Q50">
    <cfRule type="cellIs" dxfId="42" priority="67" operator="notEqual">
      <formula>0</formula>
    </cfRule>
  </conditionalFormatting>
  <conditionalFormatting sqref="R50">
    <cfRule type="cellIs" dxfId="41" priority="66" operator="greaterThan">
      <formula>0.0001</formula>
    </cfRule>
  </conditionalFormatting>
  <conditionalFormatting sqref="R50">
    <cfRule type="cellIs" dxfId="40" priority="65" operator="greaterThan">
      <formula>0.001</formula>
    </cfRule>
  </conditionalFormatting>
  <conditionalFormatting sqref="Q185">
    <cfRule type="cellIs" dxfId="39" priority="63" operator="notEqual">
      <formula>0</formula>
    </cfRule>
  </conditionalFormatting>
  <conditionalFormatting sqref="R185">
    <cfRule type="cellIs" dxfId="38" priority="62" operator="greaterThan">
      <formula>0.0001</formula>
    </cfRule>
  </conditionalFormatting>
  <conditionalFormatting sqref="R185">
    <cfRule type="cellIs" dxfId="37" priority="61" operator="greaterThan">
      <formula>0.001</formula>
    </cfRule>
  </conditionalFormatting>
  <conditionalFormatting sqref="S1:S2 S4">
    <cfRule type="cellIs" dxfId="36" priority="12" operator="greaterThan">
      <formula>0</formula>
    </cfRule>
  </conditionalFormatting>
  <conditionalFormatting sqref="R82">
    <cfRule type="cellIs" dxfId="35" priority="11" operator="greaterThan">
      <formula>0.0001</formula>
    </cfRule>
  </conditionalFormatting>
  <conditionalFormatting sqref="M54">
    <cfRule type="dataBar" priority="1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{93E493FF-A656-4BD1-86E9-35FAA03D68F3}</x14:id>
        </ext>
      </extLst>
    </cfRule>
  </conditionalFormatting>
  <conditionalFormatting sqref="R180">
    <cfRule type="cellIs" dxfId="34" priority="9" operator="greaterThan">
      <formula>0.0001</formula>
    </cfRule>
  </conditionalFormatting>
  <conditionalFormatting sqref="R180">
    <cfRule type="cellIs" dxfId="33" priority="8" operator="greaterThan">
      <formula>0.001</formula>
    </cfRule>
  </conditionalFormatting>
  <conditionalFormatting sqref="R184">
    <cfRule type="cellIs" dxfId="32" priority="5" operator="greaterThan">
      <formula>0.0001</formula>
    </cfRule>
  </conditionalFormatting>
  <conditionalFormatting sqref="R184">
    <cfRule type="cellIs" dxfId="31" priority="4" operator="greaterThan">
      <formula>0.001</formula>
    </cfRule>
  </conditionalFormatting>
  <conditionalFormatting sqref="Q99">
    <cfRule type="expression" dxfId="30" priority="3">
      <formula>ABS(Q99)&gt;1%</formula>
    </cfRule>
  </conditionalFormatting>
  <conditionalFormatting sqref="R99">
    <cfRule type="expression" dxfId="29" priority="2">
      <formula>ABS(R99)&gt;1%</formula>
    </cfRule>
  </conditionalFormatting>
  <conditionalFormatting sqref="Q184">
    <cfRule type="expression" dxfId="28" priority="1">
      <formula>ABS(Q184)&gt;1%</formula>
    </cfRule>
  </conditionalFormatting>
  <hyperlinks>
    <hyperlink ref="I5" location="'Index'!A1" display="Index" xr:uid="{00000000-0004-0000-0300-000000000000}"/>
  </hyperlinks>
  <pageMargins left="0.7" right="0.7" top="0.75" bottom="0.75" header="0.3" footer="0.3"/>
  <pageSetup paperSize="9" scale="32" orientation="portrait" r:id="rId1"/>
  <ignoredErrors>
    <ignoredError sqref="I4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4" r:id="rId4" name="Button Synthèse 1">
              <controlPr defaultSize="0" print="0" autoFill="0" autoPict="0" macro="[0]!Déploiement_Regroupement.Déploiement_Regroupement">
                <anchor moveWithCells="1" sizeWithCells="1">
                  <from>
                    <xdr:col>5</xdr:col>
                    <xdr:colOff>60960</xdr:colOff>
                    <xdr:row>40</xdr:row>
                    <xdr:rowOff>45720</xdr:rowOff>
                  </from>
                  <to>
                    <xdr:col>6</xdr:col>
                    <xdr:colOff>76200</xdr:colOff>
                    <xdr:row>41</xdr:row>
                    <xdr:rowOff>68580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3E493FF-A656-4BD1-86E9-35FAA03D68F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M54</xm:sqref>
        </x14:conditionalFormatting>
        <x14:conditionalFormatting xmlns:xm="http://schemas.microsoft.com/office/excel/2006/main">
          <x14:cfRule type="expression" priority="82" id="{6F40E1C4-A62B-495A-9356-024F9F0AC95C}">
            <xm:f>Configuration!$G$84=1</xm:f>
            <x14:dxf>
              <font>
                <b/>
                <i val="0"/>
              </font>
              <border>
                <top style="thin">
                  <color auto="1"/>
                </top>
                <vertical/>
                <horizontal/>
              </border>
            </x14:dxf>
          </x14:cfRule>
          <xm:sqref>E55:J55 E82:J82 E90:J90 E99:J99 E107:J107 E120:J120 E129:J129 E137:J137 E173:J173 J181 J185 E66:J66 E78:J78 E96:J96 E149:J149 E159:J159 E166:J166</xm:sqref>
        </x14:conditionalFormatting>
        <x14:conditionalFormatting xmlns:xm="http://schemas.microsoft.com/office/excel/2006/main">
          <x14:cfRule type="expression" priority="81" id="{20FF3F13-3612-456F-8C34-D7C2EA3DD753}">
            <xm:f>Configuration!$G$84=1</xm:f>
            <x14:dxf>
              <font>
                <b/>
                <i val="0"/>
              </font>
              <border>
                <top style="thin">
                  <color auto="1"/>
                </top>
                <vertical/>
                <horizontal/>
              </border>
            </x14:dxf>
          </x14:cfRule>
          <xm:sqref>E50:J50</xm:sqref>
        </x14:conditionalFormatting>
        <x14:conditionalFormatting xmlns:xm="http://schemas.microsoft.com/office/excel/2006/main">
          <x14:cfRule type="expression" priority="77" id="{DAEA2063-2192-4D52-B75F-C709C64A0BD3}">
            <xm:f>Configuration!$G$84=1</xm:f>
            <x14:dxf>
              <font>
                <b/>
                <i val="0"/>
              </font>
              <border>
                <top style="thin">
                  <color auto="1"/>
                </top>
              </border>
            </x14:dxf>
          </x14:cfRule>
          <xm:sqref>E177:J177</xm:sqref>
        </x14:conditionalFormatting>
        <x14:conditionalFormatting xmlns:xm="http://schemas.microsoft.com/office/excel/2006/main">
          <x14:cfRule type="expression" priority="74" id="{682E392E-B823-4320-8CA9-2993683A7605}">
            <xm:f>Configuration!$G$84=1</xm:f>
            <x14:dxf>
              <font>
                <b/>
                <i val="0"/>
              </font>
              <border>
                <top style="thin">
                  <color auto="1"/>
                </top>
              </border>
            </x14:dxf>
          </x14:cfRule>
          <xm:sqref>E181:H181</xm:sqref>
        </x14:conditionalFormatting>
        <x14:conditionalFormatting xmlns:xm="http://schemas.microsoft.com/office/excel/2006/main">
          <x14:cfRule type="expression" priority="73" id="{BAE42DD7-0E96-498F-B5A6-3691D96D7133}">
            <xm:f>Configuration!$G$84=1</xm:f>
            <x14:dxf>
              <font>
                <b/>
                <i val="0"/>
              </font>
              <border>
                <top style="thin">
                  <color auto="1"/>
                </top>
              </border>
            </x14:dxf>
          </x14:cfRule>
          <xm:sqref>E185:H185</xm:sqref>
        </x14:conditionalFormatting>
        <x14:conditionalFormatting xmlns:xm="http://schemas.microsoft.com/office/excel/2006/main">
          <x14:cfRule type="expression" priority="72" id="{C2F7C762-8DB3-4EF5-BD30-C3E284B0AB31}">
            <xm:f>Configuration!$G$84=1</xm:f>
            <x14:dxf>
              <font>
                <b/>
                <i val="0"/>
              </font>
              <border>
                <top style="thin">
                  <color auto="1"/>
                </top>
              </border>
            </x14:dxf>
          </x14:cfRule>
          <xm:sqref>I181</xm:sqref>
        </x14:conditionalFormatting>
        <x14:conditionalFormatting xmlns:xm="http://schemas.microsoft.com/office/excel/2006/main">
          <x14:cfRule type="expression" priority="64" id="{F6A9FF2A-B21E-4185-825B-F72088E2A263}">
            <xm:f>Configuration!$G$84=1</xm:f>
            <x14:dxf>
              <font>
                <b/>
                <i val="0"/>
              </font>
              <border>
                <top style="thin">
                  <color auto="1"/>
                </top>
              </border>
            </x14:dxf>
          </x14:cfRule>
          <xm:sqref>I185</xm:sqref>
        </x14:conditionalFormatting>
        <x14:conditionalFormatting xmlns:xm="http://schemas.microsoft.com/office/excel/2006/main">
          <x14:cfRule type="expression" priority="33" id="{D78AD403-5D76-432A-BC17-90C553372266}">
            <xm:f>Configuration!$G$84=0</xm:f>
            <x14:dxf>
              <border>
                <bottom style="thin">
                  <color auto="1"/>
                </bottom>
                <vertical/>
                <horizontal/>
              </border>
            </x14:dxf>
          </x14:cfRule>
          <xm:sqref>E186:J186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Configuration!$F$19:$F$20</xm:f>
          </x14:formula1>
          <xm:sqref>N46:N49 N161:N165 N57:N65 N68:N77 N80:N81 N84:N89 N101:N106 N52:N54 N98 N109:N119 N122:N128 N131:N136 N168:N172 N151:N158 N92:N95 N139:N148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>
    <tabColor theme="3" tint="0.79998168889431442"/>
  </sheetPr>
  <dimension ref="A1:AA852"/>
  <sheetViews>
    <sheetView showGridLines="0" topLeftCell="G2" zoomScale="91" zoomScaleNormal="100" zoomScaleSheetLayoutView="100" workbookViewId="0">
      <selection activeCell="O13" sqref="O13"/>
    </sheetView>
  </sheetViews>
  <sheetFormatPr defaultColWidth="0" defaultRowHeight="13.8" zeroHeight="1" x14ac:dyDescent="0.25"/>
  <cols>
    <col min="1" max="3" width="1.6640625" style="113" customWidth="1"/>
    <col min="4" max="4" width="3.5546875" style="139" customWidth="1"/>
    <col min="5" max="5" width="12.44140625" style="113" customWidth="1"/>
    <col min="6" max="6" width="15.5546875" style="113" customWidth="1"/>
    <col min="7" max="7" width="8.5546875" style="113" customWidth="1"/>
    <col min="8" max="8" width="18.44140625" style="113" customWidth="1"/>
    <col min="9" max="9" width="28.44140625" style="113" customWidth="1"/>
    <col min="10" max="10" width="23.5546875" style="113" customWidth="1"/>
    <col min="11" max="11" width="14.5546875" style="113" customWidth="1"/>
    <col min="12" max="12" width="10.5546875" style="113" customWidth="1"/>
    <col min="13" max="13" width="8.5546875" style="113" customWidth="1"/>
    <col min="14" max="14" width="22.33203125" style="113" customWidth="1"/>
    <col min="15" max="15" width="11.5546875" style="137" customWidth="1"/>
    <col min="16" max="16" width="13.6640625" style="113" customWidth="1"/>
    <col min="17" max="17" width="2.6640625" style="113" customWidth="1"/>
    <col min="18" max="19" width="9.6640625" style="105" customWidth="1"/>
    <col min="20" max="20" width="9.6640625" style="106" customWidth="1"/>
    <col min="21" max="21" width="1.6640625" style="113" customWidth="1"/>
    <col min="22" max="26" width="11.44140625" style="113" customWidth="1"/>
    <col min="27" max="27" width="1.6640625" style="113" customWidth="1"/>
    <col min="28" max="16384" width="11.44140625" style="113" hidden="1"/>
  </cols>
  <sheetData>
    <row r="1" spans="1:27" ht="5.25" customHeight="1" x14ac:dyDescent="0.25">
      <c r="D1" s="113"/>
      <c r="K1" s="114"/>
      <c r="O1" s="113"/>
      <c r="R1" s="15"/>
      <c r="S1" s="15"/>
      <c r="T1" s="16"/>
      <c r="U1" s="201"/>
      <c r="AA1" s="40"/>
    </row>
    <row r="2" spans="1:27" ht="20.100000000000001" customHeight="1" x14ac:dyDescent="0.25">
      <c r="A2" s="12"/>
      <c r="B2" s="13"/>
      <c r="C2" s="13" t="s">
        <v>218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5"/>
      <c r="S2" s="15"/>
      <c r="T2" s="16"/>
      <c r="U2" s="201"/>
      <c r="AA2" s="40"/>
    </row>
    <row r="3" spans="1:27" ht="5.0999999999999996" customHeight="1" x14ac:dyDescent="0.25">
      <c r="D3" s="113"/>
      <c r="O3" s="113"/>
      <c r="R3" s="15"/>
      <c r="S3" s="15"/>
      <c r="T3" s="16"/>
      <c r="U3" s="201"/>
      <c r="AA3" s="40"/>
    </row>
    <row r="4" spans="1:27" s="115" customFormat="1" x14ac:dyDescent="0.25">
      <c r="R4" s="155"/>
      <c r="S4" s="155"/>
      <c r="T4" s="156"/>
      <c r="U4" s="202"/>
      <c r="AA4" s="40"/>
    </row>
    <row r="5" spans="1:27" x14ac:dyDescent="0.25">
      <c r="D5" s="113"/>
      <c r="E5" s="153" t="str">
        <f>"Total : "&amp;SUM($D$11:$D$25)&amp;" transactions"</f>
        <v>Total : 12 transactions</v>
      </c>
      <c r="G5" s="112" t="s">
        <v>280</v>
      </c>
      <c r="J5" s="154" t="s">
        <v>134</v>
      </c>
      <c r="K5" s="160">
        <f>Synthèse!$H$14</f>
        <v>250.03000000000003</v>
      </c>
      <c r="L5" s="157"/>
      <c r="M5" s="157"/>
      <c r="N5" s="161" t="s">
        <v>275</v>
      </c>
      <c r="R5" s="23" t="s">
        <v>192</v>
      </c>
      <c r="S5" s="23"/>
      <c r="T5" s="49" t="s">
        <v>205</v>
      </c>
      <c r="U5" s="201"/>
      <c r="AA5" s="40"/>
    </row>
    <row r="6" spans="1:27" ht="15" customHeight="1" x14ac:dyDescent="0.3">
      <c r="D6" s="158"/>
      <c r="E6" s="158"/>
      <c r="J6" s="154" t="s">
        <v>135</v>
      </c>
      <c r="K6" s="160">
        <f>Synthèse!$J$14</f>
        <v>5035.95</v>
      </c>
      <c r="R6" s="15"/>
      <c r="S6" s="15"/>
      <c r="T6" s="16"/>
      <c r="U6" s="201"/>
      <c r="AA6" s="40"/>
    </row>
    <row r="7" spans="1:27" x14ac:dyDescent="0.25">
      <c r="D7" s="113"/>
      <c r="K7" s="114"/>
      <c r="O7" s="113"/>
      <c r="R7" s="15" t="str">
        <f>INDEX(Configuration!$D$125:$D$151,MATCH(COLUMN(R7),Configuration!$E$125:$E$151,0),0)</f>
        <v>R</v>
      </c>
      <c r="S7" s="15"/>
      <c r="T7" s="16" t="str">
        <f>INDEX(Configuration!$D$125:$D$151,MATCH(COLUMN(T7),Configuration!$E$125:$E$151,0),0)</f>
        <v>T</v>
      </c>
      <c r="U7" s="201"/>
      <c r="AA7" s="40"/>
    </row>
    <row r="8" spans="1:27" ht="14.4" thickBot="1" x14ac:dyDescent="0.3">
      <c r="D8" s="148" t="s">
        <v>184</v>
      </c>
      <c r="E8" s="149" t="s">
        <v>181</v>
      </c>
      <c r="F8" s="149" t="s">
        <v>180</v>
      </c>
      <c r="G8" s="149" t="s">
        <v>55</v>
      </c>
      <c r="H8" s="149" t="s">
        <v>0</v>
      </c>
      <c r="I8" s="149" t="s">
        <v>1</v>
      </c>
      <c r="J8" s="149" t="s">
        <v>2</v>
      </c>
      <c r="K8" s="150" t="s">
        <v>3</v>
      </c>
      <c r="L8" s="149" t="s">
        <v>4</v>
      </c>
      <c r="M8" s="149" t="s">
        <v>128</v>
      </c>
      <c r="N8" s="149" t="s">
        <v>5</v>
      </c>
      <c r="O8" s="151" t="s">
        <v>116</v>
      </c>
      <c r="P8" s="152" t="s">
        <v>185</v>
      </c>
      <c r="Q8" s="116"/>
      <c r="R8" s="110" t="s">
        <v>214</v>
      </c>
      <c r="S8" s="29" t="str">
        <f ca="1">MID(CELL("filename", A1), FIND("]", CELL("filename", A1))+1,255)</f>
        <v>Hist. T.</v>
      </c>
      <c r="T8" s="16"/>
      <c r="U8" s="201"/>
      <c r="V8" s="152" t="s">
        <v>291</v>
      </c>
      <c r="AA8" s="40"/>
    </row>
    <row r="9" spans="1:27" s="111" customFormat="1" ht="5.0999999999999996" customHeight="1" x14ac:dyDescent="0.25">
      <c r="D9" s="117"/>
      <c r="E9" s="118"/>
      <c r="F9" s="119"/>
      <c r="G9" s="119"/>
      <c r="H9" s="119"/>
      <c r="I9" s="119"/>
      <c r="J9" s="119"/>
      <c r="K9" s="120"/>
      <c r="L9" s="119"/>
      <c r="M9" s="119"/>
      <c r="N9" s="119"/>
      <c r="O9" s="121"/>
      <c r="P9" s="122"/>
      <c r="Q9" s="116"/>
      <c r="R9" s="15"/>
      <c r="S9" s="15"/>
      <c r="T9" s="16"/>
      <c r="U9" s="203"/>
      <c r="V9" s="122"/>
      <c r="W9" s="113"/>
      <c r="AA9" s="40"/>
    </row>
    <row r="10" spans="1:27" s="111" customFormat="1" ht="5.0999999999999996" customHeight="1" x14ac:dyDescent="0.25">
      <c r="D10" s="123"/>
      <c r="E10" s="124"/>
      <c r="F10" s="125"/>
      <c r="G10" s="125"/>
      <c r="H10" s="126"/>
      <c r="I10" s="126"/>
      <c r="J10" s="126"/>
      <c r="K10" s="127"/>
      <c r="L10" s="128"/>
      <c r="M10" s="128"/>
      <c r="N10" s="128"/>
      <c r="O10" s="129"/>
      <c r="P10" s="130"/>
      <c r="Q10" s="116"/>
      <c r="R10" s="15"/>
      <c r="S10" s="15"/>
      <c r="T10" s="16"/>
      <c r="U10" s="203"/>
      <c r="V10" s="221"/>
      <c r="W10" s="113"/>
      <c r="AA10" s="40"/>
    </row>
    <row r="11" spans="1:27" x14ac:dyDescent="0.25">
      <c r="A11" s="131"/>
      <c r="B11" s="131"/>
      <c r="D11" s="164"/>
      <c r="E11" s="165"/>
      <c r="F11" s="142"/>
      <c r="G11" s="142"/>
      <c r="H11" s="143"/>
      <c r="I11" s="143"/>
      <c r="J11" s="143"/>
      <c r="K11" s="166"/>
      <c r="L11" s="144"/>
      <c r="M11" s="144"/>
      <c r="N11" s="167"/>
      <c r="O11" s="145"/>
      <c r="P11" s="162"/>
      <c r="Q11" s="116"/>
      <c r="R11" s="15"/>
      <c r="S11" s="15"/>
      <c r="T11" s="16"/>
      <c r="U11" s="201"/>
      <c r="V11" s="222"/>
      <c r="AA11" s="40"/>
    </row>
    <row r="12" spans="1:27" x14ac:dyDescent="0.25">
      <c r="A12" s="131"/>
      <c r="B12" s="131"/>
      <c r="D12" s="164">
        <v>1</v>
      </c>
      <c r="E12" s="142">
        <v>43299</v>
      </c>
      <c r="F12" s="142">
        <v>43302</v>
      </c>
      <c r="G12" s="142" t="s">
        <v>139</v>
      </c>
      <c r="H12" s="143" t="s">
        <v>107</v>
      </c>
      <c r="I12" s="143" t="s">
        <v>153</v>
      </c>
      <c r="J12" s="143" t="s">
        <v>26</v>
      </c>
      <c r="K12" s="166">
        <v>40</v>
      </c>
      <c r="L12" s="144" t="s">
        <v>97</v>
      </c>
      <c r="M12" s="144" t="s">
        <v>182</v>
      </c>
      <c r="N12" s="167" t="s">
        <v>294</v>
      </c>
      <c r="O12" s="145">
        <f t="shared" ref="O12:O22" si="0">IF(OR(H12=Config_Rev,I12=LversCC,H12=Config_Rééquilibrage,H12=Config_Virements_Reçus),K12,-K12)</f>
        <v>-40</v>
      </c>
      <c r="P12" s="163" t="s">
        <v>125</v>
      </c>
      <c r="Q12" s="116"/>
      <c r="R12" s="15"/>
      <c r="S12" s="15"/>
      <c r="T12" s="16"/>
      <c r="U12" s="201"/>
      <c r="V12" s="222" t="s">
        <v>295</v>
      </c>
      <c r="AA12" s="40"/>
    </row>
    <row r="13" spans="1:27" x14ac:dyDescent="0.25">
      <c r="A13" s="207"/>
      <c r="B13" s="207"/>
      <c r="C13" s="208"/>
      <c r="D13" s="212"/>
      <c r="E13" s="209">
        <v>43298</v>
      </c>
      <c r="F13" s="209">
        <v>43302</v>
      </c>
      <c r="G13" s="209" t="s">
        <v>139</v>
      </c>
      <c r="H13" s="210" t="s">
        <v>6</v>
      </c>
      <c r="I13" s="210" t="s">
        <v>101</v>
      </c>
      <c r="J13" s="210" t="s">
        <v>105</v>
      </c>
      <c r="K13" s="213">
        <v>50</v>
      </c>
      <c r="L13" s="211" t="s">
        <v>97</v>
      </c>
      <c r="M13" s="211" t="s">
        <v>182</v>
      </c>
      <c r="N13" s="214"/>
      <c r="O13" s="145">
        <f t="shared" si="0"/>
        <v>50</v>
      </c>
      <c r="P13" s="163" t="s">
        <v>125</v>
      </c>
      <c r="Q13" s="116"/>
      <c r="R13" s="15"/>
      <c r="S13" s="15"/>
      <c r="T13" s="16"/>
      <c r="U13" s="201"/>
      <c r="V13" s="222" t="s">
        <v>309</v>
      </c>
      <c r="AA13" s="40"/>
    </row>
    <row r="14" spans="1:27" x14ac:dyDescent="0.25">
      <c r="A14" s="131"/>
      <c r="B14" s="131"/>
      <c r="D14" s="164">
        <v>1</v>
      </c>
      <c r="E14" s="142">
        <v>43298</v>
      </c>
      <c r="F14" s="142">
        <v>43302</v>
      </c>
      <c r="G14" s="142" t="s">
        <v>139</v>
      </c>
      <c r="H14" s="143" t="s">
        <v>107</v>
      </c>
      <c r="I14" s="143" t="s">
        <v>101</v>
      </c>
      <c r="J14" s="143" t="s">
        <v>35</v>
      </c>
      <c r="K14" s="166">
        <v>13.51</v>
      </c>
      <c r="L14" s="144" t="s">
        <v>97</v>
      </c>
      <c r="M14" s="144" t="s">
        <v>182</v>
      </c>
      <c r="N14" s="167" t="s">
        <v>231</v>
      </c>
      <c r="O14" s="145">
        <f t="shared" si="0"/>
        <v>-13.51</v>
      </c>
      <c r="P14" s="163" t="s">
        <v>125</v>
      </c>
      <c r="Q14" s="116"/>
      <c r="R14" s="15"/>
      <c r="S14" s="15"/>
      <c r="T14" s="16"/>
      <c r="U14" s="201"/>
      <c r="V14" s="222" t="s">
        <v>296</v>
      </c>
      <c r="AA14" s="40"/>
    </row>
    <row r="15" spans="1:27" x14ac:dyDescent="0.25">
      <c r="A15" s="131"/>
      <c r="B15" s="131"/>
      <c r="D15" s="164">
        <v>1</v>
      </c>
      <c r="E15" s="142">
        <v>43297</v>
      </c>
      <c r="F15" s="142">
        <v>43302</v>
      </c>
      <c r="G15" s="142" t="s">
        <v>139</v>
      </c>
      <c r="H15" s="143" t="s">
        <v>107</v>
      </c>
      <c r="I15" s="143" t="s">
        <v>153</v>
      </c>
      <c r="J15" s="143" t="s">
        <v>26</v>
      </c>
      <c r="K15" s="166">
        <v>20</v>
      </c>
      <c r="L15" s="144" t="s">
        <v>97</v>
      </c>
      <c r="M15" s="144" t="s">
        <v>182</v>
      </c>
      <c r="N15" s="167"/>
      <c r="O15" s="145">
        <f t="shared" si="0"/>
        <v>-20</v>
      </c>
      <c r="P15" s="163" t="s">
        <v>125</v>
      </c>
      <c r="Q15" s="116"/>
      <c r="R15" s="15"/>
      <c r="S15" s="15"/>
      <c r="T15" s="16"/>
      <c r="U15" s="201"/>
      <c r="V15" s="222" t="s">
        <v>297</v>
      </c>
      <c r="AA15" s="40"/>
    </row>
    <row r="16" spans="1:27" x14ac:dyDescent="0.25">
      <c r="A16" s="131"/>
      <c r="B16" s="131"/>
      <c r="D16" s="164">
        <v>1</v>
      </c>
      <c r="E16" s="142">
        <v>43295</v>
      </c>
      <c r="F16" s="142">
        <v>43302</v>
      </c>
      <c r="G16" s="142" t="s">
        <v>139</v>
      </c>
      <c r="H16" s="143" t="s">
        <v>107</v>
      </c>
      <c r="I16" s="143" t="s">
        <v>99</v>
      </c>
      <c r="J16" s="143" t="s">
        <v>7</v>
      </c>
      <c r="K16" s="166">
        <v>72.5</v>
      </c>
      <c r="L16" s="144" t="s">
        <v>97</v>
      </c>
      <c r="M16" s="144" t="s">
        <v>182</v>
      </c>
      <c r="N16" s="167"/>
      <c r="O16" s="145">
        <f t="shared" si="0"/>
        <v>-72.5</v>
      </c>
      <c r="P16" s="163" t="s">
        <v>125</v>
      </c>
      <c r="Q16" s="116"/>
      <c r="R16" s="15"/>
      <c r="S16" s="15"/>
      <c r="T16" s="16"/>
      <c r="U16" s="201"/>
      <c r="V16" s="222" t="s">
        <v>298</v>
      </c>
      <c r="W16" s="113" t="s">
        <v>308</v>
      </c>
      <c r="AA16" s="40"/>
    </row>
    <row r="17" spans="1:27" x14ac:dyDescent="0.25">
      <c r="A17" s="131"/>
      <c r="B17" s="131"/>
      <c r="D17" s="164">
        <v>1</v>
      </c>
      <c r="E17" s="142">
        <v>43293</v>
      </c>
      <c r="F17" s="142">
        <v>43302</v>
      </c>
      <c r="G17" s="142" t="s">
        <v>139</v>
      </c>
      <c r="H17" s="143" t="s">
        <v>107</v>
      </c>
      <c r="I17" s="143" t="s">
        <v>69</v>
      </c>
      <c r="J17" s="143" t="s">
        <v>72</v>
      </c>
      <c r="K17" s="166">
        <v>29.5</v>
      </c>
      <c r="L17" s="144" t="s">
        <v>97</v>
      </c>
      <c r="M17" s="144" t="s">
        <v>182</v>
      </c>
      <c r="N17" s="167" t="s">
        <v>293</v>
      </c>
      <c r="O17" s="145">
        <f t="shared" si="0"/>
        <v>-29.5</v>
      </c>
      <c r="P17" s="163" t="s">
        <v>125</v>
      </c>
      <c r="Q17" s="116"/>
      <c r="R17" s="15"/>
      <c r="S17" s="15"/>
      <c r="T17" s="16"/>
      <c r="U17" s="201"/>
      <c r="V17" s="222" t="s">
        <v>299</v>
      </c>
      <c r="AA17" s="40"/>
    </row>
    <row r="18" spans="1:27" x14ac:dyDescent="0.25">
      <c r="A18" s="131"/>
      <c r="B18" s="131"/>
      <c r="D18" s="164">
        <v>1</v>
      </c>
      <c r="E18" s="142">
        <v>43292</v>
      </c>
      <c r="F18" s="142">
        <v>43295</v>
      </c>
      <c r="G18" s="142" t="s">
        <v>139</v>
      </c>
      <c r="H18" s="143" t="s">
        <v>107</v>
      </c>
      <c r="I18" s="143" t="s">
        <v>153</v>
      </c>
      <c r="J18" s="143" t="s">
        <v>26</v>
      </c>
      <c r="K18" s="166">
        <v>30</v>
      </c>
      <c r="L18" s="144" t="s">
        <v>97</v>
      </c>
      <c r="M18" s="144" t="s">
        <v>182</v>
      </c>
      <c r="N18" s="167"/>
      <c r="O18" s="145">
        <f t="shared" si="0"/>
        <v>-30</v>
      </c>
      <c r="P18" s="163" t="s">
        <v>125</v>
      </c>
      <c r="Q18" s="116"/>
      <c r="R18" s="15"/>
      <c r="S18" s="15"/>
      <c r="T18" s="16"/>
      <c r="U18" s="201"/>
      <c r="V18" s="222" t="s">
        <v>300</v>
      </c>
      <c r="X18" s="205"/>
      <c r="AA18" s="40"/>
    </row>
    <row r="19" spans="1:27" x14ac:dyDescent="0.25">
      <c r="A19" s="131"/>
      <c r="B19" s="131"/>
      <c r="D19" s="164">
        <v>1</v>
      </c>
      <c r="E19" s="142">
        <v>43292</v>
      </c>
      <c r="F19" s="142">
        <v>43295</v>
      </c>
      <c r="G19" s="142" t="s">
        <v>139</v>
      </c>
      <c r="H19" s="143" t="s">
        <v>107</v>
      </c>
      <c r="I19" s="143" t="s">
        <v>101</v>
      </c>
      <c r="J19" s="143" t="s">
        <v>35</v>
      </c>
      <c r="K19" s="166">
        <v>18.29</v>
      </c>
      <c r="L19" s="144" t="s">
        <v>97</v>
      </c>
      <c r="M19" s="144" t="s">
        <v>182</v>
      </c>
      <c r="N19" s="167" t="s">
        <v>231</v>
      </c>
      <c r="O19" s="145">
        <f t="shared" si="0"/>
        <v>-18.29</v>
      </c>
      <c r="P19" s="163" t="s">
        <v>125</v>
      </c>
      <c r="Q19" s="116"/>
      <c r="R19" s="15"/>
      <c r="S19" s="15"/>
      <c r="T19" s="16"/>
      <c r="U19" s="201"/>
      <c r="V19" s="222" t="s">
        <v>301</v>
      </c>
      <c r="X19" s="205"/>
      <c r="AA19" s="40"/>
    </row>
    <row r="20" spans="1:27" x14ac:dyDescent="0.25">
      <c r="A20" s="131"/>
      <c r="B20" s="131"/>
      <c r="D20" s="164">
        <v>1</v>
      </c>
      <c r="E20" s="142">
        <v>43292</v>
      </c>
      <c r="F20" s="142">
        <v>43295</v>
      </c>
      <c r="G20" s="142" t="s">
        <v>139</v>
      </c>
      <c r="H20" s="143" t="s">
        <v>107</v>
      </c>
      <c r="I20" s="143" t="s">
        <v>100</v>
      </c>
      <c r="J20" s="143" t="s">
        <v>23</v>
      </c>
      <c r="K20" s="166">
        <v>75.92</v>
      </c>
      <c r="L20" s="144" t="s">
        <v>97</v>
      </c>
      <c r="M20" s="144" t="s">
        <v>182</v>
      </c>
      <c r="N20" s="167"/>
      <c r="O20" s="145">
        <f t="shared" si="0"/>
        <v>-75.92</v>
      </c>
      <c r="P20" s="163" t="s">
        <v>125</v>
      </c>
      <c r="Q20" s="116"/>
      <c r="R20" s="15"/>
      <c r="S20" s="15"/>
      <c r="T20" s="16"/>
      <c r="U20" s="201"/>
      <c r="V20" s="222" t="s">
        <v>302</v>
      </c>
      <c r="X20" s="205"/>
      <c r="AA20" s="40"/>
    </row>
    <row r="21" spans="1:27" x14ac:dyDescent="0.25">
      <c r="A21" s="131"/>
      <c r="B21" s="131"/>
      <c r="D21" s="164">
        <v>1</v>
      </c>
      <c r="E21" s="142">
        <v>43291</v>
      </c>
      <c r="F21" s="142">
        <v>43295</v>
      </c>
      <c r="G21" s="142" t="s">
        <v>139</v>
      </c>
      <c r="H21" s="143" t="s">
        <v>107</v>
      </c>
      <c r="I21" s="143" t="s">
        <v>153</v>
      </c>
      <c r="J21" s="143" t="s">
        <v>26</v>
      </c>
      <c r="K21" s="166">
        <v>50</v>
      </c>
      <c r="L21" s="144" t="s">
        <v>97</v>
      </c>
      <c r="M21" s="144" t="s">
        <v>182</v>
      </c>
      <c r="N21" s="167"/>
      <c r="O21" s="145">
        <f t="shared" si="0"/>
        <v>-50</v>
      </c>
      <c r="P21" s="163" t="s">
        <v>125</v>
      </c>
      <c r="Q21" s="116"/>
      <c r="R21" s="15"/>
      <c r="S21" s="15"/>
      <c r="T21" s="16"/>
      <c r="U21" s="201"/>
      <c r="V21" s="222" t="s">
        <v>303</v>
      </c>
      <c r="X21" s="205"/>
      <c r="AA21" s="40"/>
    </row>
    <row r="22" spans="1:27" x14ac:dyDescent="0.25">
      <c r="A22" s="131"/>
      <c r="B22" s="131"/>
      <c r="D22" s="164">
        <v>1</v>
      </c>
      <c r="E22" s="142">
        <v>43291</v>
      </c>
      <c r="F22" s="142">
        <v>43295</v>
      </c>
      <c r="G22" s="142" t="s">
        <v>139</v>
      </c>
      <c r="H22" s="143" t="s">
        <v>107</v>
      </c>
      <c r="I22" s="143" t="s">
        <v>101</v>
      </c>
      <c r="J22" s="143" t="s">
        <v>35</v>
      </c>
      <c r="K22" s="166">
        <v>11.05</v>
      </c>
      <c r="L22" s="144" t="s">
        <v>97</v>
      </c>
      <c r="M22" s="144" t="s">
        <v>182</v>
      </c>
      <c r="N22" s="167" t="s">
        <v>231</v>
      </c>
      <c r="O22" s="145">
        <f t="shared" si="0"/>
        <v>-11.05</v>
      </c>
      <c r="P22" s="163" t="s">
        <v>125</v>
      </c>
      <c r="Q22" s="116"/>
      <c r="R22" s="15"/>
      <c r="S22" s="15"/>
      <c r="T22" s="16"/>
      <c r="U22" s="201"/>
      <c r="V22" s="222" t="s">
        <v>304</v>
      </c>
      <c r="X22" s="205"/>
      <c r="AA22" s="40"/>
    </row>
    <row r="23" spans="1:27" x14ac:dyDescent="0.25">
      <c r="A23" s="131"/>
      <c r="B23" s="131"/>
      <c r="D23" s="168">
        <v>1</v>
      </c>
      <c r="E23" s="146">
        <v>42737</v>
      </c>
      <c r="F23" s="146">
        <v>42737</v>
      </c>
      <c r="G23" s="142" t="s">
        <v>139</v>
      </c>
      <c r="H23" s="147" t="s">
        <v>107</v>
      </c>
      <c r="I23" s="147" t="s">
        <v>102</v>
      </c>
      <c r="J23" s="147" t="s">
        <v>45</v>
      </c>
      <c r="K23" s="166">
        <v>14.5</v>
      </c>
      <c r="L23" s="144" t="s">
        <v>97</v>
      </c>
      <c r="M23" s="169" t="s">
        <v>182</v>
      </c>
      <c r="N23" s="170" t="s">
        <v>137</v>
      </c>
      <c r="O23" s="145">
        <f t="shared" ref="O23:O26" si="1">IF(OR(H23=Config_Rev,I23=LversCC,H23=Config_Rééquilibrage,H23=Config_Virements_Reçus),K23,-K23)</f>
        <v>-14.5</v>
      </c>
      <c r="P23" s="163" t="s">
        <v>125</v>
      </c>
      <c r="Q23" s="116"/>
      <c r="R23" s="15"/>
      <c r="S23" s="15"/>
      <c r="T23" s="16"/>
      <c r="U23" s="201"/>
      <c r="V23" s="222" t="s">
        <v>305</v>
      </c>
      <c r="AA23" s="40"/>
    </row>
    <row r="24" spans="1:27" x14ac:dyDescent="0.25">
      <c r="A24" s="131"/>
      <c r="B24" s="131"/>
      <c r="D24" s="168">
        <v>1</v>
      </c>
      <c r="E24" s="146">
        <v>42736</v>
      </c>
      <c r="F24" s="146">
        <v>42737</v>
      </c>
      <c r="G24" s="142" t="s">
        <v>139</v>
      </c>
      <c r="H24" s="147" t="s">
        <v>107</v>
      </c>
      <c r="I24" s="147" t="s">
        <v>102</v>
      </c>
      <c r="J24" s="143" t="s">
        <v>143</v>
      </c>
      <c r="K24" s="166">
        <v>25</v>
      </c>
      <c r="L24" s="144" t="s">
        <v>97</v>
      </c>
      <c r="M24" s="169" t="s">
        <v>182</v>
      </c>
      <c r="N24" s="170" t="s">
        <v>138</v>
      </c>
      <c r="O24" s="145">
        <f t="shared" si="1"/>
        <v>-25</v>
      </c>
      <c r="P24" s="163" t="s">
        <v>125</v>
      </c>
      <c r="Q24" s="116"/>
      <c r="R24" s="15"/>
      <c r="S24" s="15"/>
      <c r="T24" s="16"/>
      <c r="U24" s="201"/>
      <c r="V24" s="222" t="s">
        <v>306</v>
      </c>
      <c r="AA24" s="40"/>
    </row>
    <row r="25" spans="1:27" x14ac:dyDescent="0.25">
      <c r="A25" s="131"/>
      <c r="B25" s="131"/>
      <c r="D25" s="159"/>
      <c r="E25" s="142">
        <v>42736</v>
      </c>
      <c r="F25" s="142">
        <v>43040</v>
      </c>
      <c r="G25" s="142" t="s">
        <v>139</v>
      </c>
      <c r="H25" s="143" t="s">
        <v>152</v>
      </c>
      <c r="I25" s="143"/>
      <c r="J25" s="143"/>
      <c r="K25" s="166">
        <v>300.2</v>
      </c>
      <c r="L25" s="144" t="s">
        <v>97</v>
      </c>
      <c r="M25" s="169" t="s">
        <v>182</v>
      </c>
      <c r="N25" s="144"/>
      <c r="O25" s="145">
        <f t="shared" si="1"/>
        <v>300.2</v>
      </c>
      <c r="P25" s="163" t="s">
        <v>125</v>
      </c>
      <c r="Q25" s="116"/>
      <c r="R25" s="15"/>
      <c r="S25" s="15"/>
      <c r="T25" s="16"/>
      <c r="U25" s="201"/>
      <c r="V25" s="222" t="s">
        <v>307</v>
      </c>
      <c r="AA25" s="40"/>
    </row>
    <row r="26" spans="1:27" x14ac:dyDescent="0.25">
      <c r="A26" s="131"/>
      <c r="B26" s="131"/>
      <c r="E26" s="146">
        <v>42736</v>
      </c>
      <c r="F26" s="146">
        <v>42736</v>
      </c>
      <c r="G26" s="146" t="s">
        <v>139</v>
      </c>
      <c r="H26" s="147" t="s">
        <v>173</v>
      </c>
      <c r="I26" s="143"/>
      <c r="J26" s="143"/>
      <c r="K26" s="197">
        <v>300.10000000000002</v>
      </c>
      <c r="L26" s="144" t="s">
        <v>97</v>
      </c>
      <c r="M26" s="169" t="s">
        <v>182</v>
      </c>
      <c r="N26" s="144"/>
      <c r="O26" s="145">
        <f t="shared" si="1"/>
        <v>-300.10000000000002</v>
      </c>
      <c r="P26" s="141" t="s">
        <v>126</v>
      </c>
      <c r="Q26" s="116"/>
      <c r="R26" s="15"/>
      <c r="S26" s="15"/>
      <c r="T26" s="16"/>
      <c r="U26" s="201"/>
      <c r="V26" s="223"/>
      <c r="AA26" s="40"/>
    </row>
    <row r="27" spans="1:27" ht="5.0999999999999996" customHeight="1" x14ac:dyDescent="0.25">
      <c r="A27" s="131"/>
      <c r="D27" s="132"/>
      <c r="E27" s="133"/>
      <c r="F27" s="133"/>
      <c r="G27" s="133"/>
      <c r="H27" s="134"/>
      <c r="I27" s="134"/>
      <c r="J27" s="134"/>
      <c r="K27" s="135"/>
      <c r="L27" s="136"/>
      <c r="M27" s="136"/>
      <c r="N27" s="136"/>
      <c r="P27" s="138"/>
      <c r="Q27" s="116"/>
      <c r="R27" s="15"/>
      <c r="S27" s="15"/>
      <c r="T27" s="16"/>
      <c r="U27" s="201"/>
      <c r="V27" s="224"/>
      <c r="AA27" s="40"/>
    </row>
    <row r="28" spans="1:27" x14ac:dyDescent="0.25">
      <c r="A28" s="140"/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16"/>
      <c r="R28" s="15"/>
      <c r="S28" s="15"/>
      <c r="T28" s="16"/>
      <c r="U28" s="201"/>
      <c r="V28" s="140"/>
      <c r="AA28" s="40"/>
    </row>
    <row r="29" spans="1:27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204"/>
      <c r="V29" s="206"/>
      <c r="W29" s="40"/>
      <c r="X29" s="40"/>
      <c r="Y29" s="40"/>
      <c r="Z29" s="40"/>
      <c r="AA29" s="40" t="s">
        <v>236</v>
      </c>
    </row>
    <row r="30" spans="1:27" hidden="1" x14ac:dyDescent="0.25">
      <c r="U30" s="201"/>
      <c r="V30" s="205"/>
    </row>
    <row r="31" spans="1:27" hidden="1" x14ac:dyDescent="0.25">
      <c r="U31" s="201"/>
      <c r="V31" s="205"/>
    </row>
    <row r="32" spans="1:27" hidden="1" x14ac:dyDescent="0.25">
      <c r="U32" s="201"/>
      <c r="V32" s="205"/>
    </row>
    <row r="33" spans="21:22" hidden="1" x14ac:dyDescent="0.25">
      <c r="U33" s="201"/>
      <c r="V33" s="205"/>
    </row>
    <row r="34" spans="21:22" x14ac:dyDescent="0.25"/>
    <row r="35" spans="21:22" x14ac:dyDescent="0.25"/>
    <row r="36" spans="21:22" x14ac:dyDescent="0.25"/>
    <row r="37" spans="21:22" x14ac:dyDescent="0.25"/>
    <row r="38" spans="21:22" x14ac:dyDescent="0.25"/>
    <row r="39" spans="21:22" x14ac:dyDescent="0.25"/>
    <row r="40" spans="21:22" x14ac:dyDescent="0.25"/>
    <row r="41" spans="21:22" x14ac:dyDescent="0.25"/>
    <row r="42" spans="21:22" x14ac:dyDescent="0.25"/>
    <row r="43" spans="21:22" x14ac:dyDescent="0.25"/>
    <row r="44" spans="21:22" x14ac:dyDescent="0.25"/>
    <row r="45" spans="21:22" x14ac:dyDescent="0.25"/>
    <row r="46" spans="21:22" x14ac:dyDescent="0.25"/>
    <row r="47" spans="21:22" x14ac:dyDescent="0.25"/>
    <row r="48" spans="21:22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</sheetData>
  <sortState ref="E12:P27">
    <sortCondition descending="1" ref="E12"/>
  </sortState>
  <conditionalFormatting sqref="K6">
    <cfRule type="cellIs" dxfId="19" priority="44" operator="lessThan">
      <formula>0</formula>
    </cfRule>
    <cfRule type="cellIs" dxfId="18" priority="45" operator="greaterThan">
      <formula>0</formula>
    </cfRule>
    <cfRule type="cellIs" dxfId="17" priority="46" operator="equal">
      <formula>0</formula>
    </cfRule>
  </conditionalFormatting>
  <conditionalFormatting sqref="T9 T11:T28">
    <cfRule type="cellIs" dxfId="16" priority="43" operator="greaterThan">
      <formula>0</formula>
    </cfRule>
  </conditionalFormatting>
  <conditionalFormatting sqref="T1 T3:T4">
    <cfRule type="cellIs" dxfId="15" priority="42" operator="greaterThan">
      <formula>0</formula>
    </cfRule>
  </conditionalFormatting>
  <conditionalFormatting sqref="T8">
    <cfRule type="cellIs" dxfId="14" priority="7" operator="greaterThan">
      <formula>0</formula>
    </cfRule>
  </conditionalFormatting>
  <conditionalFormatting sqref="T6">
    <cfRule type="cellIs" dxfId="13" priority="6" operator="greaterThan">
      <formula>0</formula>
    </cfRule>
  </conditionalFormatting>
  <conditionalFormatting sqref="T1:T2">
    <cfRule type="cellIs" dxfId="12" priority="3" operator="greaterThan">
      <formula>0</formula>
    </cfRule>
  </conditionalFormatting>
  <conditionalFormatting sqref="G5">
    <cfRule type="expression" dxfId="11" priority="2">
      <formula>($F$5&gt;0)</formula>
    </cfRule>
  </conditionalFormatting>
  <conditionalFormatting sqref="T10">
    <cfRule type="cellIs" dxfId="10" priority="1" operator="greaterThan">
      <formula>0</formula>
    </cfRule>
  </conditionalFormatting>
  <dataValidations count="5">
    <dataValidation type="date" allowBlank="1" showInputMessage="1" showErrorMessage="1" errorTitle="Attention" error="Insérez la date de l'enregistrement de la transaction (date du jour)." sqref="F26:G26" xr:uid="{00000000-0002-0000-0700-000000000000}">
      <formula1>41640</formula1>
      <formula2>73051</formula2>
    </dataValidation>
    <dataValidation type="date" errorStyle="information" allowBlank="1" showInputMessage="1" showErrorMessage="1" errorTitle="Attention" error="Insérez la date de la transaction." sqref="E26" xr:uid="{00000000-0002-0000-0700-000001000000}">
      <formula1>41640</formula1>
      <formula2>73051</formula2>
    </dataValidation>
    <dataValidation type="list" allowBlank="1" showInputMessage="1" showErrorMessage="1" sqref="L26" xr:uid="{00000000-0002-0000-0700-000002000000}">
      <formula1>Différé</formula1>
    </dataValidation>
    <dataValidation type="list" errorStyle="information" allowBlank="1" showInputMessage="1" showErrorMessage="1" errorTitle="Attention" error="Choisir une catégorie de transaction." sqref="I26" xr:uid="{00000000-0002-0000-0700-000003000000}">
      <formula1>Catégories</formula1>
    </dataValidation>
    <dataValidation type="list" allowBlank="1" showInputMessage="1" showErrorMessage="1" sqref="J25 J23" xr:uid="{00000000-0002-0000-0700-000004000000}">
      <formula1>Catégories</formula1>
    </dataValidation>
  </dataValidations>
  <hyperlinks>
    <hyperlink ref="G5" location="'Index'!A1" display="Index" xr:uid="{00000000-0004-0000-0700-000000000000}"/>
  </hyperlinks>
  <pageMargins left="0.7" right="0.7" top="0.75" bottom="0.75" header="0.3" footer="0.3"/>
  <pageSetup paperSize="9" scale="37" orientation="portrait" r:id="rId1"/>
  <rowBreaks count="1" manualBreakCount="1">
    <brk id="28" max="16383" man="1"/>
  </rowBreaks>
  <customProperties>
    <customPr name="Guid" r:id="rId2"/>
  </customProperties>
  <ignoredErrors>
    <ignoredError sqref="V14:V25 V12" numberStoredAsText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5" r:id="rId5" name="Button 9">
              <controlPr defaultSize="0" print="0" autoFill="0" autoPict="0" macro="[0]!Trier.Trier">
                <anchor moveWithCells="1" sizeWithCells="1">
                  <from>
                    <xdr:col>8</xdr:col>
                    <xdr:colOff>1013460</xdr:colOff>
                    <xdr:row>4</xdr:row>
                    <xdr:rowOff>22860</xdr:rowOff>
                  </from>
                  <to>
                    <xdr:col>8</xdr:col>
                    <xdr:colOff>1722120</xdr:colOff>
                    <xdr:row>5</xdr:row>
                    <xdr:rowOff>45720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7" operator="containsText" id="{73217B1A-8016-4011-B6E2-021817D70DEB}">
            <xm:f>NOT(ISERROR(SEARCH(Configuration!$F$17,M23)))</xm:f>
            <xm:f>Configuration!$F$17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M23:M25</xm:sqref>
        </x14:conditionalFormatting>
        <x14:conditionalFormatting xmlns:xm="http://schemas.microsoft.com/office/excel/2006/main">
          <x14:cfRule type="containsText" priority="188" operator="containsText" id="{051E36C9-27D7-4110-888D-B2A66135D88F}">
            <xm:f>NOT(ISERROR(SEARCH(Configuration!$F$20,P11)))</xm:f>
            <xm:f>Configuration!$F$20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189" operator="containsText" id="{E6579398-8439-42D1-A3DC-F7BB4A19F03F}">
            <xm:f>NOT(ISERROR(SEARCH(Configuration!$F$19,P11)))</xm:f>
            <xm:f>Configuration!$F$19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P11:Q26</xm:sqref>
        </x14:conditionalFormatting>
        <x14:conditionalFormatting xmlns:xm="http://schemas.microsoft.com/office/excel/2006/main">
          <x14:cfRule type="expression" priority="11" id="{2A11E836-9B96-44FB-912A-11FE9FCA3130}">
            <xm:f>$H11=Configuration!$L$20</xm:f>
            <x14:dxf>
              <fill>
                <patternFill>
                  <bgColor rgb="FFFF0000"/>
                </patternFill>
              </fill>
            </x14:dxf>
          </x14:cfRule>
          <xm:sqref>A11:B26</xm:sqref>
        </x14:conditionalFormatting>
        <x14:conditionalFormatting xmlns:xm="http://schemas.microsoft.com/office/excel/2006/main">
          <x14:cfRule type="containsText" priority="4" operator="containsText" id="{78B73F51-69E3-4804-B88A-15033D4D3532}">
            <xm:f>NOT(ISERROR(SEARCH(Configuration!$F$17,M26)))</xm:f>
            <xm:f>Configuration!$F$17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Attention" error="Vous devez choisir si cette transaction est différée ou non." xr:uid="{00000000-0002-0000-0700-000008000000}">
          <x14:formula1>
            <xm:f>Configuration!$F$16:$F$17</xm:f>
          </x14:formula1>
          <xm:sqref>M23:M26</xm:sqref>
        </x14:dataValidation>
        <x14:dataValidation type="list" allowBlank="1" showInputMessage="1" showErrorMessage="1" xr:uid="{00000000-0002-0000-0700-00000B000000}">
          <x14:formula1>
            <xm:f>Configuration!$F$19:$F$20</xm:f>
          </x14:formula1>
          <xm:sqref>P11:P26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6">
    <tabColor theme="0" tint="-0.249977111117893"/>
  </sheetPr>
  <dimension ref="A1:AA267"/>
  <sheetViews>
    <sheetView showGridLines="0" zoomScaleNormal="100" workbookViewId="0">
      <selection activeCell="B4" sqref="B4"/>
    </sheetView>
  </sheetViews>
  <sheetFormatPr defaultColWidth="0" defaultRowHeight="13.8" zeroHeight="1" x14ac:dyDescent="0.25"/>
  <cols>
    <col min="1" max="1" width="3.5546875" style="107" customWidth="1"/>
    <col min="2" max="2" width="5.5546875" style="107" customWidth="1"/>
    <col min="3" max="3" width="3.5546875" style="107" customWidth="1"/>
    <col min="4" max="4" width="27.6640625" style="107" customWidth="1"/>
    <col min="5" max="5" width="4.5546875" style="107" customWidth="1"/>
    <col min="6" max="6" width="27.33203125" style="107" customWidth="1"/>
    <col min="7" max="7" width="4.5546875" style="107" customWidth="1"/>
    <col min="8" max="8" width="29" style="107" bestFit="1" customWidth="1"/>
    <col min="9" max="9" width="4.5546875" style="107" customWidth="1"/>
    <col min="10" max="10" width="24.5546875" style="107" bestFit="1" customWidth="1"/>
    <col min="11" max="11" width="4.5546875" style="107" customWidth="1"/>
    <col min="12" max="12" width="17.5546875" style="107" bestFit="1" customWidth="1"/>
    <col min="13" max="13" width="22.5546875" style="107" bestFit="1" customWidth="1"/>
    <col min="14" max="14" width="22" style="107" bestFit="1" customWidth="1"/>
    <col min="15" max="15" width="28" style="107" bestFit="1" customWidth="1"/>
    <col min="16" max="16" width="14.44140625" style="107" bestFit="1" customWidth="1"/>
    <col min="17" max="19" width="11.5546875" style="2" customWidth="1"/>
    <col min="20" max="26" width="11.5546875" style="107" customWidth="1"/>
    <col min="27" max="27" width="1.6640625" style="107" customWidth="1"/>
    <col min="28" max="16384" width="11.5546875" style="107" hidden="1"/>
  </cols>
  <sheetData>
    <row r="1" spans="1:27" ht="5.25" customHeight="1" x14ac:dyDescent="0.25">
      <c r="Q1" s="107"/>
      <c r="R1" s="107"/>
      <c r="S1" s="107"/>
      <c r="AA1" s="8"/>
    </row>
    <row r="2" spans="1:27" ht="20.100000000000001" customHeight="1" x14ac:dyDescent="0.25">
      <c r="A2" s="12"/>
      <c r="B2" s="13" t="s">
        <v>140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Q2" s="174"/>
      <c r="R2" s="174"/>
      <c r="S2" s="175"/>
      <c r="AA2" s="8"/>
    </row>
    <row r="3" spans="1:27" ht="10.5" customHeight="1" x14ac:dyDescent="0.25">
      <c r="Q3" s="176"/>
      <c r="R3" s="176"/>
      <c r="S3" s="177"/>
      <c r="AA3" s="8"/>
    </row>
    <row r="4" spans="1:27" ht="10.5" customHeight="1" x14ac:dyDescent="0.25">
      <c r="B4" s="22" t="s">
        <v>280</v>
      </c>
      <c r="Q4" s="176"/>
      <c r="R4" s="176"/>
      <c r="S4" s="177"/>
      <c r="AA4" s="8"/>
    </row>
    <row r="5" spans="1:27" ht="10.5" customHeight="1" x14ac:dyDescent="0.25">
      <c r="Q5" s="176"/>
      <c r="R5" s="176"/>
      <c r="S5" s="177"/>
      <c r="AA5" s="8"/>
    </row>
    <row r="6" spans="1:27" s="2" customFormat="1" ht="10.199999999999999" x14ac:dyDescent="0.2">
      <c r="C6" s="189"/>
      <c r="D6" s="190" t="s">
        <v>201</v>
      </c>
      <c r="F6" s="108"/>
      <c r="G6" s="189"/>
      <c r="H6" s="190" t="s">
        <v>237</v>
      </c>
      <c r="Q6" s="176"/>
      <c r="R6" s="176"/>
      <c r="S6" s="177"/>
      <c r="AA6" s="8"/>
    </row>
    <row r="7" spans="1:27" s="2" customFormat="1" ht="10.199999999999999" x14ac:dyDescent="0.2">
      <c r="Q7" s="178" t="s">
        <v>192</v>
      </c>
      <c r="R7" s="178" t="s">
        <v>192</v>
      </c>
      <c r="S7" s="109" t="s">
        <v>205</v>
      </c>
      <c r="AA7" s="8"/>
    </row>
    <row r="8" spans="1:27" s="2" customFormat="1" ht="10.199999999999999" x14ac:dyDescent="0.2">
      <c r="Q8" s="176"/>
      <c r="R8" s="176"/>
      <c r="S8" s="177"/>
      <c r="AA8" s="8"/>
    </row>
    <row r="9" spans="1:27" s="2" customFormat="1" ht="10.199999999999999" x14ac:dyDescent="0.2">
      <c r="Q9" s="15" t="str">
        <f>INDEX(Configuration!$D$125:$D$151,MATCH(COLUMN(Q9),Configuration!$E$125:$E$151,0),0)</f>
        <v>Q</v>
      </c>
      <c r="R9" s="15"/>
      <c r="S9" s="26" t="str">
        <f>INDEX(Configuration!$D$125:$D$151,MATCH(COLUMN(S9),Configuration!$E$125:$E$151,0),0)</f>
        <v>S</v>
      </c>
      <c r="AA9" s="8"/>
    </row>
    <row r="10" spans="1:27" s="2" customFormat="1" ht="10.199999999999999" x14ac:dyDescent="0.2">
      <c r="D10" s="3" t="s">
        <v>141</v>
      </c>
      <c r="F10" s="3" t="s">
        <v>290</v>
      </c>
      <c r="H10" s="3" t="s">
        <v>144</v>
      </c>
      <c r="J10" s="3" t="s">
        <v>145</v>
      </c>
      <c r="L10" s="3" t="s">
        <v>118</v>
      </c>
      <c r="Q10" s="188" t="s">
        <v>214</v>
      </c>
      <c r="R10" s="29" t="str">
        <f ca="1">MID( CELL("filename",A1), FIND("]", CELL("filename",A1))+1,255)</f>
        <v>Configuration</v>
      </c>
      <c r="S10" s="185"/>
      <c r="AA10" s="8"/>
    </row>
    <row r="11" spans="1:27" s="2" customFormat="1" ht="5.0999999999999996" customHeight="1" x14ac:dyDescent="0.2">
      <c r="Q11" s="176"/>
      <c r="R11" s="176"/>
      <c r="S11" s="185"/>
      <c r="AA11" s="8"/>
    </row>
    <row r="12" spans="1:27" s="2" customFormat="1" ht="5.0999999999999996" customHeight="1" x14ac:dyDescent="0.2">
      <c r="D12" s="191"/>
      <c r="E12" s="191"/>
      <c r="F12" s="191"/>
      <c r="G12" s="191"/>
      <c r="H12" s="191"/>
      <c r="I12" s="191"/>
      <c r="J12" s="191"/>
      <c r="K12" s="191"/>
      <c r="L12" s="191"/>
      <c r="Q12" s="176"/>
      <c r="R12" s="176"/>
      <c r="S12" s="185"/>
      <c r="AA12" s="8"/>
    </row>
    <row r="13" spans="1:27" s="2" customFormat="1" ht="10.199999999999999" x14ac:dyDescent="0.2">
      <c r="D13" s="192" t="s">
        <v>98</v>
      </c>
      <c r="E13" s="193"/>
      <c r="F13" s="179" t="s">
        <v>151</v>
      </c>
      <c r="H13" s="194" t="s">
        <v>117</v>
      </c>
      <c r="J13" s="194" t="s">
        <v>125</v>
      </c>
      <c r="L13" s="194" t="s">
        <v>108</v>
      </c>
      <c r="Q13" s="176"/>
      <c r="R13" s="176"/>
      <c r="S13" s="185"/>
      <c r="AA13" s="8"/>
    </row>
    <row r="14" spans="1:27" s="2" customFormat="1" ht="10.199999999999999" x14ac:dyDescent="0.2">
      <c r="D14" s="192" t="s">
        <v>99</v>
      </c>
      <c r="E14" s="193"/>
      <c r="F14" s="179" t="s">
        <v>146</v>
      </c>
      <c r="H14" s="194" t="s">
        <v>114</v>
      </c>
      <c r="J14" s="194" t="s">
        <v>126</v>
      </c>
      <c r="L14" s="194" t="s">
        <v>107</v>
      </c>
      <c r="Q14" s="176"/>
      <c r="R14" s="176"/>
      <c r="S14" s="185"/>
      <c r="AA14" s="8"/>
    </row>
    <row r="15" spans="1:27" s="2" customFormat="1" ht="10.199999999999999" x14ac:dyDescent="0.2">
      <c r="D15" s="192" t="s">
        <v>100</v>
      </c>
      <c r="E15" s="193"/>
      <c r="H15" s="194" t="s">
        <v>120</v>
      </c>
      <c r="L15" s="194" t="s">
        <v>6</v>
      </c>
      <c r="Q15" s="176"/>
      <c r="R15" s="176"/>
      <c r="S15" s="185"/>
      <c r="AA15" s="8"/>
    </row>
    <row r="16" spans="1:27" s="2" customFormat="1" ht="10.199999999999999" x14ac:dyDescent="0.2">
      <c r="D16" s="192" t="s">
        <v>153</v>
      </c>
      <c r="E16" s="193"/>
      <c r="F16" s="179" t="s">
        <v>182</v>
      </c>
      <c r="H16" s="194" t="s">
        <v>123</v>
      </c>
      <c r="J16" s="194" t="s">
        <v>4</v>
      </c>
      <c r="L16" s="194" t="s">
        <v>209</v>
      </c>
      <c r="Q16" s="176"/>
      <c r="R16" s="176"/>
      <c r="S16" s="185"/>
      <c r="AA16" s="8"/>
    </row>
    <row r="17" spans="4:27" s="2" customFormat="1" ht="10.199999999999999" x14ac:dyDescent="0.2">
      <c r="D17" s="192" t="s">
        <v>28</v>
      </c>
      <c r="E17" s="193"/>
      <c r="F17" s="179" t="s">
        <v>183</v>
      </c>
      <c r="H17" s="194" t="s">
        <v>124</v>
      </c>
      <c r="J17" s="194" t="s">
        <v>97</v>
      </c>
      <c r="L17" s="194" t="s">
        <v>210</v>
      </c>
      <c r="Q17" s="176"/>
      <c r="R17" s="176"/>
      <c r="S17" s="185"/>
      <c r="AA17" s="8"/>
    </row>
    <row r="18" spans="4:27" s="2" customFormat="1" ht="10.199999999999999" x14ac:dyDescent="0.2">
      <c r="D18" s="192" t="s">
        <v>101</v>
      </c>
      <c r="E18" s="193"/>
      <c r="H18" s="194" t="s">
        <v>127</v>
      </c>
      <c r="L18" s="194" t="s">
        <v>149</v>
      </c>
      <c r="P18" s="193"/>
      <c r="Q18" s="176"/>
      <c r="R18" s="176"/>
      <c r="S18" s="185"/>
      <c r="AA18" s="8"/>
    </row>
    <row r="19" spans="4:27" s="2" customFormat="1" ht="10.199999999999999" x14ac:dyDescent="0.2">
      <c r="D19" s="192" t="s">
        <v>175</v>
      </c>
      <c r="E19" s="193"/>
      <c r="F19" s="179" t="s">
        <v>125</v>
      </c>
      <c r="H19" s="194" t="s">
        <v>136</v>
      </c>
      <c r="J19" s="194" t="s">
        <v>147</v>
      </c>
      <c r="L19" s="194" t="s">
        <v>150</v>
      </c>
      <c r="O19" s="193"/>
      <c r="P19" s="193"/>
      <c r="Q19" s="176"/>
      <c r="R19" s="176"/>
      <c r="S19" s="185"/>
      <c r="AA19" s="8"/>
    </row>
    <row r="20" spans="4:27" s="2" customFormat="1" ht="10.199999999999999" x14ac:dyDescent="0.2">
      <c r="D20" s="192" t="s">
        <v>38</v>
      </c>
      <c r="E20" s="193"/>
      <c r="F20" s="179" t="s">
        <v>126</v>
      </c>
      <c r="H20" s="194" t="s">
        <v>248</v>
      </c>
      <c r="L20" s="194" t="s">
        <v>152</v>
      </c>
      <c r="N20" s="193"/>
      <c r="P20" s="193"/>
      <c r="Q20" s="176"/>
      <c r="R20" s="176"/>
      <c r="S20" s="185"/>
      <c r="AA20" s="8"/>
    </row>
    <row r="21" spans="4:27" s="2" customFormat="1" ht="10.199999999999999" x14ac:dyDescent="0.2">
      <c r="D21" s="192" t="s">
        <v>102</v>
      </c>
      <c r="E21" s="193"/>
      <c r="N21" s="193"/>
      <c r="P21" s="193"/>
      <c r="Q21" s="176"/>
      <c r="R21" s="176"/>
      <c r="S21" s="185"/>
      <c r="AA21" s="8"/>
    </row>
    <row r="22" spans="4:27" s="2" customFormat="1" ht="10.199999999999999" x14ac:dyDescent="0.2">
      <c r="D22" s="192" t="s">
        <v>55</v>
      </c>
      <c r="E22" s="193"/>
      <c r="F22" s="179" t="s">
        <v>139</v>
      </c>
      <c r="G22" s="193"/>
      <c r="I22" s="193"/>
      <c r="K22" s="193"/>
      <c r="L22" s="193"/>
      <c r="N22" s="193"/>
      <c r="P22" s="193"/>
      <c r="Q22" s="176"/>
      <c r="R22" s="176"/>
      <c r="S22" s="185"/>
      <c r="AA22" s="8"/>
    </row>
    <row r="23" spans="4:27" s="2" customFormat="1" ht="10.199999999999999" x14ac:dyDescent="0.2">
      <c r="D23" s="192" t="s">
        <v>103</v>
      </c>
      <c r="E23" s="193"/>
      <c r="F23" s="179" t="s">
        <v>179</v>
      </c>
      <c r="G23" s="193"/>
      <c r="I23" s="193"/>
      <c r="K23" s="193"/>
      <c r="L23" s="193"/>
      <c r="N23" s="193"/>
      <c r="P23" s="193"/>
      <c r="Q23" s="176"/>
      <c r="R23" s="176"/>
      <c r="S23" s="185"/>
      <c r="AA23" s="8"/>
    </row>
    <row r="24" spans="4:27" s="2" customFormat="1" ht="10.199999999999999" x14ac:dyDescent="0.2">
      <c r="D24" s="192" t="s">
        <v>69</v>
      </c>
      <c r="E24" s="193"/>
      <c r="F24" s="179" t="s">
        <v>217</v>
      </c>
      <c r="G24" s="193"/>
      <c r="I24" s="193"/>
      <c r="K24" s="193"/>
      <c r="L24" s="193"/>
      <c r="M24" s="193"/>
      <c r="N24" s="193"/>
      <c r="P24" s="193"/>
      <c r="Q24" s="176"/>
      <c r="R24" s="176"/>
      <c r="S24" s="185"/>
      <c r="AA24" s="8"/>
    </row>
    <row r="25" spans="4:27" s="2" customFormat="1" ht="10.199999999999999" x14ac:dyDescent="0.2">
      <c r="D25" s="192" t="s">
        <v>75</v>
      </c>
      <c r="E25" s="193"/>
      <c r="G25" s="193"/>
      <c r="I25" s="193"/>
      <c r="J25" s="193"/>
      <c r="K25" s="193"/>
      <c r="L25" s="193"/>
      <c r="M25" s="193"/>
      <c r="N25" s="193"/>
      <c r="P25" s="193"/>
      <c r="Q25" s="176"/>
      <c r="R25" s="176"/>
      <c r="S25" s="185"/>
      <c r="AA25" s="8"/>
    </row>
    <row r="26" spans="4:27" s="2" customFormat="1" ht="10.199999999999999" x14ac:dyDescent="0.2">
      <c r="D26" s="192" t="s">
        <v>104</v>
      </c>
      <c r="E26" s="193"/>
      <c r="G26" s="193"/>
      <c r="I26" s="193"/>
      <c r="J26" s="193"/>
      <c r="K26" s="193"/>
      <c r="L26" s="193"/>
      <c r="M26" s="193"/>
      <c r="N26" s="193"/>
      <c r="P26" s="193"/>
      <c r="Q26" s="176"/>
      <c r="R26" s="176"/>
      <c r="S26" s="185"/>
      <c r="AA26" s="8"/>
    </row>
    <row r="27" spans="4:27" s="2" customFormat="1" ht="10.199999999999999" x14ac:dyDescent="0.2">
      <c r="D27" s="192" t="s">
        <v>95</v>
      </c>
      <c r="E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76"/>
      <c r="R27" s="176"/>
      <c r="S27" s="185"/>
      <c r="AA27" s="8"/>
    </row>
    <row r="28" spans="4:27" s="2" customFormat="1" ht="10.199999999999999" x14ac:dyDescent="0.2">
      <c r="D28" s="193"/>
      <c r="E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76"/>
      <c r="R28" s="176"/>
      <c r="S28" s="185"/>
      <c r="AA28" s="8"/>
    </row>
    <row r="29" spans="4:27" s="2" customFormat="1" ht="10.199999999999999" x14ac:dyDescent="0.2">
      <c r="Q29" s="176"/>
      <c r="R29" s="176"/>
      <c r="S29" s="185"/>
      <c r="AA29" s="8"/>
    </row>
    <row r="30" spans="4:27" s="2" customFormat="1" ht="10.199999999999999" x14ac:dyDescent="0.2">
      <c r="D30" s="195" t="s">
        <v>142</v>
      </c>
      <c r="Q30" s="176"/>
      <c r="R30" s="176"/>
      <c r="S30" s="185"/>
      <c r="AA30" s="8"/>
    </row>
    <row r="31" spans="4:27" s="2" customFormat="1" ht="5.0999999999999996" customHeight="1" x14ac:dyDescent="0.2">
      <c r="Q31" s="176"/>
      <c r="R31" s="176"/>
      <c r="S31" s="185"/>
      <c r="AA31" s="8"/>
    </row>
    <row r="32" spans="4:27" s="2" customFormat="1" ht="5.0999999999999996" customHeight="1" x14ac:dyDescent="0.2">
      <c r="D32" s="191"/>
      <c r="E32" s="191"/>
      <c r="F32" s="191"/>
      <c r="G32" s="191"/>
      <c r="H32" s="191"/>
      <c r="I32" s="191"/>
      <c r="J32" s="191"/>
      <c r="K32" s="191"/>
      <c r="L32" s="191"/>
      <c r="Q32" s="176"/>
      <c r="R32" s="176"/>
      <c r="S32" s="185"/>
      <c r="AA32" s="8"/>
    </row>
    <row r="33" spans="4:27" s="2" customFormat="1" ht="10.199999999999999" x14ac:dyDescent="0.2">
      <c r="D33" s="3" t="str">
        <f>D13</f>
        <v>Alimentation</v>
      </c>
      <c r="F33" s="3" t="str">
        <f>D16</f>
        <v>Retraits_Chèques</v>
      </c>
      <c r="H33" s="3" t="str">
        <f>D20</f>
        <v>Abonnements</v>
      </c>
      <c r="J33" s="3" t="str">
        <f>D24</f>
        <v>Divers</v>
      </c>
      <c r="L33" s="3" t="str">
        <f>D27</f>
        <v>Esthétique</v>
      </c>
      <c r="Q33" s="176"/>
      <c r="R33" s="176"/>
      <c r="S33" s="185"/>
      <c r="AA33" s="8"/>
    </row>
    <row r="34" spans="4:27" s="2" customFormat="1" ht="10.199999999999999" x14ac:dyDescent="0.2">
      <c r="D34" s="198" t="s">
        <v>8</v>
      </c>
      <c r="F34" s="198" t="s">
        <v>26</v>
      </c>
      <c r="H34" s="198" t="s">
        <v>39</v>
      </c>
      <c r="J34" s="198" t="s">
        <v>70</v>
      </c>
      <c r="L34" s="198" t="s">
        <v>93</v>
      </c>
      <c r="Q34" s="176"/>
      <c r="R34" s="176"/>
      <c r="S34" s="185"/>
      <c r="AA34" s="8"/>
    </row>
    <row r="35" spans="4:27" s="2" customFormat="1" ht="10.199999999999999" x14ac:dyDescent="0.2">
      <c r="D35" s="198" t="s">
        <v>9</v>
      </c>
      <c r="F35" s="198" t="s">
        <v>27</v>
      </c>
      <c r="H35" s="198" t="s">
        <v>42</v>
      </c>
      <c r="J35" s="198" t="s">
        <v>71</v>
      </c>
      <c r="L35" s="198" t="s">
        <v>94</v>
      </c>
      <c r="Q35" s="176"/>
      <c r="R35" s="176"/>
      <c r="S35" s="185"/>
      <c r="AA35" s="8"/>
    </row>
    <row r="36" spans="4:27" s="2" customFormat="1" ht="10.199999999999999" x14ac:dyDescent="0.2">
      <c r="D36" s="198" t="s">
        <v>10</v>
      </c>
      <c r="H36" s="198" t="s">
        <v>40</v>
      </c>
      <c r="J36" s="198" t="s">
        <v>72</v>
      </c>
      <c r="L36" s="198" t="s">
        <v>95</v>
      </c>
      <c r="Q36" s="176"/>
      <c r="R36" s="176"/>
      <c r="S36" s="185"/>
      <c r="AA36" s="8"/>
    </row>
    <row r="37" spans="4:27" s="2" customFormat="1" ht="10.199999999999999" x14ac:dyDescent="0.2">
      <c r="F37" s="3" t="str">
        <f>D17</f>
        <v>Santé</v>
      </c>
      <c r="H37" s="198" t="s">
        <v>41</v>
      </c>
      <c r="J37" s="198" t="s">
        <v>73</v>
      </c>
      <c r="L37" s="198" t="s">
        <v>96</v>
      </c>
      <c r="Q37" s="176"/>
      <c r="R37" s="176"/>
      <c r="S37" s="185"/>
      <c r="AA37" s="8"/>
    </row>
    <row r="38" spans="4:27" s="2" customFormat="1" ht="10.199999999999999" x14ac:dyDescent="0.2">
      <c r="D38" s="3" t="str">
        <f>D14</f>
        <v>Loisirs</v>
      </c>
      <c r="F38" s="198" t="s">
        <v>29</v>
      </c>
      <c r="H38" s="198" t="s">
        <v>43</v>
      </c>
      <c r="J38" s="198" t="s">
        <v>74</v>
      </c>
      <c r="L38" s="198" t="s">
        <v>44</v>
      </c>
      <c r="Q38" s="176"/>
      <c r="R38" s="176"/>
      <c r="S38" s="185"/>
      <c r="AA38" s="8"/>
    </row>
    <row r="39" spans="4:27" s="2" customFormat="1" ht="10.199999999999999" x14ac:dyDescent="0.2">
      <c r="D39" s="198" t="s">
        <v>11</v>
      </c>
      <c r="F39" s="198" t="s">
        <v>30</v>
      </c>
      <c r="H39" s="198" t="s">
        <v>44</v>
      </c>
      <c r="Q39" s="176"/>
      <c r="R39" s="176"/>
      <c r="S39" s="185"/>
      <c r="AA39" s="8"/>
    </row>
    <row r="40" spans="4:27" s="2" customFormat="1" ht="10.199999999999999" x14ac:dyDescent="0.2">
      <c r="D40" s="198" t="s">
        <v>7</v>
      </c>
      <c r="F40" s="198" t="s">
        <v>31</v>
      </c>
      <c r="L40" s="3" t="s">
        <v>175</v>
      </c>
      <c r="Q40" s="176"/>
      <c r="R40" s="176"/>
      <c r="S40" s="185"/>
      <c r="AA40" s="8"/>
    </row>
    <row r="41" spans="4:27" s="2" customFormat="1" ht="10.199999999999999" x14ac:dyDescent="0.2">
      <c r="D41" s="198" t="s">
        <v>12</v>
      </c>
      <c r="F41" s="198" t="s">
        <v>32</v>
      </c>
      <c r="H41" s="3" t="str">
        <f>D21</f>
        <v>Transports</v>
      </c>
      <c r="J41" s="3" t="str">
        <f>D25</f>
        <v>Logement</v>
      </c>
      <c r="L41" s="198" t="s">
        <v>176</v>
      </c>
      <c r="Q41" s="176"/>
      <c r="R41" s="176"/>
      <c r="S41" s="185"/>
      <c r="AA41" s="8"/>
    </row>
    <row r="42" spans="4:27" s="2" customFormat="1" ht="10.199999999999999" x14ac:dyDescent="0.2">
      <c r="D42" s="198" t="s">
        <v>13</v>
      </c>
      <c r="F42" s="198" t="s">
        <v>33</v>
      </c>
      <c r="H42" s="198" t="s">
        <v>45</v>
      </c>
      <c r="J42" s="198" t="s">
        <v>76</v>
      </c>
      <c r="L42" s="198" t="s">
        <v>177</v>
      </c>
      <c r="Q42" s="176"/>
      <c r="R42" s="176"/>
      <c r="S42" s="185"/>
      <c r="AA42" s="8"/>
    </row>
    <row r="43" spans="4:27" s="2" customFormat="1" ht="10.199999999999999" x14ac:dyDescent="0.2">
      <c r="D43" s="198" t="s">
        <v>14</v>
      </c>
      <c r="F43" s="198" t="s">
        <v>34</v>
      </c>
      <c r="H43" s="198" t="s">
        <v>46</v>
      </c>
      <c r="J43" s="198" t="s">
        <v>77</v>
      </c>
      <c r="Q43" s="176"/>
      <c r="R43" s="176"/>
      <c r="S43" s="185"/>
      <c r="AA43" s="8"/>
    </row>
    <row r="44" spans="4:27" s="2" customFormat="1" ht="10.199999999999999" x14ac:dyDescent="0.2">
      <c r="D44" s="198" t="s">
        <v>15</v>
      </c>
      <c r="F44" s="198" t="s">
        <v>195</v>
      </c>
      <c r="H44" s="198" t="s">
        <v>47</v>
      </c>
      <c r="J44" s="198" t="s">
        <v>109</v>
      </c>
      <c r="Q44" s="176"/>
      <c r="R44" s="176"/>
      <c r="S44" s="185"/>
      <c r="AA44" s="8"/>
    </row>
    <row r="45" spans="4:27" s="2" customFormat="1" ht="10.199999999999999" x14ac:dyDescent="0.2">
      <c r="D45" s="198" t="s">
        <v>16</v>
      </c>
      <c r="H45" s="198" t="s">
        <v>48</v>
      </c>
      <c r="J45" s="198" t="s">
        <v>78</v>
      </c>
      <c r="Q45" s="176"/>
      <c r="R45" s="176"/>
      <c r="S45" s="185"/>
      <c r="AA45" s="8"/>
    </row>
    <row r="46" spans="4:27" s="2" customFormat="1" ht="10.199999999999999" x14ac:dyDescent="0.2">
      <c r="D46" s="198" t="s">
        <v>17</v>
      </c>
      <c r="F46" s="3" t="str">
        <f>D18</f>
        <v>Professionnel</v>
      </c>
      <c r="H46" s="198" t="s">
        <v>49</v>
      </c>
      <c r="J46" s="198" t="s">
        <v>79</v>
      </c>
      <c r="Q46" s="176"/>
      <c r="R46" s="176"/>
      <c r="S46" s="185"/>
      <c r="AA46" s="8"/>
    </row>
    <row r="47" spans="4:27" s="2" customFormat="1" ht="10.199999999999999" x14ac:dyDescent="0.2">
      <c r="D47" s="198" t="s">
        <v>18</v>
      </c>
      <c r="F47" s="198" t="s">
        <v>35</v>
      </c>
      <c r="H47" s="198" t="s">
        <v>50</v>
      </c>
      <c r="J47" s="198" t="s">
        <v>80</v>
      </c>
      <c r="Q47" s="176"/>
      <c r="R47" s="176"/>
      <c r="S47" s="185"/>
      <c r="AA47" s="8"/>
    </row>
    <row r="48" spans="4:27" s="2" customFormat="1" ht="10.199999999999999" x14ac:dyDescent="0.2">
      <c r="F48" s="198" t="s">
        <v>120</v>
      </c>
      <c r="H48" s="198" t="s">
        <v>51</v>
      </c>
      <c r="J48" s="198" t="s">
        <v>81</v>
      </c>
      <c r="Q48" s="176"/>
      <c r="R48" s="176"/>
      <c r="S48" s="185"/>
      <c r="AA48" s="8"/>
    </row>
    <row r="49" spans="4:27" s="2" customFormat="1" ht="10.199999999999999" x14ac:dyDescent="0.2">
      <c r="D49" s="3" t="str">
        <f>D15</f>
        <v>Achats</v>
      </c>
      <c r="F49" s="198" t="s">
        <v>36</v>
      </c>
      <c r="H49" s="198" t="s">
        <v>52</v>
      </c>
      <c r="J49" s="198" t="s">
        <v>82</v>
      </c>
      <c r="Q49" s="176"/>
      <c r="R49" s="176"/>
      <c r="S49" s="185"/>
      <c r="AA49" s="8"/>
    </row>
    <row r="50" spans="4:27" s="2" customFormat="1" ht="10.199999999999999" x14ac:dyDescent="0.2">
      <c r="D50" s="198" t="s">
        <v>19</v>
      </c>
      <c r="F50" s="198" t="s">
        <v>37</v>
      </c>
      <c r="H50" s="198" t="s">
        <v>53</v>
      </c>
      <c r="J50" s="198" t="s">
        <v>83</v>
      </c>
      <c r="Q50" s="176"/>
      <c r="R50" s="176"/>
      <c r="S50" s="185"/>
      <c r="AA50" s="8"/>
    </row>
    <row r="51" spans="4:27" s="2" customFormat="1" ht="10.199999999999999" x14ac:dyDescent="0.2">
      <c r="D51" s="198" t="s">
        <v>17</v>
      </c>
      <c r="F51" s="198" t="s">
        <v>105</v>
      </c>
      <c r="H51" s="198" t="s">
        <v>54</v>
      </c>
      <c r="J51" s="198" t="s">
        <v>84</v>
      </c>
      <c r="Q51" s="176"/>
      <c r="R51" s="176"/>
      <c r="S51" s="185"/>
      <c r="AA51" s="8"/>
    </row>
    <row r="52" spans="4:27" s="2" customFormat="1" ht="10.199999999999999" x14ac:dyDescent="0.2">
      <c r="D52" s="198" t="s">
        <v>20</v>
      </c>
      <c r="F52" s="198" t="s">
        <v>136</v>
      </c>
      <c r="H52" s="198" t="s">
        <v>143</v>
      </c>
      <c r="Q52" s="176"/>
      <c r="R52" s="176"/>
      <c r="S52" s="185"/>
      <c r="AA52" s="8"/>
    </row>
    <row r="53" spans="4:27" s="2" customFormat="1" ht="10.199999999999999" x14ac:dyDescent="0.2">
      <c r="D53" s="198" t="s">
        <v>21</v>
      </c>
      <c r="F53" s="198" t="s">
        <v>194</v>
      </c>
      <c r="J53" s="3" t="str">
        <f>D26</f>
        <v>Enfants</v>
      </c>
      <c r="Q53" s="176"/>
      <c r="R53" s="176"/>
      <c r="S53" s="185"/>
      <c r="AA53" s="8"/>
    </row>
    <row r="54" spans="4:27" s="2" customFormat="1" ht="10.199999999999999" x14ac:dyDescent="0.2">
      <c r="D54" s="198" t="s">
        <v>22</v>
      </c>
      <c r="H54" s="3" t="str">
        <f>D22</f>
        <v>Banque</v>
      </c>
      <c r="J54" s="198" t="s">
        <v>85</v>
      </c>
      <c r="Q54" s="176"/>
      <c r="R54" s="176"/>
      <c r="S54" s="185"/>
      <c r="AA54" s="8"/>
    </row>
    <row r="55" spans="4:27" s="2" customFormat="1" ht="10.199999999999999" x14ac:dyDescent="0.2">
      <c r="D55" s="198" t="s">
        <v>23</v>
      </c>
      <c r="F55" s="3" t="str">
        <f>D23</f>
        <v>Impôts</v>
      </c>
      <c r="H55" s="198" t="s">
        <v>56</v>
      </c>
      <c r="J55" s="198" t="s">
        <v>86</v>
      </c>
      <c r="Q55" s="176"/>
      <c r="R55" s="176"/>
      <c r="S55" s="185"/>
      <c r="AA55" s="8"/>
    </row>
    <row r="56" spans="4:27" s="2" customFormat="1" ht="10.199999999999999" x14ac:dyDescent="0.2">
      <c r="D56" s="198" t="s">
        <v>24</v>
      </c>
      <c r="F56" s="198" t="s">
        <v>63</v>
      </c>
      <c r="H56" s="198" t="s">
        <v>57</v>
      </c>
      <c r="J56" s="198" t="s">
        <v>87</v>
      </c>
      <c r="Q56" s="176"/>
      <c r="R56" s="176"/>
      <c r="S56" s="185"/>
      <c r="AA56" s="8"/>
    </row>
    <row r="57" spans="4:27" s="2" customFormat="1" ht="10.199999999999999" x14ac:dyDescent="0.2">
      <c r="D57" s="198" t="s">
        <v>25</v>
      </c>
      <c r="F57" s="198" t="s">
        <v>64</v>
      </c>
      <c r="H57" s="198" t="s">
        <v>58</v>
      </c>
      <c r="J57" s="198" t="s">
        <v>88</v>
      </c>
      <c r="Q57" s="176"/>
      <c r="R57" s="176"/>
      <c r="S57" s="185"/>
      <c r="AA57" s="8"/>
    </row>
    <row r="58" spans="4:27" s="2" customFormat="1" ht="10.199999999999999" x14ac:dyDescent="0.2">
      <c r="D58" s="198" t="s">
        <v>111</v>
      </c>
      <c r="F58" s="198" t="s">
        <v>65</v>
      </c>
      <c r="H58" s="198" t="s">
        <v>59</v>
      </c>
      <c r="J58" s="198" t="s">
        <v>89</v>
      </c>
      <c r="Q58" s="176"/>
      <c r="R58" s="176"/>
      <c r="S58" s="185"/>
      <c r="AA58" s="8"/>
    </row>
    <row r="59" spans="4:27" s="2" customFormat="1" ht="10.199999999999999" x14ac:dyDescent="0.2">
      <c r="D59" s="198" t="s">
        <v>44</v>
      </c>
      <c r="F59" s="198" t="s">
        <v>66</v>
      </c>
      <c r="H59" s="198" t="s">
        <v>60</v>
      </c>
      <c r="J59" s="198" t="s">
        <v>90</v>
      </c>
      <c r="Q59" s="176"/>
      <c r="R59" s="176"/>
      <c r="S59" s="185"/>
      <c r="AA59" s="8"/>
    </row>
    <row r="60" spans="4:27" s="2" customFormat="1" ht="10.199999999999999" x14ac:dyDescent="0.2">
      <c r="F60" s="198" t="s">
        <v>67</v>
      </c>
      <c r="H60" s="198" t="s">
        <v>61</v>
      </c>
      <c r="J60" s="198" t="s">
        <v>91</v>
      </c>
      <c r="Q60" s="176"/>
      <c r="R60" s="176"/>
      <c r="S60" s="185"/>
      <c r="AA60" s="8"/>
    </row>
    <row r="61" spans="4:27" s="2" customFormat="1" ht="10.199999999999999" x14ac:dyDescent="0.2">
      <c r="F61" s="198" t="s">
        <v>68</v>
      </c>
      <c r="H61" s="198" t="s">
        <v>62</v>
      </c>
      <c r="J61" s="198" t="s">
        <v>92</v>
      </c>
      <c r="Q61" s="176"/>
      <c r="R61" s="176"/>
      <c r="S61" s="185"/>
      <c r="AA61" s="8"/>
    </row>
    <row r="62" spans="4:27" s="2" customFormat="1" ht="10.199999999999999" x14ac:dyDescent="0.2">
      <c r="Q62" s="176"/>
      <c r="R62" s="176"/>
      <c r="S62" s="185"/>
      <c r="AA62" s="8"/>
    </row>
    <row r="63" spans="4:27" s="2" customFormat="1" ht="10.199999999999999" x14ac:dyDescent="0.2">
      <c r="Q63" s="176"/>
      <c r="R63" s="176"/>
      <c r="S63" s="185"/>
      <c r="AA63" s="8"/>
    </row>
    <row r="64" spans="4:27" s="2" customFormat="1" ht="10.199999999999999" x14ac:dyDescent="0.2">
      <c r="D64" s="195" t="s">
        <v>165</v>
      </c>
      <c r="Q64" s="176"/>
      <c r="R64" s="176"/>
      <c r="S64" s="185"/>
      <c r="AA64" s="8"/>
    </row>
    <row r="65" spans="4:27" s="2" customFormat="1" ht="5.0999999999999996" customHeight="1" x14ac:dyDescent="0.2">
      <c r="Q65" s="176"/>
      <c r="R65" s="176"/>
      <c r="S65" s="185"/>
      <c r="AA65" s="8"/>
    </row>
    <row r="66" spans="4:27" s="2" customFormat="1" ht="5.0999999999999996" customHeight="1" x14ac:dyDescent="0.2">
      <c r="D66" s="191"/>
      <c r="E66" s="191"/>
      <c r="F66" s="191"/>
      <c r="G66" s="191"/>
      <c r="H66" s="191"/>
      <c r="I66" s="191"/>
      <c r="J66" s="191"/>
      <c r="K66" s="191"/>
      <c r="L66" s="191"/>
      <c r="Q66" s="176"/>
      <c r="R66" s="176"/>
      <c r="S66" s="185"/>
      <c r="AA66" s="8"/>
    </row>
    <row r="67" spans="4:27" s="2" customFormat="1" ht="10.199999999999999" x14ac:dyDescent="0.2">
      <c r="Q67" s="176"/>
      <c r="R67" s="176"/>
      <c r="S67" s="185"/>
      <c r="AA67" s="8"/>
    </row>
    <row r="68" spans="4:27" s="2" customFormat="1" ht="10.199999999999999" x14ac:dyDescent="0.2">
      <c r="D68" s="198" t="s">
        <v>157</v>
      </c>
      <c r="F68" s="198" t="s">
        <v>167</v>
      </c>
      <c r="H68" s="198" t="s">
        <v>129</v>
      </c>
      <c r="J68" s="198" t="s">
        <v>129</v>
      </c>
      <c r="Q68" s="176"/>
      <c r="R68" s="176"/>
      <c r="S68" s="185"/>
      <c r="AA68" s="8"/>
    </row>
    <row r="69" spans="4:27" s="2" customFormat="1" ht="10.199999999999999" x14ac:dyDescent="0.2">
      <c r="D69" s="198" t="s">
        <v>164</v>
      </c>
      <c r="F69" s="198" t="s">
        <v>168</v>
      </c>
      <c r="H69" s="198" t="s">
        <v>130</v>
      </c>
      <c r="J69" s="198" t="s">
        <v>132</v>
      </c>
      <c r="Q69" s="176"/>
      <c r="R69" s="176"/>
      <c r="S69" s="185"/>
      <c r="AA69" s="8"/>
    </row>
    <row r="70" spans="4:27" s="2" customFormat="1" ht="10.199999999999999" x14ac:dyDescent="0.2">
      <c r="D70" s="198" t="s">
        <v>163</v>
      </c>
      <c r="H70" s="198" t="s">
        <v>131</v>
      </c>
      <c r="Q70" s="176"/>
      <c r="R70" s="176"/>
      <c r="S70" s="185"/>
      <c r="AA70" s="8"/>
    </row>
    <row r="71" spans="4:27" s="2" customFormat="1" ht="10.199999999999999" x14ac:dyDescent="0.2">
      <c r="D71" s="198" t="s">
        <v>162</v>
      </c>
      <c r="F71" s="198" t="s">
        <v>169</v>
      </c>
      <c r="H71" s="198" t="s">
        <v>132</v>
      </c>
      <c r="Q71" s="176"/>
      <c r="R71" s="176"/>
      <c r="S71" s="185"/>
      <c r="AA71" s="8"/>
    </row>
    <row r="72" spans="4:27" s="2" customFormat="1" ht="10.199999999999999" x14ac:dyDescent="0.2">
      <c r="D72" s="198" t="s">
        <v>161</v>
      </c>
      <c r="F72" s="198" t="s">
        <v>170</v>
      </c>
      <c r="Q72" s="176"/>
      <c r="R72" s="176"/>
      <c r="S72" s="185"/>
      <c r="AA72" s="8"/>
    </row>
    <row r="73" spans="4:27" s="2" customFormat="1" ht="10.199999999999999" x14ac:dyDescent="0.2">
      <c r="D73" s="4"/>
      <c r="H73" s="198" t="s">
        <v>204</v>
      </c>
      <c r="Q73" s="176"/>
      <c r="R73" s="176"/>
      <c r="S73" s="185"/>
      <c r="AA73" s="8"/>
    </row>
    <row r="74" spans="4:27" s="2" customFormat="1" ht="10.199999999999999" x14ac:dyDescent="0.2">
      <c r="D74" s="198" t="s">
        <v>160</v>
      </c>
      <c r="F74" s="198" t="s">
        <v>171</v>
      </c>
      <c r="H74" s="198" t="s">
        <v>166</v>
      </c>
      <c r="Q74" s="176"/>
      <c r="R74" s="176"/>
      <c r="S74" s="185"/>
      <c r="AA74" s="8"/>
    </row>
    <row r="75" spans="4:27" s="2" customFormat="1" ht="10.199999999999999" x14ac:dyDescent="0.2">
      <c r="D75" s="198" t="s">
        <v>155</v>
      </c>
      <c r="F75" s="198" t="s">
        <v>172</v>
      </c>
      <c r="Q75" s="176"/>
      <c r="R75" s="176"/>
      <c r="S75" s="185"/>
      <c r="AA75" s="8"/>
    </row>
    <row r="76" spans="4:27" s="2" customFormat="1" ht="10.199999999999999" x14ac:dyDescent="0.2">
      <c r="D76" s="4"/>
      <c r="Q76" s="176"/>
      <c r="R76" s="176"/>
      <c r="S76" s="185"/>
      <c r="AA76" s="8"/>
    </row>
    <row r="77" spans="4:27" s="2" customFormat="1" ht="10.199999999999999" x14ac:dyDescent="0.2">
      <c r="D77" s="198" t="s">
        <v>159</v>
      </c>
      <c r="F77" s="198" t="s">
        <v>247</v>
      </c>
      <c r="Q77" s="176"/>
      <c r="R77" s="176"/>
      <c r="S77" s="185"/>
      <c r="AA77" s="8"/>
    </row>
    <row r="78" spans="4:27" s="2" customFormat="1" ht="10.199999999999999" x14ac:dyDescent="0.2">
      <c r="D78" s="198" t="s">
        <v>156</v>
      </c>
      <c r="F78" s="198" t="s">
        <v>250</v>
      </c>
      <c r="Q78" s="176"/>
      <c r="R78" s="176"/>
      <c r="S78" s="185"/>
      <c r="AA78" s="8"/>
    </row>
    <row r="79" spans="4:27" s="2" customFormat="1" ht="10.199999999999999" x14ac:dyDescent="0.2">
      <c r="Q79" s="176"/>
      <c r="R79" s="176"/>
      <c r="S79" s="185"/>
      <c r="AA79" s="8"/>
    </row>
    <row r="80" spans="4:27" s="2" customFormat="1" ht="10.199999999999999" x14ac:dyDescent="0.2">
      <c r="Q80" s="176"/>
      <c r="R80" s="176"/>
      <c r="S80" s="185"/>
      <c r="AA80" s="8"/>
    </row>
    <row r="81" spans="4:27" s="2" customFormat="1" ht="10.199999999999999" x14ac:dyDescent="0.2">
      <c r="D81" s="195" t="s">
        <v>203</v>
      </c>
      <c r="Q81" s="176"/>
      <c r="R81" s="176"/>
      <c r="S81" s="185"/>
      <c r="AA81" s="8"/>
    </row>
    <row r="82" spans="4:27" s="2" customFormat="1" ht="5.0999999999999996" customHeight="1" x14ac:dyDescent="0.2">
      <c r="Q82" s="176"/>
      <c r="R82" s="176"/>
      <c r="S82" s="185"/>
      <c r="AA82" s="8"/>
    </row>
    <row r="83" spans="4:27" s="2" customFormat="1" ht="5.0999999999999996" customHeight="1" x14ac:dyDescent="0.2">
      <c r="D83" s="191"/>
      <c r="E83" s="191"/>
      <c r="F83" s="191"/>
      <c r="G83" s="191"/>
      <c r="H83" s="191"/>
      <c r="I83" s="191"/>
      <c r="J83" s="191"/>
      <c r="K83" s="191"/>
      <c r="L83" s="191"/>
      <c r="Q83" s="176"/>
      <c r="R83" s="176"/>
      <c r="S83" s="185"/>
      <c r="AA83" s="8"/>
    </row>
    <row r="84" spans="4:27" s="2" customFormat="1" ht="10.199999999999999" x14ac:dyDescent="0.2">
      <c r="D84" s="3" t="s">
        <v>207</v>
      </c>
      <c r="F84" s="2" t="s">
        <v>199</v>
      </c>
      <c r="G84" s="196">
        <v>1</v>
      </c>
      <c r="Q84" s="176"/>
      <c r="R84" s="176"/>
      <c r="S84" s="185"/>
      <c r="AA84" s="8"/>
    </row>
    <row r="85" spans="4:27" s="2" customFormat="1" ht="10.199999999999999" x14ac:dyDescent="0.2">
      <c r="D85" s="3" t="s">
        <v>208</v>
      </c>
      <c r="F85" s="2" t="s">
        <v>199</v>
      </c>
      <c r="G85" s="196">
        <v>0</v>
      </c>
      <c r="Q85" s="176"/>
      <c r="R85" s="176"/>
      <c r="S85" s="185"/>
      <c r="AA85" s="8"/>
    </row>
    <row r="86" spans="4:27" s="2" customFormat="1" ht="10.199999999999999" x14ac:dyDescent="0.2">
      <c r="D86" s="3" t="s">
        <v>215</v>
      </c>
      <c r="F86" s="2" t="s">
        <v>199</v>
      </c>
      <c r="G86" s="196">
        <v>0</v>
      </c>
      <c r="Q86" s="176"/>
      <c r="R86" s="176"/>
      <c r="S86" s="185"/>
      <c r="AA86" s="8"/>
    </row>
    <row r="87" spans="4:27" s="2" customFormat="1" ht="10.199999999999999" x14ac:dyDescent="0.2">
      <c r="D87" s="3" t="s">
        <v>238</v>
      </c>
      <c r="F87" s="2" t="s">
        <v>199</v>
      </c>
      <c r="G87" s="196">
        <v>0</v>
      </c>
      <c r="Q87" s="176"/>
      <c r="R87" s="176"/>
      <c r="S87" s="185"/>
      <c r="AA87" s="8"/>
    </row>
    <row r="88" spans="4:27" s="2" customFormat="1" ht="10.199999999999999" x14ac:dyDescent="0.2">
      <c r="D88" s="3" t="s">
        <v>249</v>
      </c>
      <c r="F88" s="2" t="s">
        <v>199</v>
      </c>
      <c r="G88" s="196">
        <v>0</v>
      </c>
      <c r="Q88" s="176"/>
      <c r="R88" s="176"/>
      <c r="S88" s="185"/>
      <c r="AA88" s="8"/>
    </row>
    <row r="89" spans="4:27" s="2" customFormat="1" ht="10.199999999999999" x14ac:dyDescent="0.2">
      <c r="D89" s="3" t="s">
        <v>202</v>
      </c>
      <c r="F89" s="2" t="s">
        <v>199</v>
      </c>
      <c r="G89" s="196">
        <v>0</v>
      </c>
      <c r="Q89" s="176"/>
      <c r="R89" s="176"/>
      <c r="S89" s="185"/>
      <c r="AA89" s="8"/>
    </row>
    <row r="90" spans="4:27" s="2" customFormat="1" ht="10.199999999999999" x14ac:dyDescent="0.2">
      <c r="D90" s="3" t="s">
        <v>216</v>
      </c>
      <c r="G90" s="196">
        <v>0</v>
      </c>
      <c r="Q90" s="176"/>
      <c r="R90" s="176"/>
      <c r="S90" s="185"/>
      <c r="AA90" s="8"/>
    </row>
    <row r="91" spans="4:27" s="2" customFormat="1" ht="10.199999999999999" x14ac:dyDescent="0.2">
      <c r="Q91" s="176"/>
      <c r="R91" s="176"/>
      <c r="S91" s="185"/>
      <c r="AA91" s="8"/>
    </row>
    <row r="92" spans="4:27" s="2" customFormat="1" ht="10.199999999999999" x14ac:dyDescent="0.2">
      <c r="Q92" s="176"/>
      <c r="R92" s="176"/>
      <c r="S92" s="185"/>
      <c r="AA92" s="8"/>
    </row>
    <row r="93" spans="4:27" s="2" customFormat="1" ht="10.199999999999999" x14ac:dyDescent="0.2">
      <c r="D93" s="3" t="s">
        <v>220</v>
      </c>
      <c r="Q93" s="176"/>
      <c r="R93" s="176"/>
      <c r="S93" s="185"/>
      <c r="AA93" s="8"/>
    </row>
    <row r="94" spans="4:27" s="2" customFormat="1" ht="5.0999999999999996" customHeight="1" x14ac:dyDescent="0.2">
      <c r="Q94" s="176"/>
      <c r="R94" s="176"/>
      <c r="S94" s="185"/>
      <c r="AA94" s="8"/>
    </row>
    <row r="95" spans="4:27" s="2" customFormat="1" ht="5.0999999999999996" customHeight="1" x14ac:dyDescent="0.2">
      <c r="D95" s="191"/>
      <c r="E95" s="191"/>
      <c r="F95" s="191"/>
      <c r="G95" s="191"/>
      <c r="H95" s="191"/>
      <c r="I95" s="191"/>
      <c r="J95" s="191"/>
      <c r="K95" s="191"/>
      <c r="L95" s="191"/>
      <c r="Q95" s="176"/>
      <c r="R95" s="176"/>
      <c r="S95" s="185"/>
      <c r="AA95" s="8"/>
    </row>
    <row r="96" spans="4:27" s="2" customFormat="1" ht="10.199999999999999" x14ac:dyDescent="0.2">
      <c r="D96" s="180"/>
      <c r="E96" s="182" t="s">
        <v>232</v>
      </c>
      <c r="F96" s="6" t="s">
        <v>233</v>
      </c>
      <c r="H96" s="3" t="s">
        <v>274</v>
      </c>
      <c r="Q96" s="176"/>
      <c r="R96" s="176"/>
      <c r="S96" s="185"/>
      <c r="AA96" s="8"/>
    </row>
    <row r="97" spans="4:27" s="2" customFormat="1" ht="5.25" customHeight="1" x14ac:dyDescent="0.2">
      <c r="D97" s="180"/>
      <c r="Q97" s="176"/>
      <c r="R97" s="176"/>
      <c r="S97" s="185"/>
      <c r="AA97" s="8"/>
    </row>
    <row r="98" spans="4:27" s="2" customFormat="1" ht="10.199999999999999" x14ac:dyDescent="0.2">
      <c r="D98" s="3" t="s">
        <v>221</v>
      </c>
      <c r="Q98" s="176"/>
      <c r="R98" s="176"/>
      <c r="S98" s="185"/>
      <c r="AA98" s="8"/>
    </row>
    <row r="99" spans="4:27" s="2" customFormat="1" ht="10.199999999999999" x14ac:dyDescent="0.2">
      <c r="D99" s="180" t="s">
        <v>207</v>
      </c>
      <c r="E99" s="184">
        <v>1</v>
      </c>
      <c r="F99" s="184">
        <f>E99</f>
        <v>1</v>
      </c>
      <c r="H99" s="2" t="s">
        <v>125</v>
      </c>
      <c r="Q99" s="176"/>
      <c r="R99" s="176"/>
      <c r="S99" s="185"/>
      <c r="AA99" s="8"/>
    </row>
    <row r="100" spans="4:27" s="2" customFormat="1" ht="10.199999999999999" x14ac:dyDescent="0.2">
      <c r="D100" s="180" t="s">
        <v>208</v>
      </c>
      <c r="E100" s="184">
        <v>2</v>
      </c>
      <c r="F100" s="184">
        <f t="shared" ref="F100:F104" si="0">E100</f>
        <v>2</v>
      </c>
      <c r="H100" s="2" t="s">
        <v>125</v>
      </c>
      <c r="Q100" s="176"/>
      <c r="R100" s="176"/>
      <c r="S100" s="185"/>
      <c r="AA100" s="8"/>
    </row>
    <row r="101" spans="4:27" s="2" customFormat="1" ht="10.199999999999999" x14ac:dyDescent="0.2">
      <c r="D101" s="180" t="s">
        <v>225</v>
      </c>
      <c r="E101" s="184">
        <v>3</v>
      </c>
      <c r="F101" s="184">
        <f t="shared" si="0"/>
        <v>3</v>
      </c>
      <c r="H101" s="2" t="s">
        <v>125</v>
      </c>
      <c r="Q101" s="176"/>
      <c r="R101" s="176"/>
      <c r="S101" s="185"/>
      <c r="AA101" s="8"/>
    </row>
    <row r="102" spans="4:27" s="2" customFormat="1" ht="10.199999999999999" x14ac:dyDescent="0.2">
      <c r="D102" s="180" t="s">
        <v>234</v>
      </c>
      <c r="E102" s="184">
        <v>4</v>
      </c>
      <c r="F102" s="184">
        <f t="shared" si="0"/>
        <v>4</v>
      </c>
      <c r="H102" s="2" t="s">
        <v>125</v>
      </c>
      <c r="Q102" s="176"/>
      <c r="R102" s="176"/>
      <c r="S102" s="185"/>
      <c r="AA102" s="8"/>
    </row>
    <row r="103" spans="4:27" s="2" customFormat="1" ht="10.199999999999999" x14ac:dyDescent="0.2">
      <c r="D103" s="180" t="s">
        <v>235</v>
      </c>
      <c r="E103" s="184">
        <v>16</v>
      </c>
      <c r="F103" s="184">
        <f t="shared" si="0"/>
        <v>16</v>
      </c>
      <c r="H103" s="2" t="s">
        <v>125</v>
      </c>
      <c r="Q103" s="176"/>
      <c r="R103" s="176"/>
      <c r="S103" s="185"/>
      <c r="AA103" s="8"/>
    </row>
    <row r="104" spans="4:27" s="2" customFormat="1" ht="10.199999999999999" x14ac:dyDescent="0.2">
      <c r="D104" s="180" t="s">
        <v>222</v>
      </c>
      <c r="E104" s="184">
        <v>7</v>
      </c>
      <c r="F104" s="184">
        <f t="shared" si="0"/>
        <v>7</v>
      </c>
      <c r="H104" s="2" t="s">
        <v>125</v>
      </c>
      <c r="Q104" s="176"/>
      <c r="R104" s="176"/>
      <c r="S104" s="185"/>
      <c r="AA104" s="8"/>
    </row>
    <row r="105" spans="4:27" s="2" customFormat="1" ht="5.25" customHeight="1" x14ac:dyDescent="0.2">
      <c r="D105" s="180"/>
      <c r="E105" s="184"/>
      <c r="F105" s="184"/>
      <c r="Q105" s="176"/>
      <c r="R105" s="176"/>
      <c r="S105" s="185"/>
      <c r="AA105" s="8"/>
    </row>
    <row r="106" spans="4:27" s="2" customFormat="1" ht="10.199999999999999" x14ac:dyDescent="0.2">
      <c r="D106" s="187" t="s">
        <v>174</v>
      </c>
      <c r="E106" s="184"/>
      <c r="F106" s="184"/>
      <c r="Q106" s="176"/>
      <c r="R106" s="176"/>
      <c r="S106" s="185"/>
      <c r="AA106" s="8"/>
    </row>
    <row r="107" spans="4:27" s="2" customFormat="1" ht="10.199999999999999" x14ac:dyDescent="0.2">
      <c r="D107" s="180" t="s">
        <v>215</v>
      </c>
      <c r="E107" s="184">
        <v>14</v>
      </c>
      <c r="F107" s="184">
        <f t="shared" ref="F107:F111" si="1">E107</f>
        <v>14</v>
      </c>
      <c r="H107" s="2" t="s">
        <v>125</v>
      </c>
      <c r="Q107" s="176"/>
      <c r="R107" s="176"/>
      <c r="S107" s="185"/>
      <c r="AA107" s="8"/>
    </row>
    <row r="108" spans="4:27" s="2" customFormat="1" ht="10.199999999999999" x14ac:dyDescent="0.2">
      <c r="D108" s="180" t="s">
        <v>224</v>
      </c>
      <c r="E108" s="184">
        <v>13</v>
      </c>
      <c r="F108" s="184">
        <f t="shared" si="1"/>
        <v>13</v>
      </c>
      <c r="H108" s="2" t="s">
        <v>125</v>
      </c>
      <c r="Q108" s="176"/>
      <c r="R108" s="176"/>
      <c r="S108" s="185"/>
      <c r="AA108" s="8"/>
    </row>
    <row r="109" spans="4:27" s="2" customFormat="1" ht="10.199999999999999" x14ac:dyDescent="0.2">
      <c r="D109" s="180" t="s">
        <v>239</v>
      </c>
      <c r="E109" s="184">
        <v>12</v>
      </c>
      <c r="F109" s="184">
        <f t="shared" si="1"/>
        <v>12</v>
      </c>
      <c r="H109" s="2" t="s">
        <v>125</v>
      </c>
      <c r="Q109" s="176"/>
      <c r="R109" s="176"/>
      <c r="S109" s="185"/>
      <c r="AA109" s="8"/>
    </row>
    <row r="110" spans="4:27" s="2" customFormat="1" ht="10.199999999999999" x14ac:dyDescent="0.2">
      <c r="D110" s="180" t="s">
        <v>240</v>
      </c>
      <c r="E110" s="184">
        <v>18</v>
      </c>
      <c r="F110" s="184">
        <v>18</v>
      </c>
      <c r="H110" s="2" t="s">
        <v>125</v>
      </c>
      <c r="Q110" s="176"/>
      <c r="R110" s="176"/>
      <c r="S110" s="185"/>
      <c r="AA110" s="8"/>
    </row>
    <row r="111" spans="4:27" s="2" customFormat="1" ht="10.199999999999999" x14ac:dyDescent="0.2">
      <c r="D111" s="180" t="s">
        <v>223</v>
      </c>
      <c r="E111" s="184">
        <v>11</v>
      </c>
      <c r="F111" s="184">
        <f t="shared" si="1"/>
        <v>11</v>
      </c>
      <c r="H111" s="2" t="s">
        <v>125</v>
      </c>
      <c r="Q111" s="176"/>
      <c r="R111" s="176"/>
      <c r="S111" s="185"/>
      <c r="AA111" s="8"/>
    </row>
    <row r="112" spans="4:27" s="2" customFormat="1" ht="5.25" customHeight="1" x14ac:dyDescent="0.2">
      <c r="D112" s="180"/>
      <c r="E112" s="184"/>
      <c r="F112" s="184"/>
      <c r="Q112" s="176"/>
      <c r="R112" s="176"/>
      <c r="S112" s="185"/>
      <c r="AA112" s="8"/>
    </row>
    <row r="113" spans="4:27" s="2" customFormat="1" ht="10.199999999999999" x14ac:dyDescent="0.2">
      <c r="D113" s="181" t="s">
        <v>226</v>
      </c>
      <c r="E113" s="184">
        <v>15</v>
      </c>
      <c r="F113" s="184">
        <f t="shared" ref="F113:F115" si="2">E113</f>
        <v>15</v>
      </c>
      <c r="H113" s="2" t="s">
        <v>126</v>
      </c>
      <c r="Q113" s="176"/>
      <c r="R113" s="176"/>
      <c r="S113" s="185"/>
      <c r="AA113" s="8"/>
    </row>
    <row r="114" spans="4:27" s="2" customFormat="1" ht="10.199999999999999" x14ac:dyDescent="0.2">
      <c r="D114" s="181" t="s">
        <v>202</v>
      </c>
      <c r="E114" s="184">
        <v>5</v>
      </c>
      <c r="F114" s="184">
        <f t="shared" si="2"/>
        <v>5</v>
      </c>
      <c r="H114" s="2" t="s">
        <v>125</v>
      </c>
      <c r="Q114" s="176"/>
      <c r="R114" s="176"/>
      <c r="S114" s="185"/>
      <c r="AA114" s="8"/>
    </row>
    <row r="115" spans="4:27" s="2" customFormat="1" ht="10.199999999999999" x14ac:dyDescent="0.2">
      <c r="D115" s="181" t="s">
        <v>227</v>
      </c>
      <c r="E115" s="184">
        <v>6</v>
      </c>
      <c r="F115" s="184">
        <f t="shared" si="2"/>
        <v>6</v>
      </c>
      <c r="H115" s="2" t="s">
        <v>125</v>
      </c>
      <c r="Q115" s="176"/>
      <c r="R115" s="176"/>
      <c r="S115" s="185"/>
      <c r="AA115" s="8"/>
    </row>
    <row r="116" spans="4:27" s="2" customFormat="1" ht="10.199999999999999" x14ac:dyDescent="0.2">
      <c r="D116" s="181" t="s">
        <v>228</v>
      </c>
      <c r="E116" s="184">
        <v>17</v>
      </c>
      <c r="F116" s="184">
        <v>17</v>
      </c>
      <c r="H116" s="2" t="s">
        <v>125</v>
      </c>
      <c r="Q116" s="176"/>
      <c r="R116" s="176"/>
      <c r="S116" s="185"/>
      <c r="AA116" s="8"/>
    </row>
    <row r="117" spans="4:27" s="2" customFormat="1" ht="10.199999999999999" x14ac:dyDescent="0.2">
      <c r="D117" s="181" t="s">
        <v>206</v>
      </c>
      <c r="E117" s="184">
        <v>10</v>
      </c>
      <c r="F117" s="184">
        <f t="shared" ref="F117:F119" si="3">E117</f>
        <v>10</v>
      </c>
      <c r="H117" s="2" t="s">
        <v>125</v>
      </c>
      <c r="Q117" s="176"/>
      <c r="R117" s="176"/>
      <c r="S117" s="185"/>
      <c r="AA117" s="8"/>
    </row>
    <row r="118" spans="4:27" s="2" customFormat="1" ht="10.199999999999999" x14ac:dyDescent="0.2">
      <c r="D118" s="181" t="s">
        <v>229</v>
      </c>
      <c r="E118" s="184">
        <v>8</v>
      </c>
      <c r="F118" s="184">
        <f t="shared" si="3"/>
        <v>8</v>
      </c>
      <c r="H118" s="2" t="s">
        <v>125</v>
      </c>
      <c r="Q118" s="176"/>
      <c r="R118" s="176"/>
      <c r="S118" s="185"/>
      <c r="AA118" s="8"/>
    </row>
    <row r="119" spans="4:27" s="2" customFormat="1" ht="10.199999999999999" x14ac:dyDescent="0.2">
      <c r="D119" s="181" t="s">
        <v>230</v>
      </c>
      <c r="E119" s="184">
        <v>9</v>
      </c>
      <c r="F119" s="184">
        <f t="shared" si="3"/>
        <v>9</v>
      </c>
      <c r="H119" s="2" t="s">
        <v>125</v>
      </c>
      <c r="Q119" s="176"/>
      <c r="R119" s="176"/>
      <c r="S119" s="185"/>
      <c r="AA119" s="8"/>
    </row>
    <row r="120" spans="4:27" s="2" customFormat="1" ht="10.199999999999999" x14ac:dyDescent="0.2">
      <c r="D120" s="180"/>
      <c r="Q120" s="176"/>
      <c r="R120" s="176"/>
      <c r="S120" s="185"/>
      <c r="AA120" s="8"/>
    </row>
    <row r="121" spans="4:27" s="2" customFormat="1" ht="10.199999999999999" x14ac:dyDescent="0.2">
      <c r="D121" s="180"/>
      <c r="Q121" s="176"/>
      <c r="R121" s="176"/>
      <c r="S121" s="185"/>
      <c r="AA121" s="8"/>
    </row>
    <row r="122" spans="4:27" s="2" customFormat="1" ht="10.199999999999999" x14ac:dyDescent="0.2">
      <c r="D122" s="3" t="s">
        <v>251</v>
      </c>
      <c r="Q122" s="176"/>
      <c r="R122" s="176"/>
      <c r="S122" s="185"/>
      <c r="AA122" s="8"/>
    </row>
    <row r="123" spans="4:27" s="2" customFormat="1" ht="5.25" customHeight="1" x14ac:dyDescent="0.2">
      <c r="Q123" s="176"/>
      <c r="R123" s="176"/>
      <c r="S123" s="185"/>
      <c r="AA123" s="8"/>
    </row>
    <row r="124" spans="4:27" s="2" customFormat="1" ht="5.25" customHeight="1" x14ac:dyDescent="0.2">
      <c r="D124" s="191"/>
      <c r="E124" s="191"/>
      <c r="F124" s="191"/>
      <c r="G124" s="191"/>
      <c r="H124" s="191"/>
      <c r="I124" s="191"/>
      <c r="J124" s="191"/>
      <c r="K124" s="191"/>
      <c r="L124" s="191"/>
      <c r="Q124" s="176"/>
      <c r="R124" s="176"/>
      <c r="S124" s="185"/>
      <c r="AA124" s="8"/>
    </row>
    <row r="125" spans="4:27" x14ac:dyDescent="0.25">
      <c r="D125" s="183" t="s">
        <v>121</v>
      </c>
      <c r="E125" s="183">
        <v>1</v>
      </c>
      <c r="F125" s="2"/>
      <c r="G125" s="2"/>
      <c r="H125" s="2"/>
      <c r="I125" s="2"/>
      <c r="J125" s="2"/>
      <c r="K125" s="2"/>
      <c r="L125" s="2"/>
      <c r="Q125" s="176"/>
      <c r="R125" s="176"/>
      <c r="S125" s="185"/>
      <c r="AA125" s="8"/>
    </row>
    <row r="126" spans="4:27" x14ac:dyDescent="0.25">
      <c r="D126" s="183" t="s">
        <v>122</v>
      </c>
      <c r="E126" s="183">
        <f>E125+1</f>
        <v>2</v>
      </c>
      <c r="F126" s="2"/>
      <c r="G126" s="2"/>
      <c r="H126" s="2"/>
      <c r="I126" s="2"/>
      <c r="J126" s="2"/>
      <c r="K126" s="2"/>
      <c r="L126" s="2"/>
      <c r="Q126" s="176"/>
      <c r="R126" s="176"/>
      <c r="S126" s="185"/>
      <c r="AA126" s="8"/>
    </row>
    <row r="127" spans="4:27" x14ac:dyDescent="0.25">
      <c r="D127" s="183" t="s">
        <v>158</v>
      </c>
      <c r="E127" s="183">
        <f t="shared" ref="E127:E151" si="4">E126+1</f>
        <v>3</v>
      </c>
      <c r="F127" s="2"/>
      <c r="G127" s="2"/>
      <c r="H127" s="2"/>
      <c r="I127" s="2"/>
      <c r="J127" s="2"/>
      <c r="K127" s="2"/>
      <c r="L127" s="2"/>
      <c r="Q127" s="176"/>
      <c r="R127" s="176"/>
      <c r="S127" s="185"/>
      <c r="AA127" s="8"/>
    </row>
    <row r="128" spans="4:27" x14ac:dyDescent="0.25">
      <c r="D128" s="183" t="s">
        <v>252</v>
      </c>
      <c r="E128" s="183">
        <f t="shared" si="4"/>
        <v>4</v>
      </c>
      <c r="F128" s="2"/>
      <c r="G128" s="2"/>
      <c r="H128" s="2"/>
      <c r="I128" s="2"/>
      <c r="J128" s="2"/>
      <c r="K128" s="2"/>
      <c r="L128" s="2"/>
      <c r="Q128" s="176"/>
      <c r="R128" s="176"/>
      <c r="S128" s="185"/>
      <c r="AA128" s="8"/>
    </row>
    <row r="129" spans="4:27" x14ac:dyDescent="0.25">
      <c r="D129" s="183" t="s">
        <v>253</v>
      </c>
      <c r="E129" s="183">
        <f t="shared" si="4"/>
        <v>5</v>
      </c>
      <c r="F129" s="2"/>
      <c r="G129" s="2"/>
      <c r="H129" s="2"/>
      <c r="I129" s="2"/>
      <c r="J129" s="2"/>
      <c r="K129" s="2"/>
      <c r="L129" s="2"/>
      <c r="Q129" s="176"/>
      <c r="R129" s="176"/>
      <c r="S129" s="185"/>
      <c r="AA129" s="8"/>
    </row>
    <row r="130" spans="4:27" x14ac:dyDescent="0.25">
      <c r="D130" s="183" t="s">
        <v>254</v>
      </c>
      <c r="E130" s="183">
        <f t="shared" si="4"/>
        <v>6</v>
      </c>
      <c r="F130" s="2"/>
      <c r="G130" s="2"/>
      <c r="H130" s="2"/>
      <c r="I130" s="2"/>
      <c r="J130" s="2"/>
      <c r="K130" s="2"/>
      <c r="L130" s="2"/>
      <c r="Q130" s="176"/>
      <c r="R130" s="176"/>
      <c r="S130" s="185"/>
      <c r="AA130" s="8"/>
    </row>
    <row r="131" spans="4:27" x14ac:dyDescent="0.25">
      <c r="D131" s="183" t="s">
        <v>255</v>
      </c>
      <c r="E131" s="183">
        <f t="shared" si="4"/>
        <v>7</v>
      </c>
      <c r="F131" s="2"/>
      <c r="G131" s="2"/>
      <c r="H131" s="2"/>
      <c r="I131" s="2"/>
      <c r="J131" s="2"/>
      <c r="K131" s="2"/>
      <c r="L131" s="2"/>
      <c r="Q131" s="176"/>
      <c r="R131" s="176"/>
      <c r="S131" s="185"/>
      <c r="AA131" s="8"/>
    </row>
    <row r="132" spans="4:27" x14ac:dyDescent="0.25">
      <c r="D132" s="183" t="s">
        <v>256</v>
      </c>
      <c r="E132" s="183">
        <f t="shared" si="4"/>
        <v>8</v>
      </c>
      <c r="F132" s="2"/>
      <c r="G132" s="2"/>
      <c r="H132" s="2"/>
      <c r="I132" s="2"/>
      <c r="J132" s="2"/>
      <c r="K132" s="2"/>
      <c r="L132" s="2"/>
      <c r="Q132" s="176"/>
      <c r="R132" s="176"/>
      <c r="S132" s="185"/>
      <c r="AA132" s="8"/>
    </row>
    <row r="133" spans="4:27" x14ac:dyDescent="0.25">
      <c r="D133" s="183" t="s">
        <v>257</v>
      </c>
      <c r="E133" s="183">
        <f t="shared" si="4"/>
        <v>9</v>
      </c>
      <c r="F133" s="2"/>
      <c r="G133" s="2"/>
      <c r="H133" s="2"/>
      <c r="I133" s="2"/>
      <c r="J133" s="2"/>
      <c r="K133" s="2"/>
      <c r="L133" s="2"/>
      <c r="Q133" s="176"/>
      <c r="R133" s="176"/>
      <c r="S133" s="185"/>
      <c r="AA133" s="8"/>
    </row>
    <row r="134" spans="4:27" x14ac:dyDescent="0.25">
      <c r="D134" s="183" t="s">
        <v>258</v>
      </c>
      <c r="E134" s="183">
        <f t="shared" si="4"/>
        <v>10</v>
      </c>
      <c r="F134" s="2"/>
      <c r="G134" s="2"/>
      <c r="H134" s="2"/>
      <c r="I134" s="2"/>
      <c r="J134" s="2"/>
      <c r="K134" s="2"/>
      <c r="L134" s="2"/>
      <c r="Q134" s="176"/>
      <c r="R134" s="176"/>
      <c r="S134" s="185"/>
      <c r="AA134" s="8"/>
    </row>
    <row r="135" spans="4:27" x14ac:dyDescent="0.25">
      <c r="D135" s="183" t="s">
        <v>259</v>
      </c>
      <c r="E135" s="183">
        <f t="shared" si="4"/>
        <v>11</v>
      </c>
      <c r="F135" s="2"/>
      <c r="G135" s="2"/>
      <c r="H135" s="2"/>
      <c r="I135" s="2"/>
      <c r="J135" s="2"/>
      <c r="K135" s="2"/>
      <c r="L135" s="2"/>
      <c r="Q135" s="176"/>
      <c r="R135" s="176"/>
      <c r="S135" s="185"/>
      <c r="AA135" s="8"/>
    </row>
    <row r="136" spans="4:27" x14ac:dyDescent="0.25">
      <c r="D136" s="183" t="s">
        <v>260</v>
      </c>
      <c r="E136" s="183">
        <f t="shared" si="4"/>
        <v>12</v>
      </c>
      <c r="F136" s="2"/>
      <c r="G136" s="2"/>
      <c r="H136" s="2"/>
      <c r="I136" s="2"/>
      <c r="J136" s="2"/>
      <c r="K136" s="2"/>
      <c r="L136" s="2"/>
      <c r="Q136" s="176"/>
      <c r="R136" s="176"/>
      <c r="S136" s="185"/>
      <c r="AA136" s="8"/>
    </row>
    <row r="137" spans="4:27" x14ac:dyDescent="0.25">
      <c r="D137" s="183" t="s">
        <v>261</v>
      </c>
      <c r="E137" s="183">
        <f t="shared" si="4"/>
        <v>13</v>
      </c>
      <c r="F137" s="2"/>
      <c r="G137" s="2"/>
      <c r="H137" s="2"/>
      <c r="I137" s="2"/>
      <c r="J137" s="2"/>
      <c r="K137" s="2"/>
      <c r="L137" s="2"/>
      <c r="Q137" s="176"/>
      <c r="R137" s="176"/>
      <c r="S137" s="185"/>
      <c r="AA137" s="8"/>
    </row>
    <row r="138" spans="4:27" x14ac:dyDescent="0.25">
      <c r="D138" s="183" t="s">
        <v>262</v>
      </c>
      <c r="E138" s="183">
        <f t="shared" si="4"/>
        <v>14</v>
      </c>
      <c r="F138" s="2"/>
      <c r="G138" s="2"/>
      <c r="H138" s="2"/>
      <c r="I138" s="2"/>
      <c r="J138" s="2"/>
      <c r="K138" s="2"/>
      <c r="L138" s="2"/>
      <c r="Q138" s="176"/>
      <c r="R138" s="176"/>
      <c r="S138" s="185"/>
      <c r="AA138" s="8"/>
    </row>
    <row r="139" spans="4:27" x14ac:dyDescent="0.25">
      <c r="D139" s="183" t="s">
        <v>263</v>
      </c>
      <c r="E139" s="183">
        <f t="shared" si="4"/>
        <v>15</v>
      </c>
      <c r="F139" s="2"/>
      <c r="G139" s="2"/>
      <c r="H139" s="2"/>
      <c r="I139" s="2"/>
      <c r="J139" s="2"/>
      <c r="K139" s="2"/>
      <c r="L139" s="2"/>
      <c r="Q139" s="176"/>
      <c r="R139" s="176"/>
      <c r="S139" s="185"/>
      <c r="AA139" s="8"/>
    </row>
    <row r="140" spans="4:27" x14ac:dyDescent="0.25">
      <c r="D140" s="183" t="s">
        <v>264</v>
      </c>
      <c r="E140" s="183">
        <f t="shared" si="4"/>
        <v>16</v>
      </c>
      <c r="F140" s="2"/>
      <c r="G140" s="2"/>
      <c r="H140" s="2"/>
      <c r="I140" s="2"/>
      <c r="J140" s="2"/>
      <c r="K140" s="2"/>
      <c r="L140" s="2"/>
      <c r="Q140" s="176"/>
      <c r="R140" s="176"/>
      <c r="S140" s="185"/>
      <c r="AA140" s="8"/>
    </row>
    <row r="141" spans="4:27" x14ac:dyDescent="0.25">
      <c r="D141" s="183" t="s">
        <v>265</v>
      </c>
      <c r="E141" s="183">
        <f t="shared" si="4"/>
        <v>17</v>
      </c>
      <c r="F141" s="2"/>
      <c r="G141" s="2"/>
      <c r="H141" s="2"/>
      <c r="I141" s="2"/>
      <c r="J141" s="2"/>
      <c r="K141" s="2"/>
      <c r="L141" s="2"/>
      <c r="Q141" s="176"/>
      <c r="R141" s="176"/>
      <c r="S141" s="185"/>
      <c r="AA141" s="8"/>
    </row>
    <row r="142" spans="4:27" x14ac:dyDescent="0.25">
      <c r="D142" s="183" t="s">
        <v>266</v>
      </c>
      <c r="E142" s="183">
        <f t="shared" si="4"/>
        <v>18</v>
      </c>
      <c r="F142" s="2"/>
      <c r="G142" s="2"/>
      <c r="H142" s="2"/>
      <c r="I142" s="2"/>
      <c r="J142" s="2"/>
      <c r="K142" s="2"/>
      <c r="L142" s="2"/>
      <c r="Q142" s="176"/>
      <c r="R142" s="176"/>
      <c r="S142" s="185"/>
      <c r="AA142" s="8"/>
    </row>
    <row r="143" spans="4:27" x14ac:dyDescent="0.25">
      <c r="D143" s="183" t="s">
        <v>267</v>
      </c>
      <c r="E143" s="183">
        <f t="shared" si="4"/>
        <v>19</v>
      </c>
      <c r="F143" s="2"/>
      <c r="G143" s="2"/>
      <c r="H143" s="2"/>
      <c r="I143" s="2"/>
      <c r="J143" s="2"/>
      <c r="K143" s="2"/>
      <c r="L143" s="2"/>
      <c r="Q143" s="176"/>
      <c r="R143" s="176"/>
      <c r="S143" s="185"/>
      <c r="AA143" s="8"/>
    </row>
    <row r="144" spans="4:27" x14ac:dyDescent="0.25">
      <c r="D144" s="183" t="s">
        <v>268</v>
      </c>
      <c r="E144" s="183">
        <f t="shared" si="4"/>
        <v>20</v>
      </c>
      <c r="F144" s="2"/>
      <c r="G144" s="2"/>
      <c r="H144" s="2"/>
      <c r="I144" s="2"/>
      <c r="J144" s="2"/>
      <c r="K144" s="2"/>
      <c r="L144" s="2"/>
      <c r="Q144" s="176"/>
      <c r="R144" s="176"/>
      <c r="S144" s="185"/>
      <c r="AA144" s="8"/>
    </row>
    <row r="145" spans="4:27" x14ac:dyDescent="0.25">
      <c r="D145" s="183" t="s">
        <v>269</v>
      </c>
      <c r="E145" s="183">
        <f t="shared" si="4"/>
        <v>21</v>
      </c>
      <c r="F145" s="2"/>
      <c r="G145" s="2"/>
      <c r="H145" s="2"/>
      <c r="I145" s="2"/>
      <c r="J145" s="2"/>
      <c r="K145" s="2"/>
      <c r="L145" s="2"/>
      <c r="Q145" s="176"/>
      <c r="R145" s="176"/>
      <c r="S145" s="185"/>
      <c r="AA145" s="8"/>
    </row>
    <row r="146" spans="4:27" x14ac:dyDescent="0.25">
      <c r="D146" s="183" t="s">
        <v>270</v>
      </c>
      <c r="E146" s="183">
        <f t="shared" si="4"/>
        <v>22</v>
      </c>
      <c r="F146" s="2"/>
      <c r="G146" s="2"/>
      <c r="H146" s="2"/>
      <c r="I146" s="2"/>
      <c r="J146" s="2"/>
      <c r="K146" s="2"/>
      <c r="L146" s="2"/>
      <c r="Q146" s="176"/>
      <c r="R146" s="176"/>
      <c r="S146" s="185"/>
      <c r="AA146" s="8"/>
    </row>
    <row r="147" spans="4:27" x14ac:dyDescent="0.25">
      <c r="D147" s="183" t="s">
        <v>178</v>
      </c>
      <c r="E147" s="183">
        <f t="shared" si="4"/>
        <v>23</v>
      </c>
      <c r="F147" s="2"/>
      <c r="G147" s="2"/>
      <c r="H147" s="2"/>
      <c r="I147" s="2"/>
      <c r="J147" s="2"/>
      <c r="K147" s="2"/>
      <c r="L147" s="2"/>
      <c r="Q147" s="176"/>
      <c r="R147" s="176"/>
      <c r="S147" s="185"/>
      <c r="AA147" s="8"/>
    </row>
    <row r="148" spans="4:27" x14ac:dyDescent="0.25">
      <c r="D148" s="183" t="s">
        <v>236</v>
      </c>
      <c r="E148" s="183">
        <f t="shared" si="4"/>
        <v>24</v>
      </c>
      <c r="F148" s="2"/>
      <c r="G148" s="2"/>
      <c r="H148" s="2"/>
      <c r="I148" s="2"/>
      <c r="J148" s="2"/>
      <c r="K148" s="2"/>
      <c r="L148" s="2"/>
      <c r="Q148" s="176"/>
      <c r="R148" s="176"/>
      <c r="S148" s="185"/>
      <c r="AA148" s="8"/>
    </row>
    <row r="149" spans="4:27" x14ac:dyDescent="0.25">
      <c r="D149" s="183" t="s">
        <v>271</v>
      </c>
      <c r="E149" s="183">
        <f t="shared" si="4"/>
        <v>25</v>
      </c>
      <c r="F149" s="2"/>
      <c r="G149" s="2"/>
      <c r="H149" s="2"/>
      <c r="I149" s="2"/>
      <c r="J149" s="2"/>
      <c r="K149" s="2"/>
      <c r="L149" s="2"/>
      <c r="Q149" s="176"/>
      <c r="R149" s="176"/>
      <c r="S149" s="185"/>
      <c r="AA149" s="8"/>
    </row>
    <row r="150" spans="4:27" x14ac:dyDescent="0.25">
      <c r="D150" s="183" t="s">
        <v>272</v>
      </c>
      <c r="E150" s="183">
        <f t="shared" si="4"/>
        <v>26</v>
      </c>
      <c r="F150" s="2"/>
      <c r="G150" s="2"/>
      <c r="H150" s="2"/>
      <c r="I150" s="2"/>
      <c r="J150" s="2"/>
      <c r="K150" s="2"/>
      <c r="L150" s="2"/>
      <c r="Q150" s="176"/>
      <c r="R150" s="176"/>
      <c r="S150" s="185"/>
      <c r="AA150" s="8"/>
    </row>
    <row r="151" spans="4:27" x14ac:dyDescent="0.25">
      <c r="D151" s="183" t="s">
        <v>273</v>
      </c>
      <c r="E151" s="183">
        <f t="shared" si="4"/>
        <v>27</v>
      </c>
      <c r="F151" s="2"/>
      <c r="G151" s="2"/>
      <c r="H151" s="2"/>
      <c r="I151" s="2"/>
      <c r="J151" s="2"/>
      <c r="K151" s="2"/>
      <c r="L151" s="2"/>
      <c r="Q151" s="176"/>
      <c r="R151" s="176"/>
      <c r="S151" s="185"/>
      <c r="AA151" s="8"/>
    </row>
    <row r="152" spans="4:27" x14ac:dyDescent="0.25">
      <c r="D152" s="2"/>
      <c r="E152" s="2"/>
      <c r="F152" s="2"/>
      <c r="G152" s="2"/>
      <c r="H152" s="2"/>
      <c r="I152" s="2"/>
      <c r="J152" s="2"/>
      <c r="K152" s="2"/>
      <c r="L152" s="2"/>
      <c r="Q152" s="176"/>
      <c r="R152" s="176"/>
      <c r="S152" s="185"/>
      <c r="AA152" s="8"/>
    </row>
    <row r="153" spans="4:27" x14ac:dyDescent="0.25">
      <c r="D153" s="2"/>
      <c r="E153" s="2"/>
      <c r="F153" s="2"/>
      <c r="G153" s="2"/>
      <c r="H153" s="2"/>
      <c r="I153" s="2"/>
      <c r="J153" s="2"/>
      <c r="K153" s="2"/>
      <c r="L153" s="2"/>
      <c r="Q153" s="176"/>
      <c r="R153" s="176"/>
      <c r="S153" s="185"/>
      <c r="AA153" s="8"/>
    </row>
    <row r="154" spans="4:27" x14ac:dyDescent="0.25">
      <c r="D154" s="2"/>
      <c r="E154" s="2"/>
      <c r="F154" s="2"/>
      <c r="G154" s="2"/>
      <c r="H154" s="2"/>
      <c r="I154" s="2"/>
      <c r="J154" s="2"/>
      <c r="K154" s="2"/>
      <c r="L154" s="2"/>
      <c r="Q154" s="176"/>
      <c r="R154" s="176"/>
      <c r="S154" s="185"/>
      <c r="AA154" s="8"/>
    </row>
    <row r="155" spans="4:27" x14ac:dyDescent="0.25">
      <c r="D155" s="2"/>
      <c r="E155" s="2"/>
      <c r="F155" s="2"/>
      <c r="G155" s="2"/>
      <c r="H155" s="2"/>
      <c r="I155" s="2"/>
      <c r="J155" s="2"/>
      <c r="K155" s="2"/>
      <c r="L155" s="2"/>
      <c r="Q155" s="176"/>
      <c r="R155" s="176"/>
      <c r="S155" s="185"/>
      <c r="AA155" s="8"/>
    </row>
    <row r="156" spans="4:27" x14ac:dyDescent="0.25">
      <c r="D156" s="2"/>
      <c r="E156" s="2"/>
      <c r="F156" s="2"/>
      <c r="G156" s="2"/>
      <c r="H156" s="2"/>
      <c r="I156" s="2"/>
      <c r="J156" s="2"/>
      <c r="K156" s="2"/>
      <c r="L156" s="2"/>
      <c r="Q156" s="176"/>
      <c r="R156" s="176"/>
      <c r="S156" s="185"/>
      <c r="AA156" s="8"/>
    </row>
    <row r="157" spans="4:27" x14ac:dyDescent="0.25">
      <c r="D157" s="2"/>
      <c r="E157" s="2"/>
      <c r="F157" s="2"/>
      <c r="G157" s="2"/>
      <c r="H157" s="2"/>
      <c r="I157" s="2"/>
      <c r="J157" s="2"/>
      <c r="K157" s="2"/>
      <c r="L157" s="2"/>
      <c r="Q157" s="176"/>
      <c r="R157" s="176"/>
      <c r="S157" s="185"/>
      <c r="AA157" s="8"/>
    </row>
    <row r="158" spans="4:27" x14ac:dyDescent="0.25">
      <c r="D158" s="2"/>
      <c r="E158" s="2"/>
      <c r="F158" s="2"/>
      <c r="G158" s="2"/>
      <c r="H158" s="2"/>
      <c r="I158" s="2"/>
      <c r="J158" s="2"/>
      <c r="K158" s="2"/>
      <c r="L158" s="2"/>
      <c r="Q158" s="176"/>
      <c r="R158" s="176"/>
      <c r="S158" s="185"/>
      <c r="AA158" s="8"/>
    </row>
    <row r="159" spans="4:27" x14ac:dyDescent="0.25">
      <c r="D159" s="2"/>
      <c r="E159" s="2"/>
      <c r="F159" s="2"/>
      <c r="G159" s="2"/>
      <c r="H159" s="2"/>
      <c r="I159" s="2"/>
      <c r="J159" s="2"/>
      <c r="K159" s="2"/>
      <c r="L159" s="2"/>
      <c r="Q159" s="176"/>
      <c r="R159" s="176"/>
      <c r="S159" s="185"/>
      <c r="AA159" s="8"/>
    </row>
    <row r="160" spans="4:27" x14ac:dyDescent="0.25">
      <c r="D160" s="2"/>
      <c r="E160" s="2"/>
      <c r="F160" s="2"/>
      <c r="G160" s="2"/>
      <c r="H160" s="2"/>
      <c r="I160" s="2"/>
      <c r="J160" s="2"/>
      <c r="K160" s="2"/>
      <c r="L160" s="2"/>
      <c r="Q160" s="176"/>
      <c r="R160" s="176"/>
      <c r="S160" s="185"/>
      <c r="AA160" s="8"/>
    </row>
    <row r="161" spans="4:27" x14ac:dyDescent="0.25">
      <c r="D161" s="2"/>
      <c r="E161" s="2"/>
      <c r="F161" s="2"/>
      <c r="G161" s="2"/>
      <c r="H161" s="2"/>
      <c r="I161" s="2"/>
      <c r="J161" s="2"/>
      <c r="K161" s="2"/>
      <c r="L161" s="2"/>
      <c r="Q161" s="176"/>
      <c r="R161" s="176"/>
      <c r="S161" s="185"/>
      <c r="AA161" s="8"/>
    </row>
    <row r="162" spans="4:27" x14ac:dyDescent="0.25">
      <c r="D162" s="2"/>
      <c r="E162" s="2"/>
      <c r="F162" s="2"/>
      <c r="G162" s="2"/>
      <c r="H162" s="2"/>
      <c r="I162" s="2"/>
      <c r="J162" s="2"/>
      <c r="K162" s="2"/>
      <c r="L162" s="2"/>
      <c r="Q162" s="176"/>
      <c r="R162" s="176"/>
      <c r="S162" s="185"/>
      <c r="AA162" s="8"/>
    </row>
    <row r="163" spans="4:27" x14ac:dyDescent="0.25">
      <c r="D163" s="2"/>
      <c r="E163" s="2"/>
      <c r="F163" s="2"/>
      <c r="G163" s="2"/>
      <c r="H163" s="2"/>
      <c r="I163" s="2"/>
      <c r="J163" s="2"/>
      <c r="K163" s="2"/>
      <c r="L163" s="2"/>
      <c r="Q163" s="176"/>
      <c r="R163" s="176"/>
      <c r="S163" s="185"/>
      <c r="AA163" s="8"/>
    </row>
    <row r="164" spans="4:27" x14ac:dyDescent="0.25">
      <c r="D164" s="2"/>
      <c r="E164" s="2"/>
      <c r="F164" s="2"/>
      <c r="G164" s="2"/>
      <c r="H164" s="2"/>
      <c r="I164" s="2"/>
      <c r="J164" s="2"/>
      <c r="K164" s="2"/>
      <c r="L164" s="2"/>
      <c r="Q164" s="176"/>
      <c r="R164" s="176"/>
      <c r="S164" s="185"/>
      <c r="AA164" s="8"/>
    </row>
    <row r="165" spans="4:27" x14ac:dyDescent="0.25">
      <c r="D165" s="2"/>
      <c r="E165" s="2"/>
      <c r="F165" s="2"/>
      <c r="G165" s="2"/>
      <c r="H165" s="2"/>
      <c r="I165" s="2"/>
      <c r="J165" s="2"/>
      <c r="K165" s="2"/>
      <c r="L165" s="2"/>
      <c r="Q165" s="176"/>
      <c r="R165" s="176"/>
      <c r="S165" s="185"/>
      <c r="AA165" s="8"/>
    </row>
    <row r="166" spans="4:27" x14ac:dyDescent="0.25">
      <c r="D166" s="2"/>
      <c r="E166" s="2"/>
      <c r="F166" s="2"/>
      <c r="G166" s="2"/>
      <c r="H166" s="2"/>
      <c r="I166" s="2"/>
      <c r="J166" s="2"/>
      <c r="K166" s="2"/>
      <c r="L166" s="2"/>
      <c r="Q166" s="176"/>
      <c r="R166" s="176"/>
      <c r="S166" s="185"/>
      <c r="AA166" s="8"/>
    </row>
    <row r="167" spans="4:27" x14ac:dyDescent="0.25">
      <c r="D167" s="2"/>
      <c r="E167" s="2"/>
      <c r="F167" s="2"/>
      <c r="G167" s="2"/>
      <c r="H167" s="2"/>
      <c r="I167" s="2"/>
      <c r="J167" s="2"/>
      <c r="K167" s="2"/>
      <c r="L167" s="2"/>
      <c r="Q167" s="176"/>
      <c r="R167" s="176"/>
      <c r="S167" s="185"/>
      <c r="AA167" s="8"/>
    </row>
    <row r="168" spans="4:27" x14ac:dyDescent="0.25">
      <c r="D168" s="2"/>
      <c r="E168" s="2"/>
      <c r="F168" s="2"/>
      <c r="G168" s="2"/>
      <c r="H168" s="2"/>
      <c r="I168" s="2"/>
      <c r="J168" s="2"/>
      <c r="K168" s="2"/>
      <c r="L168" s="2"/>
      <c r="Q168" s="176"/>
      <c r="R168" s="176"/>
      <c r="S168" s="185"/>
      <c r="AA168" s="8"/>
    </row>
    <row r="169" spans="4:27" x14ac:dyDescent="0.25">
      <c r="D169" s="2"/>
      <c r="E169" s="2"/>
      <c r="F169" s="2"/>
      <c r="G169" s="2"/>
      <c r="H169" s="2"/>
      <c r="I169" s="2"/>
      <c r="J169" s="2"/>
      <c r="K169" s="2"/>
      <c r="L169" s="2"/>
      <c r="Q169" s="176"/>
      <c r="R169" s="176"/>
      <c r="S169" s="185"/>
      <c r="AA169" s="8"/>
    </row>
    <row r="170" spans="4:27" x14ac:dyDescent="0.25">
      <c r="D170" s="2"/>
      <c r="E170" s="2"/>
      <c r="F170" s="2"/>
      <c r="G170" s="2"/>
      <c r="H170" s="2"/>
      <c r="I170" s="2"/>
      <c r="J170" s="2"/>
      <c r="K170" s="2"/>
      <c r="L170" s="2"/>
      <c r="Q170" s="176"/>
      <c r="R170" s="176"/>
      <c r="S170" s="185"/>
      <c r="AA170" s="8"/>
    </row>
    <row r="171" spans="4:27" x14ac:dyDescent="0.25">
      <c r="D171" s="2"/>
      <c r="E171" s="2"/>
      <c r="F171" s="2"/>
      <c r="G171" s="2"/>
      <c r="H171" s="2"/>
      <c r="I171" s="2"/>
      <c r="J171" s="2"/>
      <c r="K171" s="2"/>
      <c r="L171" s="2"/>
      <c r="Q171" s="176"/>
      <c r="R171" s="176"/>
      <c r="S171" s="185"/>
      <c r="AA171" s="8"/>
    </row>
    <row r="172" spans="4:27" x14ac:dyDescent="0.25">
      <c r="D172" s="2"/>
      <c r="E172" s="2"/>
      <c r="F172" s="2"/>
      <c r="G172" s="2"/>
      <c r="H172" s="2"/>
      <c r="I172" s="2"/>
      <c r="J172" s="2"/>
      <c r="K172" s="2"/>
      <c r="L172" s="2"/>
      <c r="Q172" s="176"/>
      <c r="R172" s="176"/>
      <c r="S172" s="185"/>
      <c r="AA172" s="8"/>
    </row>
    <row r="173" spans="4:27" x14ac:dyDescent="0.25">
      <c r="Q173" s="176"/>
      <c r="R173" s="176"/>
      <c r="S173" s="185"/>
      <c r="AA173" s="8"/>
    </row>
    <row r="174" spans="4:27" x14ac:dyDescent="0.25">
      <c r="Q174" s="176"/>
      <c r="R174" s="176"/>
      <c r="S174" s="185"/>
      <c r="AA174" s="8"/>
    </row>
    <row r="175" spans="4:27" x14ac:dyDescent="0.25">
      <c r="Q175" s="176"/>
      <c r="R175" s="176"/>
      <c r="S175" s="185"/>
      <c r="AA175" s="8"/>
    </row>
    <row r="176" spans="4:27" x14ac:dyDescent="0.25">
      <c r="Q176" s="176"/>
      <c r="R176" s="176"/>
      <c r="S176" s="185"/>
      <c r="AA176" s="8"/>
    </row>
    <row r="177" spans="17:27" x14ac:dyDescent="0.25">
      <c r="Q177" s="176"/>
      <c r="R177" s="176"/>
      <c r="S177" s="185"/>
      <c r="AA177" s="8"/>
    </row>
    <row r="178" spans="17:27" x14ac:dyDescent="0.25">
      <c r="Q178" s="176"/>
      <c r="R178" s="176"/>
      <c r="S178" s="185"/>
      <c r="AA178" s="8"/>
    </row>
    <row r="179" spans="17:27" x14ac:dyDescent="0.25">
      <c r="Q179" s="176"/>
      <c r="R179" s="176"/>
      <c r="S179" s="185"/>
      <c r="AA179" s="8"/>
    </row>
    <row r="180" spans="17:27" x14ac:dyDescent="0.25">
      <c r="Q180" s="176"/>
      <c r="R180" s="176"/>
      <c r="S180" s="185"/>
      <c r="AA180" s="8"/>
    </row>
    <row r="181" spans="17:27" x14ac:dyDescent="0.25">
      <c r="Q181" s="176"/>
      <c r="R181" s="176"/>
      <c r="S181" s="185"/>
      <c r="AA181" s="8"/>
    </row>
    <row r="182" spans="17:27" x14ac:dyDescent="0.25">
      <c r="Q182" s="176"/>
      <c r="R182" s="176"/>
      <c r="S182" s="185"/>
      <c r="AA182" s="8"/>
    </row>
    <row r="183" spans="17:27" x14ac:dyDescent="0.25">
      <c r="Q183" s="176"/>
      <c r="R183" s="176"/>
      <c r="S183" s="185"/>
      <c r="AA183" s="8"/>
    </row>
    <row r="184" spans="17:27" x14ac:dyDescent="0.25">
      <c r="Q184" s="176"/>
      <c r="R184" s="176"/>
      <c r="S184" s="185"/>
      <c r="AA184" s="8"/>
    </row>
    <row r="185" spans="17:27" x14ac:dyDescent="0.25">
      <c r="Q185" s="176"/>
      <c r="R185" s="176"/>
      <c r="S185" s="185"/>
      <c r="AA185" s="8"/>
    </row>
    <row r="186" spans="17:27" x14ac:dyDescent="0.25">
      <c r="Q186" s="176"/>
      <c r="R186" s="176"/>
      <c r="S186" s="185"/>
      <c r="AA186" s="8"/>
    </row>
    <row r="187" spans="17:27" x14ac:dyDescent="0.25">
      <c r="Q187" s="176"/>
      <c r="R187" s="176"/>
      <c r="S187" s="185"/>
      <c r="AA187" s="8"/>
    </row>
    <row r="188" spans="17:27" x14ac:dyDescent="0.25">
      <c r="Q188" s="176"/>
      <c r="R188" s="176"/>
      <c r="S188" s="185"/>
      <c r="AA188" s="8"/>
    </row>
    <row r="189" spans="17:27" x14ac:dyDescent="0.25">
      <c r="Q189" s="176"/>
      <c r="R189" s="176"/>
      <c r="S189" s="185"/>
      <c r="AA189" s="8"/>
    </row>
    <row r="190" spans="17:27" x14ac:dyDescent="0.25">
      <c r="Q190" s="176"/>
      <c r="R190" s="176"/>
      <c r="S190" s="185"/>
      <c r="AA190" s="8"/>
    </row>
    <row r="191" spans="17:27" x14ac:dyDescent="0.25">
      <c r="Q191" s="176"/>
      <c r="R191" s="176"/>
      <c r="S191" s="185"/>
      <c r="AA191" s="8"/>
    </row>
    <row r="192" spans="17:27" x14ac:dyDescent="0.25">
      <c r="Q192" s="176"/>
      <c r="R192" s="176"/>
      <c r="S192" s="185"/>
      <c r="AA192" s="8"/>
    </row>
    <row r="193" spans="1:27" x14ac:dyDescent="0.25">
      <c r="Q193" s="176"/>
      <c r="R193" s="176"/>
      <c r="S193" s="185"/>
      <c r="AA193" s="8"/>
    </row>
    <row r="194" spans="1:27" x14ac:dyDescent="0.25">
      <c r="Q194" s="176"/>
      <c r="R194" s="176"/>
      <c r="S194" s="185"/>
      <c r="AA194" s="8"/>
    </row>
    <row r="195" spans="1:27" x14ac:dyDescent="0.25">
      <c r="Q195" s="176"/>
      <c r="R195" s="176"/>
      <c r="S195" s="185"/>
      <c r="AA195" s="8"/>
    </row>
    <row r="196" spans="1:27" x14ac:dyDescent="0.25">
      <c r="Q196" s="176"/>
      <c r="R196" s="176"/>
      <c r="S196" s="185"/>
      <c r="AA196" s="8"/>
    </row>
    <row r="197" spans="1:27" x14ac:dyDescent="0.25">
      <c r="Q197" s="176"/>
      <c r="R197" s="176"/>
      <c r="S197" s="185"/>
      <c r="AA197" s="8"/>
    </row>
    <row r="198" spans="1:27" x14ac:dyDescent="0.25">
      <c r="Q198" s="176"/>
      <c r="R198" s="176"/>
      <c r="S198" s="185"/>
      <c r="AA198" s="8"/>
    </row>
    <row r="199" spans="1:27" x14ac:dyDescent="0.25">
      <c r="Q199" s="176"/>
      <c r="R199" s="176"/>
      <c r="S199" s="185"/>
      <c r="AA199" s="8"/>
    </row>
    <row r="200" spans="1:27" x14ac:dyDescent="0.25">
      <c r="Q200" s="176"/>
      <c r="R200" s="176"/>
      <c r="S200" s="185"/>
      <c r="AA200" s="8"/>
    </row>
    <row r="201" spans="1:27" x14ac:dyDescent="0.25">
      <c r="Q201" s="176"/>
      <c r="R201" s="176"/>
      <c r="S201" s="185"/>
      <c r="AA201" s="8"/>
    </row>
    <row r="202" spans="1:27" x14ac:dyDescent="0.25">
      <c r="Q202" s="176"/>
      <c r="R202" s="176"/>
      <c r="S202" s="185"/>
      <c r="AA202" s="8"/>
    </row>
    <row r="203" spans="1:27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40" t="s">
        <v>236</v>
      </c>
    </row>
    <row r="204" spans="1:27" x14ac:dyDescent="0.25"/>
    <row r="205" spans="1:27" x14ac:dyDescent="0.25"/>
    <row r="206" spans="1:27" x14ac:dyDescent="0.25"/>
    <row r="207" spans="1:27" x14ac:dyDescent="0.25"/>
    <row r="208" spans="1:27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</sheetData>
  <conditionalFormatting sqref="F6">
    <cfRule type="cellIs" dxfId="4" priority="5" operator="equal">
      <formula>"Activé"</formula>
    </cfRule>
    <cfRule type="cellIs" dxfId="3" priority="6" operator="equal">
      <formula>"Désactivé"</formula>
    </cfRule>
  </conditionalFormatting>
  <conditionalFormatting sqref="S11:S203">
    <cfRule type="cellIs" dxfId="2" priority="4" operator="greaterThan">
      <formula>0</formula>
    </cfRule>
  </conditionalFormatting>
  <conditionalFormatting sqref="S10">
    <cfRule type="cellIs" dxfId="1" priority="2" operator="greaterThan">
      <formula>0</formula>
    </cfRule>
  </conditionalFormatting>
  <conditionalFormatting sqref="S1:S6 S8">
    <cfRule type="cellIs" dxfId="0" priority="1" operator="greaterThan">
      <formula>0</formula>
    </cfRule>
  </conditionalFormatting>
  <hyperlinks>
    <hyperlink ref="B4" location="'Index'!A1" display="Index" xr:uid="{00000000-0004-0000-1C00-000000000000}"/>
  </hyperlink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Check">
              <controlPr defaultSize="0" print="0" autoFill="0" autoPict="0" macro="[0]!Affichage_Système_Checks.Affichage_Système_Checks">
                <anchor moveWithCells="1" sizeWithCells="1">
                  <from>
                    <xdr:col>3</xdr:col>
                    <xdr:colOff>38100</xdr:colOff>
                    <xdr:row>6</xdr:row>
                    <xdr:rowOff>68580</xdr:rowOff>
                  </from>
                  <to>
                    <xdr:col>3</xdr:col>
                    <xdr:colOff>830580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5" name="Button 2">
              <controlPr defaultSize="0" print="0" autoFill="0" autoPict="0" macro="[0]!Optimisation.Optimisation">
                <anchor moveWithCells="1" sizeWithCells="1">
                  <from>
                    <xdr:col>7</xdr:col>
                    <xdr:colOff>22860</xdr:colOff>
                    <xdr:row>6</xdr:row>
                    <xdr:rowOff>68580</xdr:rowOff>
                  </from>
                  <to>
                    <xdr:col>7</xdr:col>
                    <xdr:colOff>822960</xdr:colOff>
                    <xdr:row>8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"/>
  <dimension ref="K335"/>
  <sheetViews>
    <sheetView workbookViewId="0">
      <selection activeCell="K335" sqref="K335"/>
    </sheetView>
  </sheetViews>
  <sheetFormatPr defaultColWidth="9.33203125" defaultRowHeight="14.4" x14ac:dyDescent="0.3"/>
  <cols>
    <col min="11" max="11" width="11.44140625" customWidth="1"/>
  </cols>
  <sheetData>
    <row r="335" spans="11:11" x14ac:dyDescent="0.3">
      <c r="K33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96</vt:i4>
      </vt:variant>
    </vt:vector>
  </HeadingPairs>
  <TitlesOfParts>
    <vt:vector size="99" baseType="lpstr">
      <vt:lpstr>Synthèse</vt:lpstr>
      <vt:lpstr>Hist. T.</vt:lpstr>
      <vt:lpstr>Configuration</vt:lpstr>
      <vt:lpstr>Abattement</vt:lpstr>
      <vt:lpstr>Abonnements</vt:lpstr>
      <vt:lpstr>Achats</vt:lpstr>
      <vt:lpstr>Alimentation</vt:lpstr>
      <vt:lpstr>Annuel</vt:lpstr>
      <vt:lpstr>Banque</vt:lpstr>
      <vt:lpstr>Banque_émettrice_1</vt:lpstr>
      <vt:lpstr>BORNEINF_1</vt:lpstr>
      <vt:lpstr>Boursorama</vt:lpstr>
      <vt:lpstr>Catégoriedetransaction_1</vt:lpstr>
      <vt:lpstr>Catégories</vt:lpstr>
      <vt:lpstr>CCversL</vt:lpstr>
      <vt:lpstr>Célibataire</vt:lpstr>
      <vt:lpstr>CF_1</vt:lpstr>
      <vt:lpstr>CF_4</vt:lpstr>
      <vt:lpstr>CF_9</vt:lpstr>
      <vt:lpstr>Check_Comptabilisation_1</vt:lpstr>
      <vt:lpstr>Col_D_1</vt:lpstr>
      <vt:lpstr>Col_D_4</vt:lpstr>
      <vt:lpstr>Col_D_9</vt:lpstr>
      <vt:lpstr>Col_G_1</vt:lpstr>
      <vt:lpstr>Col_G_4</vt:lpstr>
      <vt:lpstr>Col_G_9</vt:lpstr>
      <vt:lpstr>Commentaire_1</vt:lpstr>
      <vt:lpstr>Comptage_transactions_1</vt:lpstr>
      <vt:lpstr>Config_CB</vt:lpstr>
      <vt:lpstr>Config_chèque</vt:lpstr>
      <vt:lpstr>Config_Prélèvements</vt:lpstr>
      <vt:lpstr>Config_Rééquilibrage</vt:lpstr>
      <vt:lpstr>Config_Rev</vt:lpstr>
      <vt:lpstr>Config_Transferts</vt:lpstr>
      <vt:lpstr>Config_Virements_Envoyés</vt:lpstr>
      <vt:lpstr>Config_Virements_Reçus</vt:lpstr>
      <vt:lpstr>Consolidée</vt:lpstr>
      <vt:lpstr>Datedenregistrement_1</vt:lpstr>
      <vt:lpstr>Datedetransaction_1</vt:lpstr>
      <vt:lpstr>Datedujour</vt:lpstr>
      <vt:lpstr>Début_Période_1</vt:lpstr>
      <vt:lpstr>Déclaration</vt:lpstr>
      <vt:lpstr>Déclarations</vt:lpstr>
      <vt:lpstr>Départ_HSBC</vt:lpstr>
      <vt:lpstr>Différé</vt:lpstr>
      <vt:lpstr>Différéounon_1</vt:lpstr>
      <vt:lpstr>Divers</vt:lpstr>
      <vt:lpstr>Enfants</vt:lpstr>
      <vt:lpstr>Error</vt:lpstr>
      <vt:lpstr>Esthétique</vt:lpstr>
      <vt:lpstr>Exclue</vt:lpstr>
      <vt:lpstr>Fin_Période_1</vt:lpstr>
      <vt:lpstr>Finance</vt:lpstr>
      <vt:lpstr>Fluxréel_1</vt:lpstr>
      <vt:lpstr>Format_Budget</vt:lpstr>
      <vt:lpstr>Format_Capital_Conso</vt:lpstr>
      <vt:lpstr>Format_Synthèse_1</vt:lpstr>
      <vt:lpstr>Format_Synthèse_2</vt:lpstr>
      <vt:lpstr>Format_Synthèse_3</vt:lpstr>
      <vt:lpstr>Format_Synthèse_4</vt:lpstr>
      <vt:lpstr>Formule_référence_1</vt:lpstr>
      <vt:lpstr>Frais_réels</vt:lpstr>
      <vt:lpstr>HSBC</vt:lpstr>
      <vt:lpstr>Impôts</vt:lpstr>
      <vt:lpstr>Incluse</vt:lpstr>
      <vt:lpstr>LCL</vt:lpstr>
      <vt:lpstr>Logement</vt:lpstr>
      <vt:lpstr>Loisirs</vt:lpstr>
      <vt:lpstr>LversCC</vt:lpstr>
      <vt:lpstr>Marié</vt:lpstr>
      <vt:lpstr>Mensuel</vt:lpstr>
      <vt:lpstr>Montant_1</vt:lpstr>
      <vt:lpstr>Net</vt:lpstr>
      <vt:lpstr>Non</vt:lpstr>
      <vt:lpstr>Ok</vt:lpstr>
      <vt:lpstr>Onglet_1</vt:lpstr>
      <vt:lpstr>Onglet_4</vt:lpstr>
      <vt:lpstr>Onglet_9</vt:lpstr>
      <vt:lpstr>Oui</vt:lpstr>
      <vt:lpstr>Pacsé</vt:lpstr>
      <vt:lpstr>Professionnel</vt:lpstr>
      <vt:lpstr>Retraits_Chèques</vt:lpstr>
      <vt:lpstr>Revenu_global</vt:lpstr>
      <vt:lpstr>Revenu_principal</vt:lpstr>
      <vt:lpstr>Revenus_d_invt</vt:lpstr>
      <vt:lpstr>Santé</vt:lpstr>
      <vt:lpstr>Savings</vt:lpstr>
      <vt:lpstr>Séparées</vt:lpstr>
      <vt:lpstr>Signature_1</vt:lpstr>
      <vt:lpstr>Signature_1_borneinf</vt:lpstr>
      <vt:lpstr>Souscatégoriedetransaction_1</vt:lpstr>
      <vt:lpstr>Statut_transaction_1</vt:lpstr>
      <vt:lpstr>Système_Checks</vt:lpstr>
      <vt:lpstr>Transfert_Interne</vt:lpstr>
      <vt:lpstr>Transferts</vt:lpstr>
      <vt:lpstr>Transports</vt:lpstr>
      <vt:lpstr>Type</vt:lpstr>
      <vt:lpstr>Typedetransaction_1</vt:lpstr>
      <vt:lpstr>Veuf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</dc:creator>
  <cp:lastModifiedBy>Pierre-Louis Terry</cp:lastModifiedBy>
  <cp:lastPrinted>2018-07-21T13:37:22Z</cp:lastPrinted>
  <dcterms:created xsi:type="dcterms:W3CDTF">2015-10-25T17:33:23Z</dcterms:created>
  <dcterms:modified xsi:type="dcterms:W3CDTF">2018-07-21T13:57:46Z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eep_original_style">
    <vt:lpwstr/>
  </property>
  <property fmtid="{D5CDD505-2E9C-101B-9397-08002B2CF9AE}" pid="3" name="Size_Factor">
    <vt:lpwstr>Small</vt:lpwstr>
  </property>
  <property fmtid="{D5CDD505-2E9C-101B-9397-08002B2CF9AE}" pid="4" name="RibbonPointer">
    <vt:lpwstr>436538736</vt:lpwstr>
  </property>
</Properties>
</file>