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4040" windowHeight="8196" tabRatio="815"/>
  </bookViews>
  <sheets>
    <sheet name="Flexo" sheetId="2" r:id="rId1"/>
    <sheet name="Sac" sheetId="3" r:id="rId2"/>
    <sheet name="Sac Compile" sheetId="13" r:id="rId3"/>
    <sheet name="Inventaire Boites" sheetId="7" r:id="rId4"/>
    <sheet name="Inventaire Broches" sheetId="10" r:id="rId5"/>
    <sheet name="Liste" sheetId="9" r:id="rId6"/>
    <sheet name="Hres 100" sheetId="11" r:id="rId7"/>
    <sheet name="Tableau de bord" sheetId="12" r:id="rId8"/>
  </sheets>
  <definedNames>
    <definedName name="_xlnm._FilterDatabase" localSheetId="0" hidden="1">Flexo!$C$3:$C$37</definedName>
    <definedName name="_xlnm._FilterDatabase" localSheetId="1" hidden="1">Sac!$C$2:$P$2</definedName>
    <definedName name="_xlnm._FilterDatabase" localSheetId="2" hidden="1">'Sac Compile'!$C$2:$P$2</definedName>
    <definedName name="Boite">Liste!$F$1:$F$19</definedName>
    <definedName name="Broche">Liste!$D$1:$D$19</definedName>
    <definedName name="Client">Liste!$A:$A</definedName>
    <definedName name="Coté">Liste!$C$1:$C$2</definedName>
    <definedName name="Mach">Liste!$B$1:$B$10</definedName>
    <definedName name="Préposée">Liste!$G$1:$G$12</definedName>
    <definedName name="Statut">Liste!$E$1:$E$6</definedName>
    <definedName name="_xlnm.Print_Area" localSheetId="1">Sac!$A$1:$K$52</definedName>
    <definedName name="_xlnm.Print_Area" localSheetId="2">'Sac Compile'!$A$1:$K$55</definedName>
  </definedNames>
  <calcPr calcId="125725"/>
</workbook>
</file>

<file path=xl/calcChain.xml><?xml version="1.0" encoding="utf-8"?>
<calcChain xmlns="http://schemas.openxmlformats.org/spreadsheetml/2006/main">
  <c r="Q14" i="13"/>
  <c r="P14"/>
  <c r="Q14" i="3"/>
  <c r="P14"/>
  <c r="Q67" i="2"/>
  <c r="P67"/>
  <c r="Q66"/>
  <c r="P66"/>
  <c r="Q65"/>
  <c r="P65"/>
  <c r="Q64"/>
  <c r="P64"/>
  <c r="Q63"/>
  <c r="P63"/>
  <c r="Q62"/>
  <c r="P62"/>
  <c r="Q61"/>
  <c r="P61"/>
  <c r="Q60"/>
  <c r="P60"/>
  <c r="Q59"/>
  <c r="P59"/>
  <c r="Q58"/>
  <c r="P58"/>
  <c r="Q57"/>
  <c r="P57"/>
  <c r="Q56"/>
  <c r="P56"/>
  <c r="Q55"/>
  <c r="P55"/>
  <c r="Q54"/>
  <c r="P54"/>
  <c r="Q53"/>
  <c r="P53"/>
  <c r="Q52"/>
  <c r="P52"/>
  <c r="Q51"/>
  <c r="P51"/>
  <c r="Q50"/>
  <c r="P50"/>
  <c r="Q49"/>
  <c r="P49"/>
  <c r="Q48"/>
  <c r="P48"/>
  <c r="Q47"/>
  <c r="P47"/>
  <c r="Q46"/>
  <c r="P46"/>
  <c r="Q45"/>
  <c r="P45"/>
  <c r="Q44"/>
  <c r="P44"/>
  <c r="Q43"/>
  <c r="P43"/>
  <c r="Q42"/>
  <c r="P42"/>
  <c r="Q41"/>
  <c r="P41"/>
  <c r="Q40"/>
  <c r="P40"/>
  <c r="Q39"/>
  <c r="P39"/>
  <c r="Q38"/>
  <c r="P38"/>
  <c r="Q37"/>
  <c r="P37"/>
  <c r="Q36"/>
  <c r="P36"/>
  <c r="Q35"/>
  <c r="P35"/>
  <c r="Q34"/>
  <c r="P34"/>
  <c r="Q33"/>
  <c r="P33"/>
  <c r="Q32"/>
  <c r="P32"/>
  <c r="Q31"/>
  <c r="P31"/>
  <c r="Q30"/>
  <c r="P30"/>
  <c r="Q29"/>
  <c r="P29"/>
  <c r="Q28"/>
  <c r="P28"/>
  <c r="Q27"/>
  <c r="P27"/>
  <c r="Q26"/>
  <c r="P26"/>
  <c r="Q25"/>
  <c r="P25"/>
  <c r="Q24"/>
  <c r="P24"/>
  <c r="Q23"/>
  <c r="P23"/>
  <c r="Q22"/>
  <c r="P22"/>
  <c r="Q21"/>
  <c r="P21"/>
  <c r="Q20"/>
  <c r="P20"/>
  <c r="Q19"/>
  <c r="P19"/>
  <c r="Q18"/>
  <c r="P18"/>
  <c r="Q17"/>
  <c r="P17"/>
  <c r="Q16"/>
  <c r="P16"/>
  <c r="Q15"/>
  <c r="P15"/>
  <c r="Q14"/>
  <c r="P14"/>
  <c r="Q13"/>
  <c r="P13"/>
  <c r="Q12"/>
  <c r="P12"/>
  <c r="Q11"/>
  <c r="P11"/>
  <c r="Q10"/>
  <c r="P10"/>
  <c r="Q9"/>
  <c r="P9"/>
  <c r="Q8"/>
  <c r="P8"/>
  <c r="Q7"/>
  <c r="P7"/>
  <c r="Q6"/>
  <c r="P6"/>
  <c r="Q5"/>
  <c r="P5"/>
  <c r="Q4"/>
  <c r="P4"/>
  <c r="Q24" i="13"/>
  <c r="P24"/>
  <c r="Q24" i="3"/>
  <c r="P24"/>
  <c r="Q22" i="13"/>
  <c r="P22"/>
  <c r="Q22" i="3"/>
  <c r="P22"/>
  <c r="Q20" i="13"/>
  <c r="P20"/>
  <c r="Q20" i="3"/>
  <c r="P20"/>
  <c r="Q18" i="13"/>
  <c r="P18"/>
  <c r="Q18" i="3"/>
  <c r="P18"/>
  <c r="Q16" i="13"/>
  <c r="P16"/>
  <c r="Q16" i="3"/>
  <c r="P16"/>
  <c r="Q13" i="13"/>
  <c r="P13"/>
  <c r="Q13" i="3"/>
  <c r="P13"/>
  <c r="Q11" i="13"/>
  <c r="P11"/>
  <c r="Q11" i="3"/>
  <c r="P11"/>
  <c r="Q9" i="13"/>
  <c r="P9"/>
  <c r="Q9" i="3"/>
  <c r="P9"/>
  <c r="Q7" i="13"/>
  <c r="P7"/>
  <c r="Q7" i="3"/>
  <c r="P7"/>
  <c r="Q5" i="13"/>
  <c r="P5"/>
  <c r="Q5" i="3"/>
  <c r="P5"/>
  <c r="Q4" i="13"/>
  <c r="P4"/>
  <c r="Q4" i="3"/>
  <c r="P4"/>
  <c r="Q3" i="2"/>
  <c r="P3"/>
  <c r="J1" i="3"/>
  <c r="C1" i="13"/>
  <c r="C1" i="2"/>
  <c r="D1" i="3"/>
  <c r="H29" i="11"/>
  <c r="H28"/>
  <c r="H27"/>
  <c r="H26"/>
  <c r="H25"/>
  <c r="H24"/>
  <c r="H23"/>
  <c r="H22"/>
  <c r="H21"/>
  <c r="H20"/>
  <c r="G29"/>
  <c r="G28"/>
  <c r="G27"/>
  <c r="G26"/>
  <c r="G25"/>
  <c r="G24"/>
  <c r="G23"/>
  <c r="G22"/>
  <c r="G21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H14"/>
  <c r="H13"/>
  <c r="H12"/>
  <c r="H11"/>
  <c r="H10"/>
  <c r="H9"/>
  <c r="H8"/>
  <c r="H7"/>
  <c r="H6"/>
  <c r="H5"/>
  <c r="G14"/>
  <c r="G13"/>
  <c r="G12"/>
  <c r="G11"/>
  <c r="G10"/>
  <c r="G9"/>
  <c r="G8"/>
  <c r="G7"/>
  <c r="G6"/>
  <c r="G5"/>
  <c r="D14"/>
  <c r="D13"/>
  <c r="D12"/>
  <c r="D11"/>
  <c r="D10"/>
  <c r="D9"/>
  <c r="D8"/>
  <c r="D7"/>
  <c r="D6"/>
  <c r="D5"/>
  <c r="C9"/>
  <c r="C14"/>
  <c r="C13"/>
  <c r="C12"/>
  <c r="C11"/>
  <c r="C10"/>
  <c r="C8"/>
  <c r="C7"/>
  <c r="C6"/>
  <c r="C5"/>
  <c r="C1" i="3"/>
  <c r="E21" i="11" l="1"/>
  <c r="E23"/>
  <c r="E25"/>
  <c r="E27"/>
  <c r="E29"/>
  <c r="E20"/>
  <c r="E22"/>
  <c r="E24"/>
  <c r="E26"/>
  <c r="E28"/>
  <c r="L27" i="12"/>
  <c r="J27"/>
  <c r="I27"/>
  <c r="K27"/>
  <c r="L29"/>
  <c r="J29"/>
  <c r="J25"/>
  <c r="L25"/>
  <c r="J24"/>
  <c r="L24"/>
  <c r="D30" i="1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K25" i="12" l="1"/>
  <c r="K23"/>
  <c r="I25"/>
  <c r="I23"/>
  <c r="I21"/>
  <c r="I24"/>
  <c r="L23"/>
  <c r="K29"/>
  <c r="I29"/>
  <c r="J21"/>
  <c r="J14"/>
  <c r="K21"/>
  <c r="L21"/>
  <c r="K24"/>
  <c r="J23"/>
  <c r="J5"/>
  <c r="J20"/>
  <c r="K5"/>
  <c r="K20"/>
  <c r="J26"/>
  <c r="I26"/>
  <c r="I28"/>
  <c r="J28"/>
  <c r="J22"/>
  <c r="I22"/>
  <c r="L5"/>
  <c r="L20"/>
  <c r="I5"/>
  <c r="I20"/>
  <c r="L26"/>
  <c r="K26"/>
  <c r="K28"/>
  <c r="L28"/>
  <c r="L22"/>
  <c r="K22"/>
  <c r="K7"/>
  <c r="L14"/>
  <c r="I7"/>
  <c r="J11"/>
  <c r="K14"/>
  <c r="I11"/>
  <c r="J7"/>
  <c r="I14"/>
  <c r="L7"/>
  <c r="L11"/>
  <c r="K11"/>
  <c r="C30" i="11"/>
  <c r="E30" s="1"/>
  <c r="I28"/>
  <c r="I24"/>
  <c r="I26"/>
  <c r="I20"/>
  <c r="H30"/>
  <c r="I22"/>
  <c r="I21"/>
  <c r="I23"/>
  <c r="I25"/>
  <c r="I27"/>
  <c r="I29"/>
  <c r="P22"/>
  <c r="Q22" s="1"/>
  <c r="P23"/>
  <c r="Q23" s="1"/>
  <c r="P24"/>
  <c r="Q24" s="1"/>
  <c r="P25"/>
  <c r="Q25" s="1"/>
  <c r="P26"/>
  <c r="Q26" s="1"/>
  <c r="P27"/>
  <c r="Q27" s="1"/>
  <c r="P28"/>
  <c r="Q28" s="1"/>
  <c r="P29"/>
  <c r="Q29" s="1"/>
  <c r="P21"/>
  <c r="Q21" s="1"/>
  <c r="P20"/>
  <c r="G30"/>
  <c r="Q20" l="1"/>
  <c r="Q30" s="1"/>
  <c r="P30"/>
  <c r="I30"/>
  <c r="C18" i="10"/>
  <c r="M14" i="11"/>
  <c r="N14" s="1"/>
  <c r="M13"/>
  <c r="N13" s="1"/>
  <c r="M12"/>
  <c r="N12" s="1"/>
  <c r="M11"/>
  <c r="N11" s="1"/>
  <c r="M10"/>
  <c r="N10" s="1"/>
  <c r="M9"/>
  <c r="N9" s="1"/>
  <c r="M8"/>
  <c r="N8" s="1"/>
  <c r="M7"/>
  <c r="N7" s="1"/>
  <c r="M6"/>
  <c r="N6" s="1"/>
  <c r="M5"/>
  <c r="N5" s="1"/>
  <c r="L6" i="12" l="1"/>
  <c r="K6"/>
  <c r="J6"/>
  <c r="I6"/>
  <c r="L13"/>
  <c r="K13"/>
  <c r="J13"/>
  <c r="I13"/>
  <c r="L12"/>
  <c r="K12"/>
  <c r="J12"/>
  <c r="I12"/>
  <c r="L10"/>
  <c r="K10"/>
  <c r="J10"/>
  <c r="I10"/>
  <c r="L9"/>
  <c r="K9"/>
  <c r="J9"/>
  <c r="I9"/>
  <c r="L8"/>
  <c r="K8"/>
  <c r="J8"/>
  <c r="I8"/>
  <c r="E13" i="11"/>
  <c r="P13" s="1"/>
  <c r="Q13" s="1"/>
  <c r="C15"/>
  <c r="E9"/>
  <c r="P9" s="1"/>
  <c r="Q9" s="1"/>
  <c r="E7"/>
  <c r="P7" s="1"/>
  <c r="Q7" s="1"/>
  <c r="E11"/>
  <c r="P11" s="1"/>
  <c r="Q11" s="1"/>
  <c r="E6"/>
  <c r="P6" s="1"/>
  <c r="Q6" s="1"/>
  <c r="E8"/>
  <c r="P8" s="1"/>
  <c r="Q8" s="1"/>
  <c r="E10"/>
  <c r="P10" s="1"/>
  <c r="Q10" s="1"/>
  <c r="E12"/>
  <c r="P12" s="1"/>
  <c r="Q12" s="1"/>
  <c r="E14"/>
  <c r="P14" s="1"/>
  <c r="Q14" s="1"/>
  <c r="I7"/>
  <c r="I13"/>
  <c r="I10"/>
  <c r="I12"/>
  <c r="I14"/>
  <c r="I11"/>
  <c r="I9"/>
  <c r="I8"/>
  <c r="I6"/>
  <c r="H15"/>
  <c r="G15"/>
  <c r="I5"/>
  <c r="E5"/>
  <c r="P5" s="1"/>
  <c r="D15"/>
  <c r="C20" i="10"/>
  <c r="C19"/>
  <c r="C17"/>
  <c r="C16"/>
  <c r="C15"/>
  <c r="C14"/>
  <c r="C13"/>
  <c r="C12"/>
  <c r="C11"/>
  <c r="C10"/>
  <c r="C9"/>
  <c r="C8"/>
  <c r="C7"/>
  <c r="C6"/>
  <c r="C5"/>
  <c r="C16" i="7"/>
  <c r="C4" i="10"/>
  <c r="C3"/>
  <c r="C2"/>
  <c r="C20" i="7"/>
  <c r="C19"/>
  <c r="C18"/>
  <c r="C17"/>
  <c r="C15"/>
  <c r="C14"/>
  <c r="C13"/>
  <c r="C12"/>
  <c r="C11"/>
  <c r="C10"/>
  <c r="C9"/>
  <c r="C8"/>
  <c r="C7"/>
  <c r="C6"/>
  <c r="C5"/>
  <c r="C4"/>
  <c r="C3"/>
  <c r="C2"/>
  <c r="D5" i="12" l="1"/>
  <c r="P5" s="1"/>
  <c r="D20"/>
  <c r="P20" s="1"/>
  <c r="F5"/>
  <c r="R5" s="1"/>
  <c r="E20"/>
  <c r="Q20" s="1"/>
  <c r="F20"/>
  <c r="R20" s="1"/>
  <c r="C8"/>
  <c r="O8" s="1"/>
  <c r="C23"/>
  <c r="O23" s="1"/>
  <c r="D23"/>
  <c r="P23" s="1"/>
  <c r="D8"/>
  <c r="P8" s="1"/>
  <c r="E8"/>
  <c r="Q8" s="1"/>
  <c r="E23"/>
  <c r="Q23" s="1"/>
  <c r="F23"/>
  <c r="R23" s="1"/>
  <c r="F8"/>
  <c r="R8" s="1"/>
  <c r="E5"/>
  <c r="Q5" s="1"/>
  <c r="F29"/>
  <c r="R29" s="1"/>
  <c r="F7"/>
  <c r="R7" s="1"/>
  <c r="F22"/>
  <c r="R22" s="1"/>
  <c r="F6"/>
  <c r="R6" s="1"/>
  <c r="F21"/>
  <c r="R21" s="1"/>
  <c r="F10"/>
  <c r="R10" s="1"/>
  <c r="F25"/>
  <c r="R25" s="1"/>
  <c r="F9"/>
  <c r="F24"/>
  <c r="F13"/>
  <c r="R13" s="1"/>
  <c r="F28"/>
  <c r="R28" s="1"/>
  <c r="F12"/>
  <c r="R12" s="1"/>
  <c r="F27"/>
  <c r="R27" s="1"/>
  <c r="F11"/>
  <c r="R11" s="1"/>
  <c r="F26"/>
  <c r="R26" s="1"/>
  <c r="E12"/>
  <c r="Q12" s="1"/>
  <c r="E27"/>
  <c r="Q27" s="1"/>
  <c r="E7"/>
  <c r="Q7" s="1"/>
  <c r="E22"/>
  <c r="Q22" s="1"/>
  <c r="E6"/>
  <c r="Q6" s="1"/>
  <c r="E21"/>
  <c r="Q21" s="1"/>
  <c r="E14"/>
  <c r="Q14" s="1"/>
  <c r="E29"/>
  <c r="Q29" s="1"/>
  <c r="E10"/>
  <c r="Q10" s="1"/>
  <c r="E25"/>
  <c r="Q25" s="1"/>
  <c r="E9"/>
  <c r="E24"/>
  <c r="E13"/>
  <c r="Q13" s="1"/>
  <c r="E28"/>
  <c r="Q28" s="1"/>
  <c r="E11"/>
  <c r="Q11" s="1"/>
  <c r="E26"/>
  <c r="Q26" s="1"/>
  <c r="D10"/>
  <c r="P10" s="1"/>
  <c r="D25"/>
  <c r="P25" s="1"/>
  <c r="D9"/>
  <c r="D24"/>
  <c r="D13"/>
  <c r="P13" s="1"/>
  <c r="D28"/>
  <c r="P28" s="1"/>
  <c r="D12"/>
  <c r="P12" s="1"/>
  <c r="D27"/>
  <c r="P27" s="1"/>
  <c r="D11"/>
  <c r="P11" s="1"/>
  <c r="D26"/>
  <c r="P26" s="1"/>
  <c r="D7"/>
  <c r="P7" s="1"/>
  <c r="D22"/>
  <c r="P22" s="1"/>
  <c r="D6"/>
  <c r="P6" s="1"/>
  <c r="D21"/>
  <c r="P21" s="1"/>
  <c r="D14"/>
  <c r="P14" s="1"/>
  <c r="D29"/>
  <c r="P29" s="1"/>
  <c r="C20"/>
  <c r="O20" s="1"/>
  <c r="C5"/>
  <c r="O5" s="1"/>
  <c r="C14"/>
  <c r="O14" s="1"/>
  <c r="C29"/>
  <c r="O29" s="1"/>
  <c r="C13"/>
  <c r="O13" s="1"/>
  <c r="C28"/>
  <c r="O28" s="1"/>
  <c r="C12"/>
  <c r="O12" s="1"/>
  <c r="C27"/>
  <c r="O27" s="1"/>
  <c r="C10"/>
  <c r="O10" s="1"/>
  <c r="C25"/>
  <c r="O25" s="1"/>
  <c r="C11"/>
  <c r="O11" s="1"/>
  <c r="C26"/>
  <c r="O26" s="1"/>
  <c r="C9"/>
  <c r="C24"/>
  <c r="C7"/>
  <c r="O7" s="1"/>
  <c r="C22"/>
  <c r="O22" s="1"/>
  <c r="C6"/>
  <c r="O6" s="1"/>
  <c r="C21"/>
  <c r="O21" s="1"/>
  <c r="Q5" i="11"/>
  <c r="Q15" s="1"/>
  <c r="P15"/>
  <c r="F14" i="12"/>
  <c r="R14" s="1"/>
  <c r="K30"/>
  <c r="J30"/>
  <c r="I30"/>
  <c r="L30"/>
  <c r="I15"/>
  <c r="J15"/>
  <c r="E15" i="11"/>
  <c r="I15"/>
  <c r="K15" i="12" l="1"/>
  <c r="L15"/>
  <c r="F15"/>
  <c r="P24"/>
  <c r="P30" s="1"/>
  <c r="O24"/>
  <c r="O30" s="1"/>
  <c r="E30"/>
  <c r="P9"/>
  <c r="P15" s="1"/>
  <c r="F30"/>
  <c r="O9"/>
  <c r="O15" s="1"/>
  <c r="Q9"/>
  <c r="Q15" s="1"/>
  <c r="Q24" l="1"/>
  <c r="Q30" s="1"/>
  <c r="R24"/>
  <c r="R30" s="1"/>
  <c r="E15"/>
  <c r="C30"/>
  <c r="C15"/>
  <c r="D15"/>
  <c r="R9"/>
  <c r="R15" s="1"/>
  <c r="D30"/>
</calcChain>
</file>

<file path=xl/sharedStrings.xml><?xml version="1.0" encoding="utf-8"?>
<sst xmlns="http://schemas.openxmlformats.org/spreadsheetml/2006/main" count="512" uniqueCount="149">
  <si>
    <t>Date</t>
  </si>
  <si>
    <t>Statut</t>
  </si>
  <si>
    <t>Qty</t>
  </si>
  <si>
    <t>Coté</t>
  </si>
  <si>
    <t>Dossier</t>
  </si>
  <si>
    <t>Sac</t>
  </si>
  <si>
    <t>Client</t>
  </si>
  <si>
    <t>Imprimée</t>
  </si>
  <si>
    <t>Inscrite</t>
  </si>
  <si>
    <t>Broche</t>
  </si>
  <si>
    <t>Boite</t>
  </si>
  <si>
    <t>Wicket</t>
  </si>
  <si>
    <t>Dimension</t>
  </si>
  <si>
    <t>BBH8</t>
  </si>
  <si>
    <t>BBJ7</t>
  </si>
  <si>
    <t>BBJ8</t>
  </si>
  <si>
    <t>BBO8</t>
  </si>
  <si>
    <t>Qty par</t>
  </si>
  <si>
    <t>BBH9</t>
  </si>
  <si>
    <t>BBO9</t>
  </si>
  <si>
    <t>F</t>
  </si>
  <si>
    <t>MUSA</t>
  </si>
  <si>
    <t>MM20</t>
  </si>
  <si>
    <t>PE</t>
  </si>
  <si>
    <t>SERRE</t>
  </si>
  <si>
    <t>STE</t>
  </si>
  <si>
    <t>UNIS</t>
  </si>
  <si>
    <t>V</t>
  </si>
  <si>
    <t>VRAC</t>
  </si>
  <si>
    <t>5 LBS</t>
  </si>
  <si>
    <t>10 LBS</t>
  </si>
  <si>
    <t>Gauche</t>
  </si>
  <si>
    <t xml:space="preserve">25 1/2 X 12 X 6 </t>
  </si>
  <si>
    <t>EUG Logip</t>
  </si>
  <si>
    <t>Qty de</t>
  </si>
  <si>
    <t>Consommation</t>
  </si>
  <si>
    <t>Unisource</t>
  </si>
  <si>
    <t>Droite</t>
  </si>
  <si>
    <t>Canada Bread</t>
  </si>
  <si>
    <t>Agrilait</t>
  </si>
  <si>
    <t>Allstar supply</t>
  </si>
  <si>
    <t>Finneus</t>
  </si>
  <si>
    <t>Tourbiere Lambert</t>
  </si>
  <si>
    <t>ACM Sports</t>
  </si>
  <si>
    <t>Boulangerie Pelletier</t>
  </si>
  <si>
    <t>Boulangerie Lanthier</t>
  </si>
  <si>
    <t>Boulangerie Lemieux</t>
  </si>
  <si>
    <t>Bagel Maguire</t>
  </si>
  <si>
    <t>Métro</t>
  </si>
  <si>
    <t>Boulangerie Charlevoix</t>
  </si>
  <si>
    <t>Boulangerie Auger</t>
  </si>
  <si>
    <t>Boulangerie Gadoua</t>
  </si>
  <si>
    <t>Boulangerie St-Méthode</t>
  </si>
  <si>
    <t>Boulangerie Weston</t>
  </si>
  <si>
    <t xml:space="preserve">Cadbury Adams Canada </t>
  </si>
  <si>
    <t>LOGO HQ LLC</t>
  </si>
  <si>
    <t xml:space="preserve">Maple Leaf Foods Inc </t>
  </si>
  <si>
    <t>MEILLEURES MARQUES</t>
  </si>
  <si>
    <t>Panaderia Moderna N.V.</t>
  </si>
  <si>
    <t xml:space="preserve">Produits Automobiles Laurentide Inc </t>
  </si>
  <si>
    <t>Recochem</t>
  </si>
  <si>
    <t>Samar Company Inc.</t>
  </si>
  <si>
    <t>Sports Experts</t>
  </si>
  <si>
    <t>Budget Propane</t>
  </si>
  <si>
    <t>CAROLINA RETAIL PACKAGING</t>
  </si>
  <si>
    <t>TOURNOI INTER. DE HOCKEY PEE-WEE</t>
  </si>
  <si>
    <t>BABY BRANDS GIFT CLUB</t>
  </si>
  <si>
    <t>Celsius Communications Inc</t>
  </si>
  <si>
    <t>COTE RENO INC</t>
  </si>
  <si>
    <t xml:space="preserve">LM2S </t>
  </si>
  <si>
    <t xml:space="preserve">Gestion Qualité Summum Inc </t>
  </si>
  <si>
    <t xml:space="preserve">Agrilait Coopérative Agricole </t>
  </si>
  <si>
    <t>P5</t>
  </si>
  <si>
    <t>P6</t>
  </si>
  <si>
    <t>P7</t>
  </si>
  <si>
    <t>5 X 5 X 5</t>
  </si>
  <si>
    <t>4 x 5 x 4</t>
  </si>
  <si>
    <t>5 x 2.5 x 5</t>
  </si>
  <si>
    <t>5 x 2 x 5</t>
  </si>
  <si>
    <t>5 x 3 x 5</t>
  </si>
  <si>
    <t>5 x 3.5 x 5</t>
  </si>
  <si>
    <t>5 x 4 x 5</t>
  </si>
  <si>
    <t>5 x 4.5 x 5</t>
  </si>
  <si>
    <t>5 x 6 x 5</t>
  </si>
  <si>
    <t>5 x 7 x 5</t>
  </si>
  <si>
    <t>5 x 8 x 5</t>
  </si>
  <si>
    <t>5 x 8,375 x 5</t>
  </si>
  <si>
    <t>5 x 8.5 x 5</t>
  </si>
  <si>
    <t>5 x 9 x 5</t>
  </si>
  <si>
    <t>5 x 10 x 5</t>
  </si>
  <si>
    <t>5 x 11 x 5</t>
  </si>
  <si>
    <t>5 x 14 x 5</t>
  </si>
  <si>
    <t>5 x 20 x 5</t>
  </si>
  <si>
    <t>N/A</t>
  </si>
  <si>
    <t>10 lbs</t>
  </si>
  <si>
    <t>5 lbs</t>
  </si>
  <si>
    <t xml:space="preserve">V  </t>
  </si>
  <si>
    <t>PG</t>
  </si>
  <si>
    <t>Unis</t>
  </si>
  <si>
    <t>P</t>
  </si>
  <si>
    <t>Ferme Brassard</t>
  </si>
  <si>
    <t>Boulangerie Bertrand</t>
  </si>
  <si>
    <t>Boulangerie Lambton</t>
  </si>
  <si>
    <t>Mas &amp; Fils</t>
  </si>
  <si>
    <t>Hydroserre</t>
  </si>
  <si>
    <t>OK</t>
  </si>
  <si>
    <t>Flexo</t>
  </si>
  <si>
    <t>Total</t>
  </si>
  <si>
    <t>Cycle/minute</t>
  </si>
  <si>
    <t>Heures ouvrables semaine</t>
  </si>
  <si>
    <t>Capacité sacs                (Mille / Hrs)</t>
  </si>
  <si>
    <t>Capacité sacs                (Mille / Sem)</t>
  </si>
  <si>
    <t>5 x 12 x 5</t>
  </si>
  <si>
    <t>Heures de production</t>
  </si>
  <si>
    <t>Semaines de production</t>
  </si>
  <si>
    <t>1 jour ou -</t>
  </si>
  <si>
    <t>Qty de dossier Relaché</t>
  </si>
  <si>
    <t>Qty de sac Relaché</t>
  </si>
  <si>
    <t>Flexo (Qty relaché)</t>
  </si>
  <si>
    <t>Sac (Qty relaché)</t>
  </si>
  <si>
    <t>Flexo (Dossier relaché)</t>
  </si>
  <si>
    <t>Sac (Dossier relaché)</t>
  </si>
  <si>
    <t>Qty de sac total                                   Imprimé ou à Imprimer</t>
  </si>
  <si>
    <t>Qty de dossier                                     Imprimé ou à Imprimer</t>
  </si>
  <si>
    <t>Entre 2         et 3 jour</t>
  </si>
  <si>
    <t>entre 4         et 5 jour</t>
  </si>
  <si>
    <t>Plus de          5 jours</t>
  </si>
  <si>
    <t>13 1/2x22 1/2x24x3bg</t>
  </si>
  <si>
    <t>Armapro</t>
  </si>
  <si>
    <t>Lyse Ménard</t>
  </si>
  <si>
    <t>Ginette Montembault</t>
  </si>
  <si>
    <t>Denise Dumas</t>
  </si>
  <si>
    <t>Isabelle Paradis</t>
  </si>
  <si>
    <t>Denise Harel</t>
  </si>
  <si>
    <t>Diane Thériault</t>
  </si>
  <si>
    <t>Manon Clouâtre</t>
  </si>
  <si>
    <t>Manon Bilodeau</t>
  </si>
  <si>
    <t>Lise Royer</t>
  </si>
  <si>
    <t>Cindy Robinson</t>
  </si>
  <si>
    <t>Claudia Larose</t>
  </si>
  <si>
    <t>Gordana Sekerovic</t>
  </si>
  <si>
    <t>Qty Sacs</t>
  </si>
  <si>
    <t>Heures</t>
  </si>
  <si>
    <t>Relâche</t>
  </si>
  <si>
    <t>Matériel</t>
  </si>
  <si>
    <t>Ginette Montembeault</t>
  </si>
  <si>
    <t>Mach.</t>
  </si>
  <si>
    <t>Broches</t>
  </si>
  <si>
    <t>Boites</t>
  </si>
</sst>
</file>

<file path=xl/styles.xml><?xml version="1.0" encoding="utf-8"?>
<styleSheet xmlns="http://schemas.openxmlformats.org/spreadsheetml/2006/main">
  <fonts count="25"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b/>
      <i/>
      <sz val="11"/>
      <color indexed="30"/>
      <name val="Arial"/>
      <family val="2"/>
    </font>
    <font>
      <b/>
      <sz val="11"/>
      <color indexed="17"/>
      <name val="Arial"/>
      <family val="2"/>
    </font>
    <font>
      <b/>
      <sz val="14"/>
      <name val="Arial"/>
      <family val="2"/>
    </font>
    <font>
      <b/>
      <sz val="8"/>
      <color theme="6" tint="0.39997558519241921"/>
      <name val="Arial"/>
      <family val="2"/>
    </font>
    <font>
      <b/>
      <i/>
      <sz val="11"/>
      <color indexed="17"/>
      <name val="Arial"/>
      <family val="2"/>
    </font>
    <font>
      <b/>
      <i/>
      <sz val="12"/>
      <color theme="1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i/>
      <sz val="20"/>
      <color theme="0"/>
      <name val="Arial"/>
      <family val="2"/>
    </font>
    <font>
      <b/>
      <i/>
      <sz val="14"/>
      <color theme="0"/>
      <name val="Arial"/>
      <family val="2"/>
    </font>
    <font>
      <b/>
      <sz val="22"/>
      <name val="Arial"/>
      <family val="2"/>
    </font>
    <font>
      <b/>
      <sz val="2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6" tint="0.39994506668294322"/>
        <bgColor indexed="5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</xf>
    <xf numFmtId="0" fontId="0" fillId="0" borderId="0" xfId="0" applyFont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5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15" fontId="4" fillId="0" borderId="0" xfId="0" applyNumberFormat="1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1" fontId="4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>
      <alignment horizontal="center"/>
    </xf>
    <xf numFmtId="0" fontId="6" fillId="5" borderId="28" xfId="0" applyFont="1" applyFill="1" applyBorder="1" applyAlignment="1" applyProtection="1">
      <alignment horizontal="center"/>
      <protection locked="0"/>
    </xf>
    <xf numFmtId="0" fontId="6" fillId="2" borderId="28" xfId="0" applyNumberFormat="1" applyFont="1" applyFill="1" applyBorder="1" applyAlignment="1" applyProtection="1">
      <alignment horizontal="center"/>
      <protection locked="0"/>
    </xf>
    <xf numFmtId="0" fontId="8" fillId="2" borderId="28" xfId="0" applyNumberFormat="1" applyFont="1" applyFill="1" applyBorder="1" applyAlignment="1" applyProtection="1">
      <alignment horizontal="center"/>
      <protection locked="0"/>
    </xf>
    <xf numFmtId="15" fontId="15" fillId="2" borderId="28" xfId="0" applyNumberFormat="1" applyFont="1" applyFill="1" applyBorder="1" applyAlignment="1" applyProtection="1">
      <alignment horizontal="center"/>
      <protection locked="0"/>
    </xf>
    <xf numFmtId="0" fontId="6" fillId="3" borderId="29" xfId="0" applyNumberFormat="1" applyFont="1" applyFill="1" applyBorder="1" applyAlignment="1" applyProtection="1">
      <alignment horizontal="center"/>
      <protection locked="0"/>
    </xf>
    <xf numFmtId="15" fontId="6" fillId="3" borderId="29" xfId="0" applyNumberFormat="1" applyFont="1" applyFill="1" applyBorder="1" applyAlignment="1" applyProtection="1">
      <alignment horizontal="center"/>
      <protection locked="0"/>
    </xf>
    <xf numFmtId="0" fontId="6" fillId="3" borderId="29" xfId="0" applyFont="1" applyFill="1" applyBorder="1" applyAlignment="1" applyProtection="1">
      <alignment horizontal="center"/>
      <protection locked="0"/>
    </xf>
    <xf numFmtId="0" fontId="6" fillId="3" borderId="29" xfId="0" applyFont="1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11" fillId="0" borderId="8" xfId="0" applyFont="1" applyBorder="1" applyAlignment="1" applyProtection="1">
      <alignment horizontal="center"/>
    </xf>
    <xf numFmtId="2" fontId="11" fillId="0" borderId="8" xfId="0" applyNumberFormat="1" applyFont="1" applyBorder="1" applyAlignment="1" applyProtection="1">
      <alignment horizontal="center"/>
    </xf>
    <xf numFmtId="2" fontId="12" fillId="8" borderId="8" xfId="0" applyNumberFormat="1" applyFont="1" applyFill="1" applyBorder="1" applyAlignment="1" applyProtection="1">
      <alignment horizontal="center"/>
    </xf>
    <xf numFmtId="2" fontId="16" fillId="0" borderId="8" xfId="0" applyNumberFormat="1" applyFont="1" applyBorder="1" applyAlignment="1" applyProtection="1">
      <alignment horizontal="center"/>
    </xf>
    <xf numFmtId="0" fontId="11" fillId="0" borderId="5" xfId="0" applyFont="1" applyBorder="1" applyAlignment="1" applyProtection="1">
      <alignment horizontal="center"/>
    </xf>
    <xf numFmtId="2" fontId="11" fillId="0" borderId="5" xfId="0" applyNumberFormat="1" applyFont="1" applyBorder="1" applyAlignment="1" applyProtection="1">
      <alignment horizontal="center"/>
    </xf>
    <xf numFmtId="2" fontId="12" fillId="8" borderId="5" xfId="0" applyNumberFormat="1" applyFont="1" applyFill="1" applyBorder="1" applyAlignment="1" applyProtection="1">
      <alignment horizontal="center"/>
    </xf>
    <xf numFmtId="2" fontId="16" fillId="0" borderId="5" xfId="0" applyNumberFormat="1" applyFon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2" fontId="11" fillId="0" borderId="6" xfId="0" applyNumberFormat="1" applyFont="1" applyBorder="1" applyAlignment="1" applyProtection="1">
      <alignment horizontal="center"/>
    </xf>
    <xf numFmtId="2" fontId="12" fillId="8" borderId="6" xfId="0" applyNumberFormat="1" applyFont="1" applyFill="1" applyBorder="1" applyAlignment="1" applyProtection="1">
      <alignment horizontal="center"/>
    </xf>
    <xf numFmtId="2" fontId="16" fillId="0" borderId="6" xfId="0" applyNumberFormat="1" applyFont="1" applyBorder="1" applyAlignment="1" applyProtection="1">
      <alignment horizontal="center"/>
    </xf>
    <xf numFmtId="0" fontId="10" fillId="0" borderId="0" xfId="0" applyFont="1" applyProtection="1"/>
    <xf numFmtId="0" fontId="5" fillId="13" borderId="3" xfId="0" applyFont="1" applyFill="1" applyBorder="1" applyAlignment="1" applyProtection="1">
      <alignment horizontal="center"/>
    </xf>
    <xf numFmtId="0" fontId="5" fillId="0" borderId="0" xfId="0" applyFont="1" applyProtection="1"/>
    <xf numFmtId="2" fontId="17" fillId="9" borderId="3" xfId="0" applyNumberFormat="1" applyFont="1" applyFill="1" applyBorder="1" applyAlignment="1" applyProtection="1">
      <alignment horizontal="center"/>
    </xf>
    <xf numFmtId="2" fontId="13" fillId="0" borderId="8" xfId="0" applyNumberFormat="1" applyFont="1" applyBorder="1" applyAlignment="1" applyProtection="1">
      <alignment horizontal="center"/>
    </xf>
    <xf numFmtId="2" fontId="13" fillId="0" borderId="5" xfId="0" applyNumberFormat="1" applyFont="1" applyBorder="1" applyAlignment="1" applyProtection="1">
      <alignment horizontal="center"/>
    </xf>
    <xf numFmtId="2" fontId="13" fillId="0" borderId="6" xfId="0" applyNumberFormat="1" applyFont="1" applyBorder="1" applyAlignment="1" applyProtection="1">
      <alignment horizontal="center"/>
    </xf>
    <xf numFmtId="0" fontId="5" fillId="14" borderId="3" xfId="0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8" fillId="7" borderId="4" xfId="0" applyFont="1" applyFill="1" applyBorder="1" applyAlignment="1" applyProtection="1">
      <alignment horizontal="center"/>
    </xf>
    <xf numFmtId="0" fontId="18" fillId="7" borderId="5" xfId="0" applyFont="1" applyFill="1" applyBorder="1" applyAlignment="1" applyProtection="1">
      <alignment horizontal="center"/>
    </xf>
    <xf numFmtId="0" fontId="18" fillId="7" borderId="6" xfId="0" applyFont="1" applyFill="1" applyBorder="1" applyAlignment="1" applyProtection="1">
      <alignment horizontal="center"/>
    </xf>
    <xf numFmtId="0" fontId="19" fillId="0" borderId="0" xfId="0" applyFont="1" applyProtection="1"/>
    <xf numFmtId="0" fontId="19" fillId="13" borderId="3" xfId="0" applyFont="1" applyFill="1" applyBorder="1" applyAlignment="1" applyProtection="1">
      <alignment horizontal="center"/>
    </xf>
    <xf numFmtId="0" fontId="19" fillId="14" borderId="3" xfId="0" applyFont="1" applyFill="1" applyBorder="1" applyAlignment="1" applyProtection="1">
      <alignment horizontal="center"/>
    </xf>
    <xf numFmtId="0" fontId="7" fillId="0" borderId="0" xfId="0" applyFont="1"/>
    <xf numFmtId="0" fontId="2" fillId="7" borderId="19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0" fontId="2" fillId="0" borderId="0" xfId="0" applyFont="1"/>
    <xf numFmtId="0" fontId="2" fillId="10" borderId="18" xfId="0" applyFont="1" applyFill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0" fillId="0" borderId="0" xfId="0" applyProtection="1">
      <protection locked="0"/>
    </xf>
    <xf numFmtId="0" fontId="10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/>
    </xf>
    <xf numFmtId="1" fontId="3" fillId="0" borderId="1" xfId="0" applyNumberFormat="1" applyFont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/>
    </xf>
    <xf numFmtId="0" fontId="6" fillId="2" borderId="30" xfId="0" applyFont="1" applyFill="1" applyBorder="1" applyAlignment="1" applyProtection="1">
      <protection locked="0"/>
    </xf>
    <xf numFmtId="0" fontId="6" fillId="2" borderId="28" xfId="0" applyFont="1" applyFill="1" applyBorder="1" applyAlignment="1" applyProtection="1">
      <alignment horizontal="center"/>
    </xf>
    <xf numFmtId="0" fontId="6" fillId="2" borderId="28" xfId="0" applyFont="1" applyFill="1" applyBorder="1" applyAlignment="1" applyProtection="1">
      <alignment horizontal="center"/>
      <protection locked="0"/>
    </xf>
    <xf numFmtId="0" fontId="5" fillId="0" borderId="31" xfId="0" applyFont="1" applyBorder="1" applyAlignment="1" applyProtection="1">
      <alignment horizontal="center"/>
      <protection locked="0"/>
    </xf>
    <xf numFmtId="0" fontId="5" fillId="0" borderId="31" xfId="0" applyNumberFormat="1" applyFont="1" applyBorder="1" applyAlignment="1" applyProtection="1">
      <alignment horizontal="center"/>
      <protection locked="0"/>
    </xf>
    <xf numFmtId="15" fontId="4" fillId="0" borderId="31" xfId="0" applyNumberFormat="1" applyFont="1" applyBorder="1" applyAlignment="1" applyProtection="1">
      <alignment horizontal="center"/>
      <protection locked="0"/>
    </xf>
    <xf numFmtId="0" fontId="4" fillId="0" borderId="31" xfId="0" applyFont="1" applyBorder="1" applyAlignment="1" applyProtection="1">
      <alignment horizontal="center"/>
      <protection locked="0"/>
    </xf>
    <xf numFmtId="0" fontId="9" fillId="0" borderId="31" xfId="0" applyFont="1" applyBorder="1" applyAlignment="1" applyProtection="1">
      <alignment horizontal="center"/>
      <protection locked="0"/>
    </xf>
    <xf numFmtId="0" fontId="8" fillId="0" borderId="31" xfId="0" applyFont="1" applyBorder="1" applyAlignment="1" applyProtection="1">
      <alignment horizontal="center"/>
      <protection locked="0"/>
    </xf>
    <xf numFmtId="0" fontId="4" fillId="0" borderId="31" xfId="0" applyFont="1" applyBorder="1" applyAlignment="1">
      <alignment horizontal="center"/>
    </xf>
    <xf numFmtId="0" fontId="4" fillId="0" borderId="31" xfId="0" applyFont="1" applyBorder="1" applyProtection="1">
      <protection locked="0"/>
    </xf>
    <xf numFmtId="0" fontId="5" fillId="15" borderId="31" xfId="0" applyFont="1" applyFill="1" applyBorder="1" applyAlignment="1" applyProtection="1">
      <alignment horizontal="center"/>
      <protection locked="0"/>
    </xf>
    <xf numFmtId="0" fontId="5" fillId="15" borderId="31" xfId="0" applyNumberFormat="1" applyFont="1" applyFill="1" applyBorder="1" applyAlignment="1" applyProtection="1">
      <alignment horizontal="center"/>
      <protection locked="0"/>
    </xf>
    <xf numFmtId="15" fontId="4" fillId="15" borderId="31" xfId="0" applyNumberFormat="1" applyFont="1" applyFill="1" applyBorder="1" applyAlignment="1" applyProtection="1">
      <alignment horizontal="center"/>
      <protection locked="0"/>
    </xf>
    <xf numFmtId="0" fontId="4" fillId="15" borderId="31" xfId="0" applyFont="1" applyFill="1" applyBorder="1" applyAlignment="1" applyProtection="1">
      <alignment horizontal="center"/>
      <protection locked="0"/>
    </xf>
    <xf numFmtId="0" fontId="9" fillId="15" borderId="31" xfId="0" applyFont="1" applyFill="1" applyBorder="1" applyAlignment="1" applyProtection="1">
      <alignment horizontal="center"/>
      <protection locked="0"/>
    </xf>
    <xf numFmtId="0" fontId="8" fillId="15" borderId="31" xfId="0" applyFont="1" applyFill="1" applyBorder="1" applyAlignment="1" applyProtection="1">
      <alignment horizontal="center"/>
      <protection locked="0"/>
    </xf>
    <xf numFmtId="0" fontId="4" fillId="15" borderId="31" xfId="0" applyFont="1" applyFill="1" applyBorder="1" applyAlignment="1">
      <alignment horizontal="center"/>
    </xf>
    <xf numFmtId="0" fontId="21" fillId="15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2" xfId="0" applyFont="1" applyBorder="1" applyAlignment="1">
      <alignment horizontal="center"/>
    </xf>
    <xf numFmtId="0" fontId="4" fillId="15" borderId="32" xfId="0" applyFont="1" applyFill="1" applyBorder="1" applyAlignment="1">
      <alignment horizontal="center"/>
    </xf>
    <xf numFmtId="16" fontId="4" fillId="0" borderId="31" xfId="0" applyNumberFormat="1" applyFont="1" applyBorder="1" applyAlignment="1" applyProtection="1">
      <alignment horizontal="center"/>
      <protection locked="0"/>
    </xf>
    <xf numFmtId="16" fontId="6" fillId="2" borderId="30" xfId="0" applyNumberFormat="1" applyFont="1" applyFill="1" applyBorder="1" applyAlignment="1" applyProtection="1">
      <alignment horizontal="center"/>
      <protection locked="0"/>
    </xf>
    <xf numFmtId="16" fontId="6" fillId="3" borderId="29" xfId="0" applyNumberFormat="1" applyFont="1" applyFill="1" applyBorder="1" applyAlignment="1" applyProtection="1">
      <alignment horizontal="center"/>
      <protection locked="0"/>
    </xf>
    <xf numFmtId="16" fontId="5" fillId="0" borderId="0" xfId="0" applyNumberFormat="1" applyFont="1" applyBorder="1" applyAlignment="1" applyProtection="1">
      <alignment horizontal="center"/>
      <protection locked="0"/>
    </xf>
    <xf numFmtId="16" fontId="4" fillId="0" borderId="0" xfId="0" applyNumberFormat="1" applyFont="1" applyBorder="1" applyAlignment="1" applyProtection="1">
      <alignment horizontal="center"/>
      <protection locked="0"/>
    </xf>
    <xf numFmtId="16" fontId="4" fillId="15" borderId="31" xfId="0" applyNumberFormat="1" applyFont="1" applyFill="1" applyBorder="1" applyAlignment="1" applyProtection="1">
      <alignment horizontal="center"/>
      <protection locked="0"/>
    </xf>
    <xf numFmtId="1" fontId="22" fillId="15" borderId="31" xfId="0" applyNumberFormat="1" applyFont="1" applyFill="1" applyBorder="1" applyAlignment="1" applyProtection="1">
      <alignment horizontal="center"/>
      <protection locked="0"/>
    </xf>
    <xf numFmtId="15" fontId="23" fillId="2" borderId="28" xfId="0" applyNumberFormat="1" applyFont="1" applyFill="1" applyBorder="1" applyAlignment="1" applyProtection="1">
      <alignment vertical="center"/>
      <protection locked="0"/>
    </xf>
    <xf numFmtId="15" fontId="24" fillId="2" borderId="28" xfId="0" applyNumberFormat="1" applyFont="1" applyFill="1" applyBorder="1" applyAlignment="1" applyProtection="1">
      <alignment horizontal="center" vertical="center"/>
      <protection locked="0"/>
    </xf>
    <xf numFmtId="0" fontId="6" fillId="6" borderId="33" xfId="0" applyFont="1" applyFill="1" applyBorder="1" applyAlignment="1" applyProtection="1">
      <alignment horizontal="center"/>
      <protection locked="0"/>
    </xf>
    <xf numFmtId="1" fontId="4" fillId="0" borderId="31" xfId="0" applyNumberFormat="1" applyFont="1" applyBorder="1" applyAlignment="1">
      <alignment horizontal="center"/>
    </xf>
    <xf numFmtId="1" fontId="4" fillId="0" borderId="32" xfId="0" applyNumberFormat="1" applyFont="1" applyBorder="1" applyAlignment="1">
      <alignment horizontal="center"/>
    </xf>
    <xf numFmtId="0" fontId="19" fillId="13" borderId="13" xfId="0" applyFont="1" applyFill="1" applyBorder="1" applyAlignment="1" applyProtection="1">
      <alignment horizontal="center" vertical="center"/>
    </xf>
    <xf numFmtId="0" fontId="19" fillId="13" borderId="14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</xf>
    <xf numFmtId="0" fontId="19" fillId="13" borderId="16" xfId="0" applyFont="1" applyFill="1" applyBorder="1" applyAlignment="1" applyProtection="1">
      <alignment horizontal="center" vertical="center"/>
    </xf>
    <xf numFmtId="0" fontId="19" fillId="13" borderId="9" xfId="0" applyFont="1" applyFill="1" applyBorder="1" applyAlignment="1" applyProtection="1">
      <alignment horizontal="center" vertical="center"/>
    </xf>
    <xf numFmtId="0" fontId="19" fillId="13" borderId="17" xfId="0" applyFont="1" applyFill="1" applyBorder="1" applyAlignment="1" applyProtection="1">
      <alignment horizontal="center" vertical="center"/>
    </xf>
    <xf numFmtId="0" fontId="20" fillId="9" borderId="4" xfId="0" applyFont="1" applyFill="1" applyBorder="1" applyAlignment="1" applyProtection="1">
      <alignment horizontal="center" vertical="center" wrapText="1"/>
    </xf>
    <xf numFmtId="0" fontId="20" fillId="9" borderId="5" xfId="0" applyFont="1" applyFill="1" applyBorder="1" applyAlignment="1" applyProtection="1">
      <alignment horizontal="center" vertical="center" wrapText="1"/>
    </xf>
    <xf numFmtId="0" fontId="20" fillId="9" borderId="6" xfId="0" applyFont="1" applyFill="1" applyBorder="1" applyAlignment="1" applyProtection="1">
      <alignment horizontal="center" vertical="center" wrapText="1"/>
    </xf>
    <xf numFmtId="0" fontId="20" fillId="13" borderId="10" xfId="0" applyFont="1" applyFill="1" applyBorder="1" applyAlignment="1" applyProtection="1">
      <alignment horizontal="center" vertical="center" wrapText="1"/>
    </xf>
    <xf numFmtId="0" fontId="20" fillId="13" borderId="11" xfId="0" applyFont="1" applyFill="1" applyBorder="1" applyAlignment="1" applyProtection="1">
      <alignment horizontal="center" vertical="center" wrapText="1"/>
    </xf>
    <xf numFmtId="0" fontId="20" fillId="13" borderId="12" xfId="0" applyFont="1" applyFill="1" applyBorder="1" applyAlignment="1" applyProtection="1">
      <alignment horizontal="center" vertical="center" wrapText="1"/>
    </xf>
    <xf numFmtId="0" fontId="20" fillId="14" borderId="10" xfId="0" applyFont="1" applyFill="1" applyBorder="1" applyAlignment="1" applyProtection="1">
      <alignment horizontal="center" vertical="center" wrapText="1"/>
    </xf>
    <xf numFmtId="0" fontId="20" fillId="14" borderId="11" xfId="0" applyFont="1" applyFill="1" applyBorder="1" applyAlignment="1" applyProtection="1">
      <alignment horizontal="center" vertical="center" wrapText="1"/>
    </xf>
    <xf numFmtId="0" fontId="20" fillId="14" borderId="12" xfId="0" applyFont="1" applyFill="1" applyBorder="1" applyAlignment="1" applyProtection="1">
      <alignment horizontal="center" vertical="center" wrapText="1"/>
    </xf>
    <xf numFmtId="0" fontId="19" fillId="14" borderId="13" xfId="0" applyFont="1" applyFill="1" applyBorder="1" applyAlignment="1" applyProtection="1">
      <alignment horizontal="center" vertical="center" wrapText="1"/>
    </xf>
    <xf numFmtId="0" fontId="19" fillId="14" borderId="14" xfId="0" applyFont="1" applyFill="1" applyBorder="1" applyAlignment="1" applyProtection="1">
      <alignment horizontal="center" vertical="center" wrapText="1"/>
    </xf>
    <xf numFmtId="0" fontId="19" fillId="14" borderId="15" xfId="0" applyFont="1" applyFill="1" applyBorder="1" applyAlignment="1" applyProtection="1">
      <alignment horizontal="center" vertical="center" wrapText="1"/>
    </xf>
    <xf numFmtId="0" fontId="19" fillId="14" borderId="16" xfId="0" applyFont="1" applyFill="1" applyBorder="1" applyAlignment="1" applyProtection="1">
      <alignment horizontal="center" vertical="center" wrapText="1"/>
    </xf>
    <xf numFmtId="0" fontId="19" fillId="14" borderId="9" xfId="0" applyFont="1" applyFill="1" applyBorder="1" applyAlignment="1" applyProtection="1">
      <alignment horizontal="center" vertical="center" wrapText="1"/>
    </xf>
    <xf numFmtId="0" fontId="19" fillId="14" borderId="17" xfId="0" applyFont="1" applyFill="1" applyBorder="1" applyAlignment="1" applyProtection="1">
      <alignment horizontal="center" vertical="center" wrapText="1"/>
    </xf>
    <xf numFmtId="0" fontId="14" fillId="11" borderId="25" xfId="0" applyFont="1" applyFill="1" applyBorder="1" applyAlignment="1">
      <alignment horizontal="center"/>
    </xf>
    <xf numFmtId="0" fontId="14" fillId="11" borderId="26" xfId="0" applyFont="1" applyFill="1" applyBorder="1" applyAlignment="1">
      <alignment horizontal="center"/>
    </xf>
    <xf numFmtId="0" fontId="14" fillId="11" borderId="27" xfId="0" applyFont="1" applyFill="1" applyBorder="1" applyAlignment="1">
      <alignment horizontal="center"/>
    </xf>
    <xf numFmtId="0" fontId="8" fillId="7" borderId="18" xfId="0" applyFont="1" applyFill="1" applyBorder="1" applyAlignment="1" applyProtection="1">
      <alignment horizontal="center" vertical="center" wrapText="1"/>
      <protection locked="0"/>
    </xf>
    <xf numFmtId="0" fontId="14" fillId="12" borderId="25" xfId="0" applyFont="1" applyFill="1" applyBorder="1" applyAlignment="1">
      <alignment horizontal="center"/>
    </xf>
    <xf numFmtId="0" fontId="14" fillId="12" borderId="26" xfId="0" applyFont="1" applyFill="1" applyBorder="1" applyAlignment="1">
      <alignment horizontal="center"/>
    </xf>
    <xf numFmtId="0" fontId="14" fillId="12" borderId="27" xfId="0" applyFont="1" applyFill="1" applyBorder="1" applyAlignment="1">
      <alignment horizontal="center"/>
    </xf>
  </cellXfs>
  <cellStyles count="1">
    <cellStyle name="Normal" xfId="0" builtinId="0"/>
  </cellStyles>
  <dxfs count="795">
    <dxf>
      <font>
        <color theme="2" tint="-0.24994659260841701"/>
      </font>
    </dxf>
    <dxf>
      <font>
        <color theme="2" tint="-0.24994659260841701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</dxfs>
  <tableStyles count="0" defaultTableStyle="TableStyleMedium9" defaultPivotStyle="PivotStyleLight16"/>
  <colors>
    <mruColors>
      <color rgb="FF0000FF"/>
      <color rgb="FFFF0000"/>
      <color rgb="FF00FF00"/>
      <color rgb="FF62F42E"/>
      <color rgb="FFF76977"/>
      <color rgb="FFF4384A"/>
      <color rgb="FF99FF66"/>
      <color rgb="FFCCCCFF"/>
      <color rgb="FFFFFF66"/>
      <color rgb="FFFF99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8" tint="-0.249977111117893"/>
  </sheetPr>
  <dimension ref="A1:Q854309"/>
  <sheetViews>
    <sheetView showZeros="0" tabSelected="1" zoomScale="59" zoomScaleNormal="59" workbookViewId="0">
      <pane ySplit="2" topLeftCell="A3" activePane="bottomLeft" state="frozen"/>
      <selection activeCell="H1" sqref="H1:H1048576"/>
      <selection pane="bottomLeft" activeCell="B18" sqref="B18"/>
    </sheetView>
  </sheetViews>
  <sheetFormatPr baseColWidth="10" defaultColWidth="11.5546875" defaultRowHeight="20.100000000000001" customHeight="1"/>
  <cols>
    <col min="1" max="2" width="8.5546875" style="10" customWidth="1"/>
    <col min="3" max="3" width="10.33203125" style="17" customWidth="1"/>
    <col min="4" max="4" width="25.6640625" style="11" customWidth="1"/>
    <col min="5" max="5" width="7.6640625" style="11" customWidth="1"/>
    <col min="6" max="6" width="11.88671875" style="12" customWidth="1"/>
    <col min="7" max="7" width="11.88671875" style="99" customWidth="1"/>
    <col min="8" max="8" width="10.6640625" style="11" customWidth="1"/>
    <col min="9" max="9" width="11.88671875" style="99" customWidth="1"/>
    <col min="10" max="10" width="19.33203125" style="13" customWidth="1"/>
    <col min="11" max="11" width="8.6640625" style="11" customWidth="1"/>
    <col min="12" max="13" width="8.6640625" style="14" customWidth="1"/>
    <col min="14" max="17" width="10.6640625" style="18" customWidth="1"/>
    <col min="18" max="16384" width="11.5546875" style="16"/>
  </cols>
  <sheetData>
    <row r="1" spans="1:17" ht="20.100000000000001" customHeight="1" thickTop="1">
      <c r="A1" s="76" t="s">
        <v>146</v>
      </c>
      <c r="B1" s="20"/>
      <c r="C1" s="22">
        <f ca="1">TODAY()</f>
        <v>43090</v>
      </c>
      <c r="D1" s="102"/>
      <c r="E1" s="20"/>
      <c r="F1" s="74" t="s">
        <v>141</v>
      </c>
      <c r="G1" s="96" t="s">
        <v>0</v>
      </c>
      <c r="H1" s="76" t="s">
        <v>2</v>
      </c>
      <c r="I1" s="96" t="s">
        <v>0</v>
      </c>
      <c r="J1" s="21"/>
      <c r="K1" s="20"/>
      <c r="L1" s="20"/>
      <c r="M1" s="20"/>
      <c r="N1" s="75" t="s">
        <v>17</v>
      </c>
      <c r="O1" s="75" t="s">
        <v>17</v>
      </c>
      <c r="P1" s="19" t="s">
        <v>34</v>
      </c>
      <c r="Q1" s="19" t="s">
        <v>34</v>
      </c>
    </row>
    <row r="2" spans="1:17" ht="20.100000000000001" customHeight="1">
      <c r="A2" s="25" t="s">
        <v>5</v>
      </c>
      <c r="B2" s="23" t="s">
        <v>1</v>
      </c>
      <c r="C2" s="23" t="s">
        <v>4</v>
      </c>
      <c r="D2" s="23" t="s">
        <v>6</v>
      </c>
      <c r="E2" s="23" t="s">
        <v>3</v>
      </c>
      <c r="F2" s="24" t="s">
        <v>142</v>
      </c>
      <c r="G2" s="97" t="s">
        <v>143</v>
      </c>
      <c r="H2" s="25" t="s">
        <v>7</v>
      </c>
      <c r="I2" s="97" t="s">
        <v>8</v>
      </c>
      <c r="J2" s="23" t="s">
        <v>12</v>
      </c>
      <c r="K2" s="23" t="s">
        <v>144</v>
      </c>
      <c r="L2" s="23" t="s">
        <v>9</v>
      </c>
      <c r="M2" s="23" t="s">
        <v>10</v>
      </c>
      <c r="N2" s="26" t="s">
        <v>11</v>
      </c>
      <c r="O2" s="26" t="s">
        <v>10</v>
      </c>
      <c r="P2" s="104" t="s">
        <v>147</v>
      </c>
      <c r="Q2" s="104" t="s">
        <v>148</v>
      </c>
    </row>
    <row r="3" spans="1:17" s="84" customFormat="1" ht="20.100000000000001" customHeight="1">
      <c r="A3" s="78">
        <v>52</v>
      </c>
      <c r="B3" s="78" t="s">
        <v>93</v>
      </c>
      <c r="C3" s="77">
        <v>10001</v>
      </c>
      <c r="D3" s="80"/>
      <c r="E3" s="80" t="s">
        <v>37</v>
      </c>
      <c r="F3" s="79"/>
      <c r="G3" s="95">
        <v>42384</v>
      </c>
      <c r="H3" s="80">
        <v>125</v>
      </c>
      <c r="I3" s="95">
        <v>42356</v>
      </c>
      <c r="J3" s="81" t="s">
        <v>127</v>
      </c>
      <c r="K3" s="80">
        <v>110</v>
      </c>
      <c r="L3" s="82">
        <v>6</v>
      </c>
      <c r="M3" s="82" t="s">
        <v>21</v>
      </c>
      <c r="N3" s="83">
        <v>250</v>
      </c>
      <c r="O3" s="83">
        <v>1250</v>
      </c>
      <c r="P3" s="105">
        <f t="shared" ref="P3:P34" si="0">(H3*1000)/N3</f>
        <v>500</v>
      </c>
      <c r="Q3" s="106">
        <f t="shared" ref="Q3:Q34" si="1">(H3*1000)/O3</f>
        <v>100</v>
      </c>
    </row>
    <row r="4" spans="1:17" s="84" customFormat="1" ht="20.100000000000001" customHeight="1">
      <c r="A4" s="78">
        <v>62</v>
      </c>
      <c r="B4" s="78" t="s">
        <v>93</v>
      </c>
      <c r="C4" s="77">
        <v>10201</v>
      </c>
      <c r="D4" s="80"/>
      <c r="E4" s="80" t="s">
        <v>37</v>
      </c>
      <c r="F4" s="79"/>
      <c r="G4" s="95">
        <v>42587</v>
      </c>
      <c r="H4" s="80">
        <v>50</v>
      </c>
      <c r="I4" s="95">
        <v>42356</v>
      </c>
      <c r="J4" s="81" t="s">
        <v>127</v>
      </c>
      <c r="K4" s="80">
        <v>110</v>
      </c>
      <c r="L4" s="82">
        <v>6</v>
      </c>
      <c r="M4" s="82" t="s">
        <v>21</v>
      </c>
      <c r="N4" s="83">
        <v>250</v>
      </c>
      <c r="O4" s="83">
        <v>1250</v>
      </c>
      <c r="P4" s="105">
        <f t="shared" si="0"/>
        <v>200</v>
      </c>
      <c r="Q4" s="106">
        <f t="shared" si="1"/>
        <v>40</v>
      </c>
    </row>
    <row r="5" spans="1:17" s="84" customFormat="1" ht="20.100000000000001" customHeight="1">
      <c r="A5" s="78">
        <v>52</v>
      </c>
      <c r="B5" s="78" t="s">
        <v>93</v>
      </c>
      <c r="C5" s="77">
        <v>10220</v>
      </c>
      <c r="D5" s="80"/>
      <c r="E5" s="80" t="s">
        <v>37</v>
      </c>
      <c r="F5" s="79"/>
      <c r="G5" s="95">
        <v>42438</v>
      </c>
      <c r="H5" s="80">
        <v>100</v>
      </c>
      <c r="I5" s="95">
        <v>42356</v>
      </c>
      <c r="J5" s="81" t="s">
        <v>127</v>
      </c>
      <c r="K5" s="80">
        <v>110</v>
      </c>
      <c r="L5" s="82">
        <v>6</v>
      </c>
      <c r="M5" s="82" t="s">
        <v>21</v>
      </c>
      <c r="N5" s="83">
        <v>250</v>
      </c>
      <c r="O5" s="83">
        <v>1250</v>
      </c>
      <c r="P5" s="105">
        <f t="shared" si="0"/>
        <v>400</v>
      </c>
      <c r="Q5" s="106">
        <f t="shared" si="1"/>
        <v>80</v>
      </c>
    </row>
    <row r="6" spans="1:17" s="84" customFormat="1" ht="20.100000000000001" customHeight="1">
      <c r="A6" s="78">
        <v>52</v>
      </c>
      <c r="B6" s="78" t="s">
        <v>93</v>
      </c>
      <c r="C6" s="77">
        <v>11111</v>
      </c>
      <c r="D6" s="80"/>
      <c r="E6" s="80" t="s">
        <v>37</v>
      </c>
      <c r="F6" s="79"/>
      <c r="G6" s="95">
        <v>42515</v>
      </c>
      <c r="H6" s="80">
        <v>300</v>
      </c>
      <c r="I6" s="95">
        <v>42356</v>
      </c>
      <c r="J6" s="81" t="s">
        <v>127</v>
      </c>
      <c r="K6" s="80">
        <v>110</v>
      </c>
      <c r="L6" s="82">
        <v>6</v>
      </c>
      <c r="M6" s="82" t="s">
        <v>21</v>
      </c>
      <c r="N6" s="83">
        <v>250</v>
      </c>
      <c r="O6" s="83">
        <v>1250</v>
      </c>
      <c r="P6" s="105">
        <f t="shared" si="0"/>
        <v>1200</v>
      </c>
      <c r="Q6" s="106">
        <f t="shared" si="1"/>
        <v>240</v>
      </c>
    </row>
    <row r="7" spans="1:17" s="84" customFormat="1" ht="20.100000000000001" customHeight="1">
      <c r="A7" s="78">
        <v>51</v>
      </c>
      <c r="B7" s="78" t="s">
        <v>93</v>
      </c>
      <c r="C7" s="77">
        <v>11561</v>
      </c>
      <c r="D7" s="80"/>
      <c r="E7" s="80" t="s">
        <v>37</v>
      </c>
      <c r="F7" s="79"/>
      <c r="G7" s="95">
        <v>42401</v>
      </c>
      <c r="H7" s="80">
        <v>30</v>
      </c>
      <c r="I7" s="95">
        <v>42356</v>
      </c>
      <c r="J7" s="81" t="s">
        <v>127</v>
      </c>
      <c r="K7" s="80">
        <v>110</v>
      </c>
      <c r="L7" s="82">
        <v>6</v>
      </c>
      <c r="M7" s="82" t="s">
        <v>21</v>
      </c>
      <c r="N7" s="83">
        <v>250</v>
      </c>
      <c r="O7" s="83">
        <v>1250</v>
      </c>
      <c r="P7" s="105">
        <f t="shared" si="0"/>
        <v>120</v>
      </c>
      <c r="Q7" s="106">
        <f t="shared" si="1"/>
        <v>24</v>
      </c>
    </row>
    <row r="8" spans="1:17" s="84" customFormat="1" ht="20.100000000000001" customHeight="1">
      <c r="A8" s="78">
        <v>51</v>
      </c>
      <c r="B8" s="78" t="s">
        <v>93</v>
      </c>
      <c r="C8" s="77">
        <v>12222</v>
      </c>
      <c r="D8" s="80"/>
      <c r="E8" s="80" t="s">
        <v>37</v>
      </c>
      <c r="F8" s="79"/>
      <c r="G8" s="95">
        <v>42587</v>
      </c>
      <c r="H8" s="80">
        <v>15</v>
      </c>
      <c r="I8" s="95">
        <v>42356</v>
      </c>
      <c r="J8" s="81" t="s">
        <v>127</v>
      </c>
      <c r="K8" s="80">
        <v>110</v>
      </c>
      <c r="L8" s="82">
        <v>6</v>
      </c>
      <c r="M8" s="82" t="s">
        <v>21</v>
      </c>
      <c r="N8" s="83">
        <v>250</v>
      </c>
      <c r="O8" s="83">
        <v>1250</v>
      </c>
      <c r="P8" s="105">
        <f t="shared" si="0"/>
        <v>60</v>
      </c>
      <c r="Q8" s="106">
        <f t="shared" si="1"/>
        <v>12</v>
      </c>
    </row>
    <row r="9" spans="1:17" s="84" customFormat="1" ht="20.100000000000001" customHeight="1">
      <c r="A9" s="78">
        <v>51</v>
      </c>
      <c r="B9" s="78" t="s">
        <v>93</v>
      </c>
      <c r="C9" s="77">
        <v>12526</v>
      </c>
      <c r="D9" s="80"/>
      <c r="E9" s="80" t="s">
        <v>37</v>
      </c>
      <c r="F9" s="79"/>
      <c r="G9" s="95">
        <v>42374</v>
      </c>
      <c r="H9" s="80">
        <v>1000</v>
      </c>
      <c r="I9" s="95">
        <v>42356</v>
      </c>
      <c r="J9" s="81" t="s">
        <v>127</v>
      </c>
      <c r="K9" s="80">
        <v>110</v>
      </c>
      <c r="L9" s="82">
        <v>6</v>
      </c>
      <c r="M9" s="82" t="s">
        <v>21</v>
      </c>
      <c r="N9" s="83">
        <v>250</v>
      </c>
      <c r="O9" s="83">
        <v>1250</v>
      </c>
      <c r="P9" s="105">
        <f t="shared" si="0"/>
        <v>4000</v>
      </c>
      <c r="Q9" s="106">
        <f t="shared" si="1"/>
        <v>800</v>
      </c>
    </row>
    <row r="10" spans="1:17" s="84" customFormat="1" ht="20.100000000000001" customHeight="1">
      <c r="A10" s="78">
        <v>51</v>
      </c>
      <c r="B10" s="78" t="s">
        <v>93</v>
      </c>
      <c r="C10" s="77">
        <v>15555</v>
      </c>
      <c r="D10" s="80"/>
      <c r="E10" s="80" t="s">
        <v>37</v>
      </c>
      <c r="F10" s="79"/>
      <c r="G10" s="95">
        <v>42413</v>
      </c>
      <c r="H10" s="80">
        <v>25</v>
      </c>
      <c r="I10" s="95">
        <v>42356</v>
      </c>
      <c r="J10" s="81" t="s">
        <v>127</v>
      </c>
      <c r="K10" s="80">
        <v>110</v>
      </c>
      <c r="L10" s="82">
        <v>6</v>
      </c>
      <c r="M10" s="82" t="s">
        <v>21</v>
      </c>
      <c r="N10" s="83">
        <v>250</v>
      </c>
      <c r="O10" s="83">
        <v>1250</v>
      </c>
      <c r="P10" s="105">
        <f t="shared" si="0"/>
        <v>100</v>
      </c>
      <c r="Q10" s="106">
        <f t="shared" si="1"/>
        <v>20</v>
      </c>
    </row>
    <row r="11" spans="1:17" s="84" customFormat="1" ht="20.100000000000001" customHeight="1">
      <c r="A11" s="78">
        <v>51</v>
      </c>
      <c r="B11" s="78" t="s">
        <v>93</v>
      </c>
      <c r="C11" s="77">
        <v>18865</v>
      </c>
      <c r="D11" s="80"/>
      <c r="E11" s="80" t="s">
        <v>37</v>
      </c>
      <c r="F11" s="79"/>
      <c r="G11" s="95">
        <v>42419</v>
      </c>
      <c r="H11" s="80">
        <v>50</v>
      </c>
      <c r="I11" s="95">
        <v>42356</v>
      </c>
      <c r="J11" s="81" t="s">
        <v>127</v>
      </c>
      <c r="K11" s="80">
        <v>110</v>
      </c>
      <c r="L11" s="82">
        <v>6</v>
      </c>
      <c r="M11" s="82" t="s">
        <v>21</v>
      </c>
      <c r="N11" s="83">
        <v>250</v>
      </c>
      <c r="O11" s="83">
        <v>1250</v>
      </c>
      <c r="P11" s="105">
        <f t="shared" si="0"/>
        <v>200</v>
      </c>
      <c r="Q11" s="106">
        <f t="shared" si="1"/>
        <v>40</v>
      </c>
    </row>
    <row r="12" spans="1:17" s="84" customFormat="1" ht="20.100000000000001" customHeight="1">
      <c r="A12" s="78">
        <v>55</v>
      </c>
      <c r="B12" s="78" t="s">
        <v>93</v>
      </c>
      <c r="C12" s="77">
        <v>34561</v>
      </c>
      <c r="D12" s="80"/>
      <c r="E12" s="80" t="s">
        <v>37</v>
      </c>
      <c r="F12" s="79"/>
      <c r="G12" s="95">
        <v>42587</v>
      </c>
      <c r="H12" s="80">
        <v>100</v>
      </c>
      <c r="I12" s="95">
        <v>42356</v>
      </c>
      <c r="J12" s="81" t="s">
        <v>127</v>
      </c>
      <c r="K12" s="80">
        <v>110</v>
      </c>
      <c r="L12" s="82">
        <v>6</v>
      </c>
      <c r="M12" s="82" t="s">
        <v>21</v>
      </c>
      <c r="N12" s="83">
        <v>250</v>
      </c>
      <c r="O12" s="83">
        <v>1250</v>
      </c>
      <c r="P12" s="105">
        <f t="shared" si="0"/>
        <v>400</v>
      </c>
      <c r="Q12" s="106">
        <f t="shared" si="1"/>
        <v>80</v>
      </c>
    </row>
    <row r="13" spans="1:17" s="84" customFormat="1" ht="20.100000000000001" customHeight="1">
      <c r="A13" s="78">
        <v>51</v>
      </c>
      <c r="B13" s="78" t="s">
        <v>93</v>
      </c>
      <c r="C13" s="77">
        <v>35333</v>
      </c>
      <c r="D13" s="80"/>
      <c r="E13" s="80" t="s">
        <v>37</v>
      </c>
      <c r="F13" s="79"/>
      <c r="G13" s="95">
        <v>42587</v>
      </c>
      <c r="H13" s="80">
        <v>150</v>
      </c>
      <c r="I13" s="95">
        <v>42356</v>
      </c>
      <c r="J13" s="81" t="s">
        <v>127</v>
      </c>
      <c r="K13" s="80">
        <v>110</v>
      </c>
      <c r="L13" s="82">
        <v>6</v>
      </c>
      <c r="M13" s="82" t="s">
        <v>21</v>
      </c>
      <c r="N13" s="83">
        <v>250</v>
      </c>
      <c r="O13" s="83">
        <v>1250</v>
      </c>
      <c r="P13" s="105">
        <f t="shared" si="0"/>
        <v>600</v>
      </c>
      <c r="Q13" s="106">
        <f t="shared" si="1"/>
        <v>120</v>
      </c>
    </row>
    <row r="14" spans="1:17" s="84" customFormat="1" ht="20.100000000000001" customHeight="1">
      <c r="A14" s="78">
        <v>55</v>
      </c>
      <c r="B14" s="78" t="s">
        <v>93</v>
      </c>
      <c r="C14" s="77">
        <v>40140</v>
      </c>
      <c r="D14" s="80"/>
      <c r="E14" s="80" t="s">
        <v>37</v>
      </c>
      <c r="F14" s="79"/>
      <c r="G14" s="95">
        <v>42589</v>
      </c>
      <c r="H14" s="80">
        <v>250</v>
      </c>
      <c r="I14" s="95">
        <v>42356</v>
      </c>
      <c r="J14" s="81" t="s">
        <v>127</v>
      </c>
      <c r="K14" s="80">
        <v>110</v>
      </c>
      <c r="L14" s="82">
        <v>6</v>
      </c>
      <c r="M14" s="82" t="s">
        <v>21</v>
      </c>
      <c r="N14" s="83">
        <v>250</v>
      </c>
      <c r="O14" s="83">
        <v>1250</v>
      </c>
      <c r="P14" s="105">
        <f t="shared" si="0"/>
        <v>1000</v>
      </c>
      <c r="Q14" s="106">
        <f t="shared" si="1"/>
        <v>200</v>
      </c>
    </row>
    <row r="15" spans="1:17" s="84" customFormat="1" ht="20.100000000000001" customHeight="1">
      <c r="A15" s="78">
        <v>56</v>
      </c>
      <c r="B15" s="78" t="s">
        <v>93</v>
      </c>
      <c r="C15" s="77">
        <v>40143</v>
      </c>
      <c r="D15" s="80"/>
      <c r="E15" s="80" t="s">
        <v>37</v>
      </c>
      <c r="F15" s="79"/>
      <c r="G15" s="95">
        <v>42587</v>
      </c>
      <c r="H15" s="80">
        <v>15</v>
      </c>
      <c r="I15" s="95">
        <v>42356</v>
      </c>
      <c r="J15" s="81" t="s">
        <v>127</v>
      </c>
      <c r="K15" s="80">
        <v>110</v>
      </c>
      <c r="L15" s="82">
        <v>6</v>
      </c>
      <c r="M15" s="82" t="s">
        <v>21</v>
      </c>
      <c r="N15" s="83">
        <v>250</v>
      </c>
      <c r="O15" s="83">
        <v>1250</v>
      </c>
      <c r="P15" s="105">
        <f t="shared" si="0"/>
        <v>60</v>
      </c>
      <c r="Q15" s="106">
        <f t="shared" si="1"/>
        <v>12</v>
      </c>
    </row>
    <row r="16" spans="1:17" s="84" customFormat="1" ht="20.100000000000001" customHeight="1">
      <c r="A16" s="78">
        <v>58</v>
      </c>
      <c r="B16" s="78" t="s">
        <v>93</v>
      </c>
      <c r="C16" s="77">
        <v>45634</v>
      </c>
      <c r="D16" s="80"/>
      <c r="E16" s="80" t="s">
        <v>31</v>
      </c>
      <c r="F16" s="79"/>
      <c r="G16" s="95">
        <v>42421</v>
      </c>
      <c r="H16" s="80">
        <v>25</v>
      </c>
      <c r="I16" s="95">
        <v>42356</v>
      </c>
      <c r="J16" s="81" t="s">
        <v>127</v>
      </c>
      <c r="K16" s="80">
        <v>110</v>
      </c>
      <c r="L16" s="82">
        <v>6</v>
      </c>
      <c r="M16" s="82" t="s">
        <v>21</v>
      </c>
      <c r="N16" s="83">
        <v>250</v>
      </c>
      <c r="O16" s="83">
        <v>1250</v>
      </c>
      <c r="P16" s="105">
        <f t="shared" si="0"/>
        <v>100</v>
      </c>
      <c r="Q16" s="106">
        <f t="shared" si="1"/>
        <v>20</v>
      </c>
    </row>
    <row r="17" spans="1:17" s="84" customFormat="1" ht="20.100000000000001" customHeight="1">
      <c r="A17" s="78">
        <v>58</v>
      </c>
      <c r="B17" s="78" t="s">
        <v>93</v>
      </c>
      <c r="C17" s="77">
        <v>45738</v>
      </c>
      <c r="D17" s="80"/>
      <c r="E17" s="80" t="s">
        <v>31</v>
      </c>
      <c r="F17" s="79"/>
      <c r="G17" s="95">
        <v>42469</v>
      </c>
      <c r="H17" s="80">
        <v>60</v>
      </c>
      <c r="I17" s="95">
        <v>42356</v>
      </c>
      <c r="J17" s="81" t="s">
        <v>127</v>
      </c>
      <c r="K17" s="80">
        <v>110</v>
      </c>
      <c r="L17" s="82">
        <v>6</v>
      </c>
      <c r="M17" s="82" t="s">
        <v>21</v>
      </c>
      <c r="N17" s="83">
        <v>250</v>
      </c>
      <c r="O17" s="83">
        <v>1250</v>
      </c>
      <c r="P17" s="105">
        <f t="shared" si="0"/>
        <v>240</v>
      </c>
      <c r="Q17" s="106">
        <f t="shared" si="1"/>
        <v>48</v>
      </c>
    </row>
    <row r="18" spans="1:17" s="84" customFormat="1" ht="20.100000000000001" customHeight="1">
      <c r="A18" s="78">
        <v>58</v>
      </c>
      <c r="B18" s="78" t="s">
        <v>93</v>
      </c>
      <c r="C18" s="77">
        <v>56565</v>
      </c>
      <c r="D18" s="80"/>
      <c r="E18" s="80" t="s">
        <v>31</v>
      </c>
      <c r="F18" s="79"/>
      <c r="G18" s="95">
        <v>42587</v>
      </c>
      <c r="H18" s="80">
        <v>120</v>
      </c>
      <c r="I18" s="95">
        <v>42356</v>
      </c>
      <c r="J18" s="81" t="s">
        <v>127</v>
      </c>
      <c r="K18" s="80">
        <v>110</v>
      </c>
      <c r="L18" s="82">
        <v>6</v>
      </c>
      <c r="M18" s="82" t="s">
        <v>21</v>
      </c>
      <c r="N18" s="83">
        <v>250</v>
      </c>
      <c r="O18" s="83">
        <v>1250</v>
      </c>
      <c r="P18" s="105">
        <f t="shared" si="0"/>
        <v>480</v>
      </c>
      <c r="Q18" s="106">
        <f t="shared" si="1"/>
        <v>96</v>
      </c>
    </row>
    <row r="19" spans="1:17" s="84" customFormat="1" ht="20.100000000000001" customHeight="1">
      <c r="A19" s="78">
        <v>58</v>
      </c>
      <c r="B19" s="78" t="s">
        <v>93</v>
      </c>
      <c r="C19" s="77">
        <v>56666</v>
      </c>
      <c r="D19" s="80"/>
      <c r="E19" s="80" t="s">
        <v>31</v>
      </c>
      <c r="F19" s="79"/>
      <c r="G19" s="95">
        <v>42587</v>
      </c>
      <c r="H19" s="80">
        <v>100</v>
      </c>
      <c r="I19" s="95">
        <v>42356</v>
      </c>
      <c r="J19" s="81" t="s">
        <v>127</v>
      </c>
      <c r="K19" s="80">
        <v>110</v>
      </c>
      <c r="L19" s="82">
        <v>6</v>
      </c>
      <c r="M19" s="82" t="s">
        <v>21</v>
      </c>
      <c r="N19" s="83">
        <v>250</v>
      </c>
      <c r="O19" s="83">
        <v>1250</v>
      </c>
      <c r="P19" s="105">
        <f t="shared" si="0"/>
        <v>400</v>
      </c>
      <c r="Q19" s="106">
        <f t="shared" si="1"/>
        <v>80</v>
      </c>
    </row>
    <row r="20" spans="1:17" s="84" customFormat="1" ht="19.8" customHeight="1">
      <c r="A20" s="78">
        <v>59</v>
      </c>
      <c r="B20" s="78" t="s">
        <v>93</v>
      </c>
      <c r="C20" s="77">
        <v>61777</v>
      </c>
      <c r="D20" s="80"/>
      <c r="E20" s="80" t="s">
        <v>31</v>
      </c>
      <c r="F20" s="79"/>
      <c r="G20" s="95">
        <v>42465</v>
      </c>
      <c r="H20" s="80">
        <v>80</v>
      </c>
      <c r="I20" s="95">
        <v>42356</v>
      </c>
      <c r="J20" s="81" t="s">
        <v>127</v>
      </c>
      <c r="K20" s="80">
        <v>110</v>
      </c>
      <c r="L20" s="82">
        <v>6</v>
      </c>
      <c r="M20" s="82" t="s">
        <v>21</v>
      </c>
      <c r="N20" s="83">
        <v>250</v>
      </c>
      <c r="O20" s="83">
        <v>1250</v>
      </c>
      <c r="P20" s="105">
        <f t="shared" si="0"/>
        <v>320</v>
      </c>
      <c r="Q20" s="106">
        <f t="shared" si="1"/>
        <v>64</v>
      </c>
    </row>
    <row r="21" spans="1:17" s="84" customFormat="1" ht="20.100000000000001" customHeight="1">
      <c r="A21" s="78">
        <v>59</v>
      </c>
      <c r="B21" s="78" t="s">
        <v>93</v>
      </c>
      <c r="C21" s="77">
        <v>67547</v>
      </c>
      <c r="D21" s="80"/>
      <c r="E21" s="80" t="s">
        <v>31</v>
      </c>
      <c r="F21" s="79"/>
      <c r="G21" s="95">
        <v>42413</v>
      </c>
      <c r="H21" s="80">
        <v>90</v>
      </c>
      <c r="I21" s="95">
        <v>42356</v>
      </c>
      <c r="J21" s="81" t="s">
        <v>127</v>
      </c>
      <c r="K21" s="80">
        <v>110</v>
      </c>
      <c r="L21" s="82">
        <v>6</v>
      </c>
      <c r="M21" s="82" t="s">
        <v>21</v>
      </c>
      <c r="N21" s="83">
        <v>250</v>
      </c>
      <c r="O21" s="83">
        <v>1250</v>
      </c>
      <c r="P21" s="105">
        <f t="shared" si="0"/>
        <v>360</v>
      </c>
      <c r="Q21" s="106">
        <f t="shared" si="1"/>
        <v>72</v>
      </c>
    </row>
    <row r="22" spans="1:17" s="84" customFormat="1" ht="20.100000000000001" customHeight="1">
      <c r="A22" s="78">
        <v>60</v>
      </c>
      <c r="B22" s="78" t="s">
        <v>93</v>
      </c>
      <c r="C22" s="77">
        <v>90134</v>
      </c>
      <c r="D22" s="80"/>
      <c r="E22" s="80" t="s">
        <v>31</v>
      </c>
      <c r="F22" s="79"/>
      <c r="G22" s="95">
        <v>42465</v>
      </c>
      <c r="H22" s="80">
        <v>75</v>
      </c>
      <c r="I22" s="95">
        <v>42356</v>
      </c>
      <c r="J22" s="81" t="s">
        <v>127</v>
      </c>
      <c r="K22" s="80">
        <v>110</v>
      </c>
      <c r="L22" s="82">
        <v>6</v>
      </c>
      <c r="M22" s="82" t="s">
        <v>21</v>
      </c>
      <c r="N22" s="83">
        <v>250</v>
      </c>
      <c r="O22" s="83">
        <v>1250</v>
      </c>
      <c r="P22" s="105">
        <f t="shared" si="0"/>
        <v>300</v>
      </c>
      <c r="Q22" s="106">
        <f t="shared" si="1"/>
        <v>60</v>
      </c>
    </row>
    <row r="23" spans="1:17" s="84" customFormat="1" ht="20.100000000000001" customHeight="1">
      <c r="A23" s="78">
        <v>61</v>
      </c>
      <c r="B23" s="78" t="s">
        <v>93</v>
      </c>
      <c r="C23" s="77">
        <v>90135</v>
      </c>
      <c r="D23" s="80"/>
      <c r="E23" s="80" t="s">
        <v>31</v>
      </c>
      <c r="F23" s="79"/>
      <c r="G23" s="95">
        <v>42395</v>
      </c>
      <c r="H23" s="80">
        <v>75</v>
      </c>
      <c r="I23" s="95">
        <v>42356</v>
      </c>
      <c r="J23" s="81" t="s">
        <v>127</v>
      </c>
      <c r="K23" s="80">
        <v>110</v>
      </c>
      <c r="L23" s="82">
        <v>6</v>
      </c>
      <c r="M23" s="82" t="s">
        <v>21</v>
      </c>
      <c r="N23" s="83">
        <v>250</v>
      </c>
      <c r="O23" s="83">
        <v>1250</v>
      </c>
      <c r="P23" s="105">
        <f t="shared" si="0"/>
        <v>300</v>
      </c>
      <c r="Q23" s="106">
        <f t="shared" si="1"/>
        <v>60</v>
      </c>
    </row>
    <row r="24" spans="1:17" s="84" customFormat="1" ht="20.100000000000001" customHeight="1">
      <c r="A24" s="78">
        <v>61</v>
      </c>
      <c r="B24" s="78" t="s">
        <v>93</v>
      </c>
      <c r="C24" s="77">
        <v>90136</v>
      </c>
      <c r="D24" s="80"/>
      <c r="E24" s="80" t="s">
        <v>31</v>
      </c>
      <c r="F24" s="79"/>
      <c r="G24" s="95">
        <v>42399</v>
      </c>
      <c r="H24" s="80">
        <v>50</v>
      </c>
      <c r="I24" s="95">
        <v>42356</v>
      </c>
      <c r="J24" s="81" t="s">
        <v>127</v>
      </c>
      <c r="K24" s="80">
        <v>110</v>
      </c>
      <c r="L24" s="82">
        <v>6</v>
      </c>
      <c r="M24" s="82" t="s">
        <v>21</v>
      </c>
      <c r="N24" s="83">
        <v>250</v>
      </c>
      <c r="O24" s="83">
        <v>1250</v>
      </c>
      <c r="P24" s="105">
        <f t="shared" si="0"/>
        <v>200</v>
      </c>
      <c r="Q24" s="106">
        <f t="shared" si="1"/>
        <v>40</v>
      </c>
    </row>
    <row r="25" spans="1:17" s="84" customFormat="1" ht="20.100000000000001" customHeight="1">
      <c r="A25" s="78">
        <v>60</v>
      </c>
      <c r="B25" s="78" t="s">
        <v>93</v>
      </c>
      <c r="C25" s="77">
        <v>90213</v>
      </c>
      <c r="D25" s="80"/>
      <c r="E25" s="80" t="s">
        <v>31</v>
      </c>
      <c r="F25" s="79"/>
      <c r="G25" s="95">
        <v>42407</v>
      </c>
      <c r="H25" s="80">
        <v>40</v>
      </c>
      <c r="I25" s="95">
        <v>42356</v>
      </c>
      <c r="J25" s="81" t="s">
        <v>127</v>
      </c>
      <c r="K25" s="80">
        <v>110</v>
      </c>
      <c r="L25" s="82">
        <v>6</v>
      </c>
      <c r="M25" s="82" t="s">
        <v>21</v>
      </c>
      <c r="N25" s="83">
        <v>250</v>
      </c>
      <c r="O25" s="83">
        <v>1250</v>
      </c>
      <c r="P25" s="105">
        <f t="shared" si="0"/>
        <v>160</v>
      </c>
      <c r="Q25" s="106">
        <f t="shared" si="1"/>
        <v>32</v>
      </c>
    </row>
    <row r="26" spans="1:17" s="84" customFormat="1" ht="20.100000000000001" customHeight="1">
      <c r="A26" s="78">
        <v>61</v>
      </c>
      <c r="B26" s="78" t="s">
        <v>93</v>
      </c>
      <c r="C26" s="77">
        <v>90554</v>
      </c>
      <c r="D26" s="80"/>
      <c r="E26" s="80" t="s">
        <v>31</v>
      </c>
      <c r="F26" s="79"/>
      <c r="G26" s="95">
        <v>42438</v>
      </c>
      <c r="H26" s="80">
        <v>30</v>
      </c>
      <c r="I26" s="95">
        <v>42356</v>
      </c>
      <c r="J26" s="81" t="s">
        <v>127</v>
      </c>
      <c r="K26" s="80">
        <v>110</v>
      </c>
      <c r="L26" s="82">
        <v>6</v>
      </c>
      <c r="M26" s="82" t="s">
        <v>21</v>
      </c>
      <c r="N26" s="83">
        <v>250</v>
      </c>
      <c r="O26" s="83">
        <v>1250</v>
      </c>
      <c r="P26" s="105">
        <f t="shared" si="0"/>
        <v>120</v>
      </c>
      <c r="Q26" s="106">
        <f t="shared" si="1"/>
        <v>24</v>
      </c>
    </row>
    <row r="27" spans="1:17" s="84" customFormat="1" ht="20.100000000000001" customHeight="1">
      <c r="A27" s="78">
        <v>62</v>
      </c>
      <c r="B27" s="78" t="s">
        <v>93</v>
      </c>
      <c r="C27" s="77">
        <v>91111</v>
      </c>
      <c r="D27" s="80"/>
      <c r="E27" s="80" t="s">
        <v>37</v>
      </c>
      <c r="F27" s="79"/>
      <c r="G27" s="95">
        <v>42370</v>
      </c>
      <c r="H27" s="80">
        <v>60</v>
      </c>
      <c r="I27" s="95">
        <v>42356</v>
      </c>
      <c r="J27" s="81" t="s">
        <v>127</v>
      </c>
      <c r="K27" s="80">
        <v>110</v>
      </c>
      <c r="L27" s="82">
        <v>6</v>
      </c>
      <c r="M27" s="82" t="s">
        <v>21</v>
      </c>
      <c r="N27" s="83">
        <v>250</v>
      </c>
      <c r="O27" s="83">
        <v>1250</v>
      </c>
      <c r="P27" s="105">
        <f t="shared" si="0"/>
        <v>240</v>
      </c>
      <c r="Q27" s="106">
        <f t="shared" si="1"/>
        <v>48</v>
      </c>
    </row>
    <row r="28" spans="1:17" s="84" customFormat="1" ht="20.100000000000001" customHeight="1">
      <c r="A28" s="78">
        <v>62</v>
      </c>
      <c r="B28" s="78" t="s">
        <v>93</v>
      </c>
      <c r="C28" s="77">
        <v>91119</v>
      </c>
      <c r="D28" s="80"/>
      <c r="E28" s="80" t="s">
        <v>37</v>
      </c>
      <c r="F28" s="79"/>
      <c r="G28" s="95">
        <v>42407</v>
      </c>
      <c r="H28" s="80">
        <v>60</v>
      </c>
      <c r="I28" s="95">
        <v>42356</v>
      </c>
      <c r="J28" s="81" t="s">
        <v>127</v>
      </c>
      <c r="K28" s="80">
        <v>110</v>
      </c>
      <c r="L28" s="82">
        <v>6</v>
      </c>
      <c r="M28" s="82" t="s">
        <v>21</v>
      </c>
      <c r="N28" s="83">
        <v>250</v>
      </c>
      <c r="O28" s="83">
        <v>1250</v>
      </c>
      <c r="P28" s="105">
        <f t="shared" si="0"/>
        <v>240</v>
      </c>
      <c r="Q28" s="106">
        <f t="shared" si="1"/>
        <v>48</v>
      </c>
    </row>
    <row r="29" spans="1:17" s="84" customFormat="1" ht="20.100000000000001" customHeight="1">
      <c r="A29" s="78">
        <v>62</v>
      </c>
      <c r="B29" s="78" t="s">
        <v>93</v>
      </c>
      <c r="C29" s="77">
        <v>93456</v>
      </c>
      <c r="D29" s="80"/>
      <c r="E29" s="80" t="s">
        <v>37</v>
      </c>
      <c r="F29" s="79"/>
      <c r="G29" s="95">
        <v>42587</v>
      </c>
      <c r="H29" s="80">
        <v>55</v>
      </c>
      <c r="I29" s="95">
        <v>42356</v>
      </c>
      <c r="J29" s="81" t="s">
        <v>127</v>
      </c>
      <c r="K29" s="80">
        <v>110</v>
      </c>
      <c r="L29" s="82">
        <v>6</v>
      </c>
      <c r="M29" s="82" t="s">
        <v>21</v>
      </c>
      <c r="N29" s="83">
        <v>250</v>
      </c>
      <c r="O29" s="83">
        <v>1250</v>
      </c>
      <c r="P29" s="105">
        <f t="shared" si="0"/>
        <v>220</v>
      </c>
      <c r="Q29" s="106">
        <f t="shared" si="1"/>
        <v>44</v>
      </c>
    </row>
    <row r="30" spans="1:17" s="84" customFormat="1" ht="20.100000000000001" customHeight="1">
      <c r="A30" s="78">
        <v>62</v>
      </c>
      <c r="B30" s="78" t="s">
        <v>93</v>
      </c>
      <c r="C30" s="77">
        <v>94542</v>
      </c>
      <c r="D30" s="80"/>
      <c r="E30" s="80" t="s">
        <v>37</v>
      </c>
      <c r="F30" s="79"/>
      <c r="G30" s="95">
        <v>42587</v>
      </c>
      <c r="H30" s="80">
        <v>80</v>
      </c>
      <c r="I30" s="95">
        <v>42356</v>
      </c>
      <c r="J30" s="81" t="s">
        <v>127</v>
      </c>
      <c r="K30" s="80">
        <v>110</v>
      </c>
      <c r="L30" s="82">
        <v>6</v>
      </c>
      <c r="M30" s="82" t="s">
        <v>21</v>
      </c>
      <c r="N30" s="83">
        <v>250</v>
      </c>
      <c r="O30" s="83">
        <v>1250</v>
      </c>
      <c r="P30" s="105">
        <f t="shared" si="0"/>
        <v>320</v>
      </c>
      <c r="Q30" s="106">
        <f t="shared" si="1"/>
        <v>64</v>
      </c>
    </row>
    <row r="31" spans="1:17" s="84" customFormat="1" ht="20.100000000000001" customHeight="1">
      <c r="A31" s="78">
        <v>62</v>
      </c>
      <c r="B31" s="78" t="s">
        <v>93</v>
      </c>
      <c r="C31" s="77">
        <v>94554</v>
      </c>
      <c r="D31" s="80"/>
      <c r="E31" s="80" t="s">
        <v>37</v>
      </c>
      <c r="F31" s="79"/>
      <c r="G31" s="95">
        <v>42587</v>
      </c>
      <c r="H31" s="80">
        <v>75</v>
      </c>
      <c r="I31" s="95">
        <v>42356</v>
      </c>
      <c r="J31" s="81" t="s">
        <v>127</v>
      </c>
      <c r="K31" s="80">
        <v>110</v>
      </c>
      <c r="L31" s="82">
        <v>6</v>
      </c>
      <c r="M31" s="82" t="s">
        <v>21</v>
      </c>
      <c r="N31" s="83">
        <v>250</v>
      </c>
      <c r="O31" s="83">
        <v>1250</v>
      </c>
      <c r="P31" s="105">
        <f t="shared" si="0"/>
        <v>300</v>
      </c>
      <c r="Q31" s="106">
        <f t="shared" si="1"/>
        <v>60</v>
      </c>
    </row>
    <row r="32" spans="1:17" s="84" customFormat="1" ht="20.100000000000001" customHeight="1">
      <c r="A32" s="78">
        <v>62</v>
      </c>
      <c r="B32" s="78" t="s">
        <v>93</v>
      </c>
      <c r="C32" s="77">
        <v>95456</v>
      </c>
      <c r="D32" s="80"/>
      <c r="E32" s="80" t="s">
        <v>37</v>
      </c>
      <c r="F32" s="79"/>
      <c r="G32" s="95">
        <v>42587</v>
      </c>
      <c r="H32" s="80">
        <v>90</v>
      </c>
      <c r="I32" s="95">
        <v>42356</v>
      </c>
      <c r="J32" s="81" t="s">
        <v>127</v>
      </c>
      <c r="K32" s="80">
        <v>110</v>
      </c>
      <c r="L32" s="82">
        <v>6</v>
      </c>
      <c r="M32" s="82" t="s">
        <v>21</v>
      </c>
      <c r="N32" s="83">
        <v>250</v>
      </c>
      <c r="O32" s="83">
        <v>1250</v>
      </c>
      <c r="P32" s="105">
        <f t="shared" si="0"/>
        <v>360</v>
      </c>
      <c r="Q32" s="106">
        <f t="shared" si="1"/>
        <v>72</v>
      </c>
    </row>
    <row r="33" spans="1:17" s="84" customFormat="1" ht="20.100000000000001" customHeight="1">
      <c r="A33" s="78">
        <v>63</v>
      </c>
      <c r="B33" s="78" t="s">
        <v>93</v>
      </c>
      <c r="C33" s="77">
        <v>95654</v>
      </c>
      <c r="D33" s="80"/>
      <c r="E33" s="80" t="s">
        <v>37</v>
      </c>
      <c r="F33" s="79"/>
      <c r="G33" s="95">
        <v>42391</v>
      </c>
      <c r="H33" s="80">
        <v>100</v>
      </c>
      <c r="I33" s="95">
        <v>42356</v>
      </c>
      <c r="J33" s="81" t="s">
        <v>127</v>
      </c>
      <c r="K33" s="80">
        <v>110</v>
      </c>
      <c r="L33" s="82">
        <v>6</v>
      </c>
      <c r="M33" s="82" t="s">
        <v>21</v>
      </c>
      <c r="N33" s="83">
        <v>250</v>
      </c>
      <c r="O33" s="83">
        <v>1250</v>
      </c>
      <c r="P33" s="105">
        <f t="shared" si="0"/>
        <v>400</v>
      </c>
      <c r="Q33" s="106">
        <f t="shared" si="1"/>
        <v>80</v>
      </c>
    </row>
    <row r="34" spans="1:17" s="84" customFormat="1" ht="19.8" customHeight="1">
      <c r="A34" s="78">
        <v>63</v>
      </c>
      <c r="B34" s="78" t="s">
        <v>93</v>
      </c>
      <c r="C34" s="77">
        <v>96666</v>
      </c>
      <c r="D34" s="80"/>
      <c r="E34" s="80" t="s">
        <v>37</v>
      </c>
      <c r="F34" s="79"/>
      <c r="G34" s="95">
        <v>42391</v>
      </c>
      <c r="H34" s="80">
        <v>25</v>
      </c>
      <c r="I34" s="95">
        <v>42356</v>
      </c>
      <c r="J34" s="81" t="s">
        <v>127</v>
      </c>
      <c r="K34" s="80">
        <v>110</v>
      </c>
      <c r="L34" s="82">
        <v>6</v>
      </c>
      <c r="M34" s="82" t="s">
        <v>21</v>
      </c>
      <c r="N34" s="83">
        <v>250</v>
      </c>
      <c r="O34" s="83">
        <v>1250</v>
      </c>
      <c r="P34" s="105">
        <f t="shared" si="0"/>
        <v>100</v>
      </c>
      <c r="Q34" s="106">
        <f t="shared" si="1"/>
        <v>20</v>
      </c>
    </row>
    <row r="35" spans="1:17" s="84" customFormat="1" ht="20.100000000000001" customHeight="1">
      <c r="A35" s="78">
        <v>63</v>
      </c>
      <c r="B35" s="78" t="s">
        <v>93</v>
      </c>
      <c r="C35" s="77">
        <v>96764</v>
      </c>
      <c r="D35" s="80"/>
      <c r="E35" s="80" t="s">
        <v>37</v>
      </c>
      <c r="F35" s="79"/>
      <c r="G35" s="95">
        <v>42401</v>
      </c>
      <c r="H35" s="80">
        <v>100</v>
      </c>
      <c r="I35" s="95">
        <v>42356</v>
      </c>
      <c r="J35" s="81" t="s">
        <v>127</v>
      </c>
      <c r="K35" s="80">
        <v>110</v>
      </c>
      <c r="L35" s="82">
        <v>6</v>
      </c>
      <c r="M35" s="82" t="s">
        <v>21</v>
      </c>
      <c r="N35" s="83">
        <v>250</v>
      </c>
      <c r="O35" s="83">
        <v>1250</v>
      </c>
      <c r="P35" s="105">
        <f t="shared" ref="P35:P67" si="2">(H35*1000)/N35</f>
        <v>400</v>
      </c>
      <c r="Q35" s="106">
        <f t="shared" ref="Q35:Q67" si="3">(H35*1000)/O35</f>
        <v>80</v>
      </c>
    </row>
    <row r="36" spans="1:17" s="84" customFormat="1" ht="20.100000000000001" customHeight="1">
      <c r="A36" s="78">
        <v>63</v>
      </c>
      <c r="B36" s="78" t="s">
        <v>93</v>
      </c>
      <c r="C36" s="77">
        <v>98786</v>
      </c>
      <c r="D36" s="80"/>
      <c r="E36" s="80" t="s">
        <v>37</v>
      </c>
      <c r="F36" s="79"/>
      <c r="G36" s="95">
        <v>42407</v>
      </c>
      <c r="H36" s="80">
        <v>800</v>
      </c>
      <c r="I36" s="95">
        <v>42356</v>
      </c>
      <c r="J36" s="81" t="s">
        <v>127</v>
      </c>
      <c r="K36" s="80">
        <v>110</v>
      </c>
      <c r="L36" s="82">
        <v>6</v>
      </c>
      <c r="M36" s="82" t="s">
        <v>21</v>
      </c>
      <c r="N36" s="83">
        <v>250</v>
      </c>
      <c r="O36" s="83">
        <v>1250</v>
      </c>
      <c r="P36" s="105">
        <f t="shared" si="2"/>
        <v>3200</v>
      </c>
      <c r="Q36" s="106">
        <f t="shared" si="3"/>
        <v>640</v>
      </c>
    </row>
    <row r="37" spans="1:17" s="84" customFormat="1" ht="20.100000000000001" customHeight="1">
      <c r="A37" s="78">
        <v>59</v>
      </c>
      <c r="B37" s="78" t="s">
        <v>93</v>
      </c>
      <c r="C37" s="77">
        <v>99000</v>
      </c>
      <c r="D37" s="80"/>
      <c r="E37" s="80" t="s">
        <v>31</v>
      </c>
      <c r="F37" s="79"/>
      <c r="G37" s="95">
        <v>42525</v>
      </c>
      <c r="H37" s="80">
        <v>750</v>
      </c>
      <c r="I37" s="95">
        <v>42356</v>
      </c>
      <c r="J37" s="81" t="s">
        <v>127</v>
      </c>
      <c r="K37" s="80">
        <v>110</v>
      </c>
      <c r="L37" s="82">
        <v>6</v>
      </c>
      <c r="M37" s="82" t="s">
        <v>21</v>
      </c>
      <c r="N37" s="83">
        <v>250</v>
      </c>
      <c r="O37" s="83">
        <v>1250</v>
      </c>
      <c r="P37" s="105">
        <f t="shared" si="2"/>
        <v>3000</v>
      </c>
      <c r="Q37" s="106">
        <f t="shared" si="3"/>
        <v>600</v>
      </c>
    </row>
    <row r="38" spans="1:17" s="84" customFormat="1" ht="20.100000000000001" customHeight="1">
      <c r="A38" s="78"/>
      <c r="B38" s="78"/>
      <c r="C38" s="77"/>
      <c r="D38" s="80"/>
      <c r="E38" s="80"/>
      <c r="F38" s="79"/>
      <c r="G38" s="95"/>
      <c r="H38" s="80"/>
      <c r="I38" s="95"/>
      <c r="J38" s="81"/>
      <c r="K38" s="80"/>
      <c r="L38" s="82"/>
      <c r="M38" s="82"/>
      <c r="N38" s="83"/>
      <c r="O38" s="83"/>
      <c r="P38" s="105" t="e">
        <f t="shared" si="2"/>
        <v>#DIV/0!</v>
      </c>
      <c r="Q38" s="106" t="e">
        <f t="shared" si="3"/>
        <v>#DIV/0!</v>
      </c>
    </row>
    <row r="39" spans="1:17" s="84" customFormat="1" ht="20.100000000000001" customHeight="1">
      <c r="A39" s="78"/>
      <c r="B39" s="78"/>
      <c r="C39" s="77"/>
      <c r="D39" s="80"/>
      <c r="E39" s="80"/>
      <c r="F39" s="79"/>
      <c r="G39" s="95"/>
      <c r="H39" s="80"/>
      <c r="I39" s="95"/>
      <c r="J39" s="81"/>
      <c r="K39" s="80"/>
      <c r="L39" s="82"/>
      <c r="M39" s="82"/>
      <c r="N39" s="83"/>
      <c r="O39" s="83"/>
      <c r="P39" s="105" t="e">
        <f t="shared" si="2"/>
        <v>#DIV/0!</v>
      </c>
      <c r="Q39" s="106" t="e">
        <f t="shared" si="3"/>
        <v>#DIV/0!</v>
      </c>
    </row>
    <row r="40" spans="1:17" s="84" customFormat="1" ht="20.100000000000001" customHeight="1">
      <c r="A40" s="78"/>
      <c r="B40" s="78"/>
      <c r="C40" s="77"/>
      <c r="D40" s="80"/>
      <c r="E40" s="80"/>
      <c r="F40" s="79"/>
      <c r="G40" s="95"/>
      <c r="H40" s="80"/>
      <c r="I40" s="95"/>
      <c r="J40" s="81"/>
      <c r="K40" s="80"/>
      <c r="L40" s="82"/>
      <c r="M40" s="82"/>
      <c r="N40" s="83"/>
      <c r="O40" s="83"/>
      <c r="P40" s="105" t="e">
        <f t="shared" si="2"/>
        <v>#DIV/0!</v>
      </c>
      <c r="Q40" s="106" t="e">
        <f t="shared" si="3"/>
        <v>#DIV/0!</v>
      </c>
    </row>
    <row r="41" spans="1:17" s="84" customFormat="1" ht="20.100000000000001" customHeight="1">
      <c r="A41" s="78"/>
      <c r="B41" s="78"/>
      <c r="C41" s="77"/>
      <c r="D41" s="80"/>
      <c r="E41" s="80"/>
      <c r="F41" s="79"/>
      <c r="G41" s="95"/>
      <c r="H41" s="80"/>
      <c r="I41" s="95"/>
      <c r="J41" s="81"/>
      <c r="K41" s="80"/>
      <c r="L41" s="82"/>
      <c r="M41" s="82"/>
      <c r="N41" s="83"/>
      <c r="O41" s="83"/>
      <c r="P41" s="105" t="e">
        <f t="shared" si="2"/>
        <v>#DIV/0!</v>
      </c>
      <c r="Q41" s="106" t="e">
        <f t="shared" si="3"/>
        <v>#DIV/0!</v>
      </c>
    </row>
    <row r="42" spans="1:17" s="84" customFormat="1" ht="20.100000000000001" customHeight="1">
      <c r="A42" s="78"/>
      <c r="B42" s="78"/>
      <c r="C42" s="77"/>
      <c r="D42" s="80"/>
      <c r="E42" s="80"/>
      <c r="F42" s="79"/>
      <c r="G42" s="95"/>
      <c r="H42" s="80"/>
      <c r="I42" s="95"/>
      <c r="J42" s="81"/>
      <c r="K42" s="80"/>
      <c r="L42" s="82"/>
      <c r="M42" s="82"/>
      <c r="N42" s="83"/>
      <c r="O42" s="83"/>
      <c r="P42" s="105" t="e">
        <f t="shared" si="2"/>
        <v>#DIV/0!</v>
      </c>
      <c r="Q42" s="106" t="e">
        <f t="shared" si="3"/>
        <v>#DIV/0!</v>
      </c>
    </row>
    <row r="43" spans="1:17" s="84" customFormat="1" ht="20.100000000000001" customHeight="1">
      <c r="A43" s="78"/>
      <c r="B43" s="78"/>
      <c r="C43" s="77"/>
      <c r="D43" s="80"/>
      <c r="E43" s="80"/>
      <c r="F43" s="79"/>
      <c r="G43" s="95"/>
      <c r="H43" s="80"/>
      <c r="I43" s="95"/>
      <c r="J43" s="81"/>
      <c r="K43" s="80"/>
      <c r="L43" s="82"/>
      <c r="M43" s="82"/>
      <c r="N43" s="83"/>
      <c r="O43" s="83"/>
      <c r="P43" s="105" t="e">
        <f t="shared" si="2"/>
        <v>#DIV/0!</v>
      </c>
      <c r="Q43" s="106" t="e">
        <f t="shared" si="3"/>
        <v>#DIV/0!</v>
      </c>
    </row>
    <row r="44" spans="1:17" s="84" customFormat="1" ht="20.100000000000001" customHeight="1">
      <c r="A44" s="78"/>
      <c r="B44" s="78"/>
      <c r="C44" s="77"/>
      <c r="D44" s="80"/>
      <c r="E44" s="80"/>
      <c r="F44" s="79"/>
      <c r="G44" s="95"/>
      <c r="H44" s="80"/>
      <c r="I44" s="95"/>
      <c r="J44" s="81"/>
      <c r="K44" s="80"/>
      <c r="L44" s="82"/>
      <c r="M44" s="82"/>
      <c r="N44" s="83"/>
      <c r="O44" s="83"/>
      <c r="P44" s="105" t="e">
        <f t="shared" si="2"/>
        <v>#DIV/0!</v>
      </c>
      <c r="Q44" s="106" t="e">
        <f t="shared" si="3"/>
        <v>#DIV/0!</v>
      </c>
    </row>
    <row r="45" spans="1:17" s="84" customFormat="1" ht="20.100000000000001" customHeight="1">
      <c r="A45" s="78"/>
      <c r="B45" s="78"/>
      <c r="C45" s="77"/>
      <c r="D45" s="80"/>
      <c r="E45" s="80"/>
      <c r="F45" s="79"/>
      <c r="G45" s="95"/>
      <c r="H45" s="80"/>
      <c r="I45" s="95"/>
      <c r="J45" s="81"/>
      <c r="K45" s="80"/>
      <c r="L45" s="82"/>
      <c r="M45" s="82"/>
      <c r="N45" s="83"/>
      <c r="O45" s="83"/>
      <c r="P45" s="105" t="e">
        <f t="shared" si="2"/>
        <v>#DIV/0!</v>
      </c>
      <c r="Q45" s="106" t="e">
        <f t="shared" si="3"/>
        <v>#DIV/0!</v>
      </c>
    </row>
    <row r="46" spans="1:17" s="84" customFormat="1" ht="20.100000000000001" customHeight="1">
      <c r="A46" s="78"/>
      <c r="B46" s="78"/>
      <c r="C46" s="77"/>
      <c r="D46" s="80"/>
      <c r="E46" s="80"/>
      <c r="F46" s="79"/>
      <c r="G46" s="95"/>
      <c r="H46" s="80"/>
      <c r="I46" s="95"/>
      <c r="J46" s="81"/>
      <c r="K46" s="80"/>
      <c r="L46" s="82"/>
      <c r="M46" s="82"/>
      <c r="N46" s="83"/>
      <c r="O46" s="83"/>
      <c r="P46" s="105" t="e">
        <f t="shared" si="2"/>
        <v>#DIV/0!</v>
      </c>
      <c r="Q46" s="106" t="e">
        <f t="shared" si="3"/>
        <v>#DIV/0!</v>
      </c>
    </row>
    <row r="47" spans="1:17" s="84" customFormat="1" ht="20.100000000000001" customHeight="1">
      <c r="A47" s="78"/>
      <c r="B47" s="78"/>
      <c r="C47" s="77"/>
      <c r="D47" s="80"/>
      <c r="E47" s="80"/>
      <c r="F47" s="79"/>
      <c r="G47" s="95"/>
      <c r="H47" s="80"/>
      <c r="I47" s="95"/>
      <c r="J47" s="81"/>
      <c r="K47" s="80"/>
      <c r="L47" s="82"/>
      <c r="M47" s="82"/>
      <c r="N47" s="83"/>
      <c r="O47" s="83"/>
      <c r="P47" s="105" t="e">
        <f t="shared" si="2"/>
        <v>#DIV/0!</v>
      </c>
      <c r="Q47" s="106" t="e">
        <f t="shared" si="3"/>
        <v>#DIV/0!</v>
      </c>
    </row>
    <row r="48" spans="1:17" s="84" customFormat="1" ht="20.100000000000001" customHeight="1">
      <c r="A48" s="78"/>
      <c r="B48" s="78"/>
      <c r="C48" s="77"/>
      <c r="D48" s="80"/>
      <c r="E48" s="80"/>
      <c r="F48" s="79"/>
      <c r="G48" s="95"/>
      <c r="H48" s="80"/>
      <c r="I48" s="95"/>
      <c r="J48" s="81"/>
      <c r="K48" s="80"/>
      <c r="L48" s="82"/>
      <c r="M48" s="82"/>
      <c r="N48" s="83"/>
      <c r="O48" s="83"/>
      <c r="P48" s="105" t="e">
        <f t="shared" si="2"/>
        <v>#DIV/0!</v>
      </c>
      <c r="Q48" s="106" t="e">
        <f t="shared" si="3"/>
        <v>#DIV/0!</v>
      </c>
    </row>
    <row r="49" spans="1:17" s="84" customFormat="1" ht="20.100000000000001" customHeight="1">
      <c r="A49" s="78"/>
      <c r="B49" s="78"/>
      <c r="C49" s="77"/>
      <c r="D49" s="80"/>
      <c r="E49" s="80"/>
      <c r="F49" s="79"/>
      <c r="G49" s="95"/>
      <c r="H49" s="80"/>
      <c r="I49" s="95"/>
      <c r="J49" s="81"/>
      <c r="K49" s="80"/>
      <c r="L49" s="82"/>
      <c r="M49" s="82"/>
      <c r="N49" s="83"/>
      <c r="O49" s="83"/>
      <c r="P49" s="105" t="e">
        <f t="shared" si="2"/>
        <v>#DIV/0!</v>
      </c>
      <c r="Q49" s="106" t="e">
        <f t="shared" si="3"/>
        <v>#DIV/0!</v>
      </c>
    </row>
    <row r="50" spans="1:17" s="84" customFormat="1" ht="20.100000000000001" customHeight="1">
      <c r="A50" s="78"/>
      <c r="B50" s="78"/>
      <c r="C50" s="77"/>
      <c r="D50" s="80"/>
      <c r="E50" s="80"/>
      <c r="F50" s="79"/>
      <c r="G50" s="95"/>
      <c r="H50" s="80"/>
      <c r="I50" s="95"/>
      <c r="J50" s="81"/>
      <c r="K50" s="80"/>
      <c r="L50" s="82"/>
      <c r="M50" s="82"/>
      <c r="N50" s="83"/>
      <c r="O50" s="83"/>
      <c r="P50" s="105" t="e">
        <f t="shared" si="2"/>
        <v>#DIV/0!</v>
      </c>
      <c r="Q50" s="106" t="e">
        <f t="shared" si="3"/>
        <v>#DIV/0!</v>
      </c>
    </row>
    <row r="51" spans="1:17" s="84" customFormat="1" ht="20.100000000000001" customHeight="1">
      <c r="A51" s="78"/>
      <c r="B51" s="78"/>
      <c r="C51" s="77"/>
      <c r="D51" s="80"/>
      <c r="E51" s="80"/>
      <c r="F51" s="79"/>
      <c r="G51" s="95"/>
      <c r="H51" s="80"/>
      <c r="I51" s="95"/>
      <c r="J51" s="81"/>
      <c r="K51" s="80"/>
      <c r="L51" s="82"/>
      <c r="M51" s="82"/>
      <c r="N51" s="83"/>
      <c r="O51" s="83"/>
      <c r="P51" s="105" t="e">
        <f t="shared" si="2"/>
        <v>#DIV/0!</v>
      </c>
      <c r="Q51" s="106" t="e">
        <f t="shared" si="3"/>
        <v>#DIV/0!</v>
      </c>
    </row>
    <row r="52" spans="1:17" s="84" customFormat="1" ht="20.100000000000001" customHeight="1">
      <c r="A52" s="78"/>
      <c r="B52" s="78"/>
      <c r="C52" s="77"/>
      <c r="D52" s="80"/>
      <c r="E52" s="80"/>
      <c r="F52" s="79"/>
      <c r="G52" s="95"/>
      <c r="H52" s="80"/>
      <c r="I52" s="95"/>
      <c r="J52" s="81"/>
      <c r="K52" s="80"/>
      <c r="L52" s="82"/>
      <c r="M52" s="82"/>
      <c r="N52" s="83"/>
      <c r="O52" s="83"/>
      <c r="P52" s="105" t="e">
        <f t="shared" si="2"/>
        <v>#DIV/0!</v>
      </c>
      <c r="Q52" s="106" t="e">
        <f t="shared" si="3"/>
        <v>#DIV/0!</v>
      </c>
    </row>
    <row r="53" spans="1:17" s="84" customFormat="1" ht="20.100000000000001" customHeight="1">
      <c r="A53" s="78"/>
      <c r="B53" s="78"/>
      <c r="C53" s="77"/>
      <c r="D53" s="80"/>
      <c r="E53" s="80"/>
      <c r="F53" s="79"/>
      <c r="G53" s="95"/>
      <c r="H53" s="80"/>
      <c r="I53" s="95"/>
      <c r="J53" s="81"/>
      <c r="K53" s="80"/>
      <c r="L53" s="82"/>
      <c r="M53" s="82"/>
      <c r="N53" s="83"/>
      <c r="O53" s="83"/>
      <c r="P53" s="105" t="e">
        <f t="shared" si="2"/>
        <v>#DIV/0!</v>
      </c>
      <c r="Q53" s="106" t="e">
        <f t="shared" si="3"/>
        <v>#DIV/0!</v>
      </c>
    </row>
    <row r="54" spans="1:17" s="84" customFormat="1" ht="20.100000000000001" customHeight="1">
      <c r="A54" s="78"/>
      <c r="B54" s="78"/>
      <c r="C54" s="77"/>
      <c r="D54" s="80"/>
      <c r="E54" s="80"/>
      <c r="F54" s="79"/>
      <c r="G54" s="95"/>
      <c r="H54" s="80"/>
      <c r="I54" s="95"/>
      <c r="J54" s="81"/>
      <c r="K54" s="80"/>
      <c r="L54" s="82"/>
      <c r="M54" s="82"/>
      <c r="N54" s="83"/>
      <c r="O54" s="83"/>
      <c r="P54" s="105" t="e">
        <f t="shared" si="2"/>
        <v>#DIV/0!</v>
      </c>
      <c r="Q54" s="106" t="e">
        <f t="shared" si="3"/>
        <v>#DIV/0!</v>
      </c>
    </row>
    <row r="55" spans="1:17" s="84" customFormat="1" ht="20.100000000000001" customHeight="1">
      <c r="A55" s="78"/>
      <c r="B55" s="78"/>
      <c r="C55" s="77"/>
      <c r="D55" s="80"/>
      <c r="E55" s="80"/>
      <c r="F55" s="79"/>
      <c r="G55" s="95"/>
      <c r="H55" s="80"/>
      <c r="I55" s="95"/>
      <c r="J55" s="81"/>
      <c r="K55" s="80"/>
      <c r="L55" s="82"/>
      <c r="M55" s="82"/>
      <c r="N55" s="83"/>
      <c r="O55" s="83"/>
      <c r="P55" s="105" t="e">
        <f t="shared" si="2"/>
        <v>#DIV/0!</v>
      </c>
      <c r="Q55" s="106" t="e">
        <f t="shared" si="3"/>
        <v>#DIV/0!</v>
      </c>
    </row>
    <row r="56" spans="1:17" s="84" customFormat="1" ht="20.100000000000001" customHeight="1">
      <c r="A56" s="78"/>
      <c r="B56" s="78"/>
      <c r="C56" s="77"/>
      <c r="D56" s="80"/>
      <c r="E56" s="80"/>
      <c r="F56" s="79"/>
      <c r="G56" s="95"/>
      <c r="H56" s="80"/>
      <c r="I56" s="95"/>
      <c r="J56" s="81"/>
      <c r="K56" s="80"/>
      <c r="L56" s="82"/>
      <c r="M56" s="82"/>
      <c r="N56" s="83"/>
      <c r="O56" s="83"/>
      <c r="P56" s="105" t="e">
        <f t="shared" si="2"/>
        <v>#DIV/0!</v>
      </c>
      <c r="Q56" s="106" t="e">
        <f t="shared" si="3"/>
        <v>#DIV/0!</v>
      </c>
    </row>
    <row r="57" spans="1:17" s="84" customFormat="1" ht="20.100000000000001" customHeight="1">
      <c r="A57" s="78"/>
      <c r="B57" s="78"/>
      <c r="C57" s="77"/>
      <c r="D57" s="80"/>
      <c r="E57" s="80"/>
      <c r="F57" s="79"/>
      <c r="G57" s="95"/>
      <c r="H57" s="80"/>
      <c r="I57" s="95"/>
      <c r="J57" s="81"/>
      <c r="K57" s="80"/>
      <c r="L57" s="82"/>
      <c r="M57" s="82"/>
      <c r="N57" s="83"/>
      <c r="O57" s="83"/>
      <c r="P57" s="105" t="e">
        <f t="shared" si="2"/>
        <v>#DIV/0!</v>
      </c>
      <c r="Q57" s="106" t="e">
        <f t="shared" si="3"/>
        <v>#DIV/0!</v>
      </c>
    </row>
    <row r="58" spans="1:17" s="84" customFormat="1" ht="20.100000000000001" customHeight="1">
      <c r="A58" s="78"/>
      <c r="B58" s="78"/>
      <c r="C58" s="77"/>
      <c r="D58" s="80"/>
      <c r="E58" s="80"/>
      <c r="F58" s="79"/>
      <c r="G58" s="95"/>
      <c r="H58" s="80"/>
      <c r="I58" s="95"/>
      <c r="J58" s="81"/>
      <c r="K58" s="80"/>
      <c r="L58" s="82"/>
      <c r="M58" s="82"/>
      <c r="N58" s="83"/>
      <c r="O58" s="83"/>
      <c r="P58" s="105" t="e">
        <f t="shared" si="2"/>
        <v>#DIV/0!</v>
      </c>
      <c r="Q58" s="106" t="e">
        <f t="shared" si="3"/>
        <v>#DIV/0!</v>
      </c>
    </row>
    <row r="59" spans="1:17" s="84" customFormat="1" ht="20.100000000000001" customHeight="1">
      <c r="A59" s="78"/>
      <c r="B59" s="78"/>
      <c r="C59" s="77"/>
      <c r="D59" s="80"/>
      <c r="E59" s="80"/>
      <c r="F59" s="79"/>
      <c r="G59" s="95"/>
      <c r="H59" s="80"/>
      <c r="I59" s="95"/>
      <c r="J59" s="81"/>
      <c r="K59" s="80"/>
      <c r="L59" s="82"/>
      <c r="M59" s="82"/>
      <c r="N59" s="83"/>
      <c r="O59" s="83"/>
      <c r="P59" s="105" t="e">
        <f t="shared" si="2"/>
        <v>#DIV/0!</v>
      </c>
      <c r="Q59" s="106" t="e">
        <f t="shared" si="3"/>
        <v>#DIV/0!</v>
      </c>
    </row>
    <row r="60" spans="1:17" s="84" customFormat="1" ht="20.100000000000001" customHeight="1">
      <c r="A60" s="78"/>
      <c r="B60" s="78"/>
      <c r="C60" s="77"/>
      <c r="D60" s="80"/>
      <c r="E60" s="80"/>
      <c r="F60" s="79"/>
      <c r="G60" s="95"/>
      <c r="H60" s="80"/>
      <c r="I60" s="95"/>
      <c r="J60" s="81"/>
      <c r="K60" s="80"/>
      <c r="L60" s="82"/>
      <c r="M60" s="82"/>
      <c r="N60" s="83"/>
      <c r="O60" s="83"/>
      <c r="P60" s="105" t="e">
        <f t="shared" si="2"/>
        <v>#DIV/0!</v>
      </c>
      <c r="Q60" s="106" t="e">
        <f t="shared" si="3"/>
        <v>#DIV/0!</v>
      </c>
    </row>
    <row r="61" spans="1:17" s="84" customFormat="1" ht="20.100000000000001" customHeight="1">
      <c r="A61" s="78"/>
      <c r="B61" s="78"/>
      <c r="C61" s="77"/>
      <c r="D61" s="80"/>
      <c r="E61" s="80"/>
      <c r="F61" s="79"/>
      <c r="G61" s="95"/>
      <c r="H61" s="80"/>
      <c r="I61" s="95"/>
      <c r="J61" s="81"/>
      <c r="K61" s="80"/>
      <c r="L61" s="82"/>
      <c r="M61" s="82"/>
      <c r="N61" s="83"/>
      <c r="O61" s="83"/>
      <c r="P61" s="105" t="e">
        <f t="shared" si="2"/>
        <v>#DIV/0!</v>
      </c>
      <c r="Q61" s="106" t="e">
        <f t="shared" si="3"/>
        <v>#DIV/0!</v>
      </c>
    </row>
    <row r="62" spans="1:17" s="84" customFormat="1" ht="20.100000000000001" customHeight="1">
      <c r="A62" s="78"/>
      <c r="B62" s="78"/>
      <c r="C62" s="77"/>
      <c r="D62" s="80"/>
      <c r="E62" s="80"/>
      <c r="F62" s="79"/>
      <c r="G62" s="95"/>
      <c r="H62" s="80"/>
      <c r="I62" s="95"/>
      <c r="J62" s="81"/>
      <c r="K62" s="80"/>
      <c r="L62" s="82"/>
      <c r="M62" s="82"/>
      <c r="N62" s="83"/>
      <c r="O62" s="83"/>
      <c r="P62" s="105" t="e">
        <f t="shared" si="2"/>
        <v>#DIV/0!</v>
      </c>
      <c r="Q62" s="106" t="e">
        <f t="shared" si="3"/>
        <v>#DIV/0!</v>
      </c>
    </row>
    <row r="63" spans="1:17" s="84" customFormat="1" ht="20.100000000000001" customHeight="1">
      <c r="A63" s="78"/>
      <c r="B63" s="78"/>
      <c r="C63" s="77"/>
      <c r="D63" s="80"/>
      <c r="E63" s="80"/>
      <c r="F63" s="79"/>
      <c r="G63" s="95"/>
      <c r="H63" s="80"/>
      <c r="I63" s="95"/>
      <c r="J63" s="81"/>
      <c r="K63" s="80"/>
      <c r="L63" s="82"/>
      <c r="M63" s="82"/>
      <c r="N63" s="83"/>
      <c r="O63" s="83"/>
      <c r="P63" s="105" t="e">
        <f t="shared" si="2"/>
        <v>#DIV/0!</v>
      </c>
      <c r="Q63" s="106" t="e">
        <f t="shared" si="3"/>
        <v>#DIV/0!</v>
      </c>
    </row>
    <row r="64" spans="1:17" s="84" customFormat="1" ht="20.100000000000001" customHeight="1">
      <c r="A64" s="78"/>
      <c r="B64" s="78"/>
      <c r="C64" s="77"/>
      <c r="D64" s="80"/>
      <c r="E64" s="80"/>
      <c r="F64" s="79"/>
      <c r="G64" s="95"/>
      <c r="H64" s="80"/>
      <c r="I64" s="95"/>
      <c r="J64" s="81"/>
      <c r="K64" s="80"/>
      <c r="L64" s="82"/>
      <c r="M64" s="82"/>
      <c r="N64" s="83"/>
      <c r="O64" s="83"/>
      <c r="P64" s="105" t="e">
        <f t="shared" si="2"/>
        <v>#DIV/0!</v>
      </c>
      <c r="Q64" s="106" t="e">
        <f t="shared" si="3"/>
        <v>#DIV/0!</v>
      </c>
    </row>
    <row r="65" spans="1:17" s="84" customFormat="1" ht="20.100000000000001" customHeight="1">
      <c r="A65" s="78"/>
      <c r="B65" s="78"/>
      <c r="C65" s="77"/>
      <c r="D65" s="80"/>
      <c r="E65" s="80"/>
      <c r="F65" s="79"/>
      <c r="G65" s="95"/>
      <c r="H65" s="80"/>
      <c r="I65" s="95"/>
      <c r="J65" s="81"/>
      <c r="K65" s="80"/>
      <c r="L65" s="82"/>
      <c r="M65" s="82"/>
      <c r="N65" s="83"/>
      <c r="O65" s="83"/>
      <c r="P65" s="105" t="e">
        <f t="shared" si="2"/>
        <v>#DIV/0!</v>
      </c>
      <c r="Q65" s="106" t="e">
        <f t="shared" si="3"/>
        <v>#DIV/0!</v>
      </c>
    </row>
    <row r="66" spans="1:17" s="84" customFormat="1" ht="20.100000000000001" customHeight="1">
      <c r="A66" s="78"/>
      <c r="B66" s="78"/>
      <c r="C66" s="77"/>
      <c r="D66" s="80"/>
      <c r="E66" s="80"/>
      <c r="F66" s="79"/>
      <c r="G66" s="95"/>
      <c r="H66" s="80"/>
      <c r="I66" s="95"/>
      <c r="J66" s="81"/>
      <c r="K66" s="80"/>
      <c r="L66" s="82"/>
      <c r="M66" s="82"/>
      <c r="N66" s="83"/>
      <c r="O66" s="83"/>
      <c r="P66" s="105" t="e">
        <f t="shared" si="2"/>
        <v>#DIV/0!</v>
      </c>
      <c r="Q66" s="106" t="e">
        <f t="shared" si="3"/>
        <v>#DIV/0!</v>
      </c>
    </row>
    <row r="67" spans="1:17" s="84" customFormat="1" ht="20.100000000000001" customHeight="1">
      <c r="A67" s="78"/>
      <c r="B67" s="78"/>
      <c r="C67" s="77"/>
      <c r="D67" s="80"/>
      <c r="E67" s="80"/>
      <c r="F67" s="79"/>
      <c r="G67" s="95"/>
      <c r="H67" s="80"/>
      <c r="I67" s="95"/>
      <c r="J67" s="81"/>
      <c r="K67" s="80"/>
      <c r="L67" s="82"/>
      <c r="M67" s="82"/>
      <c r="N67" s="83"/>
      <c r="O67" s="83"/>
      <c r="P67" s="105" t="e">
        <f t="shared" si="2"/>
        <v>#DIV/0!</v>
      </c>
      <c r="Q67" s="106" t="e">
        <f t="shared" si="3"/>
        <v>#DIV/0!</v>
      </c>
    </row>
    <row r="854275" spans="2:17" ht="20.100000000000001" customHeight="1">
      <c r="B854275" s="11"/>
      <c r="C854275" s="10"/>
      <c r="F854275" s="10"/>
      <c r="G854275" s="98"/>
      <c r="I854275" s="98"/>
      <c r="N854275" s="11"/>
      <c r="O854275" s="11"/>
      <c r="P854275" s="15"/>
      <c r="Q854275" s="15"/>
    </row>
    <row r="854276" spans="2:17" ht="20.100000000000001" customHeight="1">
      <c r="B854276" s="11"/>
      <c r="C854276" s="10"/>
      <c r="F854276" s="10"/>
      <c r="G854276" s="98"/>
      <c r="I854276" s="98"/>
      <c r="N854276" s="11"/>
      <c r="O854276" s="11"/>
      <c r="P854276" s="15"/>
      <c r="Q854276" s="15"/>
    </row>
    <row r="854277" spans="2:17" ht="20.100000000000001" customHeight="1">
      <c r="B854277" s="11"/>
      <c r="C854277" s="10"/>
      <c r="F854277" s="10"/>
      <c r="G854277" s="98"/>
      <c r="I854277" s="98"/>
      <c r="N854277" s="11"/>
      <c r="O854277" s="11"/>
      <c r="P854277" s="15"/>
      <c r="Q854277" s="15"/>
    </row>
    <row r="854278" spans="2:17" ht="20.100000000000001" customHeight="1">
      <c r="B854278" s="11"/>
      <c r="C854278" s="10"/>
      <c r="F854278" s="10"/>
      <c r="G854278" s="98"/>
      <c r="I854278" s="98"/>
      <c r="N854278" s="11"/>
      <c r="O854278" s="11"/>
      <c r="P854278" s="15"/>
      <c r="Q854278" s="15"/>
    </row>
    <row r="854279" spans="2:17" ht="20.100000000000001" customHeight="1">
      <c r="B854279" s="11"/>
      <c r="C854279" s="10"/>
      <c r="F854279" s="10"/>
      <c r="G854279" s="98"/>
      <c r="I854279" s="98"/>
      <c r="N854279" s="11"/>
      <c r="O854279" s="11"/>
      <c r="P854279" s="15"/>
      <c r="Q854279" s="15"/>
    </row>
    <row r="854280" spans="2:17" ht="20.100000000000001" customHeight="1">
      <c r="B854280" s="11"/>
      <c r="C854280" s="10"/>
      <c r="F854280" s="10"/>
      <c r="G854280" s="98"/>
      <c r="I854280" s="98"/>
      <c r="N854280" s="11"/>
      <c r="O854280" s="11"/>
      <c r="P854280" s="15"/>
      <c r="Q854280" s="15"/>
    </row>
    <row r="854281" spans="2:17" ht="20.100000000000001" customHeight="1">
      <c r="B854281" s="11"/>
      <c r="C854281" s="10"/>
      <c r="F854281" s="10"/>
      <c r="G854281" s="98"/>
      <c r="I854281" s="98"/>
      <c r="N854281" s="11"/>
      <c r="O854281" s="11"/>
      <c r="P854281" s="15"/>
      <c r="Q854281" s="15"/>
    </row>
    <row r="854282" spans="2:17" ht="20.100000000000001" customHeight="1">
      <c r="B854282" s="11"/>
      <c r="C854282" s="10"/>
      <c r="F854282" s="10"/>
      <c r="G854282" s="98"/>
      <c r="I854282" s="98"/>
      <c r="N854282" s="11"/>
      <c r="O854282" s="11"/>
      <c r="P854282" s="15"/>
      <c r="Q854282" s="15"/>
    </row>
    <row r="854283" spans="2:17" ht="20.100000000000001" customHeight="1">
      <c r="B854283" s="11"/>
      <c r="C854283" s="10"/>
      <c r="F854283" s="10"/>
      <c r="G854283" s="98"/>
      <c r="I854283" s="98"/>
      <c r="N854283" s="11"/>
      <c r="O854283" s="11"/>
      <c r="P854283" s="15"/>
      <c r="Q854283" s="15"/>
    </row>
    <row r="854284" spans="2:17" ht="20.100000000000001" customHeight="1">
      <c r="B854284" s="11"/>
      <c r="C854284" s="10"/>
      <c r="F854284" s="10"/>
      <c r="G854284" s="98"/>
      <c r="I854284" s="98"/>
      <c r="N854284" s="11"/>
      <c r="O854284" s="11"/>
      <c r="P854284" s="15"/>
      <c r="Q854284" s="15"/>
    </row>
    <row r="854285" spans="2:17" ht="20.100000000000001" customHeight="1">
      <c r="B854285" s="11"/>
      <c r="C854285" s="10"/>
      <c r="F854285" s="10"/>
      <c r="G854285" s="98"/>
      <c r="I854285" s="98"/>
      <c r="N854285" s="11"/>
      <c r="O854285" s="11"/>
      <c r="P854285" s="15"/>
      <c r="Q854285" s="15"/>
    </row>
    <row r="854286" spans="2:17" ht="20.100000000000001" customHeight="1">
      <c r="B854286" s="11"/>
      <c r="C854286" s="10"/>
      <c r="F854286" s="10"/>
      <c r="G854286" s="98"/>
      <c r="I854286" s="98"/>
      <c r="N854286" s="11"/>
      <c r="O854286" s="11"/>
      <c r="P854286" s="15"/>
      <c r="Q854286" s="15"/>
    </row>
    <row r="854287" spans="2:17" ht="20.100000000000001" customHeight="1">
      <c r="B854287" s="11"/>
      <c r="C854287" s="10"/>
      <c r="F854287" s="10"/>
      <c r="G854287" s="98"/>
      <c r="I854287" s="98"/>
      <c r="N854287" s="11"/>
      <c r="O854287" s="11"/>
      <c r="P854287" s="15"/>
      <c r="Q854287" s="15"/>
    </row>
    <row r="854288" spans="2:17" ht="20.100000000000001" customHeight="1">
      <c r="B854288" s="11"/>
      <c r="C854288" s="10"/>
      <c r="F854288" s="10"/>
      <c r="G854288" s="98"/>
      <c r="I854288" s="98"/>
      <c r="N854288" s="11"/>
      <c r="O854288" s="11"/>
      <c r="P854288" s="15"/>
      <c r="Q854288" s="15"/>
    </row>
    <row r="854289" spans="2:17" ht="20.100000000000001" customHeight="1">
      <c r="B854289" s="11"/>
      <c r="C854289" s="10"/>
      <c r="F854289" s="10"/>
      <c r="G854289" s="98"/>
      <c r="I854289" s="98"/>
      <c r="N854289" s="11"/>
      <c r="O854289" s="11"/>
      <c r="P854289" s="15"/>
      <c r="Q854289" s="15"/>
    </row>
    <row r="854290" spans="2:17" ht="20.100000000000001" customHeight="1">
      <c r="B854290" s="11"/>
      <c r="C854290" s="10"/>
      <c r="F854290" s="10"/>
      <c r="G854290" s="98"/>
      <c r="I854290" s="98"/>
      <c r="N854290" s="11"/>
      <c r="O854290" s="11"/>
      <c r="P854290" s="15"/>
      <c r="Q854290" s="15"/>
    </row>
    <row r="854291" spans="2:17" ht="20.100000000000001" customHeight="1">
      <c r="B854291" s="11"/>
      <c r="C854291" s="10"/>
      <c r="F854291" s="10"/>
      <c r="G854291" s="98"/>
      <c r="I854291" s="98"/>
      <c r="N854291" s="11"/>
      <c r="O854291" s="11"/>
      <c r="P854291" s="15"/>
      <c r="Q854291" s="15"/>
    </row>
    <row r="854292" spans="2:17" ht="20.100000000000001" customHeight="1">
      <c r="B854292" s="11"/>
      <c r="C854292" s="10"/>
      <c r="F854292" s="10"/>
      <c r="G854292" s="98"/>
      <c r="I854292" s="98"/>
      <c r="N854292" s="11"/>
      <c r="O854292" s="11"/>
      <c r="P854292" s="15"/>
      <c r="Q854292" s="15"/>
    </row>
    <row r="854293" spans="2:17" ht="20.100000000000001" customHeight="1">
      <c r="B854293" s="11"/>
      <c r="C854293" s="10"/>
      <c r="F854293" s="10"/>
      <c r="G854293" s="98"/>
      <c r="I854293" s="98"/>
      <c r="N854293" s="11"/>
      <c r="O854293" s="11"/>
      <c r="P854293" s="15"/>
      <c r="Q854293" s="15"/>
    </row>
    <row r="854294" spans="2:17" ht="20.100000000000001" customHeight="1">
      <c r="B854294" s="11"/>
      <c r="C854294" s="10"/>
      <c r="F854294" s="10"/>
      <c r="G854294" s="98"/>
      <c r="I854294" s="98"/>
      <c r="N854294" s="11"/>
      <c r="O854294" s="11"/>
      <c r="P854294" s="15"/>
      <c r="Q854294" s="15"/>
    </row>
    <row r="854295" spans="2:17" ht="20.100000000000001" customHeight="1">
      <c r="B854295" s="11"/>
      <c r="C854295" s="10"/>
      <c r="F854295" s="10"/>
      <c r="G854295" s="98"/>
      <c r="I854295" s="98"/>
      <c r="N854295" s="11"/>
      <c r="O854295" s="11"/>
      <c r="P854295" s="15"/>
      <c r="Q854295" s="15"/>
    </row>
    <row r="854296" spans="2:17" ht="20.100000000000001" customHeight="1">
      <c r="B854296" s="11"/>
      <c r="C854296" s="10"/>
      <c r="F854296" s="10"/>
      <c r="G854296" s="98"/>
      <c r="I854296" s="98"/>
      <c r="N854296" s="11"/>
      <c r="O854296" s="11"/>
      <c r="P854296" s="15"/>
      <c r="Q854296" s="15"/>
    </row>
    <row r="854297" spans="2:17" ht="20.100000000000001" customHeight="1">
      <c r="B854297" s="11"/>
      <c r="C854297" s="10"/>
      <c r="F854297" s="10"/>
      <c r="G854297" s="98"/>
      <c r="I854297" s="98"/>
      <c r="N854297" s="11"/>
      <c r="O854297" s="11"/>
      <c r="P854297" s="15"/>
      <c r="Q854297" s="15"/>
    </row>
    <row r="854298" spans="2:17" ht="20.100000000000001" customHeight="1">
      <c r="B854298" s="11"/>
      <c r="C854298" s="10"/>
      <c r="F854298" s="10"/>
      <c r="G854298" s="98"/>
      <c r="I854298" s="98"/>
      <c r="N854298" s="11"/>
      <c r="O854298" s="11"/>
      <c r="P854298" s="15"/>
      <c r="Q854298" s="15"/>
    </row>
    <row r="854299" spans="2:17" ht="20.100000000000001" customHeight="1">
      <c r="B854299" s="11"/>
      <c r="C854299" s="10"/>
      <c r="F854299" s="10"/>
      <c r="G854299" s="98"/>
      <c r="I854299" s="98"/>
      <c r="N854299" s="11"/>
      <c r="O854299" s="11"/>
      <c r="P854299" s="15"/>
      <c r="Q854299" s="15"/>
    </row>
    <row r="854300" spans="2:17" ht="20.100000000000001" customHeight="1">
      <c r="B854300" s="11"/>
      <c r="C854300" s="10"/>
      <c r="F854300" s="10"/>
      <c r="G854300" s="98"/>
      <c r="I854300" s="98"/>
      <c r="N854300" s="11"/>
      <c r="O854300" s="11"/>
      <c r="P854300" s="15"/>
      <c r="Q854300" s="15"/>
    </row>
    <row r="854301" spans="2:17" ht="20.100000000000001" customHeight="1">
      <c r="B854301" s="11"/>
      <c r="C854301" s="10"/>
      <c r="F854301" s="10"/>
      <c r="G854301" s="98"/>
      <c r="I854301" s="98"/>
      <c r="N854301" s="11"/>
      <c r="O854301" s="11"/>
      <c r="P854301" s="15"/>
      <c r="Q854301" s="15"/>
    </row>
    <row r="854302" spans="2:17" ht="20.100000000000001" customHeight="1">
      <c r="B854302" s="11"/>
      <c r="C854302" s="10"/>
      <c r="F854302" s="10"/>
      <c r="G854302" s="98"/>
      <c r="I854302" s="98"/>
      <c r="N854302" s="11"/>
      <c r="O854302" s="11"/>
      <c r="P854302" s="15"/>
      <c r="Q854302" s="15"/>
    </row>
    <row r="854303" spans="2:17" ht="20.100000000000001" customHeight="1">
      <c r="B854303" s="11"/>
      <c r="C854303" s="10"/>
      <c r="F854303" s="10"/>
      <c r="G854303" s="98"/>
      <c r="I854303" s="98"/>
      <c r="N854303" s="11"/>
      <c r="O854303" s="11"/>
      <c r="P854303" s="15"/>
      <c r="Q854303" s="15"/>
    </row>
    <row r="854304" spans="2:17" ht="20.100000000000001" customHeight="1">
      <c r="B854304" s="11"/>
      <c r="C854304" s="10"/>
      <c r="F854304" s="10"/>
      <c r="G854304" s="98"/>
      <c r="I854304" s="98"/>
      <c r="N854304" s="11"/>
      <c r="O854304" s="11"/>
      <c r="P854304" s="15"/>
      <c r="Q854304" s="15"/>
    </row>
    <row r="854305" spans="2:17" ht="20.100000000000001" customHeight="1">
      <c r="B854305" s="11"/>
      <c r="C854305" s="10"/>
      <c r="F854305" s="10"/>
      <c r="G854305" s="98"/>
      <c r="I854305" s="98"/>
      <c r="N854305" s="11"/>
      <c r="O854305" s="11"/>
      <c r="P854305" s="15"/>
      <c r="Q854305" s="15"/>
    </row>
    <row r="854306" spans="2:17" ht="20.100000000000001" customHeight="1">
      <c r="B854306" s="11"/>
      <c r="C854306" s="10"/>
      <c r="F854306" s="10"/>
      <c r="G854306" s="98"/>
      <c r="I854306" s="98"/>
      <c r="N854306" s="11"/>
      <c r="O854306" s="11"/>
      <c r="P854306" s="15"/>
      <c r="Q854306" s="15"/>
    </row>
    <row r="854307" spans="2:17" ht="20.100000000000001" customHeight="1">
      <c r="B854307" s="11"/>
      <c r="C854307" s="10"/>
      <c r="F854307" s="10"/>
      <c r="G854307" s="98"/>
      <c r="I854307" s="98"/>
      <c r="N854307" s="11"/>
      <c r="O854307" s="11"/>
      <c r="P854307" s="15"/>
      <c r="Q854307" s="15"/>
    </row>
    <row r="854308" spans="2:17" ht="20.100000000000001" customHeight="1">
      <c r="B854308" s="11"/>
      <c r="C854308" s="10"/>
      <c r="F854308" s="10"/>
      <c r="G854308" s="98"/>
      <c r="I854308" s="98"/>
      <c r="N854308" s="11"/>
      <c r="O854308" s="11"/>
      <c r="P854308" s="15"/>
      <c r="Q854308" s="15"/>
    </row>
    <row r="854309" spans="2:17" ht="20.100000000000001" customHeight="1">
      <c r="B854309" s="11"/>
      <c r="C854309" s="10"/>
      <c r="F854309" s="10"/>
      <c r="G854309" s="98"/>
      <c r="I854309" s="98"/>
      <c r="N854309" s="11"/>
      <c r="O854309" s="11"/>
      <c r="P854309" s="15"/>
      <c r="Q854309" s="15"/>
    </row>
  </sheetData>
  <sheetProtection selectLockedCells="1"/>
  <sortState ref="A3:Q69">
    <sortCondition ref="C3"/>
  </sortState>
  <dataConsolidate/>
  <phoneticPr fontId="1" type="noConversion"/>
  <conditionalFormatting sqref="A3:Q67">
    <cfRule type="expression" dxfId="794" priority="482">
      <formula>IF(#REF!=62.5,1,0)</formula>
    </cfRule>
    <cfRule type="expression" dxfId="793" priority="483">
      <formula>IF(#REF!=61.5,1,0)</formula>
    </cfRule>
    <cfRule type="expression" dxfId="792" priority="484">
      <formula>IF(#REF!=60.5,1,0)</formula>
    </cfRule>
    <cfRule type="expression" dxfId="791" priority="485">
      <formula>IF(#REF!=59.5,1,0)</formula>
    </cfRule>
    <cfRule type="expression" dxfId="790" priority="486">
      <formula>IF(#REF!=58.5,1,0)</formula>
    </cfRule>
    <cfRule type="expression" dxfId="789" priority="487">
      <formula>IF(#REF!=57.5,1,0)</formula>
    </cfRule>
    <cfRule type="expression" dxfId="788" priority="488">
      <formula>IF(#REF!=55.5,1,0)</formula>
    </cfRule>
    <cfRule type="expression" dxfId="787" priority="489">
      <formula>IF(#REF!=53.5,1,0)</formula>
    </cfRule>
    <cfRule type="expression" dxfId="786" priority="490">
      <formula>IF(#REF!=51.5,1,0)</formula>
    </cfRule>
    <cfRule type="expression" dxfId="785" priority="491">
      <formula>IF(#REF!=52.5,1,0)</formula>
    </cfRule>
  </conditionalFormatting>
  <conditionalFormatting sqref="F1:F1048576 B1:B1048576">
    <cfRule type="cellIs" dxfId="784" priority="461" operator="equal">
      <formula>"Armapro"</formula>
    </cfRule>
  </conditionalFormatting>
  <conditionalFormatting sqref="A37:Q37 A25:Q25 A19:Q19 A8:Q11">
    <cfRule type="expression" dxfId="783" priority="279">
      <formula>IF(#REF!=62.5,1,0)</formula>
    </cfRule>
    <cfRule type="expression" dxfId="782" priority="280">
      <formula>IF(#REF!=61.5,1,0)</formula>
    </cfRule>
    <cfRule type="expression" dxfId="781" priority="281">
      <formula>IF(#REF!=60.5,1,0)</formula>
    </cfRule>
    <cfRule type="expression" dxfId="780" priority="282">
      <formula>IF(#REF!=59.5,1,0)</formula>
    </cfRule>
    <cfRule type="expression" dxfId="779" priority="283">
      <formula>IF(#REF!=58.5,1,0)</formula>
    </cfRule>
    <cfRule type="expression" dxfId="778" priority="284">
      <formula>IF(#REF!=57.5,1,0)</formula>
    </cfRule>
    <cfRule type="expression" dxfId="777" priority="285">
      <formula>IF(#REF!=55.5,1,0)</formula>
    </cfRule>
    <cfRule type="expression" dxfId="776" priority="286">
      <formula>IF(#REF!=53.5,1,0)</formula>
    </cfRule>
    <cfRule type="expression" dxfId="775" priority="287">
      <formula>IF(#REF!=51.5,1,0)</formula>
    </cfRule>
    <cfRule type="expression" dxfId="774" priority="288">
      <formula>IF(#REF!=52.5,1,0)</formula>
    </cfRule>
  </conditionalFormatting>
  <conditionalFormatting sqref="A26:Q30 A34:Q37 A24:Q24 A9:Q9">
    <cfRule type="expression" dxfId="773" priority="269">
      <formula>IF(#REF!=62.5,1,0)</formula>
    </cfRule>
    <cfRule type="expression" dxfId="772" priority="270">
      <formula>IF(#REF!=61.5,1,0)</formula>
    </cfRule>
    <cfRule type="expression" dxfId="771" priority="271">
      <formula>IF(#REF!=60.5,1,0)</formula>
    </cfRule>
    <cfRule type="expression" dxfId="770" priority="272">
      <formula>IF(#REF!=59.5,1,0)</formula>
    </cfRule>
    <cfRule type="expression" dxfId="769" priority="273">
      <formula>IF(#REF!=58.5,1,0)</formula>
    </cfRule>
    <cfRule type="expression" dxfId="768" priority="274">
      <formula>IF(#REF!=57.5,1,0)</formula>
    </cfRule>
    <cfRule type="expression" dxfId="767" priority="275">
      <formula>IF(#REF!=55.5,1,0)</formula>
    </cfRule>
    <cfRule type="expression" dxfId="766" priority="276">
      <formula>IF(#REF!=53.5,1,0)</formula>
    </cfRule>
    <cfRule type="expression" dxfId="765" priority="277">
      <formula>IF(#REF!=51.5,1,0)</formula>
    </cfRule>
    <cfRule type="expression" dxfId="764" priority="278">
      <formula>IF(#REF!=52.5,1,0)</formula>
    </cfRule>
  </conditionalFormatting>
  <conditionalFormatting sqref="A8:B11 E8:O11 A25:B27 E25:O27 A34:B37 E34:O37 E22:E26 A15:B21 B12:B36 E15:O21">
    <cfRule type="expression" dxfId="763" priority="256">
      <formula>IF($B8="P7",1,0)</formula>
    </cfRule>
    <cfRule type="expression" dxfId="762" priority="257">
      <formula>IF($B8="P5",1,0)</formula>
    </cfRule>
  </conditionalFormatting>
  <conditionalFormatting sqref="B37 A4:Q7 A12:Q36">
    <cfRule type="expression" dxfId="761" priority="246">
      <formula>IF(#REF!=62.5,1,0)</formula>
    </cfRule>
    <cfRule type="expression" dxfId="760" priority="247">
      <formula>IF(#REF!=61.5,1,0)</formula>
    </cfRule>
    <cfRule type="expression" dxfId="759" priority="248">
      <formula>IF(#REF!=60.5,1,0)</formula>
    </cfRule>
    <cfRule type="expression" dxfId="758" priority="249">
      <formula>IF(#REF!=59.5,1,0)</formula>
    </cfRule>
    <cfRule type="expression" dxfId="757" priority="250">
      <formula>IF(#REF!=58.5,1,0)</formula>
    </cfRule>
    <cfRule type="expression" dxfId="756" priority="251">
      <formula>IF(#REF!=57.5,1,0)</formula>
    </cfRule>
    <cfRule type="expression" dxfId="755" priority="252">
      <formula>IF(#REF!=55.5,1,0)</formula>
    </cfRule>
    <cfRule type="expression" dxfId="754" priority="253">
      <formula>IF(#REF!=53.5,1,0)</formula>
    </cfRule>
    <cfRule type="expression" dxfId="753" priority="254">
      <formula>IF(#REF!=51.5,1,0)</formula>
    </cfRule>
    <cfRule type="expression" dxfId="752" priority="255">
      <formula>IF(#REF!=52.5,1,0)</formula>
    </cfRule>
  </conditionalFormatting>
  <conditionalFormatting sqref="A4:B7 E4:O7">
    <cfRule type="expression" dxfId="751" priority="243">
      <formula>IF($B4="P7",1,0)</formula>
    </cfRule>
    <cfRule type="expression" dxfId="750" priority="244">
      <formula>IF($B4="P5",1,0)</formula>
    </cfRule>
  </conditionalFormatting>
  <conditionalFormatting sqref="A12:B14 E12:O14">
    <cfRule type="expression" dxfId="749" priority="230">
      <formula>IF($B12="P7",1,0)</formula>
    </cfRule>
    <cfRule type="expression" dxfId="748" priority="231">
      <formula>IF($B12="P5",1,0)</formula>
    </cfRule>
  </conditionalFormatting>
  <conditionalFormatting sqref="A22:B24 E22:O24">
    <cfRule type="expression" dxfId="747" priority="158">
      <formula>IF($B22="P7",1,0)</formula>
    </cfRule>
    <cfRule type="expression" dxfId="746" priority="159">
      <formula>IF($B22="P5",1,0)</formula>
    </cfRule>
  </conditionalFormatting>
  <conditionalFormatting sqref="A28:B33 E28:O33">
    <cfRule type="expression" dxfId="745" priority="102">
      <formula>IF($B28="P7",1,0)</formula>
    </cfRule>
    <cfRule type="expression" dxfId="744" priority="103">
      <formula>IF($B28="P5",1,0)</formula>
    </cfRule>
  </conditionalFormatting>
  <conditionalFormatting sqref="E37:O37 A37:B37">
    <cfRule type="expression" dxfId="743" priority="25">
      <formula>IF($B37="P7",1,0)</formula>
    </cfRule>
    <cfRule type="expression" dxfId="742" priority="26">
      <formula>IF($B37="P5",1,0)</formula>
    </cfRule>
  </conditionalFormatting>
  <conditionalFormatting sqref="E37">
    <cfRule type="expression" dxfId="741" priority="2">
      <formula>IF(#REF!=62.5,1,0)</formula>
    </cfRule>
    <cfRule type="expression" dxfId="740" priority="3">
      <formula>IF(#REF!=61.5,1,0)</formula>
    </cfRule>
    <cfRule type="expression" dxfId="739" priority="4">
      <formula>IF(#REF!=60.5,1,0)</formula>
    </cfRule>
    <cfRule type="expression" dxfId="738" priority="5">
      <formula>IF(#REF!=59.5,1,0)</formula>
    </cfRule>
    <cfRule type="expression" dxfId="737" priority="6">
      <formula>IF(#REF!=58.5,1,0)</formula>
    </cfRule>
    <cfRule type="expression" dxfId="736" priority="7">
      <formula>IF(#REF!=57.5,1,0)</formula>
    </cfRule>
    <cfRule type="expression" dxfId="735" priority="8">
      <formula>IF(#REF!=55.5,1,0)</formula>
    </cfRule>
    <cfRule type="expression" dxfId="734" priority="9">
      <formula>IF(#REF!=53.5,1,0)</formula>
    </cfRule>
    <cfRule type="expression" dxfId="733" priority="10">
      <formula>IF(#REF!=51.5,1,0)</formula>
    </cfRule>
    <cfRule type="expression" dxfId="732" priority="11">
      <formula>IF(#REF!=52.5,1,0)</formula>
    </cfRule>
  </conditionalFormatting>
  <conditionalFormatting sqref="P1:Q1048576">
    <cfRule type="containsErrors" dxfId="731" priority="1">
      <formula>ISERROR(P1)</formula>
    </cfRule>
  </conditionalFormatting>
  <dataValidations count="5">
    <dataValidation type="list" allowBlank="1" showInputMessage="1" showErrorMessage="1" sqref="A38:A1048576">
      <formula1>"51,52,53,55,56,58,59,60,61,62,"</formula1>
    </dataValidation>
    <dataValidation type="list" allowBlank="1" showInputMessage="1" showErrorMessage="1" sqref="A3:A10 A15:A37">
      <formula1>"51,52,55,56,58,59,60,61,62,63,"</formula1>
    </dataValidation>
    <dataValidation type="list" allowBlank="1" showInputMessage="1" showErrorMessage="1" sqref="D3:D10 D15:D1048576">
      <formula1>Client</formula1>
    </dataValidation>
    <dataValidation allowBlank="1" showInputMessage="1" sqref="A1:A2 A11:A14"/>
    <dataValidation type="list" allowBlank="1" showInputMessage="1" showErrorMessage="1" sqref="B3:B1048576">
      <formula1>Statut</formula1>
    </dataValidation>
  </dataValidations>
  <pageMargins left="0.25" right="0.25" top="0.75" bottom="0.75" header="0.3" footer="0.3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9" tint="-0.249977111117893"/>
    <pageSetUpPr fitToPage="1"/>
  </sheetPr>
  <dimension ref="A1:Q854318"/>
  <sheetViews>
    <sheetView showGridLines="0" showZeros="0" zoomScale="67" zoomScaleNormal="67" zoomScalePageLayoutView="49" workbookViewId="0">
      <selection activeCell="E4" sqref="E4:E24"/>
    </sheetView>
  </sheetViews>
  <sheetFormatPr baseColWidth="10" defaultColWidth="11.5546875" defaultRowHeight="20.100000000000001" customHeight="1"/>
  <cols>
    <col min="1" max="1" width="8" style="16" customWidth="1"/>
    <col min="2" max="2" width="8.5546875" style="10" customWidth="1"/>
    <col min="3" max="3" width="10.33203125" style="17" customWidth="1"/>
    <col min="4" max="4" width="25.77734375" style="11" customWidth="1"/>
    <col min="5" max="5" width="7.6640625" style="11" customWidth="1"/>
    <col min="6" max="6" width="11.88671875" style="12" customWidth="1"/>
    <col min="7" max="7" width="11.88671875" style="99" customWidth="1"/>
    <col min="8" max="8" width="10.6640625" style="11" customWidth="1"/>
    <col min="9" max="9" width="11.88671875" style="99" customWidth="1"/>
    <col min="10" max="10" width="25.77734375" style="13" customWidth="1"/>
    <col min="11" max="11" width="8.6640625" style="11" customWidth="1"/>
    <col min="12" max="13" width="8.6640625" style="14" customWidth="1"/>
    <col min="14" max="17" width="10.6640625" style="18" customWidth="1"/>
    <col min="18" max="16384" width="11.5546875" style="16"/>
  </cols>
  <sheetData>
    <row r="1" spans="1:17" ht="20.100000000000001" customHeight="1" thickTop="1">
      <c r="A1" s="76" t="s">
        <v>146</v>
      </c>
      <c r="B1" s="20"/>
      <c r="C1" s="22">
        <f ca="1">TODAY()</f>
        <v>43090</v>
      </c>
      <c r="D1" s="102">
        <f ca="1">TODAY()</f>
        <v>43090</v>
      </c>
      <c r="E1" s="20"/>
      <c r="F1" s="74" t="s">
        <v>141</v>
      </c>
      <c r="G1" s="96" t="s">
        <v>0</v>
      </c>
      <c r="H1" s="76" t="s">
        <v>2</v>
      </c>
      <c r="I1" s="96" t="s">
        <v>0</v>
      </c>
      <c r="J1" s="103">
        <f ca="1">TODAY()</f>
        <v>43090</v>
      </c>
      <c r="K1" s="20"/>
      <c r="L1" s="20"/>
      <c r="M1" s="20"/>
      <c r="N1" s="75" t="s">
        <v>17</v>
      </c>
      <c r="O1" s="75" t="s">
        <v>17</v>
      </c>
      <c r="P1" s="19" t="s">
        <v>34</v>
      </c>
      <c r="Q1" s="19" t="s">
        <v>34</v>
      </c>
    </row>
    <row r="2" spans="1:17" ht="20.100000000000001" customHeight="1">
      <c r="A2" s="25" t="s">
        <v>5</v>
      </c>
      <c r="B2" s="23" t="s">
        <v>1</v>
      </c>
      <c r="C2" s="23" t="s">
        <v>4</v>
      </c>
      <c r="D2" s="23" t="s">
        <v>6</v>
      </c>
      <c r="E2" s="23" t="s">
        <v>3</v>
      </c>
      <c r="F2" s="24" t="s">
        <v>142</v>
      </c>
      <c r="G2" s="97" t="s">
        <v>143</v>
      </c>
      <c r="H2" s="25" t="s">
        <v>7</v>
      </c>
      <c r="I2" s="97" t="s">
        <v>8</v>
      </c>
      <c r="J2" s="23" t="s">
        <v>12</v>
      </c>
      <c r="K2" s="23" t="s">
        <v>144</v>
      </c>
      <c r="L2" s="23" t="s">
        <v>9</v>
      </c>
      <c r="M2" s="23" t="s">
        <v>10</v>
      </c>
      <c r="N2" s="26" t="s">
        <v>11</v>
      </c>
      <c r="O2" s="26" t="s">
        <v>10</v>
      </c>
      <c r="P2" s="104" t="s">
        <v>147</v>
      </c>
      <c r="Q2" s="104" t="s">
        <v>148</v>
      </c>
    </row>
    <row r="3" spans="1:17" s="84" customFormat="1" ht="20.100000000000001" customHeight="1">
      <c r="A3" s="92">
        <v>51</v>
      </c>
      <c r="B3" s="86"/>
      <c r="C3" s="85"/>
      <c r="D3" s="101" t="s">
        <v>145</v>
      </c>
      <c r="E3" s="88"/>
      <c r="F3" s="87"/>
      <c r="G3" s="100">
        <v>1</v>
      </c>
      <c r="H3" s="88"/>
      <c r="I3" s="100"/>
      <c r="J3" s="101" t="s">
        <v>145</v>
      </c>
      <c r="K3" s="88"/>
      <c r="L3" s="90"/>
      <c r="M3" s="90"/>
      <c r="N3" s="91"/>
      <c r="O3" s="91"/>
      <c r="P3" s="91"/>
      <c r="Q3" s="94"/>
    </row>
    <row r="4" spans="1:17" s="84" customFormat="1" ht="20.100000000000001" customHeight="1">
      <c r="A4" s="78">
        <v>51</v>
      </c>
      <c r="B4" s="78" t="s">
        <v>99</v>
      </c>
      <c r="C4" s="77">
        <v>17555</v>
      </c>
      <c r="D4" s="80"/>
      <c r="E4" s="80" t="s">
        <v>37</v>
      </c>
      <c r="F4" s="79"/>
      <c r="G4" s="95">
        <v>42405</v>
      </c>
      <c r="H4" s="80">
        <v>100</v>
      </c>
      <c r="I4" s="95">
        <v>42356</v>
      </c>
      <c r="J4" s="81" t="s">
        <v>127</v>
      </c>
      <c r="K4" s="80">
        <v>110</v>
      </c>
      <c r="L4" s="82">
        <v>6</v>
      </c>
      <c r="M4" s="82" t="s">
        <v>21</v>
      </c>
      <c r="N4" s="83">
        <v>250</v>
      </c>
      <c r="O4" s="83">
        <v>1250</v>
      </c>
      <c r="P4" s="105">
        <f>(H4*1000)/N4</f>
        <v>400</v>
      </c>
      <c r="Q4" s="106">
        <f>(H4*1000)/O4</f>
        <v>80</v>
      </c>
    </row>
    <row r="5" spans="1:17" s="84" customFormat="1" ht="20.100000000000001" customHeight="1">
      <c r="A5" s="78">
        <v>51</v>
      </c>
      <c r="B5" s="78" t="s">
        <v>99</v>
      </c>
      <c r="C5" s="77">
        <v>32132</v>
      </c>
      <c r="D5" s="80"/>
      <c r="E5" s="80" t="s">
        <v>37</v>
      </c>
      <c r="F5" s="79"/>
      <c r="G5" s="95">
        <v>42587</v>
      </c>
      <c r="H5" s="80">
        <v>250</v>
      </c>
      <c r="I5" s="95">
        <v>42356</v>
      </c>
      <c r="J5" s="81" t="s">
        <v>127</v>
      </c>
      <c r="K5" s="80">
        <v>110</v>
      </c>
      <c r="L5" s="82">
        <v>6</v>
      </c>
      <c r="M5" s="82" t="s">
        <v>21</v>
      </c>
      <c r="N5" s="83">
        <v>250</v>
      </c>
      <c r="O5" s="83">
        <v>1250</v>
      </c>
      <c r="P5" s="105">
        <f>(H5*1000)/N5</f>
        <v>1000</v>
      </c>
      <c r="Q5" s="106">
        <f>(H5*1000)/O5</f>
        <v>200</v>
      </c>
    </row>
    <row r="6" spans="1:17" s="84" customFormat="1" ht="20.100000000000001" customHeight="1">
      <c r="A6" s="92">
        <v>52</v>
      </c>
      <c r="B6" s="86"/>
      <c r="C6" s="85"/>
      <c r="D6" s="88"/>
      <c r="E6" s="88"/>
      <c r="F6" s="87"/>
      <c r="G6" s="100">
        <v>1</v>
      </c>
      <c r="H6" s="88"/>
      <c r="I6" s="100"/>
      <c r="J6" s="89"/>
      <c r="K6" s="88"/>
      <c r="L6" s="90"/>
      <c r="M6" s="90"/>
      <c r="N6" s="91"/>
      <c r="O6" s="91"/>
      <c r="P6" s="91"/>
      <c r="Q6" s="94"/>
    </row>
    <row r="7" spans="1:17" s="84" customFormat="1" ht="20.100000000000001" customHeight="1">
      <c r="A7" s="78">
        <v>52</v>
      </c>
      <c r="B7" s="78" t="s">
        <v>99</v>
      </c>
      <c r="C7" s="77">
        <v>12224</v>
      </c>
      <c r="D7" s="80"/>
      <c r="E7" s="80" t="s">
        <v>37</v>
      </c>
      <c r="F7" s="79"/>
      <c r="G7" s="95">
        <v>42587</v>
      </c>
      <c r="H7" s="80">
        <v>10</v>
      </c>
      <c r="I7" s="95">
        <v>42356</v>
      </c>
      <c r="J7" s="81" t="s">
        <v>127</v>
      </c>
      <c r="K7" s="80">
        <v>110</v>
      </c>
      <c r="L7" s="82">
        <v>6</v>
      </c>
      <c r="M7" s="82" t="s">
        <v>21</v>
      </c>
      <c r="N7" s="83">
        <v>250</v>
      </c>
      <c r="O7" s="83">
        <v>1250</v>
      </c>
      <c r="P7" s="105">
        <f>(H7*1000)/N7</f>
        <v>40</v>
      </c>
      <c r="Q7" s="106">
        <f>(H7*1000)/O7</f>
        <v>8</v>
      </c>
    </row>
    <row r="8" spans="1:17" s="84" customFormat="1" ht="20.100000000000001" customHeight="1">
      <c r="A8" s="92">
        <v>55</v>
      </c>
      <c r="B8" s="86"/>
      <c r="C8" s="85"/>
      <c r="D8" s="88"/>
      <c r="E8" s="88"/>
      <c r="F8" s="87"/>
      <c r="G8" s="100">
        <v>1</v>
      </c>
      <c r="H8" s="88"/>
      <c r="I8" s="100"/>
      <c r="J8" s="89"/>
      <c r="K8" s="88"/>
      <c r="L8" s="90"/>
      <c r="M8" s="90"/>
      <c r="N8" s="91"/>
      <c r="O8" s="91"/>
      <c r="P8" s="91"/>
      <c r="Q8" s="94"/>
    </row>
    <row r="9" spans="1:17" s="84" customFormat="1" ht="20.100000000000001" customHeight="1">
      <c r="A9" s="78">
        <v>55</v>
      </c>
      <c r="B9" s="78" t="s">
        <v>99</v>
      </c>
      <c r="C9" s="77">
        <v>34434</v>
      </c>
      <c r="D9" s="80"/>
      <c r="E9" s="80" t="s">
        <v>37</v>
      </c>
      <c r="F9" s="79"/>
      <c r="G9" s="95">
        <v>42430</v>
      </c>
      <c r="H9" s="80">
        <v>300</v>
      </c>
      <c r="I9" s="95">
        <v>42356</v>
      </c>
      <c r="J9" s="81" t="s">
        <v>127</v>
      </c>
      <c r="K9" s="80">
        <v>110</v>
      </c>
      <c r="L9" s="82">
        <v>6</v>
      </c>
      <c r="M9" s="82" t="s">
        <v>21</v>
      </c>
      <c r="N9" s="83">
        <v>250</v>
      </c>
      <c r="O9" s="83">
        <v>1250</v>
      </c>
      <c r="P9" s="105">
        <f>(H9*1000)/N9</f>
        <v>1200</v>
      </c>
      <c r="Q9" s="106">
        <f>(H9*1000)/O9</f>
        <v>240</v>
      </c>
    </row>
    <row r="10" spans="1:17" s="84" customFormat="1" ht="20.100000000000001" customHeight="1">
      <c r="A10" s="92">
        <v>56</v>
      </c>
      <c r="B10" s="86"/>
      <c r="C10" s="85"/>
      <c r="D10" s="88"/>
      <c r="E10" s="88"/>
      <c r="F10" s="87"/>
      <c r="G10" s="100">
        <v>1</v>
      </c>
      <c r="H10" s="88"/>
      <c r="I10" s="100"/>
      <c r="J10" s="89"/>
      <c r="K10" s="88"/>
      <c r="L10" s="90"/>
      <c r="M10" s="90"/>
      <c r="N10" s="91"/>
      <c r="O10" s="91"/>
      <c r="P10" s="91"/>
      <c r="Q10" s="94"/>
    </row>
    <row r="11" spans="1:17" s="84" customFormat="1" ht="20.100000000000001" customHeight="1">
      <c r="A11" s="78">
        <v>56</v>
      </c>
      <c r="B11" s="78" t="s">
        <v>99</v>
      </c>
      <c r="C11" s="77">
        <v>40141</v>
      </c>
      <c r="D11" s="80"/>
      <c r="E11" s="80" t="s">
        <v>37</v>
      </c>
      <c r="F11" s="79"/>
      <c r="G11" s="95">
        <v>42374</v>
      </c>
      <c r="H11" s="80">
        <v>60</v>
      </c>
      <c r="I11" s="95">
        <v>42356</v>
      </c>
      <c r="J11" s="81" t="s">
        <v>127</v>
      </c>
      <c r="K11" s="80">
        <v>110</v>
      </c>
      <c r="L11" s="82">
        <v>6</v>
      </c>
      <c r="M11" s="82" t="s">
        <v>21</v>
      </c>
      <c r="N11" s="83">
        <v>250</v>
      </c>
      <c r="O11" s="83">
        <v>1250</v>
      </c>
      <c r="P11" s="105">
        <f>(H11*1000)/N11</f>
        <v>240</v>
      </c>
      <c r="Q11" s="106">
        <f>(H11*1000)/O11</f>
        <v>48</v>
      </c>
    </row>
    <row r="12" spans="1:17" s="84" customFormat="1" ht="20.100000000000001" customHeight="1">
      <c r="A12" s="92">
        <v>58</v>
      </c>
      <c r="B12" s="86"/>
      <c r="C12" s="85"/>
      <c r="D12" s="88"/>
      <c r="E12" s="88"/>
      <c r="F12" s="87"/>
      <c r="G12" s="100">
        <v>1</v>
      </c>
      <c r="H12" s="88"/>
      <c r="I12" s="100"/>
      <c r="J12" s="89"/>
      <c r="K12" s="88"/>
      <c r="L12" s="90"/>
      <c r="M12" s="90"/>
      <c r="N12" s="91"/>
      <c r="O12" s="91"/>
      <c r="P12" s="91"/>
      <c r="Q12" s="94"/>
    </row>
    <row r="13" spans="1:17" s="84" customFormat="1" ht="20.100000000000001" customHeight="1">
      <c r="A13" s="78">
        <v>58</v>
      </c>
      <c r="B13" s="78" t="s">
        <v>99</v>
      </c>
      <c r="C13" s="77">
        <v>42849</v>
      </c>
      <c r="D13" s="80"/>
      <c r="E13" s="80" t="s">
        <v>31</v>
      </c>
      <c r="F13" s="79"/>
      <c r="G13" s="95">
        <v>42374</v>
      </c>
      <c r="H13" s="80">
        <v>1000</v>
      </c>
      <c r="I13" s="95">
        <v>42356</v>
      </c>
      <c r="J13" s="81" t="s">
        <v>127</v>
      </c>
      <c r="K13" s="80">
        <v>110</v>
      </c>
      <c r="L13" s="82">
        <v>6</v>
      </c>
      <c r="M13" s="82" t="s">
        <v>21</v>
      </c>
      <c r="N13" s="83">
        <v>250</v>
      </c>
      <c r="O13" s="83">
        <v>1250</v>
      </c>
      <c r="P13" s="105">
        <f>(H13*1000)/N13</f>
        <v>4000</v>
      </c>
      <c r="Q13" s="106">
        <f>(H13*1000)/O13</f>
        <v>800</v>
      </c>
    </row>
    <row r="14" spans="1:17" s="84" customFormat="1" ht="20.100000000000001" customHeight="1">
      <c r="A14" s="78">
        <v>58</v>
      </c>
      <c r="B14" s="78" t="s">
        <v>99</v>
      </c>
      <c r="C14" s="77">
        <v>49000</v>
      </c>
      <c r="D14" s="80"/>
      <c r="E14" s="80" t="s">
        <v>31</v>
      </c>
      <c r="F14" s="79"/>
      <c r="G14" s="95">
        <v>42523</v>
      </c>
      <c r="H14" s="80">
        <v>125</v>
      </c>
      <c r="I14" s="95">
        <v>42356</v>
      </c>
      <c r="J14" s="81" t="s">
        <v>127</v>
      </c>
      <c r="K14" s="80">
        <v>110</v>
      </c>
      <c r="L14" s="82">
        <v>6</v>
      </c>
      <c r="M14" s="82" t="s">
        <v>21</v>
      </c>
      <c r="N14" s="83">
        <v>250</v>
      </c>
      <c r="O14" s="83">
        <v>1250</v>
      </c>
      <c r="P14" s="105">
        <f>(H14*1000)/N14</f>
        <v>500</v>
      </c>
      <c r="Q14" s="106">
        <f>(H14*1000)/O14</f>
        <v>100</v>
      </c>
    </row>
    <row r="15" spans="1:17" s="84" customFormat="1" ht="20.100000000000001" customHeight="1">
      <c r="A15" s="92">
        <v>59</v>
      </c>
      <c r="B15" s="86"/>
      <c r="C15" s="85"/>
      <c r="D15" s="88"/>
      <c r="E15" s="88"/>
      <c r="F15" s="87"/>
      <c r="G15" s="100">
        <v>1</v>
      </c>
      <c r="H15" s="88"/>
      <c r="I15" s="100"/>
      <c r="J15" s="89"/>
      <c r="K15" s="88"/>
      <c r="L15" s="90"/>
      <c r="M15" s="90"/>
      <c r="N15" s="91"/>
      <c r="O15" s="91"/>
      <c r="P15" s="91"/>
      <c r="Q15" s="94"/>
    </row>
    <row r="16" spans="1:17" s="84" customFormat="1" ht="20.100000000000001" customHeight="1">
      <c r="A16" s="78">
        <v>59</v>
      </c>
      <c r="B16" s="78" t="s">
        <v>99</v>
      </c>
      <c r="C16" s="77">
        <v>65748</v>
      </c>
      <c r="D16" s="80"/>
      <c r="E16" s="80" t="s">
        <v>31</v>
      </c>
      <c r="F16" s="79"/>
      <c r="G16" s="95">
        <v>42405</v>
      </c>
      <c r="H16" s="80">
        <v>250</v>
      </c>
      <c r="I16" s="95">
        <v>42356</v>
      </c>
      <c r="J16" s="81" t="s">
        <v>127</v>
      </c>
      <c r="K16" s="80">
        <v>110</v>
      </c>
      <c r="L16" s="82">
        <v>6</v>
      </c>
      <c r="M16" s="82" t="s">
        <v>21</v>
      </c>
      <c r="N16" s="83">
        <v>250</v>
      </c>
      <c r="O16" s="83">
        <v>1250</v>
      </c>
      <c r="P16" s="105">
        <f>(H16*1000)/N16</f>
        <v>1000</v>
      </c>
      <c r="Q16" s="106">
        <f>(H16*1000)/O16</f>
        <v>200</v>
      </c>
    </row>
    <row r="17" spans="1:17" s="84" customFormat="1" ht="20.100000000000001" customHeight="1">
      <c r="A17" s="92">
        <v>60</v>
      </c>
      <c r="B17" s="86"/>
      <c r="C17" s="85"/>
      <c r="D17" s="88"/>
      <c r="E17" s="88"/>
      <c r="F17" s="87"/>
      <c r="G17" s="100">
        <v>1</v>
      </c>
      <c r="H17" s="88"/>
      <c r="I17" s="100"/>
      <c r="J17" s="89"/>
      <c r="K17" s="88"/>
      <c r="L17" s="90"/>
      <c r="M17" s="90"/>
      <c r="N17" s="91"/>
      <c r="O17" s="91"/>
      <c r="P17" s="91"/>
      <c r="Q17" s="94"/>
    </row>
    <row r="18" spans="1:17" s="84" customFormat="1" ht="20.100000000000001" customHeight="1">
      <c r="A18" s="78">
        <v>60</v>
      </c>
      <c r="B18" s="78" t="s">
        <v>99</v>
      </c>
      <c r="C18" s="77">
        <v>90112</v>
      </c>
      <c r="D18" s="80"/>
      <c r="E18" s="80" t="s">
        <v>31</v>
      </c>
      <c r="F18" s="79"/>
      <c r="G18" s="95">
        <v>42434</v>
      </c>
      <c r="H18" s="80">
        <v>125</v>
      </c>
      <c r="I18" s="95">
        <v>42356</v>
      </c>
      <c r="J18" s="81" t="s">
        <v>127</v>
      </c>
      <c r="K18" s="80">
        <v>110</v>
      </c>
      <c r="L18" s="82">
        <v>6</v>
      </c>
      <c r="M18" s="82" t="s">
        <v>21</v>
      </c>
      <c r="N18" s="83">
        <v>250</v>
      </c>
      <c r="O18" s="83">
        <v>1250</v>
      </c>
      <c r="P18" s="105">
        <f>(H18*1000)/N18</f>
        <v>500</v>
      </c>
      <c r="Q18" s="106">
        <f>(H18*1000)/O18</f>
        <v>100</v>
      </c>
    </row>
    <row r="19" spans="1:17" s="84" customFormat="1" ht="20.100000000000001" customHeight="1">
      <c r="A19" s="92">
        <v>61</v>
      </c>
      <c r="B19" s="86"/>
      <c r="C19" s="85"/>
      <c r="D19" s="88"/>
      <c r="E19" s="88"/>
      <c r="F19" s="87"/>
      <c r="G19" s="100">
        <v>1</v>
      </c>
      <c r="H19" s="88"/>
      <c r="I19" s="100"/>
      <c r="J19" s="89"/>
      <c r="K19" s="88"/>
      <c r="L19" s="90"/>
      <c r="M19" s="90"/>
      <c r="N19" s="91"/>
      <c r="O19" s="91"/>
      <c r="P19" s="91"/>
      <c r="Q19" s="94"/>
    </row>
    <row r="20" spans="1:17" s="84" customFormat="1" ht="20.100000000000001" customHeight="1">
      <c r="A20" s="78">
        <v>61</v>
      </c>
      <c r="B20" s="78" t="s">
        <v>99</v>
      </c>
      <c r="C20" s="77">
        <v>90137</v>
      </c>
      <c r="D20" s="80"/>
      <c r="E20" s="80" t="s">
        <v>31</v>
      </c>
      <c r="F20" s="79"/>
      <c r="G20" s="95">
        <v>42403</v>
      </c>
      <c r="H20" s="80">
        <v>100</v>
      </c>
      <c r="I20" s="95">
        <v>42356</v>
      </c>
      <c r="J20" s="81" t="s">
        <v>127</v>
      </c>
      <c r="K20" s="80">
        <v>110</v>
      </c>
      <c r="L20" s="82">
        <v>6</v>
      </c>
      <c r="M20" s="82" t="s">
        <v>21</v>
      </c>
      <c r="N20" s="83">
        <v>250</v>
      </c>
      <c r="O20" s="83">
        <v>1250</v>
      </c>
      <c r="P20" s="105">
        <f>(H20*1000)/N20</f>
        <v>400</v>
      </c>
      <c r="Q20" s="106">
        <f>(H20*1000)/O20</f>
        <v>80</v>
      </c>
    </row>
    <row r="21" spans="1:17" s="84" customFormat="1" ht="20.100000000000001" customHeight="1">
      <c r="A21" s="92">
        <v>62</v>
      </c>
      <c r="B21" s="86"/>
      <c r="C21" s="85"/>
      <c r="D21" s="88"/>
      <c r="E21" s="88"/>
      <c r="F21" s="87"/>
      <c r="G21" s="100">
        <v>1</v>
      </c>
      <c r="H21" s="88"/>
      <c r="I21" s="100"/>
      <c r="J21" s="89"/>
      <c r="K21" s="88"/>
      <c r="L21" s="90"/>
      <c r="M21" s="90"/>
      <c r="N21" s="91"/>
      <c r="O21" s="91"/>
      <c r="P21" s="91"/>
      <c r="Q21" s="94"/>
    </row>
    <row r="22" spans="1:17" s="84" customFormat="1" ht="20.100000000000001" customHeight="1">
      <c r="A22" s="78">
        <v>62</v>
      </c>
      <c r="B22" s="78" t="s">
        <v>99</v>
      </c>
      <c r="C22" s="77">
        <v>90000</v>
      </c>
      <c r="D22" s="80"/>
      <c r="E22" s="80" t="s">
        <v>31</v>
      </c>
      <c r="F22" s="79"/>
      <c r="G22" s="95">
        <v>42587</v>
      </c>
      <c r="H22" s="80">
        <v>50</v>
      </c>
      <c r="I22" s="95">
        <v>42356</v>
      </c>
      <c r="J22" s="81" t="s">
        <v>127</v>
      </c>
      <c r="K22" s="80">
        <v>110</v>
      </c>
      <c r="L22" s="82">
        <v>6</v>
      </c>
      <c r="M22" s="82" t="s">
        <v>21</v>
      </c>
      <c r="N22" s="83">
        <v>250</v>
      </c>
      <c r="O22" s="83">
        <v>1250</v>
      </c>
      <c r="P22" s="105">
        <f>(H22*1000)/N22</f>
        <v>200</v>
      </c>
      <c r="Q22" s="106">
        <f>(H22*1000)/O22</f>
        <v>40</v>
      </c>
    </row>
    <row r="23" spans="1:17" s="84" customFormat="1" ht="20.100000000000001" customHeight="1">
      <c r="A23" s="92">
        <v>63</v>
      </c>
      <c r="B23" s="86"/>
      <c r="C23" s="85"/>
      <c r="D23" s="88"/>
      <c r="E23" s="88"/>
      <c r="F23" s="87"/>
      <c r="G23" s="100">
        <v>1</v>
      </c>
      <c r="H23" s="88"/>
      <c r="I23" s="100"/>
      <c r="J23" s="89"/>
      <c r="K23" s="88"/>
      <c r="L23" s="90"/>
      <c r="M23" s="90"/>
      <c r="N23" s="91"/>
      <c r="O23" s="91"/>
      <c r="P23" s="91"/>
      <c r="Q23" s="94"/>
    </row>
    <row r="24" spans="1:17" s="84" customFormat="1" ht="20.100000000000001" customHeight="1">
      <c r="A24" s="78">
        <v>63</v>
      </c>
      <c r="B24" s="78" t="s">
        <v>99</v>
      </c>
      <c r="C24" s="77">
        <v>98888</v>
      </c>
      <c r="D24" s="80"/>
      <c r="E24" s="80" t="s">
        <v>37</v>
      </c>
      <c r="F24" s="79"/>
      <c r="G24" s="95">
        <v>42587</v>
      </c>
      <c r="H24" s="80">
        <v>300</v>
      </c>
      <c r="I24" s="95">
        <v>42356</v>
      </c>
      <c r="J24" s="81" t="s">
        <v>127</v>
      </c>
      <c r="K24" s="80">
        <v>110</v>
      </c>
      <c r="L24" s="82">
        <v>6</v>
      </c>
      <c r="M24" s="82" t="s">
        <v>21</v>
      </c>
      <c r="N24" s="83">
        <v>250</v>
      </c>
      <c r="O24" s="83">
        <v>1250</v>
      </c>
      <c r="P24" s="105">
        <f>(H24*1000)/N24</f>
        <v>1200</v>
      </c>
      <c r="Q24" s="106">
        <f>(H24*1000)/O24</f>
        <v>240</v>
      </c>
    </row>
    <row r="25" spans="1:17" s="84" customFormat="1" ht="20.100000000000001" customHeight="1">
      <c r="B25" s="78"/>
      <c r="C25" s="77"/>
      <c r="D25" s="80"/>
      <c r="E25" s="80"/>
      <c r="F25" s="79"/>
      <c r="G25" s="95"/>
      <c r="H25" s="80"/>
      <c r="I25" s="95"/>
      <c r="J25" s="81"/>
      <c r="K25" s="80"/>
      <c r="L25" s="82"/>
      <c r="M25" s="82"/>
      <c r="N25" s="83"/>
      <c r="O25" s="83"/>
      <c r="P25" s="83"/>
      <c r="Q25" s="93"/>
    </row>
    <row r="26" spans="1:17" s="84" customFormat="1" ht="20.100000000000001" customHeight="1">
      <c r="B26" s="78"/>
      <c r="C26" s="77"/>
      <c r="D26" s="80"/>
      <c r="E26" s="80"/>
      <c r="F26" s="79"/>
      <c r="G26" s="95"/>
      <c r="H26" s="80"/>
      <c r="I26" s="95"/>
      <c r="J26" s="81"/>
      <c r="K26" s="80"/>
      <c r="L26" s="82"/>
      <c r="M26" s="82"/>
      <c r="N26" s="83"/>
      <c r="O26" s="83"/>
      <c r="P26" s="83"/>
      <c r="Q26" s="93"/>
    </row>
    <row r="27" spans="1:17" s="84" customFormat="1" ht="20.100000000000001" customHeight="1">
      <c r="B27" s="78"/>
      <c r="C27" s="77"/>
      <c r="D27" s="80"/>
      <c r="E27" s="80"/>
      <c r="F27" s="79"/>
      <c r="G27" s="95"/>
      <c r="H27" s="80"/>
      <c r="I27" s="95"/>
      <c r="J27" s="81"/>
      <c r="K27" s="80"/>
      <c r="L27" s="82"/>
      <c r="M27" s="82"/>
      <c r="N27" s="83"/>
      <c r="O27" s="83"/>
      <c r="P27" s="83"/>
      <c r="Q27" s="93"/>
    </row>
    <row r="28" spans="1:17" s="84" customFormat="1" ht="20.100000000000001" customHeight="1">
      <c r="B28" s="78"/>
      <c r="C28" s="77"/>
      <c r="D28" s="80"/>
      <c r="E28" s="80"/>
      <c r="F28" s="79"/>
      <c r="G28" s="95"/>
      <c r="H28" s="80"/>
      <c r="I28" s="95"/>
      <c r="J28" s="81"/>
      <c r="K28" s="80"/>
      <c r="L28" s="82"/>
      <c r="M28" s="82"/>
      <c r="N28" s="83"/>
      <c r="O28" s="83"/>
      <c r="P28" s="83"/>
      <c r="Q28" s="93"/>
    </row>
    <row r="29" spans="1:17" s="84" customFormat="1" ht="20.100000000000001" customHeight="1">
      <c r="B29" s="78"/>
      <c r="C29" s="77"/>
      <c r="D29" s="80"/>
      <c r="E29" s="80"/>
      <c r="F29" s="79"/>
      <c r="G29" s="95"/>
      <c r="H29" s="80"/>
      <c r="I29" s="95"/>
      <c r="J29" s="81"/>
      <c r="K29" s="80"/>
      <c r="L29" s="82"/>
      <c r="M29" s="82"/>
      <c r="N29" s="83"/>
      <c r="O29" s="83"/>
      <c r="P29" s="83"/>
      <c r="Q29" s="93"/>
    </row>
    <row r="30" spans="1:17" s="84" customFormat="1" ht="20.100000000000001" customHeight="1">
      <c r="B30" s="78"/>
      <c r="C30" s="77"/>
      <c r="D30" s="80"/>
      <c r="E30" s="80"/>
      <c r="F30" s="79"/>
      <c r="G30" s="95"/>
      <c r="H30" s="80"/>
      <c r="I30" s="95"/>
      <c r="J30" s="81"/>
      <c r="K30" s="80"/>
      <c r="L30" s="82"/>
      <c r="M30" s="82"/>
      <c r="N30" s="83"/>
      <c r="O30" s="83"/>
      <c r="P30" s="83"/>
      <c r="Q30" s="93"/>
    </row>
    <row r="31" spans="1:17" s="84" customFormat="1" ht="20.100000000000001" customHeight="1">
      <c r="B31" s="78"/>
      <c r="C31" s="77"/>
      <c r="D31" s="80"/>
      <c r="E31" s="80"/>
      <c r="F31" s="79"/>
      <c r="G31" s="95"/>
      <c r="H31" s="80"/>
      <c r="I31" s="95"/>
      <c r="J31" s="81"/>
      <c r="K31" s="80"/>
      <c r="L31" s="82"/>
      <c r="M31" s="82"/>
      <c r="N31" s="83"/>
      <c r="O31" s="83"/>
      <c r="P31" s="83"/>
      <c r="Q31" s="93"/>
    </row>
    <row r="32" spans="1:17" s="84" customFormat="1" ht="20.100000000000001" customHeight="1">
      <c r="B32" s="78"/>
      <c r="C32" s="77"/>
      <c r="D32" s="80"/>
      <c r="E32" s="80"/>
      <c r="F32" s="79"/>
      <c r="G32" s="95"/>
      <c r="H32" s="80"/>
      <c r="I32" s="95"/>
      <c r="J32" s="81"/>
      <c r="K32" s="80"/>
      <c r="L32" s="82"/>
      <c r="M32" s="82"/>
      <c r="N32" s="83"/>
      <c r="O32" s="83"/>
      <c r="P32" s="83"/>
      <c r="Q32" s="93"/>
    </row>
    <row r="33" spans="2:17" s="84" customFormat="1" ht="20.100000000000001" customHeight="1">
      <c r="B33" s="78"/>
      <c r="C33" s="77"/>
      <c r="D33" s="80"/>
      <c r="E33" s="80"/>
      <c r="F33" s="79"/>
      <c r="G33" s="95"/>
      <c r="H33" s="80"/>
      <c r="I33" s="95"/>
      <c r="J33" s="81"/>
      <c r="K33" s="80"/>
      <c r="L33" s="82"/>
      <c r="M33" s="82"/>
      <c r="N33" s="83"/>
      <c r="O33" s="83"/>
      <c r="P33" s="83"/>
      <c r="Q33" s="93"/>
    </row>
    <row r="34" spans="2:17" s="84" customFormat="1" ht="20.100000000000001" customHeight="1">
      <c r="B34" s="78"/>
      <c r="C34" s="77"/>
      <c r="D34" s="80"/>
      <c r="E34" s="80"/>
      <c r="F34" s="79"/>
      <c r="G34" s="95"/>
      <c r="H34" s="80"/>
      <c r="I34" s="95"/>
      <c r="J34" s="81"/>
      <c r="K34" s="80"/>
      <c r="L34" s="82"/>
      <c r="M34" s="82"/>
      <c r="N34" s="83"/>
      <c r="O34" s="83"/>
      <c r="P34" s="83"/>
      <c r="Q34" s="93"/>
    </row>
    <row r="35" spans="2:17" s="84" customFormat="1" ht="20.100000000000001" customHeight="1">
      <c r="B35" s="78"/>
      <c r="C35" s="77"/>
      <c r="D35" s="80"/>
      <c r="E35" s="80"/>
      <c r="F35" s="79"/>
      <c r="G35" s="95"/>
      <c r="H35" s="80"/>
      <c r="I35" s="95"/>
      <c r="J35" s="81"/>
      <c r="K35" s="80"/>
      <c r="L35" s="82"/>
      <c r="M35" s="82"/>
      <c r="N35" s="83"/>
      <c r="O35" s="83"/>
      <c r="P35" s="83"/>
      <c r="Q35" s="93"/>
    </row>
    <row r="36" spans="2:17" s="84" customFormat="1" ht="20.100000000000001" customHeight="1">
      <c r="B36" s="78"/>
      <c r="C36" s="77"/>
      <c r="D36" s="80"/>
      <c r="E36" s="80"/>
      <c r="F36" s="79"/>
      <c r="G36" s="95"/>
      <c r="H36" s="80"/>
      <c r="I36" s="95"/>
      <c r="J36" s="81"/>
      <c r="K36" s="80"/>
      <c r="L36" s="82"/>
      <c r="M36" s="82"/>
      <c r="N36" s="83"/>
      <c r="O36" s="83"/>
      <c r="P36" s="83"/>
      <c r="Q36" s="93"/>
    </row>
    <row r="37" spans="2:17" s="84" customFormat="1" ht="20.100000000000001" customHeight="1">
      <c r="B37" s="78"/>
      <c r="C37" s="77"/>
      <c r="D37" s="80"/>
      <c r="E37" s="80"/>
      <c r="F37" s="79"/>
      <c r="G37" s="95"/>
      <c r="H37" s="80"/>
      <c r="I37" s="95"/>
      <c r="J37" s="81"/>
      <c r="K37" s="80"/>
      <c r="L37" s="82"/>
      <c r="M37" s="82"/>
      <c r="N37" s="83"/>
      <c r="O37" s="83"/>
      <c r="P37" s="83"/>
      <c r="Q37" s="93"/>
    </row>
    <row r="38" spans="2:17" s="84" customFormat="1" ht="20.100000000000001" customHeight="1">
      <c r="B38" s="78"/>
      <c r="C38" s="77"/>
      <c r="D38" s="80"/>
      <c r="E38" s="80"/>
      <c r="F38" s="79"/>
      <c r="G38" s="95"/>
      <c r="H38" s="80"/>
      <c r="I38" s="95"/>
      <c r="J38" s="81"/>
      <c r="K38" s="80"/>
      <c r="L38" s="82"/>
      <c r="M38" s="82"/>
      <c r="N38" s="83"/>
      <c r="O38" s="83"/>
      <c r="P38" s="83"/>
      <c r="Q38" s="93"/>
    </row>
    <row r="39" spans="2:17" s="84" customFormat="1" ht="20.100000000000001" customHeight="1">
      <c r="B39" s="78"/>
      <c r="C39" s="77"/>
      <c r="D39" s="80"/>
      <c r="E39" s="80"/>
      <c r="F39" s="79"/>
      <c r="G39" s="95"/>
      <c r="H39" s="80"/>
      <c r="I39" s="95"/>
      <c r="J39" s="81"/>
      <c r="K39" s="80"/>
      <c r="L39" s="82"/>
      <c r="M39" s="82"/>
      <c r="N39" s="83"/>
      <c r="O39" s="83"/>
      <c r="P39" s="83"/>
      <c r="Q39" s="93"/>
    </row>
    <row r="40" spans="2:17" s="84" customFormat="1" ht="20.100000000000001" customHeight="1">
      <c r="B40" s="78"/>
      <c r="C40" s="77"/>
      <c r="D40" s="80"/>
      <c r="E40" s="80"/>
      <c r="F40" s="79"/>
      <c r="G40" s="95"/>
      <c r="H40" s="80"/>
      <c r="I40" s="95"/>
      <c r="J40" s="81"/>
      <c r="K40" s="80"/>
      <c r="L40" s="82"/>
      <c r="M40" s="82"/>
      <c r="N40" s="83"/>
      <c r="O40" s="83"/>
      <c r="P40" s="83"/>
      <c r="Q40" s="93"/>
    </row>
    <row r="41" spans="2:17" s="84" customFormat="1" ht="20.100000000000001" customHeight="1">
      <c r="B41" s="78"/>
      <c r="C41" s="77"/>
      <c r="D41" s="80"/>
      <c r="E41" s="80"/>
      <c r="F41" s="79"/>
      <c r="G41" s="95"/>
      <c r="H41" s="80"/>
      <c r="I41" s="95"/>
      <c r="J41" s="81"/>
      <c r="K41" s="80"/>
      <c r="L41" s="82"/>
      <c r="M41" s="82"/>
      <c r="N41" s="83"/>
      <c r="O41" s="83"/>
      <c r="P41" s="83"/>
      <c r="Q41" s="93"/>
    </row>
    <row r="42" spans="2:17" s="84" customFormat="1" ht="20.100000000000001" customHeight="1">
      <c r="B42" s="78"/>
      <c r="C42" s="77"/>
      <c r="D42" s="80"/>
      <c r="E42" s="80"/>
      <c r="F42" s="79"/>
      <c r="G42" s="95"/>
      <c r="H42" s="80"/>
      <c r="I42" s="95"/>
      <c r="J42" s="81"/>
      <c r="K42" s="80"/>
      <c r="L42" s="82"/>
      <c r="M42" s="82"/>
      <c r="N42" s="83"/>
      <c r="O42" s="83"/>
      <c r="P42" s="83"/>
      <c r="Q42" s="93"/>
    </row>
    <row r="43" spans="2:17" s="84" customFormat="1" ht="20.100000000000001" customHeight="1">
      <c r="B43" s="78"/>
      <c r="C43" s="77"/>
      <c r="D43" s="80"/>
      <c r="E43" s="80"/>
      <c r="F43" s="79"/>
      <c r="G43" s="95"/>
      <c r="H43" s="80"/>
      <c r="I43" s="95"/>
      <c r="J43" s="81"/>
      <c r="K43" s="80"/>
      <c r="L43" s="82"/>
      <c r="M43" s="82"/>
      <c r="N43" s="83"/>
      <c r="O43" s="83"/>
      <c r="P43" s="83"/>
      <c r="Q43" s="93"/>
    </row>
    <row r="44" spans="2:17" s="84" customFormat="1" ht="20.100000000000001" customHeight="1">
      <c r="B44" s="78"/>
      <c r="C44" s="77"/>
      <c r="D44" s="80"/>
      <c r="E44" s="80"/>
      <c r="F44" s="79"/>
      <c r="G44" s="95"/>
      <c r="H44" s="80"/>
      <c r="I44" s="95"/>
      <c r="J44" s="81"/>
      <c r="K44" s="80"/>
      <c r="L44" s="82"/>
      <c r="M44" s="82"/>
      <c r="N44" s="83"/>
      <c r="O44" s="83"/>
      <c r="P44" s="83"/>
      <c r="Q44" s="93"/>
    </row>
    <row r="45" spans="2:17" s="84" customFormat="1" ht="20.100000000000001" customHeight="1">
      <c r="B45" s="78"/>
      <c r="C45" s="77"/>
      <c r="D45" s="80"/>
      <c r="E45" s="80"/>
      <c r="F45" s="79"/>
      <c r="G45" s="95"/>
      <c r="H45" s="80"/>
      <c r="I45" s="95"/>
      <c r="J45" s="81"/>
      <c r="K45" s="80"/>
      <c r="L45" s="82"/>
      <c r="M45" s="82"/>
      <c r="N45" s="83"/>
      <c r="O45" s="83"/>
      <c r="P45" s="83"/>
      <c r="Q45" s="93"/>
    </row>
    <row r="46" spans="2:17" s="84" customFormat="1" ht="20.100000000000001" customHeight="1">
      <c r="B46" s="78"/>
      <c r="C46" s="77"/>
      <c r="D46" s="80"/>
      <c r="E46" s="80"/>
      <c r="F46" s="79"/>
      <c r="G46" s="95"/>
      <c r="H46" s="80"/>
      <c r="I46" s="95"/>
      <c r="J46" s="81"/>
      <c r="K46" s="80"/>
      <c r="L46" s="82"/>
      <c r="M46" s="82"/>
      <c r="N46" s="83"/>
      <c r="O46" s="83"/>
      <c r="P46" s="83"/>
      <c r="Q46" s="93"/>
    </row>
    <row r="47" spans="2:17" s="84" customFormat="1" ht="20.100000000000001" customHeight="1">
      <c r="B47" s="78"/>
      <c r="C47" s="77"/>
      <c r="D47" s="80"/>
      <c r="E47" s="80"/>
      <c r="F47" s="79"/>
      <c r="G47" s="95"/>
      <c r="H47" s="80"/>
      <c r="I47" s="95"/>
      <c r="J47" s="81"/>
      <c r="K47" s="80"/>
      <c r="L47" s="82"/>
      <c r="M47" s="82"/>
      <c r="N47" s="83"/>
      <c r="O47" s="83"/>
      <c r="P47" s="83"/>
      <c r="Q47" s="93"/>
    </row>
    <row r="48" spans="2:17" s="84" customFormat="1" ht="20.100000000000001" customHeight="1">
      <c r="B48" s="78"/>
      <c r="C48" s="77"/>
      <c r="D48" s="80"/>
      <c r="E48" s="80"/>
      <c r="F48" s="79"/>
      <c r="G48" s="95"/>
      <c r="H48" s="80"/>
      <c r="I48" s="95"/>
      <c r="J48" s="81"/>
      <c r="K48" s="80"/>
      <c r="L48" s="82"/>
      <c r="M48" s="82"/>
      <c r="N48" s="83"/>
      <c r="O48" s="83"/>
      <c r="P48" s="83"/>
      <c r="Q48" s="93"/>
    </row>
    <row r="49" spans="2:17" s="84" customFormat="1" ht="20.100000000000001" customHeight="1">
      <c r="B49" s="78"/>
      <c r="C49" s="77"/>
      <c r="D49" s="80"/>
      <c r="E49" s="80"/>
      <c r="F49" s="79"/>
      <c r="G49" s="95"/>
      <c r="H49" s="80"/>
      <c r="I49" s="95"/>
      <c r="J49" s="81"/>
      <c r="K49" s="80"/>
      <c r="L49" s="82"/>
      <c r="M49" s="82"/>
      <c r="N49" s="83"/>
      <c r="O49" s="83"/>
      <c r="P49" s="83"/>
      <c r="Q49" s="93"/>
    </row>
    <row r="50" spans="2:17" s="84" customFormat="1" ht="20.100000000000001" customHeight="1">
      <c r="B50" s="78"/>
      <c r="C50" s="77"/>
      <c r="D50" s="80"/>
      <c r="E50" s="80"/>
      <c r="F50" s="79"/>
      <c r="G50" s="95"/>
      <c r="H50" s="80"/>
      <c r="I50" s="95"/>
      <c r="J50" s="81"/>
      <c r="K50" s="80"/>
      <c r="L50" s="82"/>
      <c r="M50" s="82"/>
      <c r="N50" s="83"/>
      <c r="O50" s="83"/>
      <c r="P50" s="83"/>
      <c r="Q50" s="93"/>
    </row>
    <row r="51" spans="2:17" s="84" customFormat="1" ht="20.100000000000001" customHeight="1">
      <c r="B51" s="78"/>
      <c r="C51" s="77"/>
      <c r="D51" s="80"/>
      <c r="E51" s="80"/>
      <c r="F51" s="79"/>
      <c r="G51" s="95"/>
      <c r="H51" s="80"/>
      <c r="I51" s="95"/>
      <c r="J51" s="81"/>
      <c r="K51" s="80"/>
      <c r="L51" s="82"/>
      <c r="M51" s="82"/>
      <c r="N51" s="83"/>
      <c r="O51" s="83"/>
      <c r="P51" s="83"/>
      <c r="Q51" s="93"/>
    </row>
    <row r="52" spans="2:17" s="84" customFormat="1" ht="20.100000000000001" customHeight="1">
      <c r="B52" s="78"/>
      <c r="C52" s="77"/>
      <c r="D52" s="80"/>
      <c r="E52" s="80"/>
      <c r="F52" s="79"/>
      <c r="G52" s="95"/>
      <c r="H52" s="80"/>
      <c r="I52" s="95"/>
      <c r="J52" s="81"/>
      <c r="K52" s="80"/>
      <c r="L52" s="82"/>
      <c r="M52" s="82"/>
      <c r="N52" s="83"/>
      <c r="O52" s="83"/>
      <c r="P52" s="83"/>
      <c r="Q52" s="93"/>
    </row>
    <row r="854284" spans="2:17" ht="20.100000000000001" customHeight="1">
      <c r="B854284" s="11"/>
      <c r="C854284" s="10"/>
      <c r="F854284" s="10"/>
      <c r="G854284" s="98"/>
      <c r="I854284" s="98"/>
      <c r="N854284" s="11"/>
      <c r="O854284" s="11"/>
      <c r="P854284" s="15"/>
      <c r="Q854284" s="15"/>
    </row>
    <row r="854285" spans="2:17" ht="20.100000000000001" customHeight="1">
      <c r="B854285" s="11"/>
      <c r="C854285" s="10"/>
      <c r="F854285" s="10"/>
      <c r="G854285" s="98"/>
      <c r="I854285" s="98"/>
      <c r="N854285" s="11"/>
      <c r="O854285" s="11"/>
      <c r="P854285" s="15"/>
      <c r="Q854285" s="15"/>
    </row>
    <row r="854286" spans="2:17" ht="20.100000000000001" customHeight="1">
      <c r="B854286" s="11"/>
      <c r="C854286" s="10"/>
      <c r="F854286" s="10"/>
      <c r="G854286" s="98"/>
      <c r="I854286" s="98"/>
      <c r="N854286" s="11"/>
      <c r="O854286" s="11"/>
      <c r="P854286" s="15"/>
      <c r="Q854286" s="15"/>
    </row>
    <row r="854287" spans="2:17" ht="20.100000000000001" customHeight="1">
      <c r="B854287" s="11"/>
      <c r="C854287" s="10"/>
      <c r="F854287" s="10"/>
      <c r="G854287" s="98"/>
      <c r="I854287" s="98"/>
      <c r="N854287" s="11"/>
      <c r="O854287" s="11"/>
      <c r="P854287" s="15"/>
      <c r="Q854287" s="15"/>
    </row>
    <row r="854288" spans="2:17" ht="20.100000000000001" customHeight="1">
      <c r="B854288" s="11"/>
      <c r="C854288" s="10"/>
      <c r="F854288" s="10"/>
      <c r="G854288" s="98"/>
      <c r="I854288" s="98"/>
      <c r="N854288" s="11"/>
      <c r="O854288" s="11"/>
      <c r="P854288" s="15"/>
      <c r="Q854288" s="15"/>
    </row>
    <row r="854289" spans="2:17" ht="20.100000000000001" customHeight="1">
      <c r="B854289" s="11"/>
      <c r="C854289" s="10"/>
      <c r="F854289" s="10"/>
      <c r="G854289" s="98"/>
      <c r="I854289" s="98"/>
      <c r="N854289" s="11"/>
      <c r="O854289" s="11"/>
      <c r="P854289" s="15"/>
      <c r="Q854289" s="15"/>
    </row>
    <row r="854290" spans="2:17" ht="20.100000000000001" customHeight="1">
      <c r="B854290" s="11"/>
      <c r="C854290" s="10"/>
      <c r="F854290" s="10"/>
      <c r="G854290" s="98"/>
      <c r="I854290" s="98"/>
      <c r="N854290" s="11"/>
      <c r="O854290" s="11"/>
      <c r="P854290" s="15"/>
      <c r="Q854290" s="15"/>
    </row>
    <row r="854291" spans="2:17" ht="20.100000000000001" customHeight="1">
      <c r="B854291" s="11"/>
      <c r="C854291" s="10"/>
      <c r="F854291" s="10"/>
      <c r="G854291" s="98"/>
      <c r="I854291" s="98"/>
      <c r="N854291" s="11"/>
      <c r="O854291" s="11"/>
      <c r="P854291" s="15"/>
      <c r="Q854291" s="15"/>
    </row>
    <row r="854292" spans="2:17" ht="20.100000000000001" customHeight="1">
      <c r="B854292" s="11"/>
      <c r="C854292" s="10"/>
      <c r="F854292" s="10"/>
      <c r="G854292" s="98"/>
      <c r="I854292" s="98"/>
      <c r="N854292" s="11"/>
      <c r="O854292" s="11"/>
      <c r="P854292" s="15"/>
      <c r="Q854292" s="15"/>
    </row>
    <row r="854293" spans="2:17" ht="20.100000000000001" customHeight="1">
      <c r="B854293" s="11"/>
      <c r="C854293" s="10"/>
      <c r="F854293" s="10"/>
      <c r="G854293" s="98"/>
      <c r="I854293" s="98"/>
      <c r="N854293" s="11"/>
      <c r="O854293" s="11"/>
      <c r="P854293" s="15"/>
      <c r="Q854293" s="15"/>
    </row>
    <row r="854294" spans="2:17" ht="20.100000000000001" customHeight="1">
      <c r="B854294" s="11"/>
      <c r="C854294" s="10"/>
      <c r="F854294" s="10"/>
      <c r="G854294" s="98"/>
      <c r="I854294" s="98"/>
      <c r="N854294" s="11"/>
      <c r="O854294" s="11"/>
      <c r="P854294" s="15"/>
      <c r="Q854294" s="15"/>
    </row>
    <row r="854295" spans="2:17" ht="20.100000000000001" customHeight="1">
      <c r="B854295" s="11"/>
      <c r="C854295" s="10"/>
      <c r="F854295" s="10"/>
      <c r="G854295" s="98"/>
      <c r="I854295" s="98"/>
      <c r="N854295" s="11"/>
      <c r="O854295" s="11"/>
      <c r="P854295" s="15"/>
      <c r="Q854295" s="15"/>
    </row>
    <row r="854296" spans="2:17" ht="20.100000000000001" customHeight="1">
      <c r="B854296" s="11"/>
      <c r="C854296" s="10"/>
      <c r="F854296" s="10"/>
      <c r="G854296" s="98"/>
      <c r="I854296" s="98"/>
      <c r="N854296" s="11"/>
      <c r="O854296" s="11"/>
      <c r="P854296" s="15"/>
      <c r="Q854296" s="15"/>
    </row>
    <row r="854297" spans="2:17" ht="20.100000000000001" customHeight="1">
      <c r="B854297" s="11"/>
      <c r="C854297" s="10"/>
      <c r="F854297" s="10"/>
      <c r="G854297" s="98"/>
      <c r="I854297" s="98"/>
      <c r="N854297" s="11"/>
      <c r="O854297" s="11"/>
      <c r="P854297" s="15"/>
      <c r="Q854297" s="15"/>
    </row>
    <row r="854298" spans="2:17" ht="20.100000000000001" customHeight="1">
      <c r="B854298" s="11"/>
      <c r="C854298" s="10"/>
      <c r="F854298" s="10"/>
      <c r="G854298" s="98"/>
      <c r="I854298" s="98"/>
      <c r="N854298" s="11"/>
      <c r="O854298" s="11"/>
      <c r="P854298" s="15"/>
      <c r="Q854298" s="15"/>
    </row>
    <row r="854299" spans="2:17" ht="20.100000000000001" customHeight="1">
      <c r="B854299" s="11"/>
      <c r="C854299" s="10"/>
      <c r="F854299" s="10"/>
      <c r="G854299" s="98"/>
      <c r="I854299" s="98"/>
      <c r="N854299" s="11"/>
      <c r="O854299" s="11"/>
      <c r="P854299" s="15"/>
      <c r="Q854299" s="15"/>
    </row>
    <row r="854300" spans="2:17" ht="20.100000000000001" customHeight="1">
      <c r="B854300" s="11"/>
      <c r="C854300" s="10"/>
      <c r="F854300" s="10"/>
      <c r="G854300" s="98"/>
      <c r="I854300" s="98"/>
      <c r="N854300" s="11"/>
      <c r="O854300" s="11"/>
      <c r="P854300" s="15"/>
      <c r="Q854300" s="15"/>
    </row>
    <row r="854301" spans="2:17" ht="20.100000000000001" customHeight="1">
      <c r="B854301" s="11"/>
      <c r="C854301" s="10"/>
      <c r="F854301" s="10"/>
      <c r="G854301" s="98"/>
      <c r="I854301" s="98"/>
      <c r="N854301" s="11"/>
      <c r="O854301" s="11"/>
      <c r="P854301" s="15"/>
      <c r="Q854301" s="15"/>
    </row>
    <row r="854302" spans="2:17" ht="20.100000000000001" customHeight="1">
      <c r="B854302" s="11"/>
      <c r="C854302" s="10"/>
      <c r="F854302" s="10"/>
      <c r="G854302" s="98"/>
      <c r="I854302" s="98"/>
      <c r="N854302" s="11"/>
      <c r="O854302" s="11"/>
      <c r="P854302" s="15"/>
      <c r="Q854302" s="15"/>
    </row>
    <row r="854303" spans="2:17" ht="20.100000000000001" customHeight="1">
      <c r="B854303" s="11"/>
      <c r="C854303" s="10"/>
      <c r="F854303" s="10"/>
      <c r="G854303" s="98"/>
      <c r="I854303" s="98"/>
      <c r="N854303" s="11"/>
      <c r="O854303" s="11"/>
      <c r="P854303" s="15"/>
      <c r="Q854303" s="15"/>
    </row>
    <row r="854304" spans="2:17" ht="20.100000000000001" customHeight="1">
      <c r="B854304" s="11"/>
      <c r="C854304" s="10"/>
      <c r="F854304" s="10"/>
      <c r="G854304" s="98"/>
      <c r="I854304" s="98"/>
      <c r="N854304" s="11"/>
      <c r="O854304" s="11"/>
      <c r="P854304" s="15"/>
      <c r="Q854304" s="15"/>
    </row>
    <row r="854305" spans="2:17" ht="20.100000000000001" customHeight="1">
      <c r="B854305" s="11"/>
      <c r="C854305" s="10"/>
      <c r="F854305" s="10"/>
      <c r="G854305" s="98"/>
      <c r="I854305" s="98"/>
      <c r="N854305" s="11"/>
      <c r="O854305" s="11"/>
      <c r="P854305" s="15"/>
      <c r="Q854305" s="15"/>
    </row>
    <row r="854306" spans="2:17" ht="20.100000000000001" customHeight="1">
      <c r="B854306" s="11"/>
      <c r="C854306" s="10"/>
      <c r="F854306" s="10"/>
      <c r="G854306" s="98"/>
      <c r="I854306" s="98"/>
      <c r="N854306" s="11"/>
      <c r="O854306" s="11"/>
      <c r="P854306" s="15"/>
      <c r="Q854306" s="15"/>
    </row>
    <row r="854307" spans="2:17" ht="20.100000000000001" customHeight="1">
      <c r="B854307" s="11"/>
      <c r="C854307" s="10"/>
      <c r="F854307" s="10"/>
      <c r="G854307" s="98"/>
      <c r="I854307" s="98"/>
      <c r="N854307" s="11"/>
      <c r="O854307" s="11"/>
      <c r="P854307" s="15"/>
      <c r="Q854307" s="15"/>
    </row>
    <row r="854308" spans="2:17" ht="20.100000000000001" customHeight="1">
      <c r="B854308" s="11"/>
      <c r="C854308" s="10"/>
      <c r="F854308" s="10"/>
      <c r="G854308" s="98"/>
      <c r="I854308" s="98"/>
      <c r="N854308" s="11"/>
      <c r="O854308" s="11"/>
      <c r="P854308" s="15"/>
      <c r="Q854308" s="15"/>
    </row>
    <row r="854309" spans="2:17" ht="20.100000000000001" customHeight="1">
      <c r="B854309" s="11"/>
      <c r="C854309" s="10"/>
      <c r="F854309" s="10"/>
      <c r="G854309" s="98"/>
      <c r="I854309" s="98"/>
      <c r="N854309" s="11"/>
      <c r="O854309" s="11"/>
      <c r="P854309" s="15"/>
      <c r="Q854309" s="15"/>
    </row>
    <row r="854310" spans="2:17" ht="20.100000000000001" customHeight="1">
      <c r="B854310" s="11"/>
      <c r="C854310" s="10"/>
      <c r="F854310" s="10"/>
      <c r="G854310" s="98"/>
      <c r="I854310" s="98"/>
      <c r="N854310" s="11"/>
      <c r="O854310" s="11"/>
      <c r="P854310" s="15"/>
      <c r="Q854310" s="15"/>
    </row>
    <row r="854311" spans="2:17" ht="20.100000000000001" customHeight="1">
      <c r="B854311" s="11"/>
      <c r="C854311" s="10"/>
      <c r="F854311" s="10"/>
      <c r="G854311" s="98"/>
      <c r="I854311" s="98"/>
      <c r="N854311" s="11"/>
      <c r="O854311" s="11"/>
      <c r="P854311" s="15"/>
      <c r="Q854311" s="15"/>
    </row>
    <row r="854312" spans="2:17" ht="20.100000000000001" customHeight="1">
      <c r="B854312" s="11"/>
      <c r="C854312" s="10"/>
      <c r="F854312" s="10"/>
      <c r="G854312" s="98"/>
      <c r="I854312" s="98"/>
      <c r="N854312" s="11"/>
      <c r="O854312" s="11"/>
      <c r="P854312" s="15"/>
      <c r="Q854312" s="15"/>
    </row>
    <row r="854313" spans="2:17" ht="20.100000000000001" customHeight="1">
      <c r="B854313" s="11"/>
      <c r="C854313" s="10"/>
      <c r="F854313" s="10"/>
      <c r="G854313" s="98"/>
      <c r="I854313" s="98"/>
      <c r="N854313" s="11"/>
      <c r="O854313" s="11"/>
      <c r="P854313" s="15"/>
      <c r="Q854313" s="15"/>
    </row>
    <row r="854314" spans="2:17" ht="20.100000000000001" customHeight="1">
      <c r="B854314" s="11"/>
      <c r="C854314" s="10"/>
      <c r="F854314" s="10"/>
      <c r="G854314" s="98"/>
      <c r="I854314" s="98"/>
      <c r="N854314" s="11"/>
      <c r="O854314" s="11"/>
      <c r="P854314" s="15"/>
      <c r="Q854314" s="15"/>
    </row>
    <row r="854315" spans="2:17" ht="20.100000000000001" customHeight="1">
      <c r="B854315" s="11"/>
      <c r="C854315" s="10"/>
      <c r="F854315" s="10"/>
      <c r="G854315" s="98"/>
      <c r="I854315" s="98"/>
      <c r="N854315" s="11"/>
      <c r="O854315" s="11"/>
      <c r="P854315" s="15"/>
      <c r="Q854315" s="15"/>
    </row>
    <row r="854316" spans="2:17" ht="20.100000000000001" customHeight="1">
      <c r="B854316" s="11"/>
      <c r="C854316" s="10"/>
      <c r="F854316" s="10"/>
      <c r="G854316" s="98"/>
      <c r="I854316" s="98"/>
      <c r="N854316" s="11"/>
      <c r="O854316" s="11"/>
      <c r="P854316" s="15"/>
      <c r="Q854316" s="15"/>
    </row>
    <row r="854317" spans="2:17" ht="20.100000000000001" customHeight="1">
      <c r="B854317" s="11"/>
      <c r="C854317" s="10"/>
      <c r="F854317" s="10"/>
      <c r="G854317" s="98"/>
      <c r="I854317" s="98"/>
      <c r="N854317" s="11"/>
      <c r="O854317" s="11"/>
      <c r="P854317" s="15"/>
      <c r="Q854317" s="15"/>
    </row>
    <row r="854318" spans="2:17" ht="20.100000000000001" customHeight="1">
      <c r="B854318" s="11"/>
      <c r="C854318" s="10"/>
      <c r="F854318" s="10"/>
      <c r="G854318" s="98"/>
      <c r="I854318" s="98"/>
      <c r="N854318" s="11"/>
      <c r="O854318" s="11"/>
      <c r="P854318" s="15"/>
      <c r="Q854318" s="15"/>
    </row>
  </sheetData>
  <sheetProtection selectLockedCells="1"/>
  <sortState ref="A3:Q26">
    <sortCondition ref="A3"/>
    <sortCondition ref="G3"/>
  </sortState>
  <dataConsolidate/>
  <conditionalFormatting sqref="A3:A22 B3:Q52">
    <cfRule type="expression" dxfId="730" priority="9474">
      <formula>IF(#REF!=62.5,1,0)</formula>
    </cfRule>
    <cfRule type="expression" dxfId="729" priority="9475">
      <formula>IF(#REF!=61.5,1,0)</formula>
    </cfRule>
    <cfRule type="expression" dxfId="728" priority="9476">
      <formula>IF(#REF!=60.5,1,0)</formula>
    </cfRule>
    <cfRule type="expression" dxfId="727" priority="9477">
      <formula>IF(#REF!=59.5,1,0)</formula>
    </cfRule>
    <cfRule type="expression" dxfId="726" priority="9478">
      <formula>IF(#REF!=58.5,1,0)</formula>
    </cfRule>
    <cfRule type="expression" dxfId="725" priority="9479">
      <formula>IF(#REF!=57.5,1,0)</formula>
    </cfRule>
    <cfRule type="expression" dxfId="724" priority="9480">
      <formula>IF(#REF!=55.5,1,0)</formula>
    </cfRule>
    <cfRule type="expression" dxfId="723" priority="9481">
      <formula>IF(#REF!=53.5,1,0)</formula>
    </cfRule>
    <cfRule type="expression" dxfId="722" priority="9482">
      <formula>IF(#REF!=51.5,1,0)</formula>
    </cfRule>
    <cfRule type="expression" dxfId="721" priority="9483">
      <formula>IF(#REF!=52.5,1,0)</formula>
    </cfRule>
  </conditionalFormatting>
  <conditionalFormatting sqref="A11:Q11">
    <cfRule type="expression" dxfId="720" priority="6801">
      <formula>IF(#REF!=62.5,1,0)</formula>
    </cfRule>
    <cfRule type="expression" dxfId="719" priority="6802">
      <formula>IF(#REF!=61.5,1,0)</formula>
    </cfRule>
    <cfRule type="expression" dxfId="718" priority="6803">
      <formula>IF(#REF!=60.5,1,0)</formula>
    </cfRule>
    <cfRule type="expression" dxfId="717" priority="6804">
      <formula>IF(#REF!=59.5,1,0)</formula>
    </cfRule>
    <cfRule type="expression" dxfId="716" priority="6805">
      <formula>IF(#REF!=58.5,1,0)</formula>
    </cfRule>
    <cfRule type="expression" dxfId="715" priority="6806">
      <formula>IF(#REF!=57.5,1,0)</formula>
    </cfRule>
    <cfRule type="expression" dxfId="714" priority="6807">
      <formula>IF(#REF!=55.5,1,0)</formula>
    </cfRule>
    <cfRule type="expression" dxfId="713" priority="6808">
      <formula>IF(#REF!=53.5,1,0)</formula>
    </cfRule>
    <cfRule type="expression" dxfId="712" priority="6809">
      <formula>IF(#REF!=51.5,1,0)</formula>
    </cfRule>
    <cfRule type="expression" dxfId="711" priority="6810">
      <formula>IF(#REF!=52.5,1,0)</formula>
    </cfRule>
  </conditionalFormatting>
  <conditionalFormatting sqref="F1:F1048576 B1:B1048576">
    <cfRule type="cellIs" dxfId="710" priority="6800" operator="equal">
      <formula>"Armapro"</formula>
    </cfRule>
  </conditionalFormatting>
  <conditionalFormatting sqref="A10:Q10 A14:Q16">
    <cfRule type="expression" dxfId="709" priority="2807">
      <formula>IF(#REF!=62.5,1,0)</formula>
    </cfRule>
    <cfRule type="expression" dxfId="708" priority="2808">
      <formula>IF(#REF!=61.5,1,0)</formula>
    </cfRule>
    <cfRule type="expression" dxfId="707" priority="2809">
      <formula>IF(#REF!=60.5,1,0)</formula>
    </cfRule>
    <cfRule type="expression" dxfId="706" priority="2810">
      <formula>IF(#REF!=59.5,1,0)</formula>
    </cfRule>
    <cfRule type="expression" dxfId="705" priority="2811">
      <formula>IF(#REF!=58.5,1,0)</formula>
    </cfRule>
    <cfRule type="expression" dxfId="704" priority="2812">
      <formula>IF(#REF!=57.5,1,0)</formula>
    </cfRule>
    <cfRule type="expression" dxfId="703" priority="2813">
      <formula>IF(#REF!=55.5,1,0)</formula>
    </cfRule>
    <cfRule type="expression" dxfId="702" priority="2814">
      <formula>IF(#REF!=53.5,1,0)</formula>
    </cfRule>
    <cfRule type="expression" dxfId="701" priority="2815">
      <formula>IF(#REF!=51.5,1,0)</formula>
    </cfRule>
    <cfRule type="expression" dxfId="700" priority="2816">
      <formula>IF(#REF!=52.5,1,0)</formula>
    </cfRule>
  </conditionalFormatting>
  <conditionalFormatting sqref="E3:O52 B3:B52 A3:A22">
    <cfRule type="expression" dxfId="699" priority="9484">
      <formula>IF($B3="P7",1,0)</formula>
    </cfRule>
    <cfRule type="expression" dxfId="698" priority="9485">
      <formula>IF($B3="P5",1,0)</formula>
    </cfRule>
  </conditionalFormatting>
  <conditionalFormatting sqref="A12:Q13 A15:Q16">
    <cfRule type="expression" dxfId="697" priority="685">
      <formula>IF(#REF!=62.5,1,0)</formula>
    </cfRule>
    <cfRule type="expression" dxfId="696" priority="686">
      <formula>IF(#REF!=61.5,1,0)</formula>
    </cfRule>
    <cfRule type="expression" dxfId="695" priority="687">
      <formula>IF(#REF!=60.5,1,0)</formula>
    </cfRule>
    <cfRule type="expression" dxfId="694" priority="688">
      <formula>IF(#REF!=59.5,1,0)</formula>
    </cfRule>
    <cfRule type="expression" dxfId="693" priority="689">
      <formula>IF(#REF!=58.5,1,0)</formula>
    </cfRule>
    <cfRule type="expression" dxfId="692" priority="690">
      <formula>IF(#REF!=57.5,1,0)</formula>
    </cfRule>
    <cfRule type="expression" dxfId="691" priority="691">
      <formula>IF(#REF!=55.5,1,0)</formula>
    </cfRule>
    <cfRule type="expression" dxfId="690" priority="692">
      <formula>IF(#REF!=53.5,1,0)</formula>
    </cfRule>
    <cfRule type="expression" dxfId="689" priority="693">
      <formula>IF(#REF!=51.5,1,0)</formula>
    </cfRule>
    <cfRule type="expression" dxfId="688" priority="694">
      <formula>IF(#REF!=52.5,1,0)</formula>
    </cfRule>
  </conditionalFormatting>
  <conditionalFormatting sqref="D3">
    <cfRule type="expression" dxfId="687" priority="463">
      <formula>IF($B3="P7",1,0)</formula>
    </cfRule>
    <cfRule type="expression" dxfId="686" priority="464">
      <formula>IF($B3="P5",1,0)</formula>
    </cfRule>
  </conditionalFormatting>
  <conditionalFormatting sqref="A14:B14 E14:O14">
    <cfRule type="expression" dxfId="685" priority="384">
      <formula>IF($B14="P7",1,0)</formula>
    </cfRule>
    <cfRule type="expression" dxfId="684" priority="385">
      <formula>IF($B14="P5",1,0)</formula>
    </cfRule>
  </conditionalFormatting>
  <conditionalFormatting sqref="A15:B15 E15:O15">
    <cfRule type="expression" dxfId="683" priority="361">
      <formula>IF($B15="P7",1,0)</formula>
    </cfRule>
    <cfRule type="expression" dxfId="682" priority="362">
      <formula>IF($B15="P5",1,0)</formula>
    </cfRule>
  </conditionalFormatting>
  <conditionalFormatting sqref="A16:B16 E16:O16">
    <cfRule type="expression" dxfId="681" priority="337">
      <formula>IF($B16="P7",1,0)</formula>
    </cfRule>
    <cfRule type="expression" dxfId="680" priority="338">
      <formula>IF($B16="P5",1,0)</formula>
    </cfRule>
  </conditionalFormatting>
  <conditionalFormatting sqref="B16">
    <cfRule type="expression" dxfId="679" priority="324">
      <formula>IF($B16="P7",1,0)</formula>
    </cfRule>
    <cfRule type="expression" dxfId="678" priority="325">
      <formula>IF($B16="P5",1,0)</formula>
    </cfRule>
  </conditionalFormatting>
  <conditionalFormatting sqref="A17:Q17">
    <cfRule type="expression" dxfId="677" priority="314">
      <formula>IF(#REF!=62.5,1,0)</formula>
    </cfRule>
    <cfRule type="expression" dxfId="676" priority="315">
      <formula>IF(#REF!=61.5,1,0)</formula>
    </cfRule>
    <cfRule type="expression" dxfId="675" priority="316">
      <formula>IF(#REF!=60.5,1,0)</formula>
    </cfRule>
    <cfRule type="expression" dxfId="674" priority="317">
      <formula>IF(#REF!=59.5,1,0)</formula>
    </cfRule>
    <cfRule type="expression" dxfId="673" priority="318">
      <formula>IF(#REF!=58.5,1,0)</formula>
    </cfRule>
    <cfRule type="expression" dxfId="672" priority="319">
      <formula>IF(#REF!=57.5,1,0)</formula>
    </cfRule>
    <cfRule type="expression" dxfId="671" priority="320">
      <formula>IF(#REF!=55.5,1,0)</formula>
    </cfRule>
    <cfRule type="expression" dxfId="670" priority="321">
      <formula>IF(#REF!=53.5,1,0)</formula>
    </cfRule>
    <cfRule type="expression" dxfId="669" priority="322">
      <formula>IF(#REF!=51.5,1,0)</formula>
    </cfRule>
    <cfRule type="expression" dxfId="668" priority="323">
      <formula>IF(#REF!=52.5,1,0)</formula>
    </cfRule>
  </conditionalFormatting>
  <conditionalFormatting sqref="F17 B17">
    <cfRule type="cellIs" dxfId="667" priority="313" operator="equal">
      <formula>"Armapro"</formula>
    </cfRule>
  </conditionalFormatting>
  <conditionalFormatting sqref="B17">
    <cfRule type="expression" dxfId="666" priority="311">
      <formula>IF($B17="P7",1,0)</formula>
    </cfRule>
    <cfRule type="expression" dxfId="665" priority="312">
      <formula>IF($B17="P5",1,0)</formula>
    </cfRule>
  </conditionalFormatting>
  <conditionalFormatting sqref="A17:Q17">
    <cfRule type="expression" dxfId="664" priority="301">
      <formula>IF(#REF!=62.5,1,0)</formula>
    </cfRule>
    <cfRule type="expression" dxfId="663" priority="302">
      <formula>IF(#REF!=61.5,1,0)</formula>
    </cfRule>
    <cfRule type="expression" dxfId="662" priority="303">
      <formula>IF(#REF!=60.5,1,0)</formula>
    </cfRule>
    <cfRule type="expression" dxfId="661" priority="304">
      <formula>IF(#REF!=59.5,1,0)</formula>
    </cfRule>
    <cfRule type="expression" dxfId="660" priority="305">
      <formula>IF(#REF!=58.5,1,0)</formula>
    </cfRule>
    <cfRule type="expression" dxfId="659" priority="306">
      <formula>IF(#REF!=57.5,1,0)</formula>
    </cfRule>
    <cfRule type="expression" dxfId="658" priority="307">
      <formula>IF(#REF!=55.5,1,0)</formula>
    </cfRule>
    <cfRule type="expression" dxfId="657" priority="308">
      <formula>IF(#REF!=53.5,1,0)</formula>
    </cfRule>
    <cfRule type="expression" dxfId="656" priority="309">
      <formula>IF(#REF!=51.5,1,0)</formula>
    </cfRule>
    <cfRule type="expression" dxfId="655" priority="310">
      <formula>IF(#REF!=52.5,1,0)</formula>
    </cfRule>
  </conditionalFormatting>
  <conditionalFormatting sqref="A17:B17 E17:O17">
    <cfRule type="expression" dxfId="654" priority="299">
      <formula>IF($B17="P7",1,0)</formula>
    </cfRule>
    <cfRule type="expression" dxfId="653" priority="300">
      <formula>IF($B17="P5",1,0)</formula>
    </cfRule>
  </conditionalFormatting>
  <conditionalFormatting sqref="A18:Q18">
    <cfRule type="expression" dxfId="652" priority="289">
      <formula>IF(#REF!=62.5,1,0)</formula>
    </cfRule>
    <cfRule type="expression" dxfId="651" priority="290">
      <formula>IF(#REF!=61.5,1,0)</formula>
    </cfRule>
    <cfRule type="expression" dxfId="650" priority="291">
      <formula>IF(#REF!=60.5,1,0)</formula>
    </cfRule>
    <cfRule type="expression" dxfId="649" priority="292">
      <formula>IF(#REF!=59.5,1,0)</formula>
    </cfRule>
    <cfRule type="expression" dxfId="648" priority="293">
      <formula>IF(#REF!=58.5,1,0)</formula>
    </cfRule>
    <cfRule type="expression" dxfId="647" priority="294">
      <formula>IF(#REF!=57.5,1,0)</formula>
    </cfRule>
    <cfRule type="expression" dxfId="646" priority="295">
      <formula>IF(#REF!=55.5,1,0)</formula>
    </cfRule>
    <cfRule type="expression" dxfId="645" priority="296">
      <formula>IF(#REF!=53.5,1,0)</formula>
    </cfRule>
    <cfRule type="expression" dxfId="644" priority="297">
      <formula>IF(#REF!=51.5,1,0)</formula>
    </cfRule>
    <cfRule type="expression" dxfId="643" priority="298">
      <formula>IF(#REF!=52.5,1,0)</formula>
    </cfRule>
  </conditionalFormatting>
  <conditionalFormatting sqref="F18 B18">
    <cfRule type="cellIs" dxfId="642" priority="288" operator="equal">
      <formula>"Armapro"</formula>
    </cfRule>
  </conditionalFormatting>
  <conditionalFormatting sqref="A18:B18 E18:O18">
    <cfRule type="expression" dxfId="641" priority="286">
      <formula>IF($B18="P7",1,0)</formula>
    </cfRule>
    <cfRule type="expression" dxfId="640" priority="287">
      <formula>IF($B18="P5",1,0)</formula>
    </cfRule>
  </conditionalFormatting>
  <conditionalFormatting sqref="A18:Q18">
    <cfRule type="expression" dxfId="639" priority="276">
      <formula>IF(#REF!=62.5,1,0)</formula>
    </cfRule>
    <cfRule type="expression" dxfId="638" priority="277">
      <formula>IF(#REF!=61.5,1,0)</formula>
    </cfRule>
    <cfRule type="expression" dxfId="637" priority="278">
      <formula>IF(#REF!=60.5,1,0)</formula>
    </cfRule>
    <cfRule type="expression" dxfId="636" priority="279">
      <formula>IF(#REF!=59.5,1,0)</formula>
    </cfRule>
    <cfRule type="expression" dxfId="635" priority="280">
      <formula>IF(#REF!=58.5,1,0)</formula>
    </cfRule>
    <cfRule type="expression" dxfId="634" priority="281">
      <formula>IF(#REF!=57.5,1,0)</formula>
    </cfRule>
    <cfRule type="expression" dxfId="633" priority="282">
      <formula>IF(#REF!=55.5,1,0)</formula>
    </cfRule>
    <cfRule type="expression" dxfId="632" priority="283">
      <formula>IF(#REF!=53.5,1,0)</formula>
    </cfRule>
    <cfRule type="expression" dxfId="631" priority="284">
      <formula>IF(#REF!=51.5,1,0)</formula>
    </cfRule>
    <cfRule type="expression" dxfId="630" priority="285">
      <formula>IF(#REF!=52.5,1,0)</formula>
    </cfRule>
  </conditionalFormatting>
  <conditionalFormatting sqref="A19:Q19">
    <cfRule type="expression" dxfId="629" priority="266">
      <formula>IF(#REF!=62.5,1,0)</formula>
    </cfRule>
    <cfRule type="expression" dxfId="628" priority="267">
      <formula>IF(#REF!=61.5,1,0)</formula>
    </cfRule>
    <cfRule type="expression" dxfId="627" priority="268">
      <formula>IF(#REF!=60.5,1,0)</formula>
    </cfRule>
    <cfRule type="expression" dxfId="626" priority="269">
      <formula>IF(#REF!=59.5,1,0)</formula>
    </cfRule>
    <cfRule type="expression" dxfId="625" priority="270">
      <formula>IF(#REF!=58.5,1,0)</formula>
    </cfRule>
    <cfRule type="expression" dxfId="624" priority="271">
      <formula>IF(#REF!=57.5,1,0)</formula>
    </cfRule>
    <cfRule type="expression" dxfId="623" priority="272">
      <formula>IF(#REF!=55.5,1,0)</formula>
    </cfRule>
    <cfRule type="expression" dxfId="622" priority="273">
      <formula>IF(#REF!=53.5,1,0)</formula>
    </cfRule>
    <cfRule type="expression" dxfId="621" priority="274">
      <formula>IF(#REF!=51.5,1,0)</formula>
    </cfRule>
    <cfRule type="expression" dxfId="620" priority="275">
      <formula>IF(#REF!=52.5,1,0)</formula>
    </cfRule>
  </conditionalFormatting>
  <conditionalFormatting sqref="F19 B19">
    <cfRule type="cellIs" dxfId="619" priority="265" operator="equal">
      <formula>"Armapro"</formula>
    </cfRule>
  </conditionalFormatting>
  <conditionalFormatting sqref="A19:Q19">
    <cfRule type="expression" dxfId="618" priority="255">
      <formula>IF(#REF!=62.5,1,0)</formula>
    </cfRule>
    <cfRule type="expression" dxfId="617" priority="256">
      <formula>IF(#REF!=61.5,1,0)</formula>
    </cfRule>
    <cfRule type="expression" dxfId="616" priority="257">
      <formula>IF(#REF!=60.5,1,0)</formula>
    </cfRule>
    <cfRule type="expression" dxfId="615" priority="258">
      <formula>IF(#REF!=59.5,1,0)</formula>
    </cfRule>
    <cfRule type="expression" dxfId="614" priority="259">
      <formula>IF(#REF!=58.5,1,0)</formula>
    </cfRule>
    <cfRule type="expression" dxfId="613" priority="260">
      <formula>IF(#REF!=57.5,1,0)</formula>
    </cfRule>
    <cfRule type="expression" dxfId="612" priority="261">
      <formula>IF(#REF!=55.5,1,0)</formula>
    </cfRule>
    <cfRule type="expression" dxfId="611" priority="262">
      <formula>IF(#REF!=53.5,1,0)</formula>
    </cfRule>
    <cfRule type="expression" dxfId="610" priority="263">
      <formula>IF(#REF!=51.5,1,0)</formula>
    </cfRule>
    <cfRule type="expression" dxfId="609" priority="264">
      <formula>IF(#REF!=52.5,1,0)</formula>
    </cfRule>
  </conditionalFormatting>
  <conditionalFormatting sqref="A19:B19 E19:O19">
    <cfRule type="expression" dxfId="608" priority="253">
      <formula>IF($B19="P7",1,0)</formula>
    </cfRule>
    <cfRule type="expression" dxfId="607" priority="254">
      <formula>IF($B19="P5",1,0)</formula>
    </cfRule>
  </conditionalFormatting>
  <conditionalFormatting sqref="A20:Q20">
    <cfRule type="expression" dxfId="606" priority="243">
      <formula>IF(#REF!=62.5,1,0)</formula>
    </cfRule>
    <cfRule type="expression" dxfId="605" priority="244">
      <formula>IF(#REF!=61.5,1,0)</formula>
    </cfRule>
    <cfRule type="expression" dxfId="604" priority="245">
      <formula>IF(#REF!=60.5,1,0)</formula>
    </cfRule>
    <cfRule type="expression" dxfId="603" priority="246">
      <formula>IF(#REF!=59.5,1,0)</formula>
    </cfRule>
    <cfRule type="expression" dxfId="602" priority="247">
      <formula>IF(#REF!=58.5,1,0)</formula>
    </cfRule>
    <cfRule type="expression" dxfId="601" priority="248">
      <formula>IF(#REF!=57.5,1,0)</formula>
    </cfRule>
    <cfRule type="expression" dxfId="600" priority="249">
      <formula>IF(#REF!=55.5,1,0)</formula>
    </cfRule>
    <cfRule type="expression" dxfId="599" priority="250">
      <formula>IF(#REF!=53.5,1,0)</formula>
    </cfRule>
    <cfRule type="expression" dxfId="598" priority="251">
      <formula>IF(#REF!=51.5,1,0)</formula>
    </cfRule>
    <cfRule type="expression" dxfId="597" priority="252">
      <formula>IF(#REF!=52.5,1,0)</formula>
    </cfRule>
  </conditionalFormatting>
  <conditionalFormatting sqref="F20 B20">
    <cfRule type="cellIs" dxfId="596" priority="242" operator="equal">
      <formula>"Armapro"</formula>
    </cfRule>
  </conditionalFormatting>
  <conditionalFormatting sqref="A20:Q20">
    <cfRule type="expression" dxfId="595" priority="232">
      <formula>IF(#REF!=62.5,1,0)</formula>
    </cfRule>
    <cfRule type="expression" dxfId="594" priority="233">
      <formula>IF(#REF!=61.5,1,0)</formula>
    </cfRule>
    <cfRule type="expression" dxfId="593" priority="234">
      <formula>IF(#REF!=60.5,1,0)</formula>
    </cfRule>
    <cfRule type="expression" dxfId="592" priority="235">
      <formula>IF(#REF!=59.5,1,0)</formula>
    </cfRule>
    <cfRule type="expression" dxfId="591" priority="236">
      <formula>IF(#REF!=58.5,1,0)</formula>
    </cfRule>
    <cfRule type="expression" dxfId="590" priority="237">
      <formula>IF(#REF!=57.5,1,0)</formula>
    </cfRule>
    <cfRule type="expression" dxfId="589" priority="238">
      <formula>IF(#REF!=55.5,1,0)</formula>
    </cfRule>
    <cfRule type="expression" dxfId="588" priority="239">
      <formula>IF(#REF!=53.5,1,0)</formula>
    </cfRule>
    <cfRule type="expression" dxfId="587" priority="240">
      <formula>IF(#REF!=51.5,1,0)</formula>
    </cfRule>
    <cfRule type="expression" dxfId="586" priority="241">
      <formula>IF(#REF!=52.5,1,0)</formula>
    </cfRule>
  </conditionalFormatting>
  <conditionalFormatting sqref="A20:B20 E20:O20">
    <cfRule type="expression" dxfId="585" priority="230">
      <formula>IF($B20="P7",1,0)</formula>
    </cfRule>
    <cfRule type="expression" dxfId="584" priority="231">
      <formula>IF($B20="P5",1,0)</formula>
    </cfRule>
  </conditionalFormatting>
  <conditionalFormatting sqref="A21:Q21">
    <cfRule type="expression" dxfId="583" priority="220">
      <formula>IF(#REF!=62.5,1,0)</formula>
    </cfRule>
    <cfRule type="expression" dxfId="582" priority="221">
      <formula>IF(#REF!=61.5,1,0)</formula>
    </cfRule>
    <cfRule type="expression" dxfId="581" priority="222">
      <formula>IF(#REF!=60.5,1,0)</formula>
    </cfRule>
    <cfRule type="expression" dxfId="580" priority="223">
      <formula>IF(#REF!=59.5,1,0)</formula>
    </cfRule>
    <cfRule type="expression" dxfId="579" priority="224">
      <formula>IF(#REF!=58.5,1,0)</formula>
    </cfRule>
    <cfRule type="expression" dxfId="578" priority="225">
      <formula>IF(#REF!=57.5,1,0)</formula>
    </cfRule>
    <cfRule type="expression" dxfId="577" priority="226">
      <formula>IF(#REF!=55.5,1,0)</formula>
    </cfRule>
    <cfRule type="expression" dxfId="576" priority="227">
      <formula>IF(#REF!=53.5,1,0)</formula>
    </cfRule>
    <cfRule type="expression" dxfId="575" priority="228">
      <formula>IF(#REF!=51.5,1,0)</formula>
    </cfRule>
    <cfRule type="expression" dxfId="574" priority="229">
      <formula>IF(#REF!=52.5,1,0)</formula>
    </cfRule>
  </conditionalFormatting>
  <conditionalFormatting sqref="F21 B21">
    <cfRule type="cellIs" dxfId="573" priority="219" operator="equal">
      <formula>"Armapro"</formula>
    </cfRule>
  </conditionalFormatting>
  <conditionalFormatting sqref="B21">
    <cfRule type="expression" dxfId="572" priority="217">
      <formula>IF($B21="P7",1,0)</formula>
    </cfRule>
    <cfRule type="expression" dxfId="571" priority="218">
      <formula>IF($B21="P5",1,0)</formula>
    </cfRule>
  </conditionalFormatting>
  <conditionalFormatting sqref="A21:Q21">
    <cfRule type="expression" dxfId="570" priority="207">
      <formula>IF(#REF!=62.5,1,0)</formula>
    </cfRule>
    <cfRule type="expression" dxfId="569" priority="208">
      <formula>IF(#REF!=61.5,1,0)</formula>
    </cfRule>
    <cfRule type="expression" dxfId="568" priority="209">
      <formula>IF(#REF!=60.5,1,0)</formula>
    </cfRule>
    <cfRule type="expression" dxfId="567" priority="210">
      <formula>IF(#REF!=59.5,1,0)</formula>
    </cfRule>
    <cfRule type="expression" dxfId="566" priority="211">
      <formula>IF(#REF!=58.5,1,0)</formula>
    </cfRule>
    <cfRule type="expression" dxfId="565" priority="212">
      <formula>IF(#REF!=57.5,1,0)</formula>
    </cfRule>
    <cfRule type="expression" dxfId="564" priority="213">
      <formula>IF(#REF!=55.5,1,0)</formula>
    </cfRule>
    <cfRule type="expression" dxfId="563" priority="214">
      <formula>IF(#REF!=53.5,1,0)</formula>
    </cfRule>
    <cfRule type="expression" dxfId="562" priority="215">
      <formula>IF(#REF!=51.5,1,0)</formula>
    </cfRule>
    <cfRule type="expression" dxfId="561" priority="216">
      <formula>IF(#REF!=52.5,1,0)</formula>
    </cfRule>
  </conditionalFormatting>
  <conditionalFormatting sqref="A21:B21 E21:O21">
    <cfRule type="expression" dxfId="560" priority="205">
      <formula>IF($B21="P7",1,0)</formula>
    </cfRule>
    <cfRule type="expression" dxfId="559" priority="206">
      <formula>IF($B21="P5",1,0)</formula>
    </cfRule>
  </conditionalFormatting>
  <conditionalFormatting sqref="A22:Q22">
    <cfRule type="expression" dxfId="558" priority="195">
      <formula>IF(#REF!=62.5,1,0)</formula>
    </cfRule>
    <cfRule type="expression" dxfId="557" priority="196">
      <formula>IF(#REF!=61.5,1,0)</formula>
    </cfRule>
    <cfRule type="expression" dxfId="556" priority="197">
      <formula>IF(#REF!=60.5,1,0)</formula>
    </cfRule>
    <cfRule type="expression" dxfId="555" priority="198">
      <formula>IF(#REF!=59.5,1,0)</formula>
    </cfRule>
    <cfRule type="expression" dxfId="554" priority="199">
      <formula>IF(#REF!=58.5,1,0)</formula>
    </cfRule>
    <cfRule type="expression" dxfId="553" priority="200">
      <formula>IF(#REF!=57.5,1,0)</formula>
    </cfRule>
    <cfRule type="expression" dxfId="552" priority="201">
      <formula>IF(#REF!=55.5,1,0)</formula>
    </cfRule>
    <cfRule type="expression" dxfId="551" priority="202">
      <formula>IF(#REF!=53.5,1,0)</formula>
    </cfRule>
    <cfRule type="expression" dxfId="550" priority="203">
      <formula>IF(#REF!=51.5,1,0)</formula>
    </cfRule>
    <cfRule type="expression" dxfId="549" priority="204">
      <formula>IF(#REF!=52.5,1,0)</formula>
    </cfRule>
  </conditionalFormatting>
  <conditionalFormatting sqref="F22 B22">
    <cfRule type="cellIs" dxfId="548" priority="194" operator="equal">
      <formula>"Armapro"</formula>
    </cfRule>
  </conditionalFormatting>
  <conditionalFormatting sqref="A22:Q22">
    <cfRule type="expression" dxfId="547" priority="184">
      <formula>IF(#REF!=62.5,1,0)</formula>
    </cfRule>
    <cfRule type="expression" dxfId="546" priority="185">
      <formula>IF(#REF!=61.5,1,0)</formula>
    </cfRule>
    <cfRule type="expression" dxfId="545" priority="186">
      <formula>IF(#REF!=60.5,1,0)</formula>
    </cfRule>
    <cfRule type="expression" dxfId="544" priority="187">
      <formula>IF(#REF!=59.5,1,0)</formula>
    </cfRule>
    <cfRule type="expression" dxfId="543" priority="188">
      <formula>IF(#REF!=58.5,1,0)</formula>
    </cfRule>
    <cfRule type="expression" dxfId="542" priority="189">
      <formula>IF(#REF!=57.5,1,0)</formula>
    </cfRule>
    <cfRule type="expression" dxfId="541" priority="190">
      <formula>IF(#REF!=55.5,1,0)</formula>
    </cfRule>
    <cfRule type="expression" dxfId="540" priority="191">
      <formula>IF(#REF!=53.5,1,0)</formula>
    </cfRule>
    <cfRule type="expression" dxfId="539" priority="192">
      <formula>IF(#REF!=51.5,1,0)</formula>
    </cfRule>
    <cfRule type="expression" dxfId="538" priority="193">
      <formula>IF(#REF!=52.5,1,0)</formula>
    </cfRule>
  </conditionalFormatting>
  <conditionalFormatting sqref="B22">
    <cfRule type="expression" dxfId="537" priority="182">
      <formula>IF($B22="P7",1,0)</formula>
    </cfRule>
    <cfRule type="expression" dxfId="536" priority="183">
      <formula>IF($B22="P5",1,0)</formula>
    </cfRule>
  </conditionalFormatting>
  <conditionalFormatting sqref="A22:Q22">
    <cfRule type="expression" dxfId="535" priority="172">
      <formula>IF(#REF!=62.5,1,0)</formula>
    </cfRule>
    <cfRule type="expression" dxfId="534" priority="173">
      <formula>IF(#REF!=61.5,1,0)</formula>
    </cfRule>
    <cfRule type="expression" dxfId="533" priority="174">
      <formula>IF(#REF!=60.5,1,0)</formula>
    </cfRule>
    <cfRule type="expression" dxfId="532" priority="175">
      <formula>IF(#REF!=59.5,1,0)</formula>
    </cfRule>
    <cfRule type="expression" dxfId="531" priority="176">
      <formula>IF(#REF!=58.5,1,0)</formula>
    </cfRule>
    <cfRule type="expression" dxfId="530" priority="177">
      <formula>IF(#REF!=57.5,1,0)</formula>
    </cfRule>
    <cfRule type="expression" dxfId="529" priority="178">
      <formula>IF(#REF!=55.5,1,0)</formula>
    </cfRule>
    <cfRule type="expression" dxfId="528" priority="179">
      <formula>IF(#REF!=53.5,1,0)</formula>
    </cfRule>
    <cfRule type="expression" dxfId="527" priority="180">
      <formula>IF(#REF!=51.5,1,0)</formula>
    </cfRule>
    <cfRule type="expression" dxfId="526" priority="181">
      <formula>IF(#REF!=52.5,1,0)</formula>
    </cfRule>
  </conditionalFormatting>
  <conditionalFormatting sqref="A22:B22 E22:O22">
    <cfRule type="expression" dxfId="525" priority="170">
      <formula>IF($B22="P7",1,0)</formula>
    </cfRule>
    <cfRule type="expression" dxfId="524" priority="171">
      <formula>IF($B22="P5",1,0)</formula>
    </cfRule>
  </conditionalFormatting>
  <conditionalFormatting sqref="A23:Q23">
    <cfRule type="expression" dxfId="523" priority="160">
      <formula>IF(#REF!=62.5,1,0)</formula>
    </cfRule>
    <cfRule type="expression" dxfId="522" priority="161">
      <formula>IF(#REF!=61.5,1,0)</formula>
    </cfRule>
    <cfRule type="expression" dxfId="521" priority="162">
      <formula>IF(#REF!=60.5,1,0)</formula>
    </cfRule>
    <cfRule type="expression" dxfId="520" priority="163">
      <formula>IF(#REF!=59.5,1,0)</formula>
    </cfRule>
    <cfRule type="expression" dxfId="519" priority="164">
      <formula>IF(#REF!=58.5,1,0)</formula>
    </cfRule>
    <cfRule type="expression" dxfId="518" priority="165">
      <formula>IF(#REF!=57.5,1,0)</formula>
    </cfRule>
    <cfRule type="expression" dxfId="517" priority="166">
      <formula>IF(#REF!=55.5,1,0)</formula>
    </cfRule>
    <cfRule type="expression" dxfId="516" priority="167">
      <formula>IF(#REF!=53.5,1,0)</formula>
    </cfRule>
    <cfRule type="expression" dxfId="515" priority="168">
      <formula>IF(#REF!=51.5,1,0)</formula>
    </cfRule>
    <cfRule type="expression" dxfId="514" priority="169">
      <formula>IF(#REF!=52.5,1,0)</formula>
    </cfRule>
  </conditionalFormatting>
  <conditionalFormatting sqref="F23 B23">
    <cfRule type="cellIs" dxfId="513" priority="159" operator="equal">
      <formula>"Armapro"</formula>
    </cfRule>
  </conditionalFormatting>
  <conditionalFormatting sqref="A23:Q23">
    <cfRule type="expression" dxfId="512" priority="149">
      <formula>IF(#REF!=62.5,1,0)</formula>
    </cfRule>
    <cfRule type="expression" dxfId="511" priority="150">
      <formula>IF(#REF!=61.5,1,0)</formula>
    </cfRule>
    <cfRule type="expression" dxfId="510" priority="151">
      <formula>IF(#REF!=60.5,1,0)</formula>
    </cfRule>
    <cfRule type="expression" dxfId="509" priority="152">
      <formula>IF(#REF!=59.5,1,0)</formula>
    </cfRule>
    <cfRule type="expression" dxfId="508" priority="153">
      <formula>IF(#REF!=58.5,1,0)</formula>
    </cfRule>
    <cfRule type="expression" dxfId="507" priority="154">
      <formula>IF(#REF!=57.5,1,0)</formula>
    </cfRule>
    <cfRule type="expression" dxfId="506" priority="155">
      <formula>IF(#REF!=55.5,1,0)</formula>
    </cfRule>
    <cfRule type="expression" dxfId="505" priority="156">
      <formula>IF(#REF!=53.5,1,0)</formula>
    </cfRule>
    <cfRule type="expression" dxfId="504" priority="157">
      <formula>IF(#REF!=51.5,1,0)</formula>
    </cfRule>
    <cfRule type="expression" dxfId="503" priority="158">
      <formula>IF(#REF!=52.5,1,0)</formula>
    </cfRule>
  </conditionalFormatting>
  <conditionalFormatting sqref="B23">
    <cfRule type="expression" dxfId="502" priority="147">
      <formula>IF($B23="P7",1,0)</formula>
    </cfRule>
    <cfRule type="expression" dxfId="501" priority="148">
      <formula>IF($B23="P5",1,0)</formula>
    </cfRule>
  </conditionalFormatting>
  <conditionalFormatting sqref="A23:Q23">
    <cfRule type="expression" dxfId="500" priority="137">
      <formula>IF(#REF!=62.5,1,0)</formula>
    </cfRule>
    <cfRule type="expression" dxfId="499" priority="138">
      <formula>IF(#REF!=61.5,1,0)</formula>
    </cfRule>
    <cfRule type="expression" dxfId="498" priority="139">
      <formula>IF(#REF!=60.5,1,0)</formula>
    </cfRule>
    <cfRule type="expression" dxfId="497" priority="140">
      <formula>IF(#REF!=59.5,1,0)</formula>
    </cfRule>
    <cfRule type="expression" dxfId="496" priority="141">
      <formula>IF(#REF!=58.5,1,0)</formula>
    </cfRule>
    <cfRule type="expression" dxfId="495" priority="142">
      <formula>IF(#REF!=57.5,1,0)</formula>
    </cfRule>
    <cfRule type="expression" dxfId="494" priority="143">
      <formula>IF(#REF!=55.5,1,0)</formula>
    </cfRule>
    <cfRule type="expression" dxfId="493" priority="144">
      <formula>IF(#REF!=53.5,1,0)</formula>
    </cfRule>
    <cfRule type="expression" dxfId="492" priority="145">
      <formula>IF(#REF!=51.5,1,0)</formula>
    </cfRule>
    <cfRule type="expression" dxfId="491" priority="146">
      <formula>IF(#REF!=52.5,1,0)</formula>
    </cfRule>
  </conditionalFormatting>
  <conditionalFormatting sqref="A23:B23 E23:O23">
    <cfRule type="expression" dxfId="490" priority="135">
      <formula>IF($B23="P7",1,0)</formula>
    </cfRule>
    <cfRule type="expression" dxfId="489" priority="136">
      <formula>IF($B23="P5",1,0)</formula>
    </cfRule>
  </conditionalFormatting>
  <conditionalFormatting sqref="P4:Q4">
    <cfRule type="expression" dxfId="488" priority="125">
      <formula>IF(#REF!=62.5,1,0)</formula>
    </cfRule>
    <cfRule type="expression" dxfId="487" priority="126">
      <formula>IF(#REF!=61.5,1,0)</formula>
    </cfRule>
    <cfRule type="expression" dxfId="486" priority="127">
      <formula>IF(#REF!=60.5,1,0)</formula>
    </cfRule>
    <cfRule type="expression" dxfId="485" priority="128">
      <formula>IF(#REF!=59.5,1,0)</formula>
    </cfRule>
    <cfRule type="expression" dxfId="484" priority="129">
      <formula>IF(#REF!=58.5,1,0)</formula>
    </cfRule>
    <cfRule type="expression" dxfId="483" priority="130">
      <formula>IF(#REF!=57.5,1,0)</formula>
    </cfRule>
    <cfRule type="expression" dxfId="482" priority="131">
      <formula>IF(#REF!=55.5,1,0)</formula>
    </cfRule>
    <cfRule type="expression" dxfId="481" priority="132">
      <formula>IF(#REF!=53.5,1,0)</formula>
    </cfRule>
    <cfRule type="expression" dxfId="480" priority="133">
      <formula>IF(#REF!=51.5,1,0)</formula>
    </cfRule>
    <cfRule type="expression" dxfId="479" priority="134">
      <formula>IF(#REF!=52.5,1,0)</formula>
    </cfRule>
  </conditionalFormatting>
  <conditionalFormatting sqref="P5:Q5">
    <cfRule type="expression" dxfId="478" priority="115">
      <formula>IF(#REF!=62.5,1,0)</formula>
    </cfRule>
    <cfRule type="expression" dxfId="477" priority="116">
      <formula>IF(#REF!=61.5,1,0)</formula>
    </cfRule>
    <cfRule type="expression" dxfId="476" priority="117">
      <formula>IF(#REF!=60.5,1,0)</formula>
    </cfRule>
    <cfRule type="expression" dxfId="475" priority="118">
      <formula>IF(#REF!=59.5,1,0)</formula>
    </cfRule>
    <cfRule type="expression" dxfId="474" priority="119">
      <formula>IF(#REF!=58.5,1,0)</formula>
    </cfRule>
    <cfRule type="expression" dxfId="473" priority="120">
      <formula>IF(#REF!=57.5,1,0)</formula>
    </cfRule>
    <cfRule type="expression" dxfId="472" priority="121">
      <formula>IF(#REF!=55.5,1,0)</formula>
    </cfRule>
    <cfRule type="expression" dxfId="471" priority="122">
      <formula>IF(#REF!=53.5,1,0)</formula>
    </cfRule>
    <cfRule type="expression" dxfId="470" priority="123">
      <formula>IF(#REF!=51.5,1,0)</formula>
    </cfRule>
    <cfRule type="expression" dxfId="469" priority="124">
      <formula>IF(#REF!=52.5,1,0)</formula>
    </cfRule>
  </conditionalFormatting>
  <conditionalFormatting sqref="P7:Q7">
    <cfRule type="expression" dxfId="468" priority="105">
      <formula>IF(#REF!=62.5,1,0)</formula>
    </cfRule>
    <cfRule type="expression" dxfId="467" priority="106">
      <formula>IF(#REF!=61.5,1,0)</formula>
    </cfRule>
    <cfRule type="expression" dxfId="466" priority="107">
      <formula>IF(#REF!=60.5,1,0)</formula>
    </cfRule>
    <cfRule type="expression" dxfId="465" priority="108">
      <formula>IF(#REF!=59.5,1,0)</formula>
    </cfRule>
    <cfRule type="expression" dxfId="464" priority="109">
      <formula>IF(#REF!=58.5,1,0)</formula>
    </cfRule>
    <cfRule type="expression" dxfId="463" priority="110">
      <formula>IF(#REF!=57.5,1,0)</formula>
    </cfRule>
    <cfRule type="expression" dxfId="462" priority="111">
      <formula>IF(#REF!=55.5,1,0)</formula>
    </cfRule>
    <cfRule type="expression" dxfId="461" priority="112">
      <formula>IF(#REF!=53.5,1,0)</formula>
    </cfRule>
    <cfRule type="expression" dxfId="460" priority="113">
      <formula>IF(#REF!=51.5,1,0)</formula>
    </cfRule>
    <cfRule type="expression" dxfId="459" priority="114">
      <formula>IF(#REF!=52.5,1,0)</formula>
    </cfRule>
  </conditionalFormatting>
  <conditionalFormatting sqref="P9:Q9">
    <cfRule type="expression" dxfId="458" priority="95">
      <formula>IF(#REF!=62.5,1,0)</formula>
    </cfRule>
    <cfRule type="expression" dxfId="457" priority="96">
      <formula>IF(#REF!=61.5,1,0)</formula>
    </cfRule>
    <cfRule type="expression" dxfId="456" priority="97">
      <formula>IF(#REF!=60.5,1,0)</formula>
    </cfRule>
    <cfRule type="expression" dxfId="455" priority="98">
      <formula>IF(#REF!=59.5,1,0)</formula>
    </cfRule>
    <cfRule type="expression" dxfId="454" priority="99">
      <formula>IF(#REF!=58.5,1,0)</formula>
    </cfRule>
    <cfRule type="expression" dxfId="453" priority="100">
      <formula>IF(#REF!=57.5,1,0)</formula>
    </cfRule>
    <cfRule type="expression" dxfId="452" priority="101">
      <formula>IF(#REF!=55.5,1,0)</formula>
    </cfRule>
    <cfRule type="expression" dxfId="451" priority="102">
      <formula>IF(#REF!=53.5,1,0)</formula>
    </cfRule>
    <cfRule type="expression" dxfId="450" priority="103">
      <formula>IF(#REF!=51.5,1,0)</formula>
    </cfRule>
    <cfRule type="expression" dxfId="449" priority="104">
      <formula>IF(#REF!=52.5,1,0)</formula>
    </cfRule>
  </conditionalFormatting>
  <conditionalFormatting sqref="P11:Q11">
    <cfRule type="expression" dxfId="448" priority="85">
      <formula>IF(#REF!=62.5,1,0)</formula>
    </cfRule>
    <cfRule type="expression" dxfId="447" priority="86">
      <formula>IF(#REF!=61.5,1,0)</formula>
    </cfRule>
    <cfRule type="expression" dxfId="446" priority="87">
      <formula>IF(#REF!=60.5,1,0)</formula>
    </cfRule>
    <cfRule type="expression" dxfId="445" priority="88">
      <formula>IF(#REF!=59.5,1,0)</formula>
    </cfRule>
    <cfRule type="expression" dxfId="444" priority="89">
      <formula>IF(#REF!=58.5,1,0)</formula>
    </cfRule>
    <cfRule type="expression" dxfId="443" priority="90">
      <formula>IF(#REF!=57.5,1,0)</formula>
    </cfRule>
    <cfRule type="expression" dxfId="442" priority="91">
      <formula>IF(#REF!=55.5,1,0)</formula>
    </cfRule>
    <cfRule type="expression" dxfId="441" priority="92">
      <formula>IF(#REF!=53.5,1,0)</formula>
    </cfRule>
    <cfRule type="expression" dxfId="440" priority="93">
      <formula>IF(#REF!=51.5,1,0)</formula>
    </cfRule>
    <cfRule type="expression" dxfId="439" priority="94">
      <formula>IF(#REF!=52.5,1,0)</formula>
    </cfRule>
  </conditionalFormatting>
  <conditionalFormatting sqref="P13:Q13">
    <cfRule type="expression" dxfId="438" priority="75">
      <formula>IF(#REF!=62.5,1,0)</formula>
    </cfRule>
    <cfRule type="expression" dxfId="437" priority="76">
      <formula>IF(#REF!=61.5,1,0)</formula>
    </cfRule>
    <cfRule type="expression" dxfId="436" priority="77">
      <formula>IF(#REF!=60.5,1,0)</formula>
    </cfRule>
    <cfRule type="expression" dxfId="435" priority="78">
      <formula>IF(#REF!=59.5,1,0)</formula>
    </cfRule>
    <cfRule type="expression" dxfId="434" priority="79">
      <formula>IF(#REF!=58.5,1,0)</formula>
    </cfRule>
    <cfRule type="expression" dxfId="433" priority="80">
      <formula>IF(#REF!=57.5,1,0)</formula>
    </cfRule>
    <cfRule type="expression" dxfId="432" priority="81">
      <formula>IF(#REF!=55.5,1,0)</formula>
    </cfRule>
    <cfRule type="expression" dxfId="431" priority="82">
      <formula>IF(#REF!=53.5,1,0)</formula>
    </cfRule>
    <cfRule type="expression" dxfId="430" priority="83">
      <formula>IF(#REF!=51.5,1,0)</formula>
    </cfRule>
    <cfRule type="expression" dxfId="429" priority="84">
      <formula>IF(#REF!=52.5,1,0)</formula>
    </cfRule>
  </conditionalFormatting>
  <conditionalFormatting sqref="P15:Q15">
    <cfRule type="expression" dxfId="428" priority="65">
      <formula>IF(#REF!=62.5,1,0)</formula>
    </cfRule>
    <cfRule type="expression" dxfId="427" priority="66">
      <formula>IF(#REF!=61.5,1,0)</formula>
    </cfRule>
    <cfRule type="expression" dxfId="426" priority="67">
      <formula>IF(#REF!=60.5,1,0)</formula>
    </cfRule>
    <cfRule type="expression" dxfId="425" priority="68">
      <formula>IF(#REF!=59.5,1,0)</formula>
    </cfRule>
    <cfRule type="expression" dxfId="424" priority="69">
      <formula>IF(#REF!=58.5,1,0)</formula>
    </cfRule>
    <cfRule type="expression" dxfId="423" priority="70">
      <formula>IF(#REF!=57.5,1,0)</formula>
    </cfRule>
    <cfRule type="expression" dxfId="422" priority="71">
      <formula>IF(#REF!=55.5,1,0)</formula>
    </cfRule>
    <cfRule type="expression" dxfId="421" priority="72">
      <formula>IF(#REF!=53.5,1,0)</formula>
    </cfRule>
    <cfRule type="expression" dxfId="420" priority="73">
      <formula>IF(#REF!=51.5,1,0)</formula>
    </cfRule>
    <cfRule type="expression" dxfId="419" priority="74">
      <formula>IF(#REF!=52.5,1,0)</formula>
    </cfRule>
  </conditionalFormatting>
  <conditionalFormatting sqref="P17:Q17">
    <cfRule type="expression" dxfId="418" priority="55">
      <formula>IF(#REF!=62.5,1,0)</formula>
    </cfRule>
    <cfRule type="expression" dxfId="417" priority="56">
      <formula>IF(#REF!=61.5,1,0)</formula>
    </cfRule>
    <cfRule type="expression" dxfId="416" priority="57">
      <formula>IF(#REF!=60.5,1,0)</formula>
    </cfRule>
    <cfRule type="expression" dxfId="415" priority="58">
      <formula>IF(#REF!=59.5,1,0)</formula>
    </cfRule>
    <cfRule type="expression" dxfId="414" priority="59">
      <formula>IF(#REF!=58.5,1,0)</formula>
    </cfRule>
    <cfRule type="expression" dxfId="413" priority="60">
      <formula>IF(#REF!=57.5,1,0)</formula>
    </cfRule>
    <cfRule type="expression" dxfId="412" priority="61">
      <formula>IF(#REF!=55.5,1,0)</formula>
    </cfRule>
    <cfRule type="expression" dxfId="411" priority="62">
      <formula>IF(#REF!=53.5,1,0)</formula>
    </cfRule>
    <cfRule type="expression" dxfId="410" priority="63">
      <formula>IF(#REF!=51.5,1,0)</formula>
    </cfRule>
    <cfRule type="expression" dxfId="409" priority="64">
      <formula>IF(#REF!=52.5,1,0)</formula>
    </cfRule>
  </conditionalFormatting>
  <conditionalFormatting sqref="P19:Q19">
    <cfRule type="expression" dxfId="408" priority="45">
      <formula>IF(#REF!=62.5,1,0)</formula>
    </cfRule>
    <cfRule type="expression" dxfId="407" priority="46">
      <formula>IF(#REF!=61.5,1,0)</formula>
    </cfRule>
    <cfRule type="expression" dxfId="406" priority="47">
      <formula>IF(#REF!=60.5,1,0)</formula>
    </cfRule>
    <cfRule type="expression" dxfId="405" priority="48">
      <formula>IF(#REF!=59.5,1,0)</formula>
    </cfRule>
    <cfRule type="expression" dxfId="404" priority="49">
      <formula>IF(#REF!=58.5,1,0)</formula>
    </cfRule>
    <cfRule type="expression" dxfId="403" priority="50">
      <formula>IF(#REF!=57.5,1,0)</formula>
    </cfRule>
    <cfRule type="expression" dxfId="402" priority="51">
      <formula>IF(#REF!=55.5,1,0)</formula>
    </cfRule>
    <cfRule type="expression" dxfId="401" priority="52">
      <formula>IF(#REF!=53.5,1,0)</formula>
    </cfRule>
    <cfRule type="expression" dxfId="400" priority="53">
      <formula>IF(#REF!=51.5,1,0)</formula>
    </cfRule>
    <cfRule type="expression" dxfId="399" priority="54">
      <formula>IF(#REF!=52.5,1,0)</formula>
    </cfRule>
  </conditionalFormatting>
  <conditionalFormatting sqref="P21:Q21">
    <cfRule type="expression" dxfId="398" priority="35">
      <formula>IF(#REF!=62.5,1,0)</formula>
    </cfRule>
    <cfRule type="expression" dxfId="397" priority="36">
      <formula>IF(#REF!=61.5,1,0)</formula>
    </cfRule>
    <cfRule type="expression" dxfId="396" priority="37">
      <formula>IF(#REF!=60.5,1,0)</formula>
    </cfRule>
    <cfRule type="expression" dxfId="395" priority="38">
      <formula>IF(#REF!=59.5,1,0)</formula>
    </cfRule>
    <cfRule type="expression" dxfId="394" priority="39">
      <formula>IF(#REF!=58.5,1,0)</formula>
    </cfRule>
    <cfRule type="expression" dxfId="393" priority="40">
      <formula>IF(#REF!=57.5,1,0)</formula>
    </cfRule>
    <cfRule type="expression" dxfId="392" priority="41">
      <formula>IF(#REF!=55.5,1,0)</formula>
    </cfRule>
    <cfRule type="expression" dxfId="391" priority="42">
      <formula>IF(#REF!=53.5,1,0)</formula>
    </cfRule>
    <cfRule type="expression" dxfId="390" priority="43">
      <formula>IF(#REF!=51.5,1,0)</formula>
    </cfRule>
    <cfRule type="expression" dxfId="389" priority="44">
      <formula>IF(#REF!=52.5,1,0)</formula>
    </cfRule>
  </conditionalFormatting>
  <conditionalFormatting sqref="P23:Q23">
    <cfRule type="expression" dxfId="388" priority="25">
      <formula>IF(#REF!=62.5,1,0)</formula>
    </cfRule>
    <cfRule type="expression" dxfId="387" priority="26">
      <formula>IF(#REF!=61.5,1,0)</formula>
    </cfRule>
    <cfRule type="expression" dxfId="386" priority="27">
      <formula>IF(#REF!=60.5,1,0)</formula>
    </cfRule>
    <cfRule type="expression" dxfId="385" priority="28">
      <formula>IF(#REF!=59.5,1,0)</formula>
    </cfRule>
    <cfRule type="expression" dxfId="384" priority="29">
      <formula>IF(#REF!=58.5,1,0)</formula>
    </cfRule>
    <cfRule type="expression" dxfId="383" priority="30">
      <formula>IF(#REF!=57.5,1,0)</formula>
    </cfRule>
    <cfRule type="expression" dxfId="382" priority="31">
      <formula>IF(#REF!=55.5,1,0)</formula>
    </cfRule>
    <cfRule type="expression" dxfId="381" priority="32">
      <formula>IF(#REF!=53.5,1,0)</formula>
    </cfRule>
    <cfRule type="expression" dxfId="380" priority="33">
      <formula>IF(#REF!=51.5,1,0)</formula>
    </cfRule>
    <cfRule type="expression" dxfId="379" priority="34">
      <formula>IF(#REF!=52.5,1,0)</formula>
    </cfRule>
  </conditionalFormatting>
  <conditionalFormatting sqref="A24:Q24">
    <cfRule type="expression" dxfId="378" priority="15">
      <formula>IF(#REF!=62.5,1,0)</formula>
    </cfRule>
    <cfRule type="expression" dxfId="377" priority="16">
      <formula>IF(#REF!=61.5,1,0)</formula>
    </cfRule>
    <cfRule type="expression" dxfId="376" priority="17">
      <formula>IF(#REF!=60.5,1,0)</formula>
    </cfRule>
    <cfRule type="expression" dxfId="375" priority="18">
      <formula>IF(#REF!=59.5,1,0)</formula>
    </cfRule>
    <cfRule type="expression" dxfId="374" priority="19">
      <formula>IF(#REF!=58.5,1,0)</formula>
    </cfRule>
    <cfRule type="expression" dxfId="373" priority="20">
      <formula>IF(#REF!=57.5,1,0)</formula>
    </cfRule>
    <cfRule type="expression" dxfId="372" priority="21">
      <formula>IF(#REF!=55.5,1,0)</formula>
    </cfRule>
    <cfRule type="expression" dxfId="371" priority="22">
      <formula>IF(#REF!=53.5,1,0)</formula>
    </cfRule>
    <cfRule type="expression" dxfId="370" priority="23">
      <formula>IF(#REF!=51.5,1,0)</formula>
    </cfRule>
    <cfRule type="expression" dxfId="369" priority="24">
      <formula>IF(#REF!=52.5,1,0)</formula>
    </cfRule>
  </conditionalFormatting>
  <conditionalFormatting sqref="F24 B24">
    <cfRule type="cellIs" dxfId="368" priority="14" operator="equal">
      <formula>"Armapro"</formula>
    </cfRule>
  </conditionalFormatting>
  <conditionalFormatting sqref="A24:B24 E24:O24">
    <cfRule type="expression" dxfId="367" priority="12">
      <formula>IF($B24="P7",1,0)</formula>
    </cfRule>
    <cfRule type="expression" dxfId="366" priority="13">
      <formula>IF($B24="P5",1,0)</formula>
    </cfRule>
  </conditionalFormatting>
  <conditionalFormatting sqref="A24:Q24">
    <cfRule type="expression" dxfId="365" priority="2">
      <formula>IF(#REF!=62.5,1,0)</formula>
    </cfRule>
    <cfRule type="expression" dxfId="364" priority="3">
      <formula>IF(#REF!=61.5,1,0)</formula>
    </cfRule>
    <cfRule type="expression" dxfId="363" priority="4">
      <formula>IF(#REF!=60.5,1,0)</formula>
    </cfRule>
    <cfRule type="expression" dxfId="362" priority="5">
      <formula>IF(#REF!=59.5,1,0)</formula>
    </cfRule>
    <cfRule type="expression" dxfId="361" priority="6">
      <formula>IF(#REF!=58.5,1,0)</formula>
    </cfRule>
    <cfRule type="expression" dxfId="360" priority="7">
      <formula>IF(#REF!=57.5,1,0)</formula>
    </cfRule>
    <cfRule type="expression" dxfId="359" priority="8">
      <formula>IF(#REF!=55.5,1,0)</formula>
    </cfRule>
    <cfRule type="expression" dxfId="358" priority="9">
      <formula>IF(#REF!=53.5,1,0)</formula>
    </cfRule>
    <cfRule type="expression" dxfId="357" priority="10">
      <formula>IF(#REF!=51.5,1,0)</formula>
    </cfRule>
    <cfRule type="expression" dxfId="356" priority="11">
      <formula>IF(#REF!=52.5,1,0)</formula>
    </cfRule>
  </conditionalFormatting>
  <conditionalFormatting sqref="P24:Q24">
    <cfRule type="containsErrors" dxfId="355" priority="1">
      <formula>ISERROR(P24)</formula>
    </cfRule>
  </conditionalFormatting>
  <dataValidations count="6">
    <dataValidation type="list" allowBlank="1" showInputMessage="1" showErrorMessage="1" sqref="B5:B6 B25:B1048576">
      <formula1>"Imprimé,OK"</formula1>
    </dataValidation>
    <dataValidation allowBlank="1" showInputMessage="1" sqref="A5:A6 A1:A2 A15 A17"/>
    <dataValidation type="list" allowBlank="1" showInputMessage="1" showErrorMessage="1" sqref="B3:B4 B7:B24">
      <formula1>Statut</formula1>
    </dataValidation>
    <dataValidation type="list" allowBlank="1" showInputMessage="1" showErrorMessage="1" sqref="D4 D7:D14 D16 D18:D24">
      <formula1>Client</formula1>
    </dataValidation>
    <dataValidation type="list" allowBlank="1" showInputMessage="1" showErrorMessage="1" sqref="A3:A4 A7:A14 A16 A18:A24">
      <formula1>"51,52,55,56,58,59,60,61,62,63,"</formula1>
    </dataValidation>
    <dataValidation type="list" allowBlank="1" showInputMessage="1" showErrorMessage="1" sqref="J3 D3">
      <formula1>"Lyse Ménard,Ginette Montembeault,Denise Dumas,Isabelle Paradis,Denise Harel,Diane Thériault,Manon Clouâtre,Manon Bilodeau,Lise Royer,Cindy Robinson,Claudia Larose,Gordana Sekerovic,"</formula1>
    </dataValidation>
  </dataValidations>
  <printOptions horizontalCentered="1"/>
  <pageMargins left="0.23622047244094491" right="0.23622047244094491" top="0.27559055118110237" bottom="0.74803149606299213" header="0" footer="0.31496062992125984"/>
  <pageSetup scale="63" fitToHeight="2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0000"/>
    <pageSetUpPr fitToPage="1"/>
  </sheetPr>
  <dimension ref="A1:R854313"/>
  <sheetViews>
    <sheetView showGridLines="0" showZeros="0" zoomScale="67" zoomScaleNormal="67" zoomScalePageLayoutView="49" workbookViewId="0">
      <selection activeCell="F24" sqref="F24"/>
    </sheetView>
  </sheetViews>
  <sheetFormatPr baseColWidth="10" defaultColWidth="11.5546875" defaultRowHeight="20.100000000000001" customHeight="1"/>
  <cols>
    <col min="1" max="1" width="8" style="16" customWidth="1"/>
    <col min="2" max="2" width="8.5546875" style="10" customWidth="1"/>
    <col min="3" max="3" width="10.33203125" style="17" customWidth="1"/>
    <col min="4" max="4" width="25.77734375" style="11" customWidth="1"/>
    <col min="5" max="5" width="7.6640625" style="11" customWidth="1"/>
    <col min="6" max="6" width="11.88671875" style="12" customWidth="1"/>
    <col min="7" max="7" width="11.88671875" style="99" customWidth="1"/>
    <col min="8" max="8" width="10.6640625" style="11" customWidth="1"/>
    <col min="9" max="9" width="11.88671875" style="99" customWidth="1"/>
    <col min="10" max="10" width="25.77734375" style="13" customWidth="1"/>
    <col min="11" max="11" width="8.6640625" style="11" customWidth="1"/>
    <col min="12" max="13" width="8.6640625" style="14" customWidth="1"/>
    <col min="14" max="17" width="10.6640625" style="18" customWidth="1"/>
    <col min="18" max="16384" width="11.5546875" style="16"/>
  </cols>
  <sheetData>
    <row r="1" spans="1:18" ht="20.100000000000001" customHeight="1" thickTop="1">
      <c r="A1" s="76" t="s">
        <v>146</v>
      </c>
      <c r="B1" s="20"/>
      <c r="C1" s="22">
        <f ca="1">TODAY()</f>
        <v>43090</v>
      </c>
      <c r="D1" s="102"/>
      <c r="E1" s="20"/>
      <c r="F1" s="74" t="s">
        <v>141</v>
      </c>
      <c r="G1" s="96" t="s">
        <v>0</v>
      </c>
      <c r="H1" s="76" t="s">
        <v>2</v>
      </c>
      <c r="I1" s="96" t="s">
        <v>0</v>
      </c>
      <c r="J1" s="103"/>
      <c r="K1" s="20"/>
      <c r="L1" s="20"/>
      <c r="M1" s="20"/>
      <c r="N1" s="75" t="s">
        <v>17</v>
      </c>
      <c r="O1" s="75" t="s">
        <v>17</v>
      </c>
      <c r="P1" s="19" t="s">
        <v>34</v>
      </c>
      <c r="Q1" s="19" t="s">
        <v>34</v>
      </c>
      <c r="R1" s="84"/>
    </row>
    <row r="2" spans="1:18" ht="20.100000000000001" customHeight="1">
      <c r="A2" s="25" t="s">
        <v>5</v>
      </c>
      <c r="B2" s="23" t="s">
        <v>1</v>
      </c>
      <c r="C2" s="23" t="s">
        <v>4</v>
      </c>
      <c r="D2" s="23" t="s">
        <v>6</v>
      </c>
      <c r="E2" s="23" t="s">
        <v>3</v>
      </c>
      <c r="F2" s="24" t="s">
        <v>142</v>
      </c>
      <c r="G2" s="97" t="s">
        <v>143</v>
      </c>
      <c r="H2" s="25" t="s">
        <v>7</v>
      </c>
      <c r="I2" s="97" t="s">
        <v>8</v>
      </c>
      <c r="J2" s="23" t="s">
        <v>12</v>
      </c>
      <c r="K2" s="23" t="s">
        <v>144</v>
      </c>
      <c r="L2" s="23" t="s">
        <v>9</v>
      </c>
      <c r="M2" s="23" t="s">
        <v>10</v>
      </c>
      <c r="N2" s="26" t="s">
        <v>11</v>
      </c>
      <c r="O2" s="26" t="s">
        <v>10</v>
      </c>
      <c r="P2" s="104" t="s">
        <v>147</v>
      </c>
      <c r="Q2" s="104" t="s">
        <v>148</v>
      </c>
      <c r="R2" s="84"/>
    </row>
    <row r="3" spans="1:18" s="84" customFormat="1" ht="20.100000000000001" customHeight="1">
      <c r="A3" s="92">
        <v>51</v>
      </c>
      <c r="B3" s="86"/>
      <c r="C3" s="85"/>
      <c r="D3" s="101"/>
      <c r="E3" s="88"/>
      <c r="F3" s="87"/>
      <c r="G3" s="100">
        <v>1</v>
      </c>
      <c r="H3" s="88"/>
      <c r="I3" s="100"/>
      <c r="J3" s="101"/>
      <c r="K3" s="88"/>
      <c r="L3" s="90"/>
      <c r="M3" s="90"/>
      <c r="N3" s="91"/>
      <c r="O3" s="91"/>
      <c r="P3" s="91"/>
      <c r="Q3" s="94"/>
    </row>
    <row r="4" spans="1:18" s="84" customFormat="1" ht="20.100000000000001" customHeight="1">
      <c r="A4" s="78">
        <v>51</v>
      </c>
      <c r="B4" s="78" t="s">
        <v>99</v>
      </c>
      <c r="C4" s="77">
        <v>17555</v>
      </c>
      <c r="D4" s="80"/>
      <c r="E4" s="80" t="s">
        <v>37</v>
      </c>
      <c r="F4" s="79"/>
      <c r="G4" s="95">
        <v>42405</v>
      </c>
      <c r="H4" s="80">
        <v>100</v>
      </c>
      <c r="I4" s="95">
        <v>42356</v>
      </c>
      <c r="J4" s="81" t="s">
        <v>127</v>
      </c>
      <c r="K4" s="80">
        <v>110</v>
      </c>
      <c r="L4" s="82">
        <v>6</v>
      </c>
      <c r="M4" s="82" t="s">
        <v>21</v>
      </c>
      <c r="N4" s="83">
        <v>250</v>
      </c>
      <c r="O4" s="83">
        <v>1250</v>
      </c>
      <c r="P4" s="105">
        <f>(H4*1000)/N4</f>
        <v>400</v>
      </c>
      <c r="Q4" s="106">
        <f>(H4*1000)/O4</f>
        <v>80</v>
      </c>
    </row>
    <row r="5" spans="1:18" s="84" customFormat="1" ht="20.100000000000001" customHeight="1">
      <c r="A5" s="78">
        <v>51</v>
      </c>
      <c r="B5" s="78" t="s">
        <v>99</v>
      </c>
      <c r="C5" s="77">
        <v>32132</v>
      </c>
      <c r="D5" s="80"/>
      <c r="E5" s="80" t="s">
        <v>37</v>
      </c>
      <c r="F5" s="79"/>
      <c r="G5" s="95">
        <v>42587</v>
      </c>
      <c r="H5" s="80">
        <v>250</v>
      </c>
      <c r="I5" s="95">
        <v>42356</v>
      </c>
      <c r="J5" s="81" t="s">
        <v>127</v>
      </c>
      <c r="K5" s="80">
        <v>110</v>
      </c>
      <c r="L5" s="82">
        <v>6</v>
      </c>
      <c r="M5" s="82" t="s">
        <v>21</v>
      </c>
      <c r="N5" s="83">
        <v>250</v>
      </c>
      <c r="O5" s="83">
        <v>1250</v>
      </c>
      <c r="P5" s="105">
        <f>(H5*1000)/N5</f>
        <v>1000</v>
      </c>
      <c r="Q5" s="106">
        <f>(H5*1000)/O5</f>
        <v>200</v>
      </c>
    </row>
    <row r="6" spans="1:18" s="84" customFormat="1" ht="20.100000000000001" customHeight="1">
      <c r="A6" s="92">
        <v>52</v>
      </c>
      <c r="B6" s="86"/>
      <c r="C6" s="85"/>
      <c r="D6" s="88"/>
      <c r="E6" s="88"/>
      <c r="F6" s="87"/>
      <c r="G6" s="100">
        <v>1</v>
      </c>
      <c r="H6" s="88"/>
      <c r="I6" s="100"/>
      <c r="J6" s="89"/>
      <c r="K6" s="88"/>
      <c r="L6" s="90"/>
      <c r="M6" s="90"/>
      <c r="N6" s="91"/>
      <c r="O6" s="91"/>
      <c r="P6" s="91"/>
      <c r="Q6" s="94"/>
    </row>
    <row r="7" spans="1:18" s="84" customFormat="1" ht="20.100000000000001" customHeight="1">
      <c r="A7" s="78">
        <v>52</v>
      </c>
      <c r="B7" s="78" t="s">
        <v>99</v>
      </c>
      <c r="C7" s="77">
        <v>12224</v>
      </c>
      <c r="D7" s="80"/>
      <c r="E7" s="80" t="s">
        <v>37</v>
      </c>
      <c r="F7" s="79"/>
      <c r="G7" s="95">
        <v>42587</v>
      </c>
      <c r="H7" s="80">
        <v>10</v>
      </c>
      <c r="I7" s="95">
        <v>42356</v>
      </c>
      <c r="J7" s="81" t="s">
        <v>127</v>
      </c>
      <c r="K7" s="80">
        <v>110</v>
      </c>
      <c r="L7" s="82">
        <v>6</v>
      </c>
      <c r="M7" s="82" t="s">
        <v>21</v>
      </c>
      <c r="N7" s="83">
        <v>250</v>
      </c>
      <c r="O7" s="83">
        <v>1250</v>
      </c>
      <c r="P7" s="105">
        <f>(H7*1000)/N7</f>
        <v>40</v>
      </c>
      <c r="Q7" s="106">
        <f>(H7*1000)/O7</f>
        <v>8</v>
      </c>
    </row>
    <row r="8" spans="1:18" s="84" customFormat="1" ht="20.100000000000001" customHeight="1">
      <c r="A8" s="92">
        <v>55</v>
      </c>
      <c r="B8" s="86"/>
      <c r="C8" s="85"/>
      <c r="D8" s="88"/>
      <c r="E8" s="88"/>
      <c r="F8" s="87"/>
      <c r="G8" s="100">
        <v>1</v>
      </c>
      <c r="H8" s="88"/>
      <c r="I8" s="100"/>
      <c r="J8" s="89"/>
      <c r="K8" s="88"/>
      <c r="L8" s="90"/>
      <c r="M8" s="90"/>
      <c r="N8" s="91"/>
      <c r="O8" s="91"/>
      <c r="P8" s="91"/>
      <c r="Q8" s="94"/>
    </row>
    <row r="9" spans="1:18" s="84" customFormat="1" ht="20.100000000000001" customHeight="1">
      <c r="A9" s="78">
        <v>55</v>
      </c>
      <c r="B9" s="78" t="s">
        <v>99</v>
      </c>
      <c r="C9" s="77">
        <v>34434</v>
      </c>
      <c r="D9" s="80"/>
      <c r="E9" s="80" t="s">
        <v>37</v>
      </c>
      <c r="F9" s="79"/>
      <c r="G9" s="95">
        <v>42430</v>
      </c>
      <c r="H9" s="80">
        <v>300</v>
      </c>
      <c r="I9" s="95">
        <v>42356</v>
      </c>
      <c r="J9" s="81" t="s">
        <v>127</v>
      </c>
      <c r="K9" s="80">
        <v>110</v>
      </c>
      <c r="L9" s="82">
        <v>6</v>
      </c>
      <c r="M9" s="82" t="s">
        <v>21</v>
      </c>
      <c r="N9" s="83">
        <v>250</v>
      </c>
      <c r="O9" s="83">
        <v>1250</v>
      </c>
      <c r="P9" s="105">
        <f>(H9*1000)/N9</f>
        <v>1200</v>
      </c>
      <c r="Q9" s="106">
        <f>(H9*1000)/O9</f>
        <v>240</v>
      </c>
    </row>
    <row r="10" spans="1:18" s="84" customFormat="1" ht="20.100000000000001" customHeight="1">
      <c r="A10" s="92">
        <v>56</v>
      </c>
      <c r="B10" s="86"/>
      <c r="C10" s="85"/>
      <c r="D10" s="88"/>
      <c r="E10" s="88"/>
      <c r="F10" s="87"/>
      <c r="G10" s="100">
        <v>1</v>
      </c>
      <c r="H10" s="88"/>
      <c r="I10" s="100"/>
      <c r="J10" s="89"/>
      <c r="K10" s="88"/>
      <c r="L10" s="90"/>
      <c r="M10" s="90"/>
      <c r="N10" s="91"/>
      <c r="O10" s="91"/>
      <c r="P10" s="91"/>
      <c r="Q10" s="94"/>
    </row>
    <row r="11" spans="1:18" s="84" customFormat="1" ht="20.100000000000001" customHeight="1">
      <c r="A11" s="78">
        <v>56</v>
      </c>
      <c r="B11" s="78" t="s">
        <v>99</v>
      </c>
      <c r="C11" s="77">
        <v>40141</v>
      </c>
      <c r="D11" s="80"/>
      <c r="E11" s="80" t="s">
        <v>37</v>
      </c>
      <c r="F11" s="79"/>
      <c r="G11" s="95">
        <v>42374</v>
      </c>
      <c r="H11" s="80">
        <v>60</v>
      </c>
      <c r="I11" s="95">
        <v>42356</v>
      </c>
      <c r="J11" s="81" t="s">
        <v>127</v>
      </c>
      <c r="K11" s="80">
        <v>110</v>
      </c>
      <c r="L11" s="82">
        <v>6</v>
      </c>
      <c r="M11" s="82" t="s">
        <v>21</v>
      </c>
      <c r="N11" s="83">
        <v>250</v>
      </c>
      <c r="O11" s="83">
        <v>1250</v>
      </c>
      <c r="P11" s="105">
        <f>(H11*1000)/N11</f>
        <v>240</v>
      </c>
      <c r="Q11" s="106">
        <f>(H11*1000)/O11</f>
        <v>48</v>
      </c>
    </row>
    <row r="12" spans="1:18" s="84" customFormat="1" ht="20.100000000000001" customHeight="1">
      <c r="A12" s="92">
        <v>58</v>
      </c>
      <c r="B12" s="86"/>
      <c r="C12" s="85"/>
      <c r="D12" s="88"/>
      <c r="E12" s="88"/>
      <c r="F12" s="87"/>
      <c r="G12" s="100">
        <v>1</v>
      </c>
      <c r="H12" s="88"/>
      <c r="I12" s="100"/>
      <c r="J12" s="89"/>
      <c r="K12" s="88"/>
      <c r="L12" s="90"/>
      <c r="M12" s="90"/>
      <c r="N12" s="91"/>
      <c r="O12" s="91"/>
      <c r="P12" s="91"/>
      <c r="Q12" s="94"/>
    </row>
    <row r="13" spans="1:18" s="84" customFormat="1" ht="20.100000000000001" customHeight="1">
      <c r="A13" s="78">
        <v>58</v>
      </c>
      <c r="B13" s="78" t="s">
        <v>99</v>
      </c>
      <c r="C13" s="77">
        <v>42849</v>
      </c>
      <c r="D13" s="80"/>
      <c r="E13" s="80" t="s">
        <v>31</v>
      </c>
      <c r="F13" s="79"/>
      <c r="G13" s="95">
        <v>42374</v>
      </c>
      <c r="H13" s="80">
        <v>1000</v>
      </c>
      <c r="I13" s="95">
        <v>42356</v>
      </c>
      <c r="J13" s="81" t="s">
        <v>127</v>
      </c>
      <c r="K13" s="80">
        <v>110</v>
      </c>
      <c r="L13" s="82">
        <v>6</v>
      </c>
      <c r="M13" s="82" t="s">
        <v>21</v>
      </c>
      <c r="N13" s="83">
        <v>250</v>
      </c>
      <c r="O13" s="83">
        <v>1250</v>
      </c>
      <c r="P13" s="105">
        <f>(H13*1000)/N13</f>
        <v>4000</v>
      </c>
      <c r="Q13" s="106">
        <f>(H13*1000)/O13</f>
        <v>800</v>
      </c>
    </row>
    <row r="14" spans="1:18" s="84" customFormat="1" ht="20.100000000000001" customHeight="1">
      <c r="A14" s="78">
        <v>58</v>
      </c>
      <c r="B14" s="78" t="s">
        <v>99</v>
      </c>
      <c r="C14" s="77">
        <v>49000</v>
      </c>
      <c r="D14" s="80"/>
      <c r="E14" s="80" t="s">
        <v>31</v>
      </c>
      <c r="F14" s="79"/>
      <c r="G14" s="95">
        <v>42523</v>
      </c>
      <c r="H14" s="80">
        <v>125</v>
      </c>
      <c r="I14" s="95">
        <v>42356</v>
      </c>
      <c r="J14" s="81" t="s">
        <v>127</v>
      </c>
      <c r="K14" s="80">
        <v>110</v>
      </c>
      <c r="L14" s="82">
        <v>6</v>
      </c>
      <c r="M14" s="82" t="s">
        <v>21</v>
      </c>
      <c r="N14" s="83">
        <v>250</v>
      </c>
      <c r="O14" s="83">
        <v>1250</v>
      </c>
      <c r="P14" s="105">
        <f>(H14*1000)/N14</f>
        <v>500</v>
      </c>
      <c r="Q14" s="106">
        <f>(H14*1000)/O14</f>
        <v>100</v>
      </c>
    </row>
    <row r="15" spans="1:18" s="84" customFormat="1" ht="20.100000000000001" customHeight="1">
      <c r="A15" s="92">
        <v>59</v>
      </c>
      <c r="B15" s="86"/>
      <c r="C15" s="85"/>
      <c r="D15" s="88"/>
      <c r="E15" s="88"/>
      <c r="F15" s="87"/>
      <c r="G15" s="100">
        <v>1</v>
      </c>
      <c r="H15" s="88"/>
      <c r="I15" s="100"/>
      <c r="J15" s="89"/>
      <c r="K15" s="88"/>
      <c r="L15" s="90"/>
      <c r="M15" s="90"/>
      <c r="N15" s="91"/>
      <c r="O15" s="91"/>
      <c r="P15" s="91"/>
      <c r="Q15" s="94"/>
    </row>
    <row r="16" spans="1:18" s="84" customFormat="1" ht="20.100000000000001" customHeight="1">
      <c r="A16" s="78">
        <v>59</v>
      </c>
      <c r="B16" s="78" t="s">
        <v>99</v>
      </c>
      <c r="C16" s="77">
        <v>65748</v>
      </c>
      <c r="D16" s="80"/>
      <c r="E16" s="80" t="s">
        <v>31</v>
      </c>
      <c r="F16" s="79"/>
      <c r="G16" s="95">
        <v>42405</v>
      </c>
      <c r="H16" s="80">
        <v>250</v>
      </c>
      <c r="I16" s="95">
        <v>42356</v>
      </c>
      <c r="J16" s="81" t="s">
        <v>127</v>
      </c>
      <c r="K16" s="80">
        <v>110</v>
      </c>
      <c r="L16" s="82">
        <v>6</v>
      </c>
      <c r="M16" s="82" t="s">
        <v>21</v>
      </c>
      <c r="N16" s="83">
        <v>250</v>
      </c>
      <c r="O16" s="83">
        <v>1250</v>
      </c>
      <c r="P16" s="105">
        <f>(H16*1000)/N16</f>
        <v>1000</v>
      </c>
      <c r="Q16" s="106">
        <f>(H16*1000)/O16</f>
        <v>200</v>
      </c>
    </row>
    <row r="17" spans="1:17" s="84" customFormat="1" ht="20.100000000000001" customHeight="1">
      <c r="A17" s="92">
        <v>60</v>
      </c>
      <c r="B17" s="86"/>
      <c r="C17" s="85"/>
      <c r="D17" s="88"/>
      <c r="E17" s="88"/>
      <c r="F17" s="87"/>
      <c r="G17" s="100">
        <v>1</v>
      </c>
      <c r="H17" s="88"/>
      <c r="I17" s="100"/>
      <c r="J17" s="89"/>
      <c r="K17" s="88"/>
      <c r="L17" s="90"/>
      <c r="M17" s="90"/>
      <c r="N17" s="91"/>
      <c r="O17" s="91"/>
      <c r="P17" s="91"/>
      <c r="Q17" s="94"/>
    </row>
    <row r="18" spans="1:17" s="84" customFormat="1" ht="20.100000000000001" customHeight="1">
      <c r="A18" s="78">
        <v>60</v>
      </c>
      <c r="B18" s="78" t="s">
        <v>99</v>
      </c>
      <c r="C18" s="77">
        <v>90112</v>
      </c>
      <c r="D18" s="80"/>
      <c r="E18" s="80" t="s">
        <v>31</v>
      </c>
      <c r="F18" s="79"/>
      <c r="G18" s="95">
        <v>42434</v>
      </c>
      <c r="H18" s="80">
        <v>125</v>
      </c>
      <c r="I18" s="95">
        <v>42356</v>
      </c>
      <c r="J18" s="81" t="s">
        <v>127</v>
      </c>
      <c r="K18" s="80">
        <v>110</v>
      </c>
      <c r="L18" s="82">
        <v>6</v>
      </c>
      <c r="M18" s="82" t="s">
        <v>21</v>
      </c>
      <c r="N18" s="83">
        <v>250</v>
      </c>
      <c r="O18" s="83">
        <v>1250</v>
      </c>
      <c r="P18" s="105">
        <f>(H18*1000)/N18</f>
        <v>500</v>
      </c>
      <c r="Q18" s="106">
        <f>(H18*1000)/O18</f>
        <v>100</v>
      </c>
    </row>
    <row r="19" spans="1:17" s="84" customFormat="1" ht="20.100000000000001" customHeight="1">
      <c r="A19" s="92">
        <v>61</v>
      </c>
      <c r="B19" s="86"/>
      <c r="C19" s="85"/>
      <c r="D19" s="88"/>
      <c r="E19" s="88"/>
      <c r="F19" s="87"/>
      <c r="G19" s="100">
        <v>1</v>
      </c>
      <c r="H19" s="88"/>
      <c r="I19" s="100"/>
      <c r="J19" s="89"/>
      <c r="K19" s="88"/>
      <c r="L19" s="90"/>
      <c r="M19" s="90"/>
      <c r="N19" s="91"/>
      <c r="O19" s="91"/>
      <c r="P19" s="91"/>
      <c r="Q19" s="94"/>
    </row>
    <row r="20" spans="1:17" s="84" customFormat="1" ht="20.100000000000001" customHeight="1">
      <c r="A20" s="78">
        <v>61</v>
      </c>
      <c r="B20" s="78" t="s">
        <v>99</v>
      </c>
      <c r="C20" s="77">
        <v>90137</v>
      </c>
      <c r="D20" s="80"/>
      <c r="E20" s="80" t="s">
        <v>31</v>
      </c>
      <c r="F20" s="79"/>
      <c r="G20" s="95">
        <v>42403</v>
      </c>
      <c r="H20" s="80">
        <v>100</v>
      </c>
      <c r="I20" s="95">
        <v>42356</v>
      </c>
      <c r="J20" s="81" t="s">
        <v>127</v>
      </c>
      <c r="K20" s="80">
        <v>110</v>
      </c>
      <c r="L20" s="82">
        <v>6</v>
      </c>
      <c r="M20" s="82" t="s">
        <v>21</v>
      </c>
      <c r="N20" s="83">
        <v>250</v>
      </c>
      <c r="O20" s="83">
        <v>1250</v>
      </c>
      <c r="P20" s="105">
        <f>(H20*1000)/N20</f>
        <v>400</v>
      </c>
      <c r="Q20" s="106">
        <f>(H20*1000)/O20</f>
        <v>80</v>
      </c>
    </row>
    <row r="21" spans="1:17" s="84" customFormat="1" ht="20.100000000000001" customHeight="1">
      <c r="A21" s="92">
        <v>62</v>
      </c>
      <c r="B21" s="86"/>
      <c r="C21" s="85"/>
      <c r="D21" s="88"/>
      <c r="E21" s="88"/>
      <c r="F21" s="87"/>
      <c r="G21" s="100">
        <v>1</v>
      </c>
      <c r="H21" s="88"/>
      <c r="I21" s="100"/>
      <c r="J21" s="89"/>
      <c r="K21" s="88"/>
      <c r="L21" s="90"/>
      <c r="M21" s="90"/>
      <c r="N21" s="91"/>
      <c r="O21" s="91"/>
      <c r="P21" s="91"/>
      <c r="Q21" s="94"/>
    </row>
    <row r="22" spans="1:17" s="84" customFormat="1" ht="20.100000000000001" customHeight="1">
      <c r="A22" s="78">
        <v>62</v>
      </c>
      <c r="B22" s="78" t="s">
        <v>99</v>
      </c>
      <c r="C22" s="77">
        <v>90000</v>
      </c>
      <c r="D22" s="80"/>
      <c r="E22" s="80" t="s">
        <v>31</v>
      </c>
      <c r="F22" s="79"/>
      <c r="G22" s="95">
        <v>42587</v>
      </c>
      <c r="H22" s="80">
        <v>50</v>
      </c>
      <c r="I22" s="95">
        <v>42356</v>
      </c>
      <c r="J22" s="81" t="s">
        <v>127</v>
      </c>
      <c r="K22" s="80">
        <v>110</v>
      </c>
      <c r="L22" s="82">
        <v>6</v>
      </c>
      <c r="M22" s="82" t="s">
        <v>21</v>
      </c>
      <c r="N22" s="83">
        <v>250</v>
      </c>
      <c r="O22" s="83">
        <v>1250</v>
      </c>
      <c r="P22" s="105">
        <f>(H22*1000)/N22</f>
        <v>200</v>
      </c>
      <c r="Q22" s="106">
        <f>(H22*1000)/O22</f>
        <v>40</v>
      </c>
    </row>
    <row r="23" spans="1:17" s="84" customFormat="1" ht="20.100000000000001" customHeight="1">
      <c r="A23" s="92">
        <v>63</v>
      </c>
      <c r="B23" s="86"/>
      <c r="C23" s="85"/>
      <c r="D23" s="88"/>
      <c r="E23" s="88"/>
      <c r="F23" s="87"/>
      <c r="G23" s="100">
        <v>1</v>
      </c>
      <c r="H23" s="88"/>
      <c r="I23" s="100"/>
      <c r="J23" s="89"/>
      <c r="K23" s="88"/>
      <c r="L23" s="90"/>
      <c r="M23" s="90"/>
      <c r="N23" s="91"/>
      <c r="O23" s="91"/>
      <c r="P23" s="91"/>
      <c r="Q23" s="94"/>
    </row>
    <row r="24" spans="1:17" s="84" customFormat="1" ht="20.100000000000001" customHeight="1">
      <c r="A24" s="78">
        <v>63</v>
      </c>
      <c r="B24" s="78" t="s">
        <v>99</v>
      </c>
      <c r="C24" s="77">
        <v>98888</v>
      </c>
      <c r="D24" s="80"/>
      <c r="E24" s="80" t="s">
        <v>37</v>
      </c>
      <c r="F24" s="79"/>
      <c r="G24" s="95">
        <v>42587</v>
      </c>
      <c r="H24" s="80">
        <v>300</v>
      </c>
      <c r="I24" s="95">
        <v>42356</v>
      </c>
      <c r="J24" s="81" t="s">
        <v>127</v>
      </c>
      <c r="K24" s="80">
        <v>110</v>
      </c>
      <c r="L24" s="82">
        <v>6</v>
      </c>
      <c r="M24" s="82" t="s">
        <v>21</v>
      </c>
      <c r="N24" s="83">
        <v>250</v>
      </c>
      <c r="O24" s="83">
        <v>1250</v>
      </c>
      <c r="P24" s="105">
        <f>(H24*1000)/N24</f>
        <v>1200</v>
      </c>
      <c r="Q24" s="106">
        <f>(H24*1000)/O24</f>
        <v>240</v>
      </c>
    </row>
    <row r="25" spans="1:17" s="84" customFormat="1" ht="20.100000000000001" customHeight="1">
      <c r="B25" s="78"/>
      <c r="C25" s="77"/>
      <c r="D25" s="80"/>
      <c r="E25" s="80"/>
      <c r="F25" s="79"/>
      <c r="G25" s="95"/>
      <c r="H25" s="80"/>
      <c r="I25" s="95"/>
      <c r="J25" s="81"/>
      <c r="K25" s="80"/>
      <c r="L25" s="82"/>
      <c r="M25" s="82"/>
      <c r="N25" s="83"/>
      <c r="O25" s="83"/>
      <c r="P25" s="83"/>
      <c r="Q25" s="93"/>
    </row>
    <row r="26" spans="1:17" s="84" customFormat="1" ht="20.100000000000001" customHeight="1">
      <c r="B26" s="78"/>
      <c r="C26" s="77"/>
      <c r="D26" s="80"/>
      <c r="E26" s="80"/>
      <c r="F26" s="79"/>
      <c r="G26" s="95"/>
      <c r="H26" s="80"/>
      <c r="I26" s="95"/>
      <c r="J26" s="81"/>
      <c r="K26" s="80"/>
      <c r="L26" s="82"/>
      <c r="M26" s="82"/>
      <c r="N26" s="83"/>
      <c r="O26" s="83"/>
      <c r="P26" s="83"/>
      <c r="Q26" s="93"/>
    </row>
    <row r="27" spans="1:17" s="84" customFormat="1" ht="20.100000000000001" customHeight="1">
      <c r="B27" s="78"/>
      <c r="C27" s="77"/>
      <c r="D27" s="80"/>
      <c r="E27" s="80"/>
      <c r="F27" s="79"/>
      <c r="G27" s="95"/>
      <c r="H27" s="80"/>
      <c r="I27" s="95"/>
      <c r="J27" s="81"/>
      <c r="K27" s="80"/>
      <c r="L27" s="82"/>
      <c r="M27" s="82"/>
      <c r="N27" s="83"/>
      <c r="O27" s="83"/>
      <c r="P27" s="83"/>
      <c r="Q27" s="93"/>
    </row>
    <row r="28" spans="1:17" s="84" customFormat="1" ht="20.100000000000001" customHeight="1">
      <c r="B28" s="78"/>
      <c r="C28" s="77"/>
      <c r="D28" s="80"/>
      <c r="E28" s="80"/>
      <c r="F28" s="79"/>
      <c r="G28" s="95"/>
      <c r="H28" s="80"/>
      <c r="I28" s="95"/>
      <c r="J28" s="81"/>
      <c r="K28" s="80"/>
      <c r="L28" s="82"/>
      <c r="M28" s="82"/>
      <c r="N28" s="83"/>
      <c r="O28" s="83"/>
      <c r="P28" s="83"/>
      <c r="Q28" s="93"/>
    </row>
    <row r="29" spans="1:17" s="84" customFormat="1" ht="20.100000000000001" customHeight="1">
      <c r="B29" s="78"/>
      <c r="C29" s="77"/>
      <c r="D29" s="80"/>
      <c r="E29" s="80"/>
      <c r="F29" s="79"/>
      <c r="G29" s="95"/>
      <c r="H29" s="80"/>
      <c r="I29" s="95"/>
      <c r="J29" s="81"/>
      <c r="K29" s="80"/>
      <c r="L29" s="82"/>
      <c r="M29" s="82"/>
      <c r="N29" s="83"/>
      <c r="O29" s="83"/>
      <c r="P29" s="83"/>
      <c r="Q29" s="93"/>
    </row>
    <row r="30" spans="1:17" s="84" customFormat="1" ht="20.100000000000001" customHeight="1">
      <c r="B30" s="78"/>
      <c r="C30" s="77"/>
      <c r="D30" s="80"/>
      <c r="E30" s="80"/>
      <c r="F30" s="79"/>
      <c r="G30" s="95"/>
      <c r="H30" s="80"/>
      <c r="I30" s="95"/>
      <c r="J30" s="81"/>
      <c r="K30" s="80"/>
      <c r="L30" s="82"/>
      <c r="M30" s="82"/>
      <c r="N30" s="83"/>
      <c r="O30" s="83"/>
      <c r="P30" s="83"/>
      <c r="Q30" s="93"/>
    </row>
    <row r="31" spans="1:17" s="84" customFormat="1" ht="20.100000000000001" customHeight="1">
      <c r="B31" s="78"/>
      <c r="C31" s="77"/>
      <c r="D31" s="80"/>
      <c r="E31" s="80"/>
      <c r="F31" s="79"/>
      <c r="G31" s="95"/>
      <c r="H31" s="80"/>
      <c r="I31" s="95"/>
      <c r="J31" s="81"/>
      <c r="K31" s="80"/>
      <c r="L31" s="82"/>
      <c r="M31" s="82"/>
      <c r="N31" s="83"/>
      <c r="O31" s="83"/>
      <c r="P31" s="83"/>
      <c r="Q31" s="93"/>
    </row>
    <row r="32" spans="1:17" s="84" customFormat="1" ht="20.100000000000001" customHeight="1">
      <c r="B32" s="78"/>
      <c r="C32" s="77"/>
      <c r="D32" s="80"/>
      <c r="E32" s="80"/>
      <c r="F32" s="79"/>
      <c r="G32" s="95"/>
      <c r="H32" s="80"/>
      <c r="I32" s="95"/>
      <c r="J32" s="81"/>
      <c r="K32" s="80"/>
      <c r="L32" s="82"/>
      <c r="M32" s="82"/>
      <c r="N32" s="83"/>
      <c r="O32" s="83"/>
      <c r="P32" s="83"/>
      <c r="Q32" s="93"/>
    </row>
    <row r="33" spans="2:17" s="84" customFormat="1" ht="20.100000000000001" customHeight="1">
      <c r="B33" s="78"/>
      <c r="C33" s="77"/>
      <c r="D33" s="80"/>
      <c r="E33" s="80"/>
      <c r="F33" s="79"/>
      <c r="G33" s="95"/>
      <c r="H33" s="80"/>
      <c r="I33" s="95"/>
      <c r="J33" s="81"/>
      <c r="K33" s="80"/>
      <c r="L33" s="82"/>
      <c r="M33" s="82"/>
      <c r="N33" s="83"/>
      <c r="O33" s="83"/>
      <c r="P33" s="83"/>
      <c r="Q33" s="93"/>
    </row>
    <row r="34" spans="2:17" s="84" customFormat="1" ht="20.100000000000001" customHeight="1">
      <c r="B34" s="78"/>
      <c r="C34" s="77"/>
      <c r="D34" s="80"/>
      <c r="E34" s="80"/>
      <c r="F34" s="79"/>
      <c r="G34" s="95"/>
      <c r="H34" s="80"/>
      <c r="I34" s="95"/>
      <c r="J34" s="81"/>
      <c r="K34" s="80"/>
      <c r="L34" s="82"/>
      <c r="M34" s="82"/>
      <c r="N34" s="83"/>
      <c r="O34" s="83"/>
      <c r="P34" s="83"/>
      <c r="Q34" s="93"/>
    </row>
    <row r="35" spans="2:17" s="84" customFormat="1" ht="20.100000000000001" customHeight="1">
      <c r="B35" s="78"/>
      <c r="C35" s="77"/>
      <c r="D35" s="80"/>
      <c r="E35" s="80"/>
      <c r="F35" s="79"/>
      <c r="G35" s="95"/>
      <c r="H35" s="80"/>
      <c r="I35" s="95"/>
      <c r="J35" s="81"/>
      <c r="K35" s="80"/>
      <c r="L35" s="82"/>
      <c r="M35" s="82"/>
      <c r="N35" s="83"/>
      <c r="O35" s="83"/>
      <c r="P35" s="83"/>
      <c r="Q35" s="93"/>
    </row>
    <row r="36" spans="2:17" s="84" customFormat="1" ht="20.100000000000001" customHeight="1">
      <c r="B36" s="78"/>
      <c r="C36" s="77"/>
      <c r="D36" s="80"/>
      <c r="E36" s="80"/>
      <c r="F36" s="79"/>
      <c r="G36" s="95"/>
      <c r="H36" s="80"/>
      <c r="I36" s="95"/>
      <c r="J36" s="81"/>
      <c r="K36" s="80"/>
      <c r="L36" s="82"/>
      <c r="M36" s="82"/>
      <c r="N36" s="83"/>
      <c r="O36" s="83"/>
      <c r="P36" s="83"/>
      <c r="Q36" s="93"/>
    </row>
    <row r="37" spans="2:17" s="84" customFormat="1" ht="20.100000000000001" customHeight="1">
      <c r="B37" s="78"/>
      <c r="C37" s="77"/>
      <c r="D37" s="80"/>
      <c r="E37" s="80"/>
      <c r="F37" s="79"/>
      <c r="G37" s="95"/>
      <c r="H37" s="80"/>
      <c r="I37" s="95"/>
      <c r="J37" s="81"/>
      <c r="K37" s="80"/>
      <c r="L37" s="82"/>
      <c r="M37" s="82"/>
      <c r="N37" s="83"/>
      <c r="O37" s="83"/>
      <c r="P37" s="83"/>
      <c r="Q37" s="93"/>
    </row>
    <row r="38" spans="2:17" s="84" customFormat="1" ht="20.100000000000001" customHeight="1">
      <c r="B38" s="78"/>
      <c r="C38" s="77"/>
      <c r="D38" s="80"/>
      <c r="E38" s="80"/>
      <c r="F38" s="79"/>
      <c r="G38" s="95"/>
      <c r="H38" s="80"/>
      <c r="I38" s="95"/>
      <c r="J38" s="81"/>
      <c r="K38" s="80"/>
      <c r="L38" s="82"/>
      <c r="M38" s="82"/>
      <c r="N38" s="83"/>
      <c r="O38" s="83"/>
      <c r="P38" s="83"/>
      <c r="Q38" s="93"/>
    </row>
    <row r="39" spans="2:17" s="84" customFormat="1" ht="20.100000000000001" customHeight="1">
      <c r="B39" s="78"/>
      <c r="C39" s="77"/>
      <c r="D39" s="80"/>
      <c r="E39" s="80"/>
      <c r="F39" s="79"/>
      <c r="G39" s="95"/>
      <c r="H39" s="80"/>
      <c r="I39" s="95"/>
      <c r="J39" s="81"/>
      <c r="K39" s="80"/>
      <c r="L39" s="82"/>
      <c r="M39" s="82"/>
      <c r="N39" s="83"/>
      <c r="O39" s="83"/>
      <c r="P39" s="83"/>
      <c r="Q39" s="93"/>
    </row>
    <row r="40" spans="2:17" s="84" customFormat="1" ht="20.100000000000001" customHeight="1">
      <c r="B40" s="78"/>
      <c r="C40" s="77"/>
      <c r="D40" s="80"/>
      <c r="E40" s="80"/>
      <c r="F40" s="79"/>
      <c r="G40" s="95"/>
      <c r="H40" s="80"/>
      <c r="I40" s="95"/>
      <c r="J40" s="81"/>
      <c r="K40" s="80"/>
      <c r="L40" s="82"/>
      <c r="M40" s="82"/>
      <c r="N40" s="83"/>
      <c r="O40" s="83"/>
      <c r="P40" s="83"/>
      <c r="Q40" s="93"/>
    </row>
    <row r="41" spans="2:17" s="84" customFormat="1" ht="20.100000000000001" customHeight="1">
      <c r="B41" s="78"/>
      <c r="C41" s="77"/>
      <c r="D41" s="80"/>
      <c r="E41" s="80"/>
      <c r="F41" s="79"/>
      <c r="G41" s="95"/>
      <c r="H41" s="80"/>
      <c r="I41" s="95"/>
      <c r="J41" s="81"/>
      <c r="K41" s="80"/>
      <c r="L41" s="82"/>
      <c r="M41" s="82"/>
      <c r="N41" s="83"/>
      <c r="O41" s="83"/>
      <c r="P41" s="83"/>
      <c r="Q41" s="93"/>
    </row>
    <row r="42" spans="2:17" s="84" customFormat="1" ht="20.100000000000001" customHeight="1">
      <c r="B42" s="78"/>
      <c r="C42" s="77"/>
      <c r="D42" s="80"/>
      <c r="E42" s="80"/>
      <c r="F42" s="79"/>
      <c r="G42" s="95"/>
      <c r="H42" s="80"/>
      <c r="I42" s="95"/>
      <c r="J42" s="81"/>
      <c r="K42" s="80"/>
      <c r="L42" s="82"/>
      <c r="M42" s="82"/>
      <c r="N42" s="83"/>
      <c r="O42" s="83"/>
      <c r="P42" s="83"/>
      <c r="Q42" s="93"/>
    </row>
    <row r="43" spans="2:17" s="84" customFormat="1" ht="20.100000000000001" customHeight="1">
      <c r="B43" s="78"/>
      <c r="C43" s="77"/>
      <c r="D43" s="80"/>
      <c r="E43" s="80"/>
      <c r="F43" s="79"/>
      <c r="G43" s="95"/>
      <c r="H43" s="80"/>
      <c r="I43" s="95"/>
      <c r="J43" s="81"/>
      <c r="K43" s="80"/>
      <c r="L43" s="82"/>
      <c r="M43" s="82"/>
      <c r="N43" s="83"/>
      <c r="O43" s="83"/>
      <c r="P43" s="83"/>
      <c r="Q43" s="93"/>
    </row>
    <row r="44" spans="2:17" s="84" customFormat="1" ht="20.100000000000001" customHeight="1">
      <c r="B44" s="78"/>
      <c r="C44" s="77"/>
      <c r="D44" s="80"/>
      <c r="E44" s="80"/>
      <c r="F44" s="79"/>
      <c r="G44" s="95"/>
      <c r="H44" s="80"/>
      <c r="I44" s="95"/>
      <c r="J44" s="81"/>
      <c r="K44" s="80"/>
      <c r="L44" s="82"/>
      <c r="M44" s="82"/>
      <c r="N44" s="83"/>
      <c r="O44" s="83"/>
      <c r="P44" s="83"/>
      <c r="Q44" s="93"/>
    </row>
    <row r="45" spans="2:17" s="84" customFormat="1" ht="20.100000000000001" customHeight="1">
      <c r="B45" s="78"/>
      <c r="C45" s="77"/>
      <c r="D45" s="80"/>
      <c r="E45" s="80"/>
      <c r="F45" s="79"/>
      <c r="G45" s="95"/>
      <c r="H45" s="80"/>
      <c r="I45" s="95"/>
      <c r="J45" s="81"/>
      <c r="K45" s="80"/>
      <c r="L45" s="82"/>
      <c r="M45" s="82"/>
      <c r="N45" s="83"/>
      <c r="O45" s="83"/>
      <c r="P45" s="83"/>
      <c r="Q45" s="93"/>
    </row>
    <row r="46" spans="2:17" s="84" customFormat="1" ht="20.100000000000001" customHeight="1">
      <c r="B46" s="78"/>
      <c r="C46" s="77"/>
      <c r="D46" s="80"/>
      <c r="E46" s="80"/>
      <c r="F46" s="79"/>
      <c r="G46" s="95"/>
      <c r="H46" s="80"/>
      <c r="I46" s="95"/>
      <c r="J46" s="81"/>
      <c r="K46" s="80"/>
      <c r="L46" s="82"/>
      <c r="M46" s="82"/>
      <c r="N46" s="83"/>
      <c r="O46" s="83"/>
      <c r="P46" s="83"/>
      <c r="Q46" s="93"/>
    </row>
    <row r="47" spans="2:17" s="84" customFormat="1" ht="20.100000000000001" customHeight="1">
      <c r="B47" s="78"/>
      <c r="C47" s="77"/>
      <c r="D47" s="80"/>
      <c r="E47" s="80"/>
      <c r="F47" s="79"/>
      <c r="G47" s="95"/>
      <c r="H47" s="80"/>
      <c r="I47" s="95"/>
      <c r="J47" s="81"/>
      <c r="K47" s="80"/>
      <c r="L47" s="82"/>
      <c r="M47" s="82"/>
      <c r="N47" s="83"/>
      <c r="O47" s="83"/>
      <c r="P47" s="83"/>
      <c r="Q47" s="93"/>
    </row>
    <row r="854279" spans="2:17" ht="20.100000000000001" customHeight="1">
      <c r="B854279" s="11"/>
      <c r="C854279" s="10"/>
      <c r="F854279" s="10"/>
      <c r="G854279" s="98"/>
      <c r="I854279" s="98"/>
      <c r="N854279" s="11"/>
      <c r="O854279" s="11"/>
      <c r="P854279" s="15"/>
      <c r="Q854279" s="15"/>
    </row>
    <row r="854280" spans="2:17" ht="20.100000000000001" customHeight="1">
      <c r="B854280" s="11"/>
      <c r="C854280" s="10"/>
      <c r="F854280" s="10"/>
      <c r="G854280" s="98"/>
      <c r="I854280" s="98"/>
      <c r="N854280" s="11"/>
      <c r="O854280" s="11"/>
      <c r="P854280" s="15"/>
      <c r="Q854280" s="15"/>
    </row>
    <row r="854281" spans="2:17" ht="20.100000000000001" customHeight="1">
      <c r="B854281" s="11"/>
      <c r="C854281" s="10"/>
      <c r="F854281" s="10"/>
      <c r="G854281" s="98"/>
      <c r="I854281" s="98"/>
      <c r="N854281" s="11"/>
      <c r="O854281" s="11"/>
      <c r="P854281" s="15"/>
      <c r="Q854281" s="15"/>
    </row>
    <row r="854282" spans="2:17" ht="20.100000000000001" customHeight="1">
      <c r="B854282" s="11"/>
      <c r="C854282" s="10"/>
      <c r="F854282" s="10"/>
      <c r="G854282" s="98"/>
      <c r="I854282" s="98"/>
      <c r="N854282" s="11"/>
      <c r="O854282" s="11"/>
      <c r="P854282" s="15"/>
      <c r="Q854282" s="15"/>
    </row>
    <row r="854283" spans="2:17" ht="20.100000000000001" customHeight="1">
      <c r="B854283" s="11"/>
      <c r="C854283" s="10"/>
      <c r="F854283" s="10"/>
      <c r="G854283" s="98"/>
      <c r="I854283" s="98"/>
      <c r="N854283" s="11"/>
      <c r="O854283" s="11"/>
      <c r="P854283" s="15"/>
      <c r="Q854283" s="15"/>
    </row>
    <row r="854284" spans="2:17" ht="20.100000000000001" customHeight="1">
      <c r="B854284" s="11"/>
      <c r="C854284" s="10"/>
      <c r="F854284" s="10"/>
      <c r="G854284" s="98"/>
      <c r="I854284" s="98"/>
      <c r="N854284" s="11"/>
      <c r="O854284" s="11"/>
      <c r="P854284" s="15"/>
      <c r="Q854284" s="15"/>
    </row>
    <row r="854285" spans="2:17" ht="20.100000000000001" customHeight="1">
      <c r="B854285" s="11"/>
      <c r="C854285" s="10"/>
      <c r="F854285" s="10"/>
      <c r="G854285" s="98"/>
      <c r="I854285" s="98"/>
      <c r="N854285" s="11"/>
      <c r="O854285" s="11"/>
      <c r="P854285" s="15"/>
      <c r="Q854285" s="15"/>
    </row>
    <row r="854286" spans="2:17" ht="20.100000000000001" customHeight="1">
      <c r="B854286" s="11"/>
      <c r="C854286" s="10"/>
      <c r="F854286" s="10"/>
      <c r="G854286" s="98"/>
      <c r="I854286" s="98"/>
      <c r="N854286" s="11"/>
      <c r="O854286" s="11"/>
      <c r="P854286" s="15"/>
      <c r="Q854286" s="15"/>
    </row>
    <row r="854287" spans="2:17" ht="20.100000000000001" customHeight="1">
      <c r="B854287" s="11"/>
      <c r="C854287" s="10"/>
      <c r="F854287" s="10"/>
      <c r="G854287" s="98"/>
      <c r="I854287" s="98"/>
      <c r="N854287" s="11"/>
      <c r="O854287" s="11"/>
      <c r="P854287" s="15"/>
      <c r="Q854287" s="15"/>
    </row>
    <row r="854288" spans="2:17" ht="20.100000000000001" customHeight="1">
      <c r="B854288" s="11"/>
      <c r="C854288" s="10"/>
      <c r="F854288" s="10"/>
      <c r="G854288" s="98"/>
      <c r="I854288" s="98"/>
      <c r="N854288" s="11"/>
      <c r="O854288" s="11"/>
      <c r="P854288" s="15"/>
      <c r="Q854288" s="15"/>
    </row>
    <row r="854289" spans="2:17" ht="20.100000000000001" customHeight="1">
      <c r="B854289" s="11"/>
      <c r="C854289" s="10"/>
      <c r="F854289" s="10"/>
      <c r="G854289" s="98"/>
      <c r="I854289" s="98"/>
      <c r="N854289" s="11"/>
      <c r="O854289" s="11"/>
      <c r="P854289" s="15"/>
      <c r="Q854289" s="15"/>
    </row>
    <row r="854290" spans="2:17" ht="20.100000000000001" customHeight="1">
      <c r="B854290" s="11"/>
      <c r="C854290" s="10"/>
      <c r="F854290" s="10"/>
      <c r="G854290" s="98"/>
      <c r="I854290" s="98"/>
      <c r="N854290" s="11"/>
      <c r="O854290" s="11"/>
      <c r="P854290" s="15"/>
      <c r="Q854290" s="15"/>
    </row>
    <row r="854291" spans="2:17" ht="20.100000000000001" customHeight="1">
      <c r="B854291" s="11"/>
      <c r="C854291" s="10"/>
      <c r="F854291" s="10"/>
      <c r="G854291" s="98"/>
      <c r="I854291" s="98"/>
      <c r="N854291" s="11"/>
      <c r="O854291" s="11"/>
      <c r="P854291" s="15"/>
      <c r="Q854291" s="15"/>
    </row>
    <row r="854292" spans="2:17" ht="20.100000000000001" customHeight="1">
      <c r="B854292" s="11"/>
      <c r="C854292" s="10"/>
      <c r="F854292" s="10"/>
      <c r="G854292" s="98"/>
      <c r="I854292" s="98"/>
      <c r="N854292" s="11"/>
      <c r="O854292" s="11"/>
      <c r="P854292" s="15"/>
      <c r="Q854292" s="15"/>
    </row>
    <row r="854293" spans="2:17" ht="20.100000000000001" customHeight="1">
      <c r="B854293" s="11"/>
      <c r="C854293" s="10"/>
      <c r="F854293" s="10"/>
      <c r="G854293" s="98"/>
      <c r="I854293" s="98"/>
      <c r="N854293" s="11"/>
      <c r="O854293" s="11"/>
      <c r="P854293" s="15"/>
      <c r="Q854293" s="15"/>
    </row>
    <row r="854294" spans="2:17" ht="20.100000000000001" customHeight="1">
      <c r="B854294" s="11"/>
      <c r="C854294" s="10"/>
      <c r="F854294" s="10"/>
      <c r="G854294" s="98"/>
      <c r="I854294" s="98"/>
      <c r="N854294" s="11"/>
      <c r="O854294" s="11"/>
      <c r="P854294" s="15"/>
      <c r="Q854294" s="15"/>
    </row>
    <row r="854295" spans="2:17" ht="20.100000000000001" customHeight="1">
      <c r="B854295" s="11"/>
      <c r="C854295" s="10"/>
      <c r="F854295" s="10"/>
      <c r="G854295" s="98"/>
      <c r="I854295" s="98"/>
      <c r="N854295" s="11"/>
      <c r="O854295" s="11"/>
      <c r="P854295" s="15"/>
      <c r="Q854295" s="15"/>
    </row>
    <row r="854296" spans="2:17" ht="20.100000000000001" customHeight="1">
      <c r="B854296" s="11"/>
      <c r="C854296" s="10"/>
      <c r="F854296" s="10"/>
      <c r="G854296" s="98"/>
      <c r="I854296" s="98"/>
      <c r="N854296" s="11"/>
      <c r="O854296" s="11"/>
      <c r="P854296" s="15"/>
      <c r="Q854296" s="15"/>
    </row>
    <row r="854297" spans="2:17" ht="20.100000000000001" customHeight="1">
      <c r="B854297" s="11"/>
      <c r="C854297" s="10"/>
      <c r="F854297" s="10"/>
      <c r="G854297" s="98"/>
      <c r="I854297" s="98"/>
      <c r="N854297" s="11"/>
      <c r="O854297" s="11"/>
      <c r="P854297" s="15"/>
      <c r="Q854297" s="15"/>
    </row>
    <row r="854298" spans="2:17" ht="20.100000000000001" customHeight="1">
      <c r="B854298" s="11"/>
      <c r="C854298" s="10"/>
      <c r="F854298" s="10"/>
      <c r="G854298" s="98"/>
      <c r="I854298" s="98"/>
      <c r="N854298" s="11"/>
      <c r="O854298" s="11"/>
      <c r="P854298" s="15"/>
      <c r="Q854298" s="15"/>
    </row>
    <row r="854299" spans="2:17" ht="20.100000000000001" customHeight="1">
      <c r="B854299" s="11"/>
      <c r="C854299" s="10"/>
      <c r="F854299" s="10"/>
      <c r="G854299" s="98"/>
      <c r="I854299" s="98"/>
      <c r="N854299" s="11"/>
      <c r="O854299" s="11"/>
      <c r="P854299" s="15"/>
      <c r="Q854299" s="15"/>
    </row>
    <row r="854300" spans="2:17" ht="20.100000000000001" customHeight="1">
      <c r="B854300" s="11"/>
      <c r="C854300" s="10"/>
      <c r="F854300" s="10"/>
      <c r="G854300" s="98"/>
      <c r="I854300" s="98"/>
      <c r="N854300" s="11"/>
      <c r="O854300" s="11"/>
      <c r="P854300" s="15"/>
      <c r="Q854300" s="15"/>
    </row>
    <row r="854301" spans="2:17" ht="20.100000000000001" customHeight="1">
      <c r="B854301" s="11"/>
      <c r="C854301" s="10"/>
      <c r="F854301" s="10"/>
      <c r="G854301" s="98"/>
      <c r="I854301" s="98"/>
      <c r="N854301" s="11"/>
      <c r="O854301" s="11"/>
      <c r="P854301" s="15"/>
      <c r="Q854301" s="15"/>
    </row>
    <row r="854302" spans="2:17" ht="20.100000000000001" customHeight="1">
      <c r="B854302" s="11"/>
      <c r="C854302" s="10"/>
      <c r="F854302" s="10"/>
      <c r="G854302" s="98"/>
      <c r="I854302" s="98"/>
      <c r="N854302" s="11"/>
      <c r="O854302" s="11"/>
      <c r="P854302" s="15"/>
      <c r="Q854302" s="15"/>
    </row>
    <row r="854303" spans="2:17" ht="20.100000000000001" customHeight="1">
      <c r="B854303" s="11"/>
      <c r="C854303" s="10"/>
      <c r="F854303" s="10"/>
      <c r="G854303" s="98"/>
      <c r="I854303" s="98"/>
      <c r="N854303" s="11"/>
      <c r="O854303" s="11"/>
      <c r="P854303" s="15"/>
      <c r="Q854303" s="15"/>
    </row>
    <row r="854304" spans="2:17" ht="20.100000000000001" customHeight="1">
      <c r="B854304" s="11"/>
      <c r="C854304" s="10"/>
      <c r="F854304" s="10"/>
      <c r="G854304" s="98"/>
      <c r="I854304" s="98"/>
      <c r="N854304" s="11"/>
      <c r="O854304" s="11"/>
      <c r="P854304" s="15"/>
      <c r="Q854304" s="15"/>
    </row>
    <row r="854305" spans="2:17" ht="20.100000000000001" customHeight="1">
      <c r="B854305" s="11"/>
      <c r="C854305" s="10"/>
      <c r="F854305" s="10"/>
      <c r="G854305" s="98"/>
      <c r="I854305" s="98"/>
      <c r="N854305" s="11"/>
      <c r="O854305" s="11"/>
      <c r="P854305" s="15"/>
      <c r="Q854305" s="15"/>
    </row>
    <row r="854306" spans="2:17" ht="20.100000000000001" customHeight="1">
      <c r="B854306" s="11"/>
      <c r="C854306" s="10"/>
      <c r="F854306" s="10"/>
      <c r="G854306" s="98"/>
      <c r="I854306" s="98"/>
      <c r="N854306" s="11"/>
      <c r="O854306" s="11"/>
      <c r="P854306" s="15"/>
      <c r="Q854306" s="15"/>
    </row>
    <row r="854307" spans="2:17" ht="20.100000000000001" customHeight="1">
      <c r="B854307" s="11"/>
      <c r="C854307" s="10"/>
      <c r="F854307" s="10"/>
      <c r="G854307" s="98"/>
      <c r="I854307" s="98"/>
      <c r="N854307" s="11"/>
      <c r="O854307" s="11"/>
      <c r="P854307" s="15"/>
      <c r="Q854307" s="15"/>
    </row>
    <row r="854308" spans="2:17" ht="20.100000000000001" customHeight="1">
      <c r="B854308" s="11"/>
      <c r="C854308" s="10"/>
      <c r="F854308" s="10"/>
      <c r="G854308" s="98"/>
      <c r="I854308" s="98"/>
      <c r="N854308" s="11"/>
      <c r="O854308" s="11"/>
      <c r="P854308" s="15"/>
      <c r="Q854308" s="15"/>
    </row>
    <row r="854309" spans="2:17" ht="20.100000000000001" customHeight="1">
      <c r="B854309" s="11"/>
      <c r="C854309" s="10"/>
      <c r="F854309" s="10"/>
      <c r="G854309" s="98"/>
      <c r="I854309" s="98"/>
      <c r="N854309" s="11"/>
      <c r="O854309" s="11"/>
      <c r="P854309" s="15"/>
      <c r="Q854309" s="15"/>
    </row>
    <row r="854310" spans="2:17" ht="20.100000000000001" customHeight="1">
      <c r="B854310" s="11"/>
      <c r="C854310" s="10"/>
      <c r="F854310" s="10"/>
      <c r="G854310" s="98"/>
      <c r="I854310" s="98"/>
      <c r="N854310" s="11"/>
      <c r="O854310" s="11"/>
      <c r="P854310" s="15"/>
      <c r="Q854310" s="15"/>
    </row>
    <row r="854311" spans="2:17" ht="20.100000000000001" customHeight="1">
      <c r="B854311" s="11"/>
      <c r="C854311" s="10"/>
      <c r="F854311" s="10"/>
      <c r="G854311" s="98"/>
      <c r="I854311" s="98"/>
      <c r="N854311" s="11"/>
      <c r="O854311" s="11"/>
      <c r="P854311" s="15"/>
      <c r="Q854311" s="15"/>
    </row>
    <row r="854312" spans="2:17" ht="20.100000000000001" customHeight="1">
      <c r="B854312" s="11"/>
      <c r="C854312" s="10"/>
      <c r="F854312" s="10"/>
      <c r="G854312" s="98"/>
      <c r="I854312" s="98"/>
      <c r="N854312" s="11"/>
      <c r="O854312" s="11"/>
      <c r="P854312" s="15"/>
      <c r="Q854312" s="15"/>
    </row>
    <row r="854313" spans="2:17" ht="20.100000000000001" customHeight="1">
      <c r="B854313" s="11"/>
      <c r="C854313" s="10"/>
      <c r="F854313" s="10"/>
      <c r="G854313" s="98"/>
      <c r="I854313" s="98"/>
      <c r="N854313" s="11"/>
      <c r="O854313" s="11"/>
      <c r="P854313" s="15"/>
      <c r="Q854313" s="15"/>
    </row>
  </sheetData>
  <sheetProtection selectLockedCells="1"/>
  <sortState ref="A3:Q26">
    <sortCondition ref="A3"/>
    <sortCondition ref="G3"/>
  </sortState>
  <dataConsolidate/>
  <conditionalFormatting sqref="A3:A25 B3:Q55">
    <cfRule type="expression" dxfId="354" priority="960">
      <formula>IF(#REF!=62.5,1,0)</formula>
    </cfRule>
    <cfRule type="expression" dxfId="353" priority="961">
      <formula>IF(#REF!=61.5,1,0)</formula>
    </cfRule>
    <cfRule type="expression" dxfId="352" priority="962">
      <formula>IF(#REF!=60.5,1,0)</formula>
    </cfRule>
    <cfRule type="expression" dxfId="351" priority="963">
      <formula>IF(#REF!=59.5,1,0)</formula>
    </cfRule>
    <cfRule type="expression" dxfId="350" priority="964">
      <formula>IF(#REF!=58.5,1,0)</formula>
    </cfRule>
    <cfRule type="expression" dxfId="349" priority="965">
      <formula>IF(#REF!=57.5,1,0)</formula>
    </cfRule>
    <cfRule type="expression" dxfId="348" priority="966">
      <formula>IF(#REF!=55.5,1,0)</formula>
    </cfRule>
    <cfRule type="expression" dxfId="347" priority="967">
      <formula>IF(#REF!=53.5,1,0)</formula>
    </cfRule>
    <cfRule type="expression" dxfId="346" priority="968">
      <formula>IF(#REF!=51.5,1,0)</formula>
    </cfRule>
    <cfRule type="expression" dxfId="345" priority="969">
      <formula>IF(#REF!=52.5,1,0)</formula>
    </cfRule>
  </conditionalFormatting>
  <conditionalFormatting sqref="A11:Q11 A3:A17 B3:Q47 A23:Q23">
    <cfRule type="expression" dxfId="344" priority="950">
      <formula>IF(#REF!=62.5,1,0)</formula>
    </cfRule>
    <cfRule type="expression" dxfId="343" priority="951">
      <formula>IF(#REF!=61.5,1,0)</formula>
    </cfRule>
    <cfRule type="expression" dxfId="342" priority="952">
      <formula>IF(#REF!=60.5,1,0)</formula>
    </cfRule>
    <cfRule type="expression" dxfId="341" priority="953">
      <formula>IF(#REF!=59.5,1,0)</formula>
    </cfRule>
    <cfRule type="expression" dxfId="340" priority="954">
      <formula>IF(#REF!=58.5,1,0)</formula>
    </cfRule>
    <cfRule type="expression" dxfId="339" priority="955">
      <formula>IF(#REF!=57.5,1,0)</formula>
    </cfRule>
    <cfRule type="expression" dxfId="338" priority="956">
      <formula>IF(#REF!=55.5,1,0)</formula>
    </cfRule>
    <cfRule type="expression" dxfId="337" priority="957">
      <formula>IF(#REF!=53.5,1,0)</formula>
    </cfRule>
    <cfRule type="expression" dxfId="336" priority="958">
      <formula>IF(#REF!=51.5,1,0)</formula>
    </cfRule>
    <cfRule type="expression" dxfId="335" priority="959">
      <formula>IF(#REF!=52.5,1,0)</formula>
    </cfRule>
  </conditionalFormatting>
  <conditionalFormatting sqref="F1:F1048576 B1:B1048576">
    <cfRule type="cellIs" dxfId="334" priority="949" operator="equal">
      <formula>"Armapro"</formula>
    </cfRule>
  </conditionalFormatting>
  <conditionalFormatting sqref="A8:Q8 A10:Q10 A14:Q16 A19:Q20 A22:Q22">
    <cfRule type="expression" dxfId="333" priority="939">
      <formula>IF(#REF!=62.5,1,0)</formula>
    </cfRule>
    <cfRule type="expression" dxfId="332" priority="940">
      <formula>IF(#REF!=61.5,1,0)</formula>
    </cfRule>
    <cfRule type="expression" dxfId="331" priority="941">
      <formula>IF(#REF!=60.5,1,0)</formula>
    </cfRule>
    <cfRule type="expression" dxfId="330" priority="942">
      <formula>IF(#REF!=59.5,1,0)</formula>
    </cfRule>
    <cfRule type="expression" dxfId="329" priority="943">
      <formula>IF(#REF!=58.5,1,0)</formula>
    </cfRule>
    <cfRule type="expression" dxfId="328" priority="944">
      <formula>IF(#REF!=57.5,1,0)</formula>
    </cfRule>
    <cfRule type="expression" dxfId="327" priority="945">
      <formula>IF(#REF!=55.5,1,0)</formula>
    </cfRule>
    <cfRule type="expression" dxfId="326" priority="946">
      <formula>IF(#REF!=53.5,1,0)</formula>
    </cfRule>
    <cfRule type="expression" dxfId="325" priority="947">
      <formula>IF(#REF!=51.5,1,0)</formula>
    </cfRule>
    <cfRule type="expression" dxfId="324" priority="948">
      <formula>IF(#REF!=52.5,1,0)</formula>
    </cfRule>
  </conditionalFormatting>
  <conditionalFormatting sqref="E3:O55 B3:B55 A3:A25">
    <cfRule type="expression" dxfId="323" priority="937">
      <formula>IF($B3="P7",1,0)</formula>
    </cfRule>
    <cfRule type="expression" dxfId="322" priority="938">
      <formula>IF($B3="P5",1,0)</formula>
    </cfRule>
  </conditionalFormatting>
  <conditionalFormatting sqref="A12:Q13 A15:Q18 A21:Q23">
    <cfRule type="expression" dxfId="321" priority="927">
      <formula>IF(#REF!=62.5,1,0)</formula>
    </cfRule>
    <cfRule type="expression" dxfId="320" priority="928">
      <formula>IF(#REF!=61.5,1,0)</formula>
    </cfRule>
    <cfRule type="expression" dxfId="319" priority="929">
      <formula>IF(#REF!=60.5,1,0)</formula>
    </cfRule>
    <cfRule type="expression" dxfId="318" priority="930">
      <formula>IF(#REF!=59.5,1,0)</formula>
    </cfRule>
    <cfRule type="expression" dxfId="317" priority="931">
      <formula>IF(#REF!=58.5,1,0)</formula>
    </cfRule>
    <cfRule type="expression" dxfId="316" priority="932">
      <formula>IF(#REF!=57.5,1,0)</formula>
    </cfRule>
    <cfRule type="expression" dxfId="315" priority="933">
      <formula>IF(#REF!=55.5,1,0)</formula>
    </cfRule>
    <cfRule type="expression" dxfId="314" priority="934">
      <formula>IF(#REF!=53.5,1,0)</formula>
    </cfRule>
    <cfRule type="expression" dxfId="313" priority="935">
      <formula>IF(#REF!=51.5,1,0)</formula>
    </cfRule>
    <cfRule type="expression" dxfId="312" priority="936">
      <formula>IF(#REF!=52.5,1,0)</formula>
    </cfRule>
  </conditionalFormatting>
  <conditionalFormatting sqref="D3">
    <cfRule type="expression" dxfId="311" priority="663">
      <formula>IF($B3="P7",1,0)</formula>
    </cfRule>
    <cfRule type="expression" dxfId="310" priority="664">
      <formula>IF($B3="P5",1,0)</formula>
    </cfRule>
  </conditionalFormatting>
  <conditionalFormatting sqref="A14:B14 E14:O14">
    <cfRule type="expression" dxfId="309" priority="628">
      <formula>IF($B14="P7",1,0)</formula>
    </cfRule>
    <cfRule type="expression" dxfId="308" priority="629">
      <formula>IF($B14="P5",1,0)</formula>
    </cfRule>
  </conditionalFormatting>
  <conditionalFormatting sqref="A15:B15 E15:O15">
    <cfRule type="expression" dxfId="307" priority="605">
      <formula>IF($B15="P7",1,0)</formula>
    </cfRule>
    <cfRule type="expression" dxfId="306" priority="606">
      <formula>IF($B15="P5",1,0)</formula>
    </cfRule>
  </conditionalFormatting>
  <conditionalFormatting sqref="A16:B16 E16:O16">
    <cfRule type="expression" dxfId="305" priority="581">
      <formula>IF($B16="P7",1,0)</formula>
    </cfRule>
    <cfRule type="expression" dxfId="304" priority="582">
      <formula>IF($B16="P5",1,0)</formula>
    </cfRule>
  </conditionalFormatting>
  <conditionalFormatting sqref="B16">
    <cfRule type="expression" dxfId="303" priority="568">
      <formula>IF($B16="P7",1,0)</formula>
    </cfRule>
    <cfRule type="expression" dxfId="302" priority="569">
      <formula>IF($B16="P5",1,0)</formula>
    </cfRule>
  </conditionalFormatting>
  <conditionalFormatting sqref="P4:Q5 P7:Q7 P9:Q9 P11:Q11 P13:Q13 P15:Q15 A17:Q23">
    <cfRule type="expression" dxfId="301" priority="558">
      <formula>IF(#REF!=62.5,1,0)</formula>
    </cfRule>
    <cfRule type="expression" dxfId="300" priority="559">
      <formula>IF(#REF!=61.5,1,0)</formula>
    </cfRule>
    <cfRule type="expression" dxfId="299" priority="560">
      <formula>IF(#REF!=60.5,1,0)</formula>
    </cfRule>
    <cfRule type="expression" dxfId="298" priority="561">
      <formula>IF(#REF!=59.5,1,0)</formula>
    </cfRule>
    <cfRule type="expression" dxfId="297" priority="562">
      <formula>IF(#REF!=58.5,1,0)</formula>
    </cfRule>
    <cfRule type="expression" dxfId="296" priority="563">
      <formula>IF(#REF!=57.5,1,0)</formula>
    </cfRule>
    <cfRule type="expression" dxfId="295" priority="564">
      <formula>IF(#REF!=55.5,1,0)</formula>
    </cfRule>
    <cfRule type="expression" dxfId="294" priority="565">
      <formula>IF(#REF!=53.5,1,0)</formula>
    </cfRule>
    <cfRule type="expression" dxfId="293" priority="566">
      <formula>IF(#REF!=51.5,1,0)</formula>
    </cfRule>
    <cfRule type="expression" dxfId="292" priority="567">
      <formula>IF(#REF!=52.5,1,0)</formula>
    </cfRule>
  </conditionalFormatting>
  <conditionalFormatting sqref="B17">
    <cfRule type="expression" dxfId="291" priority="555">
      <formula>IF($B17="P7",1,0)</formula>
    </cfRule>
    <cfRule type="expression" dxfId="290" priority="556">
      <formula>IF($B17="P5",1,0)</formula>
    </cfRule>
  </conditionalFormatting>
  <conditionalFormatting sqref="A17:B17 E17:O17">
    <cfRule type="expression" dxfId="289" priority="543">
      <formula>IF($B17="P7",1,0)</formula>
    </cfRule>
    <cfRule type="expression" dxfId="288" priority="544">
      <formula>IF($B17="P5",1,0)</formula>
    </cfRule>
  </conditionalFormatting>
  <conditionalFormatting sqref="A18:B18 E18:O18">
    <cfRule type="expression" dxfId="287" priority="530">
      <formula>IF($B18="P7",1,0)</formula>
    </cfRule>
    <cfRule type="expression" dxfId="286" priority="531">
      <formula>IF($B18="P5",1,0)</formula>
    </cfRule>
  </conditionalFormatting>
  <conditionalFormatting sqref="A19:B19 E19:O19">
    <cfRule type="expression" dxfId="285" priority="497">
      <formula>IF($B19="P7",1,0)</formula>
    </cfRule>
    <cfRule type="expression" dxfId="284" priority="498">
      <formula>IF($B19="P5",1,0)</formula>
    </cfRule>
  </conditionalFormatting>
  <conditionalFormatting sqref="A20:B20 E20:O20">
    <cfRule type="expression" dxfId="283" priority="474">
      <formula>IF($B20="P7",1,0)</formula>
    </cfRule>
    <cfRule type="expression" dxfId="282" priority="475">
      <formula>IF($B20="P5",1,0)</formula>
    </cfRule>
  </conditionalFormatting>
  <conditionalFormatting sqref="B21">
    <cfRule type="expression" dxfId="281" priority="461">
      <formula>IF($B21="P7",1,0)</formula>
    </cfRule>
    <cfRule type="expression" dxfId="280" priority="462">
      <formula>IF($B21="P5",1,0)</formula>
    </cfRule>
  </conditionalFormatting>
  <conditionalFormatting sqref="A21:B21 E21:O21">
    <cfRule type="expression" dxfId="279" priority="449">
      <formula>IF($B21="P7",1,0)</formula>
    </cfRule>
    <cfRule type="expression" dxfId="278" priority="450">
      <formula>IF($B21="P5",1,0)</formula>
    </cfRule>
  </conditionalFormatting>
  <conditionalFormatting sqref="B22">
    <cfRule type="expression" dxfId="277" priority="426">
      <formula>IF($B22="P7",1,0)</formula>
    </cfRule>
    <cfRule type="expression" dxfId="276" priority="427">
      <formula>IF($B22="P5",1,0)</formula>
    </cfRule>
  </conditionalFormatting>
  <conditionalFormatting sqref="A22:B22 E22:O22">
    <cfRule type="expression" dxfId="275" priority="414">
      <formula>IF($B22="P7",1,0)</formula>
    </cfRule>
    <cfRule type="expression" dxfId="274" priority="415">
      <formula>IF($B22="P5",1,0)</formula>
    </cfRule>
  </conditionalFormatting>
  <conditionalFormatting sqref="B23">
    <cfRule type="expression" dxfId="273" priority="391">
      <formula>IF($B23="P7",1,0)</formula>
    </cfRule>
    <cfRule type="expression" dxfId="272" priority="392">
      <formula>IF($B23="P5",1,0)</formula>
    </cfRule>
  </conditionalFormatting>
  <conditionalFormatting sqref="A23:B23 E23:O23">
    <cfRule type="expression" dxfId="271" priority="379">
      <formula>IF($B23="P7",1,0)</formula>
    </cfRule>
    <cfRule type="expression" dxfId="270" priority="380">
      <formula>IF($B23="P5",1,0)</formula>
    </cfRule>
  </conditionalFormatting>
  <conditionalFormatting sqref="A24:Q24">
    <cfRule type="expression" dxfId="269" priority="259">
      <formula>IF(#REF!=62.5,1,0)</formula>
    </cfRule>
    <cfRule type="expression" dxfId="268" priority="260">
      <formula>IF(#REF!=61.5,1,0)</formula>
    </cfRule>
    <cfRule type="expression" dxfId="267" priority="261">
      <formula>IF(#REF!=60.5,1,0)</formula>
    </cfRule>
    <cfRule type="expression" dxfId="266" priority="262">
      <formula>IF(#REF!=59.5,1,0)</formula>
    </cfRule>
    <cfRule type="expression" dxfId="265" priority="263">
      <formula>IF(#REF!=58.5,1,0)</formula>
    </cfRule>
    <cfRule type="expression" dxfId="264" priority="264">
      <formula>IF(#REF!=57.5,1,0)</formula>
    </cfRule>
    <cfRule type="expression" dxfId="263" priority="265">
      <formula>IF(#REF!=55.5,1,0)</formula>
    </cfRule>
    <cfRule type="expression" dxfId="262" priority="266">
      <formula>IF(#REF!=53.5,1,0)</formula>
    </cfRule>
    <cfRule type="expression" dxfId="261" priority="267">
      <formula>IF(#REF!=51.5,1,0)</formula>
    </cfRule>
    <cfRule type="expression" dxfId="260" priority="268">
      <formula>IF(#REF!=52.5,1,0)</formula>
    </cfRule>
  </conditionalFormatting>
  <conditionalFormatting sqref="F24 B24">
    <cfRule type="cellIs" dxfId="259" priority="258" operator="equal">
      <formula>"Armapro"</formula>
    </cfRule>
  </conditionalFormatting>
  <conditionalFormatting sqref="A24:B24 E24:O24">
    <cfRule type="expression" dxfId="258" priority="256">
      <formula>IF($B24="P7",1,0)</formula>
    </cfRule>
    <cfRule type="expression" dxfId="257" priority="257">
      <formula>IF($B24="P5",1,0)</formula>
    </cfRule>
  </conditionalFormatting>
  <conditionalFormatting sqref="A24:Q24">
    <cfRule type="expression" dxfId="256" priority="246">
      <formula>IF(#REF!=62.5,1,0)</formula>
    </cfRule>
    <cfRule type="expression" dxfId="255" priority="247">
      <formula>IF(#REF!=61.5,1,0)</formula>
    </cfRule>
    <cfRule type="expression" dxfId="254" priority="248">
      <formula>IF(#REF!=60.5,1,0)</formula>
    </cfRule>
    <cfRule type="expression" dxfId="253" priority="249">
      <formula>IF(#REF!=59.5,1,0)</formula>
    </cfRule>
    <cfRule type="expression" dxfId="252" priority="250">
      <formula>IF(#REF!=58.5,1,0)</formula>
    </cfRule>
    <cfRule type="expression" dxfId="251" priority="251">
      <formula>IF(#REF!=57.5,1,0)</formula>
    </cfRule>
    <cfRule type="expression" dxfId="250" priority="252">
      <formula>IF(#REF!=55.5,1,0)</formula>
    </cfRule>
    <cfRule type="expression" dxfId="249" priority="253">
      <formula>IF(#REF!=53.5,1,0)</formula>
    </cfRule>
    <cfRule type="expression" dxfId="248" priority="254">
      <formula>IF(#REF!=51.5,1,0)</formula>
    </cfRule>
    <cfRule type="expression" dxfId="247" priority="255">
      <formula>IF(#REF!=52.5,1,0)</formula>
    </cfRule>
  </conditionalFormatting>
  <conditionalFormatting sqref="P24:Q24">
    <cfRule type="containsErrors" dxfId="246" priority="245">
      <formula>ISERROR(P24)</formula>
    </cfRule>
  </conditionalFormatting>
  <conditionalFormatting sqref="E4:E24">
    <cfRule type="expression" dxfId="245" priority="235">
      <formula>IF(#REF!=62.5,1,0)</formula>
    </cfRule>
    <cfRule type="expression" dxfId="244" priority="236">
      <formula>IF(#REF!=61.5,1,0)</formula>
    </cfRule>
    <cfRule type="expression" dxfId="243" priority="237">
      <formula>IF(#REF!=60.5,1,0)</formula>
    </cfRule>
    <cfRule type="expression" dxfId="242" priority="238">
      <formula>IF(#REF!=59.5,1,0)</formula>
    </cfRule>
    <cfRule type="expression" dxfId="241" priority="239">
      <formula>IF(#REF!=58.5,1,0)</formula>
    </cfRule>
    <cfRule type="expression" dxfId="240" priority="240">
      <formula>IF(#REF!=57.5,1,0)</formula>
    </cfRule>
    <cfRule type="expression" dxfId="239" priority="241">
      <formula>IF(#REF!=55.5,1,0)</formula>
    </cfRule>
    <cfRule type="expression" dxfId="238" priority="242">
      <formula>IF(#REF!=53.5,1,0)</formula>
    </cfRule>
    <cfRule type="expression" dxfId="237" priority="243">
      <formula>IF(#REF!=51.5,1,0)</formula>
    </cfRule>
    <cfRule type="expression" dxfId="236" priority="244">
      <formula>IF(#REF!=52.5,1,0)</formula>
    </cfRule>
  </conditionalFormatting>
  <conditionalFormatting sqref="E11">
    <cfRule type="expression" dxfId="235" priority="225">
      <formula>IF(#REF!=62.5,1,0)</formula>
    </cfRule>
    <cfRule type="expression" dxfId="234" priority="226">
      <formula>IF(#REF!=61.5,1,0)</formula>
    </cfRule>
    <cfRule type="expression" dxfId="233" priority="227">
      <formula>IF(#REF!=60.5,1,0)</formula>
    </cfRule>
    <cfRule type="expression" dxfId="232" priority="228">
      <formula>IF(#REF!=59.5,1,0)</formula>
    </cfRule>
    <cfRule type="expression" dxfId="231" priority="229">
      <formula>IF(#REF!=58.5,1,0)</formula>
    </cfRule>
    <cfRule type="expression" dxfId="230" priority="230">
      <formula>IF(#REF!=57.5,1,0)</formula>
    </cfRule>
    <cfRule type="expression" dxfId="229" priority="231">
      <formula>IF(#REF!=55.5,1,0)</formula>
    </cfRule>
    <cfRule type="expression" dxfId="228" priority="232">
      <formula>IF(#REF!=53.5,1,0)</formula>
    </cfRule>
    <cfRule type="expression" dxfId="227" priority="233">
      <formula>IF(#REF!=51.5,1,0)</formula>
    </cfRule>
    <cfRule type="expression" dxfId="226" priority="234">
      <formula>IF(#REF!=52.5,1,0)</formula>
    </cfRule>
  </conditionalFormatting>
  <conditionalFormatting sqref="E10 E14:E16">
    <cfRule type="expression" dxfId="225" priority="215">
      <formula>IF(#REF!=62.5,1,0)</formula>
    </cfRule>
    <cfRule type="expression" dxfId="224" priority="216">
      <formula>IF(#REF!=61.5,1,0)</formula>
    </cfRule>
    <cfRule type="expression" dxfId="223" priority="217">
      <formula>IF(#REF!=60.5,1,0)</formula>
    </cfRule>
    <cfRule type="expression" dxfId="222" priority="218">
      <formula>IF(#REF!=59.5,1,0)</formula>
    </cfRule>
    <cfRule type="expression" dxfId="221" priority="219">
      <formula>IF(#REF!=58.5,1,0)</formula>
    </cfRule>
    <cfRule type="expression" dxfId="220" priority="220">
      <formula>IF(#REF!=57.5,1,0)</formula>
    </cfRule>
    <cfRule type="expression" dxfId="219" priority="221">
      <formula>IF(#REF!=55.5,1,0)</formula>
    </cfRule>
    <cfRule type="expression" dxfId="218" priority="222">
      <formula>IF(#REF!=53.5,1,0)</formula>
    </cfRule>
    <cfRule type="expression" dxfId="217" priority="223">
      <formula>IF(#REF!=51.5,1,0)</formula>
    </cfRule>
    <cfRule type="expression" dxfId="216" priority="224">
      <formula>IF(#REF!=52.5,1,0)</formula>
    </cfRule>
  </conditionalFormatting>
  <conditionalFormatting sqref="E4:E24">
    <cfRule type="expression" dxfId="215" priority="213">
      <formula>IF($B4="P7",1,0)</formula>
    </cfRule>
    <cfRule type="expression" dxfId="214" priority="214">
      <formula>IF($B4="P5",1,0)</formula>
    </cfRule>
  </conditionalFormatting>
  <conditionalFormatting sqref="E12:E13 E15:E16">
    <cfRule type="expression" dxfId="213" priority="203">
      <formula>IF(#REF!=62.5,1,0)</formula>
    </cfRule>
    <cfRule type="expression" dxfId="212" priority="204">
      <formula>IF(#REF!=61.5,1,0)</formula>
    </cfRule>
    <cfRule type="expression" dxfId="211" priority="205">
      <formula>IF(#REF!=60.5,1,0)</formula>
    </cfRule>
    <cfRule type="expression" dxfId="210" priority="206">
      <formula>IF(#REF!=59.5,1,0)</formula>
    </cfRule>
    <cfRule type="expression" dxfId="209" priority="207">
      <formula>IF(#REF!=58.5,1,0)</formula>
    </cfRule>
    <cfRule type="expression" dxfId="208" priority="208">
      <formula>IF(#REF!=57.5,1,0)</formula>
    </cfRule>
    <cfRule type="expression" dxfId="207" priority="209">
      <formula>IF(#REF!=55.5,1,0)</formula>
    </cfRule>
    <cfRule type="expression" dxfId="206" priority="210">
      <formula>IF(#REF!=53.5,1,0)</formula>
    </cfRule>
    <cfRule type="expression" dxfId="205" priority="211">
      <formula>IF(#REF!=51.5,1,0)</formula>
    </cfRule>
    <cfRule type="expression" dxfId="204" priority="212">
      <formula>IF(#REF!=52.5,1,0)</formula>
    </cfRule>
  </conditionalFormatting>
  <conditionalFormatting sqref="E14">
    <cfRule type="expression" dxfId="203" priority="201">
      <formula>IF($B14="P7",1,0)</formula>
    </cfRule>
    <cfRule type="expression" dxfId="202" priority="202">
      <formula>IF($B14="P5",1,0)</formula>
    </cfRule>
  </conditionalFormatting>
  <conditionalFormatting sqref="E15">
    <cfRule type="expression" dxfId="201" priority="199">
      <formula>IF($B15="P7",1,0)</formula>
    </cfRule>
    <cfRule type="expression" dxfId="200" priority="200">
      <formula>IF($B15="P5",1,0)</formula>
    </cfRule>
  </conditionalFormatting>
  <conditionalFormatting sqref="E16">
    <cfRule type="expression" dxfId="199" priority="197">
      <formula>IF($B16="P7",1,0)</formula>
    </cfRule>
    <cfRule type="expression" dxfId="198" priority="198">
      <formula>IF($B16="P5",1,0)</formula>
    </cfRule>
  </conditionalFormatting>
  <conditionalFormatting sqref="E17">
    <cfRule type="expression" dxfId="197" priority="187">
      <formula>IF(#REF!=62.5,1,0)</formula>
    </cfRule>
    <cfRule type="expression" dxfId="196" priority="188">
      <formula>IF(#REF!=61.5,1,0)</formula>
    </cfRule>
    <cfRule type="expression" dxfId="195" priority="189">
      <formula>IF(#REF!=60.5,1,0)</formula>
    </cfRule>
    <cfRule type="expression" dxfId="194" priority="190">
      <formula>IF(#REF!=59.5,1,0)</formula>
    </cfRule>
    <cfRule type="expression" dxfId="193" priority="191">
      <formula>IF(#REF!=58.5,1,0)</formula>
    </cfRule>
    <cfRule type="expression" dxfId="192" priority="192">
      <formula>IF(#REF!=57.5,1,0)</formula>
    </cfRule>
    <cfRule type="expression" dxfId="191" priority="193">
      <formula>IF(#REF!=55.5,1,0)</formula>
    </cfRule>
    <cfRule type="expression" dxfId="190" priority="194">
      <formula>IF(#REF!=53.5,1,0)</formula>
    </cfRule>
    <cfRule type="expression" dxfId="189" priority="195">
      <formula>IF(#REF!=51.5,1,0)</formula>
    </cfRule>
    <cfRule type="expression" dxfId="188" priority="196">
      <formula>IF(#REF!=52.5,1,0)</formula>
    </cfRule>
  </conditionalFormatting>
  <conditionalFormatting sqref="E17">
    <cfRule type="expression" dxfId="187" priority="177">
      <formula>IF(#REF!=62.5,1,0)</formula>
    </cfRule>
    <cfRule type="expression" dxfId="186" priority="178">
      <formula>IF(#REF!=61.5,1,0)</formula>
    </cfRule>
    <cfRule type="expression" dxfId="185" priority="179">
      <formula>IF(#REF!=60.5,1,0)</formula>
    </cfRule>
    <cfRule type="expression" dxfId="184" priority="180">
      <formula>IF(#REF!=59.5,1,0)</formula>
    </cfRule>
    <cfRule type="expression" dxfId="183" priority="181">
      <formula>IF(#REF!=58.5,1,0)</formula>
    </cfRule>
    <cfRule type="expression" dxfId="182" priority="182">
      <formula>IF(#REF!=57.5,1,0)</formula>
    </cfRule>
    <cfRule type="expression" dxfId="181" priority="183">
      <formula>IF(#REF!=55.5,1,0)</formula>
    </cfRule>
    <cfRule type="expression" dxfId="180" priority="184">
      <formula>IF(#REF!=53.5,1,0)</formula>
    </cfRule>
    <cfRule type="expression" dxfId="179" priority="185">
      <formula>IF(#REF!=51.5,1,0)</formula>
    </cfRule>
    <cfRule type="expression" dxfId="178" priority="186">
      <formula>IF(#REF!=52.5,1,0)</formula>
    </cfRule>
  </conditionalFormatting>
  <conditionalFormatting sqref="E17">
    <cfRule type="expression" dxfId="177" priority="175">
      <formula>IF($B17="P7",1,0)</formula>
    </cfRule>
    <cfRule type="expression" dxfId="176" priority="176">
      <formula>IF($B17="P5",1,0)</formula>
    </cfRule>
  </conditionalFormatting>
  <conditionalFormatting sqref="E18">
    <cfRule type="expression" dxfId="175" priority="165">
      <formula>IF(#REF!=62.5,1,0)</formula>
    </cfRule>
    <cfRule type="expression" dxfId="174" priority="166">
      <formula>IF(#REF!=61.5,1,0)</formula>
    </cfRule>
    <cfRule type="expression" dxfId="173" priority="167">
      <formula>IF(#REF!=60.5,1,0)</formula>
    </cfRule>
    <cfRule type="expression" dxfId="172" priority="168">
      <formula>IF(#REF!=59.5,1,0)</formula>
    </cfRule>
    <cfRule type="expression" dxfId="171" priority="169">
      <formula>IF(#REF!=58.5,1,0)</formula>
    </cfRule>
    <cfRule type="expression" dxfId="170" priority="170">
      <formula>IF(#REF!=57.5,1,0)</formula>
    </cfRule>
    <cfRule type="expression" dxfId="169" priority="171">
      <formula>IF(#REF!=55.5,1,0)</formula>
    </cfRule>
    <cfRule type="expression" dxfId="168" priority="172">
      <formula>IF(#REF!=53.5,1,0)</formula>
    </cfRule>
    <cfRule type="expression" dxfId="167" priority="173">
      <formula>IF(#REF!=51.5,1,0)</formula>
    </cfRule>
    <cfRule type="expression" dxfId="166" priority="174">
      <formula>IF(#REF!=52.5,1,0)</formula>
    </cfRule>
  </conditionalFormatting>
  <conditionalFormatting sqref="E18">
    <cfRule type="expression" dxfId="165" priority="163">
      <formula>IF($B18="P7",1,0)</formula>
    </cfRule>
    <cfRule type="expression" dxfId="164" priority="164">
      <formula>IF($B18="P5",1,0)</formula>
    </cfRule>
  </conditionalFormatting>
  <conditionalFormatting sqref="E18">
    <cfRule type="expression" dxfId="163" priority="153">
      <formula>IF(#REF!=62.5,1,0)</formula>
    </cfRule>
    <cfRule type="expression" dxfId="162" priority="154">
      <formula>IF(#REF!=61.5,1,0)</formula>
    </cfRule>
    <cfRule type="expression" dxfId="161" priority="155">
      <formula>IF(#REF!=60.5,1,0)</formula>
    </cfRule>
    <cfRule type="expression" dxfId="160" priority="156">
      <formula>IF(#REF!=59.5,1,0)</formula>
    </cfRule>
    <cfRule type="expression" dxfId="159" priority="157">
      <formula>IF(#REF!=58.5,1,0)</formula>
    </cfRule>
    <cfRule type="expression" dxfId="158" priority="158">
      <formula>IF(#REF!=57.5,1,0)</formula>
    </cfRule>
    <cfRule type="expression" dxfId="157" priority="159">
      <formula>IF(#REF!=55.5,1,0)</formula>
    </cfRule>
    <cfRule type="expression" dxfId="156" priority="160">
      <formula>IF(#REF!=53.5,1,0)</formula>
    </cfRule>
    <cfRule type="expression" dxfId="155" priority="161">
      <formula>IF(#REF!=51.5,1,0)</formula>
    </cfRule>
    <cfRule type="expression" dxfId="154" priority="162">
      <formula>IF(#REF!=52.5,1,0)</formula>
    </cfRule>
  </conditionalFormatting>
  <conditionalFormatting sqref="E19">
    <cfRule type="expression" dxfId="153" priority="143">
      <formula>IF(#REF!=62.5,1,0)</formula>
    </cfRule>
    <cfRule type="expression" dxfId="152" priority="144">
      <formula>IF(#REF!=61.5,1,0)</formula>
    </cfRule>
    <cfRule type="expression" dxfId="151" priority="145">
      <formula>IF(#REF!=60.5,1,0)</formula>
    </cfRule>
    <cfRule type="expression" dxfId="150" priority="146">
      <formula>IF(#REF!=59.5,1,0)</formula>
    </cfRule>
    <cfRule type="expression" dxfId="149" priority="147">
      <formula>IF(#REF!=58.5,1,0)</formula>
    </cfRule>
    <cfRule type="expression" dxfId="148" priority="148">
      <formula>IF(#REF!=57.5,1,0)</formula>
    </cfRule>
    <cfRule type="expression" dxfId="147" priority="149">
      <formula>IF(#REF!=55.5,1,0)</formula>
    </cfRule>
    <cfRule type="expression" dxfId="146" priority="150">
      <formula>IF(#REF!=53.5,1,0)</formula>
    </cfRule>
    <cfRule type="expression" dxfId="145" priority="151">
      <formula>IF(#REF!=51.5,1,0)</formula>
    </cfRule>
    <cfRule type="expression" dxfId="144" priority="152">
      <formula>IF(#REF!=52.5,1,0)</formula>
    </cfRule>
  </conditionalFormatting>
  <conditionalFormatting sqref="E19">
    <cfRule type="expression" dxfId="143" priority="133">
      <formula>IF(#REF!=62.5,1,0)</formula>
    </cfRule>
    <cfRule type="expression" dxfId="142" priority="134">
      <formula>IF(#REF!=61.5,1,0)</formula>
    </cfRule>
    <cfRule type="expression" dxfId="141" priority="135">
      <formula>IF(#REF!=60.5,1,0)</formula>
    </cfRule>
    <cfRule type="expression" dxfId="140" priority="136">
      <formula>IF(#REF!=59.5,1,0)</formula>
    </cfRule>
    <cfRule type="expression" dxfId="139" priority="137">
      <formula>IF(#REF!=58.5,1,0)</formula>
    </cfRule>
    <cfRule type="expression" dxfId="138" priority="138">
      <formula>IF(#REF!=57.5,1,0)</formula>
    </cfRule>
    <cfRule type="expression" dxfId="137" priority="139">
      <formula>IF(#REF!=55.5,1,0)</formula>
    </cfRule>
    <cfRule type="expression" dxfId="136" priority="140">
      <formula>IF(#REF!=53.5,1,0)</formula>
    </cfRule>
    <cfRule type="expression" dxfId="135" priority="141">
      <formula>IF(#REF!=51.5,1,0)</formula>
    </cfRule>
    <cfRule type="expression" dxfId="134" priority="142">
      <formula>IF(#REF!=52.5,1,0)</formula>
    </cfRule>
  </conditionalFormatting>
  <conditionalFormatting sqref="E19">
    <cfRule type="expression" dxfId="133" priority="131">
      <formula>IF($B19="P7",1,0)</formula>
    </cfRule>
    <cfRule type="expression" dxfId="132" priority="132">
      <formula>IF($B19="P5",1,0)</formula>
    </cfRule>
  </conditionalFormatting>
  <conditionalFormatting sqref="E20">
    <cfRule type="expression" dxfId="131" priority="121">
      <formula>IF(#REF!=62.5,1,0)</formula>
    </cfRule>
    <cfRule type="expression" dxfId="130" priority="122">
      <formula>IF(#REF!=61.5,1,0)</formula>
    </cfRule>
    <cfRule type="expression" dxfId="129" priority="123">
      <formula>IF(#REF!=60.5,1,0)</formula>
    </cfRule>
    <cfRule type="expression" dxfId="128" priority="124">
      <formula>IF(#REF!=59.5,1,0)</formula>
    </cfRule>
    <cfRule type="expression" dxfId="127" priority="125">
      <formula>IF(#REF!=58.5,1,0)</formula>
    </cfRule>
    <cfRule type="expression" dxfId="126" priority="126">
      <formula>IF(#REF!=57.5,1,0)</formula>
    </cfRule>
    <cfRule type="expression" dxfId="125" priority="127">
      <formula>IF(#REF!=55.5,1,0)</formula>
    </cfRule>
    <cfRule type="expression" dxfId="124" priority="128">
      <formula>IF(#REF!=53.5,1,0)</formula>
    </cfRule>
    <cfRule type="expression" dxfId="123" priority="129">
      <formula>IF(#REF!=51.5,1,0)</formula>
    </cfRule>
    <cfRule type="expression" dxfId="122" priority="130">
      <formula>IF(#REF!=52.5,1,0)</formula>
    </cfRule>
  </conditionalFormatting>
  <conditionalFormatting sqref="E20">
    <cfRule type="expression" dxfId="121" priority="111">
      <formula>IF(#REF!=62.5,1,0)</formula>
    </cfRule>
    <cfRule type="expression" dxfId="120" priority="112">
      <formula>IF(#REF!=61.5,1,0)</formula>
    </cfRule>
    <cfRule type="expression" dxfId="119" priority="113">
      <formula>IF(#REF!=60.5,1,0)</formula>
    </cfRule>
    <cfRule type="expression" dxfId="118" priority="114">
      <formula>IF(#REF!=59.5,1,0)</formula>
    </cfRule>
    <cfRule type="expression" dxfId="117" priority="115">
      <formula>IF(#REF!=58.5,1,0)</formula>
    </cfRule>
    <cfRule type="expression" dxfId="116" priority="116">
      <formula>IF(#REF!=57.5,1,0)</formula>
    </cfRule>
    <cfRule type="expression" dxfId="115" priority="117">
      <formula>IF(#REF!=55.5,1,0)</formula>
    </cfRule>
    <cfRule type="expression" dxfId="114" priority="118">
      <formula>IF(#REF!=53.5,1,0)</formula>
    </cfRule>
    <cfRule type="expression" dxfId="113" priority="119">
      <formula>IF(#REF!=51.5,1,0)</formula>
    </cfRule>
    <cfRule type="expression" dxfId="112" priority="120">
      <formula>IF(#REF!=52.5,1,0)</formula>
    </cfRule>
  </conditionalFormatting>
  <conditionalFormatting sqref="E20">
    <cfRule type="expression" dxfId="111" priority="109">
      <formula>IF($B20="P7",1,0)</formula>
    </cfRule>
    <cfRule type="expression" dxfId="110" priority="110">
      <formula>IF($B20="P5",1,0)</formula>
    </cfRule>
  </conditionalFormatting>
  <conditionalFormatting sqref="E21">
    <cfRule type="expression" dxfId="109" priority="99">
      <formula>IF(#REF!=62.5,1,0)</formula>
    </cfRule>
    <cfRule type="expression" dxfId="108" priority="100">
      <formula>IF(#REF!=61.5,1,0)</formula>
    </cfRule>
    <cfRule type="expression" dxfId="107" priority="101">
      <formula>IF(#REF!=60.5,1,0)</formula>
    </cfRule>
    <cfRule type="expression" dxfId="106" priority="102">
      <formula>IF(#REF!=59.5,1,0)</formula>
    </cfRule>
    <cfRule type="expression" dxfId="105" priority="103">
      <formula>IF(#REF!=58.5,1,0)</formula>
    </cfRule>
    <cfRule type="expression" dxfId="104" priority="104">
      <formula>IF(#REF!=57.5,1,0)</formula>
    </cfRule>
    <cfRule type="expression" dxfId="103" priority="105">
      <formula>IF(#REF!=55.5,1,0)</formula>
    </cfRule>
    <cfRule type="expression" dxfId="102" priority="106">
      <formula>IF(#REF!=53.5,1,0)</formula>
    </cfRule>
    <cfRule type="expression" dxfId="101" priority="107">
      <formula>IF(#REF!=51.5,1,0)</formula>
    </cfRule>
    <cfRule type="expression" dxfId="100" priority="108">
      <formula>IF(#REF!=52.5,1,0)</formula>
    </cfRule>
  </conditionalFormatting>
  <conditionalFormatting sqref="E21">
    <cfRule type="expression" dxfId="99" priority="89">
      <formula>IF(#REF!=62.5,1,0)</formula>
    </cfRule>
    <cfRule type="expression" dxfId="98" priority="90">
      <formula>IF(#REF!=61.5,1,0)</formula>
    </cfRule>
    <cfRule type="expression" dxfId="97" priority="91">
      <formula>IF(#REF!=60.5,1,0)</formula>
    </cfRule>
    <cfRule type="expression" dxfId="96" priority="92">
      <formula>IF(#REF!=59.5,1,0)</formula>
    </cfRule>
    <cfRule type="expression" dxfId="95" priority="93">
      <formula>IF(#REF!=58.5,1,0)</formula>
    </cfRule>
    <cfRule type="expression" dxfId="94" priority="94">
      <formula>IF(#REF!=57.5,1,0)</formula>
    </cfRule>
    <cfRule type="expression" dxfId="93" priority="95">
      <formula>IF(#REF!=55.5,1,0)</formula>
    </cfRule>
    <cfRule type="expression" dxfId="92" priority="96">
      <formula>IF(#REF!=53.5,1,0)</formula>
    </cfRule>
    <cfRule type="expression" dxfId="91" priority="97">
      <formula>IF(#REF!=51.5,1,0)</formula>
    </cfRule>
    <cfRule type="expression" dxfId="90" priority="98">
      <formula>IF(#REF!=52.5,1,0)</formula>
    </cfRule>
  </conditionalFormatting>
  <conditionalFormatting sqref="E21">
    <cfRule type="expression" dxfId="89" priority="87">
      <formula>IF($B21="P7",1,0)</formula>
    </cfRule>
    <cfRule type="expression" dxfId="88" priority="88">
      <formula>IF($B21="P5",1,0)</formula>
    </cfRule>
  </conditionalFormatting>
  <conditionalFormatting sqref="E22">
    <cfRule type="expression" dxfId="87" priority="77">
      <formula>IF(#REF!=62.5,1,0)</formula>
    </cfRule>
    <cfRule type="expression" dxfId="86" priority="78">
      <formula>IF(#REF!=61.5,1,0)</formula>
    </cfRule>
    <cfRule type="expression" dxfId="85" priority="79">
      <formula>IF(#REF!=60.5,1,0)</formula>
    </cfRule>
    <cfRule type="expression" dxfId="84" priority="80">
      <formula>IF(#REF!=59.5,1,0)</formula>
    </cfRule>
    <cfRule type="expression" dxfId="83" priority="81">
      <formula>IF(#REF!=58.5,1,0)</formula>
    </cfRule>
    <cfRule type="expression" dxfId="82" priority="82">
      <formula>IF(#REF!=57.5,1,0)</formula>
    </cfRule>
    <cfRule type="expression" dxfId="81" priority="83">
      <formula>IF(#REF!=55.5,1,0)</formula>
    </cfRule>
    <cfRule type="expression" dxfId="80" priority="84">
      <formula>IF(#REF!=53.5,1,0)</formula>
    </cfRule>
    <cfRule type="expression" dxfId="79" priority="85">
      <formula>IF(#REF!=51.5,1,0)</formula>
    </cfRule>
    <cfRule type="expression" dxfId="78" priority="86">
      <formula>IF(#REF!=52.5,1,0)</formula>
    </cfRule>
  </conditionalFormatting>
  <conditionalFormatting sqref="E22">
    <cfRule type="expression" dxfId="77" priority="67">
      <formula>IF(#REF!=62.5,1,0)</formula>
    </cfRule>
    <cfRule type="expression" dxfId="76" priority="68">
      <formula>IF(#REF!=61.5,1,0)</formula>
    </cfRule>
    <cfRule type="expression" dxfId="75" priority="69">
      <formula>IF(#REF!=60.5,1,0)</formula>
    </cfRule>
    <cfRule type="expression" dxfId="74" priority="70">
      <formula>IF(#REF!=59.5,1,0)</formula>
    </cfRule>
    <cfRule type="expression" dxfId="73" priority="71">
      <formula>IF(#REF!=58.5,1,0)</formula>
    </cfRule>
    <cfRule type="expression" dxfId="72" priority="72">
      <formula>IF(#REF!=57.5,1,0)</formula>
    </cfRule>
    <cfRule type="expression" dxfId="71" priority="73">
      <formula>IF(#REF!=55.5,1,0)</formula>
    </cfRule>
    <cfRule type="expression" dxfId="70" priority="74">
      <formula>IF(#REF!=53.5,1,0)</formula>
    </cfRule>
    <cfRule type="expression" dxfId="69" priority="75">
      <formula>IF(#REF!=51.5,1,0)</formula>
    </cfRule>
    <cfRule type="expression" dxfId="68" priority="76">
      <formula>IF(#REF!=52.5,1,0)</formula>
    </cfRule>
  </conditionalFormatting>
  <conditionalFormatting sqref="E22">
    <cfRule type="expression" dxfId="67" priority="57">
      <formula>IF(#REF!=62.5,1,0)</formula>
    </cfRule>
    <cfRule type="expression" dxfId="66" priority="58">
      <formula>IF(#REF!=61.5,1,0)</formula>
    </cfRule>
    <cfRule type="expression" dxfId="65" priority="59">
      <formula>IF(#REF!=60.5,1,0)</formula>
    </cfRule>
    <cfRule type="expression" dxfId="64" priority="60">
      <formula>IF(#REF!=59.5,1,0)</formula>
    </cfRule>
    <cfRule type="expression" dxfId="63" priority="61">
      <formula>IF(#REF!=58.5,1,0)</formula>
    </cfRule>
    <cfRule type="expression" dxfId="62" priority="62">
      <formula>IF(#REF!=57.5,1,0)</formula>
    </cfRule>
    <cfRule type="expression" dxfId="61" priority="63">
      <formula>IF(#REF!=55.5,1,0)</formula>
    </cfRule>
    <cfRule type="expression" dxfId="60" priority="64">
      <formula>IF(#REF!=53.5,1,0)</formula>
    </cfRule>
    <cfRule type="expression" dxfId="59" priority="65">
      <formula>IF(#REF!=51.5,1,0)</formula>
    </cfRule>
    <cfRule type="expression" dxfId="58" priority="66">
      <formula>IF(#REF!=52.5,1,0)</formula>
    </cfRule>
  </conditionalFormatting>
  <conditionalFormatting sqref="E22">
    <cfRule type="expression" dxfId="57" priority="55">
      <formula>IF($B22="P7",1,0)</formula>
    </cfRule>
    <cfRule type="expression" dxfId="56" priority="56">
      <formula>IF($B22="P5",1,0)</formula>
    </cfRule>
  </conditionalFormatting>
  <conditionalFormatting sqref="E23">
    <cfRule type="expression" dxfId="55" priority="45">
      <formula>IF(#REF!=62.5,1,0)</formula>
    </cfRule>
    <cfRule type="expression" dxfId="54" priority="46">
      <formula>IF(#REF!=61.5,1,0)</formula>
    </cfRule>
    <cfRule type="expression" dxfId="53" priority="47">
      <formula>IF(#REF!=60.5,1,0)</formula>
    </cfRule>
    <cfRule type="expression" dxfId="52" priority="48">
      <formula>IF(#REF!=59.5,1,0)</formula>
    </cfRule>
    <cfRule type="expression" dxfId="51" priority="49">
      <formula>IF(#REF!=58.5,1,0)</formula>
    </cfRule>
    <cfRule type="expression" dxfId="50" priority="50">
      <formula>IF(#REF!=57.5,1,0)</formula>
    </cfRule>
    <cfRule type="expression" dxfId="49" priority="51">
      <formula>IF(#REF!=55.5,1,0)</formula>
    </cfRule>
    <cfRule type="expression" dxfId="48" priority="52">
      <formula>IF(#REF!=53.5,1,0)</formula>
    </cfRule>
    <cfRule type="expression" dxfId="47" priority="53">
      <formula>IF(#REF!=51.5,1,0)</formula>
    </cfRule>
    <cfRule type="expression" dxfId="46" priority="54">
      <formula>IF(#REF!=52.5,1,0)</formula>
    </cfRule>
  </conditionalFormatting>
  <conditionalFormatting sqref="E23">
    <cfRule type="expression" dxfId="45" priority="35">
      <formula>IF(#REF!=62.5,1,0)</formula>
    </cfRule>
    <cfRule type="expression" dxfId="44" priority="36">
      <formula>IF(#REF!=61.5,1,0)</formula>
    </cfRule>
    <cfRule type="expression" dxfId="43" priority="37">
      <formula>IF(#REF!=60.5,1,0)</formula>
    </cfRule>
    <cfRule type="expression" dxfId="42" priority="38">
      <formula>IF(#REF!=59.5,1,0)</formula>
    </cfRule>
    <cfRule type="expression" dxfId="41" priority="39">
      <formula>IF(#REF!=58.5,1,0)</formula>
    </cfRule>
    <cfRule type="expression" dxfId="40" priority="40">
      <formula>IF(#REF!=57.5,1,0)</formula>
    </cfRule>
    <cfRule type="expression" dxfId="39" priority="41">
      <formula>IF(#REF!=55.5,1,0)</formula>
    </cfRule>
    <cfRule type="expression" dxfId="38" priority="42">
      <formula>IF(#REF!=53.5,1,0)</formula>
    </cfRule>
    <cfRule type="expression" dxfId="37" priority="43">
      <formula>IF(#REF!=51.5,1,0)</formula>
    </cfRule>
    <cfRule type="expression" dxfId="36" priority="44">
      <formula>IF(#REF!=52.5,1,0)</formula>
    </cfRule>
  </conditionalFormatting>
  <conditionalFormatting sqref="E23">
    <cfRule type="expression" dxfId="35" priority="25">
      <formula>IF(#REF!=62.5,1,0)</formula>
    </cfRule>
    <cfRule type="expression" dxfId="34" priority="26">
      <formula>IF(#REF!=61.5,1,0)</formula>
    </cfRule>
    <cfRule type="expression" dxfId="33" priority="27">
      <formula>IF(#REF!=60.5,1,0)</formula>
    </cfRule>
    <cfRule type="expression" dxfId="32" priority="28">
      <formula>IF(#REF!=59.5,1,0)</formula>
    </cfRule>
    <cfRule type="expression" dxfId="31" priority="29">
      <formula>IF(#REF!=58.5,1,0)</formula>
    </cfRule>
    <cfRule type="expression" dxfId="30" priority="30">
      <formula>IF(#REF!=57.5,1,0)</formula>
    </cfRule>
    <cfRule type="expression" dxfId="29" priority="31">
      <formula>IF(#REF!=55.5,1,0)</formula>
    </cfRule>
    <cfRule type="expression" dxfId="28" priority="32">
      <formula>IF(#REF!=53.5,1,0)</formula>
    </cfRule>
    <cfRule type="expression" dxfId="27" priority="33">
      <formula>IF(#REF!=51.5,1,0)</formula>
    </cfRule>
    <cfRule type="expression" dxfId="26" priority="34">
      <formula>IF(#REF!=52.5,1,0)</formula>
    </cfRule>
  </conditionalFormatting>
  <conditionalFormatting sqref="E23">
    <cfRule type="expression" dxfId="25" priority="23">
      <formula>IF($B23="P7",1,0)</formula>
    </cfRule>
    <cfRule type="expression" dxfId="24" priority="24">
      <formula>IF($B23="P5",1,0)</formula>
    </cfRule>
  </conditionalFormatting>
  <conditionalFormatting sqref="E24">
    <cfRule type="expression" dxfId="23" priority="13">
      <formula>IF(#REF!=62.5,1,0)</formula>
    </cfRule>
    <cfRule type="expression" dxfId="22" priority="14">
      <formula>IF(#REF!=61.5,1,0)</formula>
    </cfRule>
    <cfRule type="expression" dxfId="21" priority="15">
      <formula>IF(#REF!=60.5,1,0)</formula>
    </cfRule>
    <cfRule type="expression" dxfId="20" priority="16">
      <formula>IF(#REF!=59.5,1,0)</formula>
    </cfRule>
    <cfRule type="expression" dxfId="19" priority="17">
      <formula>IF(#REF!=58.5,1,0)</formula>
    </cfRule>
    <cfRule type="expression" dxfId="18" priority="18">
      <formula>IF(#REF!=57.5,1,0)</formula>
    </cfRule>
    <cfRule type="expression" dxfId="17" priority="19">
      <formula>IF(#REF!=55.5,1,0)</formula>
    </cfRule>
    <cfRule type="expression" dxfId="16" priority="20">
      <formula>IF(#REF!=53.5,1,0)</formula>
    </cfRule>
    <cfRule type="expression" dxfId="15" priority="21">
      <formula>IF(#REF!=51.5,1,0)</formula>
    </cfRule>
    <cfRule type="expression" dxfId="14" priority="22">
      <formula>IF(#REF!=52.5,1,0)</formula>
    </cfRule>
  </conditionalFormatting>
  <conditionalFormatting sqref="E24">
    <cfRule type="expression" dxfId="13" priority="11">
      <formula>IF($B24="P7",1,0)</formula>
    </cfRule>
    <cfRule type="expression" dxfId="12" priority="12">
      <formula>IF($B24="P5",1,0)</formula>
    </cfRule>
  </conditionalFormatting>
  <conditionalFormatting sqref="E24">
    <cfRule type="expression" dxfId="11" priority="1">
      <formula>IF(#REF!=62.5,1,0)</formula>
    </cfRule>
    <cfRule type="expression" dxfId="10" priority="2">
      <formula>IF(#REF!=61.5,1,0)</formula>
    </cfRule>
    <cfRule type="expression" dxfId="9" priority="3">
      <formula>IF(#REF!=60.5,1,0)</formula>
    </cfRule>
    <cfRule type="expression" dxfId="8" priority="4">
      <formula>IF(#REF!=59.5,1,0)</formula>
    </cfRule>
    <cfRule type="expression" dxfId="7" priority="5">
      <formula>IF(#REF!=58.5,1,0)</formula>
    </cfRule>
    <cfRule type="expression" dxfId="6" priority="6">
      <formula>IF(#REF!=57.5,1,0)</formula>
    </cfRule>
    <cfRule type="expression" dxfId="5" priority="7">
      <formula>IF(#REF!=55.5,1,0)</formula>
    </cfRule>
    <cfRule type="expression" dxfId="4" priority="8">
      <formula>IF(#REF!=53.5,1,0)</formula>
    </cfRule>
    <cfRule type="expression" dxfId="3" priority="9">
      <formula>IF(#REF!=51.5,1,0)</formula>
    </cfRule>
    <cfRule type="expression" dxfId="2" priority="10">
      <formula>IF(#REF!=52.5,1,0)</formula>
    </cfRule>
  </conditionalFormatting>
  <dataValidations count="5">
    <dataValidation allowBlank="1" showInputMessage="1" sqref="A1:A2 A5:A7 A17 A15 A25"/>
    <dataValidation type="list" allowBlank="1" showInputMessage="1" showErrorMessage="1" sqref="B5:B7 B25:B1048576">
      <formula1>"Imprimé,OK"</formula1>
    </dataValidation>
    <dataValidation type="list" allowBlank="1" showInputMessage="1" showErrorMessage="1" sqref="A3:A4 A18:A24 A16 A8:A14">
      <formula1>"51,52,55,56,58,59,60,61,62,63,"</formula1>
    </dataValidation>
    <dataValidation type="list" allowBlank="1" showInputMessage="1" showErrorMessage="1" sqref="D3:D4 D18:D24 D16 D8:D14">
      <formula1>Client</formula1>
    </dataValidation>
    <dataValidation type="list" allowBlank="1" showInputMessage="1" showErrorMessage="1" sqref="B3:B4 B8:B24">
      <formula1>Statut</formula1>
    </dataValidation>
  </dataValidations>
  <printOptions horizontalCentered="1"/>
  <pageMargins left="0.23622047244094491" right="0.23622047244094491" top="0.27559055118110237" bottom="0.74803149606299213" header="0" footer="0.31496062992125984"/>
  <pageSetup scale="63" fitToHeight="2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theme="3" tint="0.39997558519241921"/>
  </sheetPr>
  <dimension ref="B1:C21"/>
  <sheetViews>
    <sheetView workbookViewId="0">
      <selection activeCell="E2" sqref="E2"/>
    </sheetView>
  </sheetViews>
  <sheetFormatPr baseColWidth="10" defaultColWidth="11.44140625" defaultRowHeight="17.399999999999999"/>
  <cols>
    <col min="1" max="1" width="11.44140625" style="67"/>
    <col min="2" max="2" width="18.5546875" style="68" customWidth="1"/>
    <col min="3" max="3" width="20.88671875" style="69" customWidth="1"/>
    <col min="4" max="4" width="2.88671875" style="67" customWidth="1"/>
    <col min="5" max="5" width="26.33203125" style="67" customWidth="1"/>
    <col min="6" max="16384" width="11.44140625" style="67"/>
  </cols>
  <sheetData>
    <row r="1" spans="2:3" ht="18.600000000000001" thickTop="1" thickBot="1">
      <c r="B1" s="42"/>
      <c r="C1" s="70" t="s">
        <v>35</v>
      </c>
    </row>
    <row r="2" spans="2:3" ht="15.9" customHeight="1" thickTop="1" thickBot="1">
      <c r="B2" s="73" t="s">
        <v>13</v>
      </c>
      <c r="C2" s="72" t="e">
        <f>SUMIF(#REF!,"BBH8",#REF!)</f>
        <v>#REF!</v>
      </c>
    </row>
    <row r="3" spans="2:3" ht="15.9" customHeight="1" thickTop="1" thickBot="1">
      <c r="B3" s="71" t="s">
        <v>18</v>
      </c>
      <c r="C3" s="72" t="e">
        <f>SUMIF(#REF!,"BBH9",#REF!)</f>
        <v>#REF!</v>
      </c>
    </row>
    <row r="4" spans="2:3" ht="15.9" customHeight="1" thickTop="1" thickBot="1">
      <c r="B4" s="71" t="s">
        <v>14</v>
      </c>
      <c r="C4" s="72" t="e">
        <f>SUMIF(#REF!,"BBJ7",#REF!)</f>
        <v>#REF!</v>
      </c>
    </row>
    <row r="5" spans="2:3" ht="15.9" customHeight="1" thickTop="1" thickBot="1">
      <c r="B5" s="71" t="s">
        <v>15</v>
      </c>
      <c r="C5" s="72" t="e">
        <f>SUMIF(#REF!,"BBJ8",#REF!)</f>
        <v>#REF!</v>
      </c>
    </row>
    <row r="6" spans="2:3" ht="15.9" customHeight="1" thickTop="1" thickBot="1">
      <c r="B6" s="71" t="s">
        <v>16</v>
      </c>
      <c r="C6" s="72" t="e">
        <f>SUMIF(#REF!,"BBO8",#REF!)</f>
        <v>#REF!</v>
      </c>
    </row>
    <row r="7" spans="2:3" ht="15.9" customHeight="1" thickTop="1" thickBot="1">
      <c r="B7" s="71" t="s">
        <v>19</v>
      </c>
      <c r="C7" s="72" t="e">
        <f>SUMIF(#REF!,"BBO9",#REF!)</f>
        <v>#REF!</v>
      </c>
    </row>
    <row r="8" spans="2:3" ht="15.9" customHeight="1" thickTop="1" thickBot="1">
      <c r="B8" s="71" t="s">
        <v>33</v>
      </c>
      <c r="C8" s="72" t="e">
        <f>SUMIF(#REF!,"EUG Logip",#REF!)</f>
        <v>#REF!</v>
      </c>
    </row>
    <row r="9" spans="2:3" ht="15.9" customHeight="1" thickTop="1" thickBot="1">
      <c r="B9" s="71" t="s">
        <v>20</v>
      </c>
      <c r="C9" s="72" t="e">
        <f>SUMIF(#REF!,"F",#REF!)</f>
        <v>#REF!</v>
      </c>
    </row>
    <row r="10" spans="2:3" ht="15.9" customHeight="1" thickTop="1" thickBot="1">
      <c r="B10" s="71" t="s">
        <v>21</v>
      </c>
      <c r="C10" s="72" t="e">
        <f>SUMIF(#REF!,"MUSA",#REF!)</f>
        <v>#REF!</v>
      </c>
    </row>
    <row r="11" spans="2:3" ht="15.9" customHeight="1" thickTop="1" thickBot="1">
      <c r="B11" s="71" t="s">
        <v>22</v>
      </c>
      <c r="C11" s="72" t="e">
        <f>SUMIF(#REF!,"MM20",#REF!)</f>
        <v>#REF!</v>
      </c>
    </row>
    <row r="12" spans="2:3" ht="15.9" customHeight="1" thickTop="1" thickBot="1">
      <c r="B12" s="71" t="s">
        <v>23</v>
      </c>
      <c r="C12" s="72" t="e">
        <f>SUMIF(#REF!,"PE",#REF!)</f>
        <v>#REF!</v>
      </c>
    </row>
    <row r="13" spans="2:3" ht="15.9" customHeight="1" thickTop="1" thickBot="1">
      <c r="B13" s="71" t="s">
        <v>24</v>
      </c>
      <c r="C13" s="72" t="e">
        <f>SUMIF(#REF!,"SERRE",#REF!)</f>
        <v>#REF!</v>
      </c>
    </row>
    <row r="14" spans="2:3" ht="15.9" customHeight="1" thickTop="1" thickBot="1">
      <c r="B14" s="71" t="s">
        <v>25</v>
      </c>
      <c r="C14" s="72" t="e">
        <f>SUMIF(#REF!,"STE",#REF!)</f>
        <v>#REF!</v>
      </c>
    </row>
    <row r="15" spans="2:3" ht="15.9" customHeight="1" thickTop="1" thickBot="1">
      <c r="B15" s="71" t="s">
        <v>26</v>
      </c>
      <c r="C15" s="72" t="e">
        <f>SUMIF(#REF!,"UNIS",#REF!)</f>
        <v>#REF!</v>
      </c>
    </row>
    <row r="16" spans="2:3" ht="15.9" customHeight="1" thickTop="1" thickBot="1">
      <c r="B16" s="71" t="s">
        <v>27</v>
      </c>
      <c r="C16" s="72" t="e">
        <f>SUMIF(#REF!,"V ",#REF!)</f>
        <v>#REF!</v>
      </c>
    </row>
    <row r="17" spans="2:3" ht="15.9" customHeight="1" thickTop="1" thickBot="1">
      <c r="B17" s="71" t="s">
        <v>28</v>
      </c>
      <c r="C17" s="72" t="e">
        <f>SUMIF(#REF!,"VRAC",#REF!)</f>
        <v>#REF!</v>
      </c>
    </row>
    <row r="18" spans="2:3" ht="15.9" customHeight="1" thickTop="1" thickBot="1">
      <c r="B18" s="71" t="s">
        <v>29</v>
      </c>
      <c r="C18" s="72" t="e">
        <f>SUMIF(#REF!,"5 LBS",#REF!)</f>
        <v>#REF!</v>
      </c>
    </row>
    <row r="19" spans="2:3" ht="15.9" customHeight="1" thickTop="1" thickBot="1">
      <c r="B19" s="71" t="s">
        <v>30</v>
      </c>
      <c r="C19" s="72" t="e">
        <f>SUMIF(#REF!,"10 LBS",#REF!)</f>
        <v>#REF!</v>
      </c>
    </row>
    <row r="20" spans="2:3" ht="15.9" customHeight="1" thickTop="1" thickBot="1">
      <c r="B20" s="71" t="s">
        <v>32</v>
      </c>
      <c r="C20" s="72" t="e">
        <f>SUMIF(#REF!,"25 1/2 X 12 X 6 ",#REF!)</f>
        <v>#REF!</v>
      </c>
    </row>
    <row r="21" spans="2:3" ht="18" thickTop="1"/>
  </sheetData>
  <conditionalFormatting sqref="A1:B1">
    <cfRule type="containsText" dxfId="1" priority="1" operator="containsText" text="X">
      <formula>NOT(ISERROR(SEARCH("X",A1)))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>
    <tabColor rgb="FF00FF00"/>
  </sheetPr>
  <dimension ref="B1:C21"/>
  <sheetViews>
    <sheetView workbookViewId="0">
      <selection activeCell="G6" sqref="G6"/>
    </sheetView>
  </sheetViews>
  <sheetFormatPr baseColWidth="10" defaultColWidth="11.44140625" defaultRowHeight="17.399999999999999"/>
  <cols>
    <col min="1" max="1" width="11.44140625" style="67"/>
    <col min="2" max="2" width="18.5546875" style="68" customWidth="1"/>
    <col min="3" max="3" width="20.88671875" style="69" customWidth="1"/>
    <col min="4" max="16384" width="11.44140625" style="67"/>
  </cols>
  <sheetData>
    <row r="1" spans="2:3" ht="18.600000000000001" thickTop="1" thickBot="1">
      <c r="B1" s="42"/>
      <c r="C1" s="70" t="s">
        <v>35</v>
      </c>
    </row>
    <row r="2" spans="2:3" ht="15.9" customHeight="1" thickTop="1" thickBot="1">
      <c r="B2" s="71" t="s">
        <v>76</v>
      </c>
      <c r="C2" s="72" t="e">
        <f>SUMIF(#REF!,"4 x 5 x 4",#REF!)</f>
        <v>#REF!</v>
      </c>
    </row>
    <row r="3" spans="2:3" ht="15.9" customHeight="1" thickTop="1" thickBot="1">
      <c r="B3" s="71" t="s">
        <v>77</v>
      </c>
      <c r="C3" s="72" t="e">
        <f>SUMIF(#REF!,"5 x 2.5 x 5",#REF!)</f>
        <v>#REF!</v>
      </c>
    </row>
    <row r="4" spans="2:3" ht="15.9" customHeight="1" thickTop="1" thickBot="1">
      <c r="B4" s="71" t="s">
        <v>78</v>
      </c>
      <c r="C4" s="72" t="e">
        <f>SUMIF(#REF!,"5 x 2 x 5",#REF!)</f>
        <v>#REF!</v>
      </c>
    </row>
    <row r="5" spans="2:3" ht="15.9" customHeight="1" thickTop="1" thickBot="1">
      <c r="B5" s="71" t="s">
        <v>79</v>
      </c>
      <c r="C5" s="72" t="e">
        <f>SUMIF(#REF!,"5 x 3 x 5",#REF!)</f>
        <v>#REF!</v>
      </c>
    </row>
    <row r="6" spans="2:3" ht="15.9" customHeight="1" thickTop="1" thickBot="1">
      <c r="B6" s="71" t="s">
        <v>80</v>
      </c>
      <c r="C6" s="72" t="e">
        <f>SUMIF(#REF!,"5 x 3.5 x 5",#REF!)</f>
        <v>#REF!</v>
      </c>
    </row>
    <row r="7" spans="2:3" ht="15.9" customHeight="1" thickTop="1" thickBot="1">
      <c r="B7" s="71" t="s">
        <v>81</v>
      </c>
      <c r="C7" s="72" t="e">
        <f>SUMIF(#REF!,"5 x 4 x 5",#REF!)</f>
        <v>#REF!</v>
      </c>
    </row>
    <row r="8" spans="2:3" ht="15.9" customHeight="1" thickTop="1" thickBot="1">
      <c r="B8" s="71" t="s">
        <v>82</v>
      </c>
      <c r="C8" s="72" t="e">
        <f>SUMIF(#REF!,"5 x 4.5 x 5",#REF!)</f>
        <v>#REF!</v>
      </c>
    </row>
    <row r="9" spans="2:3" ht="15.9" customHeight="1" thickTop="1" thickBot="1">
      <c r="B9" s="71" t="s">
        <v>75</v>
      </c>
      <c r="C9" s="72" t="e">
        <f>SUMIF(#REF!,"5 X 5 X 5",#REF!)</f>
        <v>#REF!</v>
      </c>
    </row>
    <row r="10" spans="2:3" ht="15.9" customHeight="1" thickTop="1" thickBot="1">
      <c r="B10" s="71" t="s">
        <v>83</v>
      </c>
      <c r="C10" s="72" t="e">
        <f>SUMIF(#REF!,"5 x 6 x 5",#REF!)</f>
        <v>#REF!</v>
      </c>
    </row>
    <row r="11" spans="2:3" ht="15.9" customHeight="1" thickTop="1" thickBot="1">
      <c r="B11" s="71" t="s">
        <v>84</v>
      </c>
      <c r="C11" s="72" t="e">
        <f>SUMIF(#REF!,"5 x 7 x 5",#REF!)</f>
        <v>#REF!</v>
      </c>
    </row>
    <row r="12" spans="2:3" ht="15.9" customHeight="1" thickTop="1" thickBot="1">
      <c r="B12" s="71" t="s">
        <v>85</v>
      </c>
      <c r="C12" s="72" t="e">
        <f>SUMIF(#REF!,"5 x 8 x 5",#REF!)</f>
        <v>#REF!</v>
      </c>
    </row>
    <row r="13" spans="2:3" ht="15.9" customHeight="1" thickTop="1" thickBot="1">
      <c r="B13" s="71" t="s">
        <v>86</v>
      </c>
      <c r="C13" s="72" t="e">
        <f>SUMIF(#REF!,"5 x 8,375 x 5",#REF!)</f>
        <v>#REF!</v>
      </c>
    </row>
    <row r="14" spans="2:3" ht="15.9" customHeight="1" thickTop="1" thickBot="1">
      <c r="B14" s="71" t="s">
        <v>87</v>
      </c>
      <c r="C14" s="72" t="e">
        <f>SUMIF(#REF!,"5 x 8.5 x 5",#REF!)</f>
        <v>#REF!</v>
      </c>
    </row>
    <row r="15" spans="2:3" ht="15.9" customHeight="1" thickTop="1" thickBot="1">
      <c r="B15" s="71" t="s">
        <v>88</v>
      </c>
      <c r="C15" s="72" t="e">
        <f>SUMIF(#REF!,"5 x 9 x 5",#REF!)</f>
        <v>#REF!</v>
      </c>
    </row>
    <row r="16" spans="2:3" ht="15.9" customHeight="1" thickTop="1" thickBot="1">
      <c r="B16" s="71" t="s">
        <v>89</v>
      </c>
      <c r="C16" s="72" t="e">
        <f>SUMIF(#REF!,"5 x 10 x 5",#REF!)</f>
        <v>#REF!</v>
      </c>
    </row>
    <row r="17" spans="2:3" ht="15.9" customHeight="1" thickTop="1" thickBot="1">
      <c r="B17" s="71" t="s">
        <v>90</v>
      </c>
      <c r="C17" s="72" t="e">
        <f>SUMIF(#REF!,"5 x 11 x 5",#REF!)</f>
        <v>#REF!</v>
      </c>
    </row>
    <row r="18" spans="2:3" ht="15.9" customHeight="1" thickTop="1" thickBot="1">
      <c r="B18" s="71" t="s">
        <v>112</v>
      </c>
      <c r="C18" s="72" t="e">
        <f>SUMIF(#REF!,"5 x 12 x 5",#REF!)</f>
        <v>#REF!</v>
      </c>
    </row>
    <row r="19" spans="2:3" ht="15.9" customHeight="1" thickTop="1" thickBot="1">
      <c r="B19" s="71" t="s">
        <v>91</v>
      </c>
      <c r="C19" s="72" t="e">
        <f>SUMIF(#REF!,"5 x 14 x 5",#REF!)</f>
        <v>#REF!</v>
      </c>
    </row>
    <row r="20" spans="2:3" ht="15.9" customHeight="1" thickTop="1" thickBot="1">
      <c r="B20" s="71" t="s">
        <v>92</v>
      </c>
      <c r="C20" s="72" t="e">
        <f>SUMIF(#REF!,"5 x 20 x 5",#REF!)</f>
        <v>#REF!</v>
      </c>
    </row>
    <row r="21" spans="2:3" ht="18" thickTop="1"/>
  </sheetData>
  <conditionalFormatting sqref="A1:B1">
    <cfRule type="containsText" dxfId="0" priority="1" operator="containsText" text="X">
      <formula>NOT(ISERROR(SEARCH("X",A1)))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G40"/>
  <sheetViews>
    <sheetView workbookViewId="0">
      <selection sqref="A1:A40"/>
    </sheetView>
  </sheetViews>
  <sheetFormatPr baseColWidth="10" defaultRowHeight="13.2"/>
  <cols>
    <col min="1" max="1" width="36.6640625" style="6" customWidth="1"/>
    <col min="2" max="2" width="7" style="1" customWidth="1"/>
    <col min="3" max="3" width="19.33203125" style="1" customWidth="1"/>
    <col min="5" max="5" width="11.44140625" style="1"/>
    <col min="6" max="6" width="16.109375" style="1" customWidth="1"/>
    <col min="7" max="7" width="18.44140625" customWidth="1"/>
  </cols>
  <sheetData>
    <row r="1" spans="1:7">
      <c r="A1" s="4" t="s">
        <v>43</v>
      </c>
      <c r="B1" s="1">
        <v>51</v>
      </c>
      <c r="C1" s="1" t="s">
        <v>31</v>
      </c>
      <c r="D1" s="1" t="s">
        <v>80</v>
      </c>
      <c r="E1" s="1" t="s">
        <v>105</v>
      </c>
      <c r="F1" s="8" t="s">
        <v>13</v>
      </c>
      <c r="G1" s="1" t="s">
        <v>129</v>
      </c>
    </row>
    <row r="2" spans="1:7">
      <c r="A2" s="5" t="s">
        <v>39</v>
      </c>
      <c r="B2" s="1">
        <v>52</v>
      </c>
      <c r="C2" s="1" t="s">
        <v>37</v>
      </c>
      <c r="D2" s="1" t="s">
        <v>79</v>
      </c>
      <c r="E2" s="1" t="s">
        <v>128</v>
      </c>
      <c r="F2" s="8" t="s">
        <v>18</v>
      </c>
      <c r="G2" s="1" t="s">
        <v>130</v>
      </c>
    </row>
    <row r="3" spans="1:7">
      <c r="A3" s="1" t="s">
        <v>71</v>
      </c>
      <c r="B3" s="1">
        <v>55</v>
      </c>
      <c r="D3" s="1" t="s">
        <v>76</v>
      </c>
      <c r="E3" s="1" t="s">
        <v>99</v>
      </c>
      <c r="F3" s="8" t="s">
        <v>14</v>
      </c>
      <c r="G3" s="1" t="s">
        <v>131</v>
      </c>
    </row>
    <row r="4" spans="1:7">
      <c r="A4" s="5" t="s">
        <v>40</v>
      </c>
      <c r="B4" s="1">
        <v>56</v>
      </c>
      <c r="D4" s="1" t="s">
        <v>77</v>
      </c>
      <c r="E4" s="1" t="s">
        <v>72</v>
      </c>
      <c r="F4" s="8" t="s">
        <v>15</v>
      </c>
      <c r="G4" s="1" t="s">
        <v>132</v>
      </c>
    </row>
    <row r="5" spans="1:7">
      <c r="A5" s="1" t="s">
        <v>66</v>
      </c>
      <c r="B5" s="1">
        <v>58</v>
      </c>
      <c r="D5" s="1" t="s">
        <v>78</v>
      </c>
      <c r="E5" s="1" t="s">
        <v>73</v>
      </c>
      <c r="F5" s="8" t="s">
        <v>16</v>
      </c>
      <c r="G5" s="1" t="s">
        <v>133</v>
      </c>
    </row>
    <row r="6" spans="1:7">
      <c r="A6" s="4" t="s">
        <v>47</v>
      </c>
      <c r="B6" s="1">
        <v>59</v>
      </c>
      <c r="D6" s="1" t="s">
        <v>81</v>
      </c>
      <c r="E6" s="1" t="s">
        <v>74</v>
      </c>
      <c r="F6" s="8" t="s">
        <v>19</v>
      </c>
      <c r="G6" s="1" t="s">
        <v>134</v>
      </c>
    </row>
    <row r="7" spans="1:7">
      <c r="A7" s="7" t="s">
        <v>50</v>
      </c>
      <c r="B7" s="1">
        <v>60</v>
      </c>
      <c r="D7" s="1" t="s">
        <v>82</v>
      </c>
      <c r="F7" s="8" t="s">
        <v>33</v>
      </c>
      <c r="G7" s="1" t="s">
        <v>135</v>
      </c>
    </row>
    <row r="8" spans="1:7">
      <c r="A8" s="1" t="s">
        <v>101</v>
      </c>
      <c r="B8" s="1">
        <v>61</v>
      </c>
      <c r="D8" s="1" t="s">
        <v>75</v>
      </c>
      <c r="F8" s="8" t="s">
        <v>20</v>
      </c>
      <c r="G8" s="1" t="s">
        <v>136</v>
      </c>
    </row>
    <row r="9" spans="1:7">
      <c r="A9" s="4" t="s">
        <v>49</v>
      </c>
      <c r="B9" s="1">
        <v>62</v>
      </c>
      <c r="D9" s="1" t="s">
        <v>83</v>
      </c>
      <c r="F9" s="8" t="s">
        <v>22</v>
      </c>
      <c r="G9" s="1" t="s">
        <v>137</v>
      </c>
    </row>
    <row r="10" spans="1:7">
      <c r="A10" s="7" t="s">
        <v>51</v>
      </c>
      <c r="B10" s="1">
        <v>63</v>
      </c>
      <c r="D10" s="1" t="s">
        <v>84</v>
      </c>
      <c r="F10" s="8" t="s">
        <v>21</v>
      </c>
      <c r="G10" s="1" t="s">
        <v>138</v>
      </c>
    </row>
    <row r="11" spans="1:7">
      <c r="A11" s="1" t="s">
        <v>102</v>
      </c>
      <c r="D11" s="1" t="s">
        <v>85</v>
      </c>
      <c r="F11" s="8" t="s">
        <v>97</v>
      </c>
      <c r="G11" s="1" t="s">
        <v>139</v>
      </c>
    </row>
    <row r="12" spans="1:7">
      <c r="A12" s="4" t="s">
        <v>45</v>
      </c>
      <c r="D12" s="1" t="s">
        <v>86</v>
      </c>
      <c r="F12" s="8" t="s">
        <v>24</v>
      </c>
      <c r="G12" s="1" t="s">
        <v>140</v>
      </c>
    </row>
    <row r="13" spans="1:7">
      <c r="A13" s="4" t="s">
        <v>46</v>
      </c>
      <c r="D13" s="1" t="s">
        <v>87</v>
      </c>
      <c r="F13" s="8" t="s">
        <v>25</v>
      </c>
    </row>
    <row r="14" spans="1:7">
      <c r="A14" s="4" t="s">
        <v>44</v>
      </c>
      <c r="D14" s="1" t="s">
        <v>88</v>
      </c>
      <c r="F14" s="8" t="s">
        <v>98</v>
      </c>
    </row>
    <row r="15" spans="1:7">
      <c r="A15" s="7" t="s">
        <v>52</v>
      </c>
      <c r="D15" s="1" t="s">
        <v>89</v>
      </c>
      <c r="F15" s="8" t="s">
        <v>96</v>
      </c>
    </row>
    <row r="16" spans="1:7">
      <c r="A16" s="7" t="s">
        <v>53</v>
      </c>
      <c r="D16" s="1" t="s">
        <v>90</v>
      </c>
      <c r="F16" s="8" t="s">
        <v>28</v>
      </c>
    </row>
    <row r="17" spans="1:6">
      <c r="A17" s="1" t="s">
        <v>63</v>
      </c>
      <c r="D17" s="1" t="s">
        <v>112</v>
      </c>
      <c r="F17" s="8" t="s">
        <v>94</v>
      </c>
    </row>
    <row r="18" spans="1:6">
      <c r="A18" s="7" t="s">
        <v>54</v>
      </c>
      <c r="D18" s="1" t="s">
        <v>91</v>
      </c>
      <c r="F18" s="8" t="s">
        <v>32</v>
      </c>
    </row>
    <row r="19" spans="1:6">
      <c r="A19" s="5" t="s">
        <v>38</v>
      </c>
      <c r="D19" s="1" t="s">
        <v>92</v>
      </c>
      <c r="F19" s="8" t="s">
        <v>95</v>
      </c>
    </row>
    <row r="20" spans="1:6">
      <c r="A20" s="1" t="s">
        <v>64</v>
      </c>
      <c r="F20" s="8"/>
    </row>
    <row r="21" spans="1:6">
      <c r="A21" s="1" t="s">
        <v>67</v>
      </c>
      <c r="F21" s="8"/>
    </row>
    <row r="22" spans="1:6">
      <c r="A22" s="1" t="s">
        <v>68</v>
      </c>
      <c r="F22" s="8"/>
    </row>
    <row r="23" spans="1:6">
      <c r="A23" s="1" t="s">
        <v>100</v>
      </c>
    </row>
    <row r="24" spans="1:6">
      <c r="A24" s="4" t="s">
        <v>41</v>
      </c>
    </row>
    <row r="25" spans="1:6">
      <c r="A25" s="1" t="s">
        <v>70</v>
      </c>
    </row>
    <row r="26" spans="1:6">
      <c r="A26" s="1" t="s">
        <v>104</v>
      </c>
    </row>
    <row r="27" spans="1:6">
      <c r="A27" s="1" t="s">
        <v>69</v>
      </c>
    </row>
    <row r="28" spans="1:6">
      <c r="A28" s="1" t="s">
        <v>55</v>
      </c>
    </row>
    <row r="29" spans="1:6">
      <c r="A29" s="1" t="s">
        <v>56</v>
      </c>
    </row>
    <row r="30" spans="1:6">
      <c r="A30" s="1" t="s">
        <v>103</v>
      </c>
    </row>
    <row r="31" spans="1:6">
      <c r="A31" s="1" t="s">
        <v>57</v>
      </c>
    </row>
    <row r="32" spans="1:6">
      <c r="A32" s="4" t="s">
        <v>48</v>
      </c>
    </row>
    <row r="33" spans="1:1">
      <c r="A33" s="1" t="s">
        <v>58</v>
      </c>
    </row>
    <row r="34" spans="1:1">
      <c r="A34" s="1" t="s">
        <v>59</v>
      </c>
    </row>
    <row r="35" spans="1:1">
      <c r="A35" s="6" t="s">
        <v>60</v>
      </c>
    </row>
    <row r="36" spans="1:1">
      <c r="A36" s="1" t="s">
        <v>61</v>
      </c>
    </row>
    <row r="37" spans="1:1">
      <c r="A37" s="1" t="s">
        <v>62</v>
      </c>
    </row>
    <row r="38" spans="1:1">
      <c r="A38" s="4" t="s">
        <v>42</v>
      </c>
    </row>
    <row r="39" spans="1:1">
      <c r="A39" s="1" t="s">
        <v>65</v>
      </c>
    </row>
    <row r="40" spans="1:1">
      <c r="A40" s="1" t="s">
        <v>36</v>
      </c>
    </row>
  </sheetData>
  <sheetProtection selectLockedCells="1" selectUnlockedCells="1"/>
  <sortState ref="F1:F19">
    <sortCondition ref="F1:F19"/>
  </sortState>
  <dataConsolidate/>
  <dataValidations count="1">
    <dataValidation type="list" allowBlank="1" showInputMessage="1" showErrorMessage="1" sqref="F1:F19">
      <formula1>Boite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0000FF"/>
  </sheetPr>
  <dimension ref="B1:Q31"/>
  <sheetViews>
    <sheetView zoomScale="123" zoomScaleNormal="123" workbookViewId="0">
      <selection activeCell="G20" sqref="G20"/>
    </sheetView>
  </sheetViews>
  <sheetFormatPr baseColWidth="10" defaultColWidth="11.44140625" defaultRowHeight="15"/>
  <cols>
    <col min="1" max="1" width="2.88671875" style="2" customWidth="1"/>
    <col min="2" max="2" width="7.6640625" style="42" customWidth="1"/>
    <col min="3" max="5" width="10.6640625" style="3" customWidth="1"/>
    <col min="6" max="6" width="2.6640625" style="2" customWidth="1"/>
    <col min="7" max="9" width="10.6640625" style="2" customWidth="1"/>
    <col min="10" max="10" width="2.6640625" style="2" customWidth="1"/>
    <col min="11" max="14" width="10.6640625" style="2" customWidth="1"/>
    <col min="15" max="15" width="2.6640625" style="2" customWidth="1"/>
    <col min="16" max="17" width="10.6640625" style="2" customWidth="1"/>
    <col min="18" max="18" width="3.88671875" style="2" customWidth="1"/>
    <col min="19" max="16384" width="11.44140625" style="2"/>
  </cols>
  <sheetData>
    <row r="1" spans="2:17" s="50" customFormat="1" ht="15.6" thickBot="1">
      <c r="B1" s="42"/>
      <c r="C1" s="51"/>
      <c r="D1" s="51"/>
      <c r="E1" s="51"/>
    </row>
    <row r="2" spans="2:17" s="50" customFormat="1" ht="14.25" customHeight="1" thickTop="1">
      <c r="B2" s="42"/>
      <c r="C2" s="107" t="s">
        <v>117</v>
      </c>
      <c r="D2" s="108"/>
      <c r="E2" s="109"/>
      <c r="F2" s="55"/>
      <c r="G2" s="107" t="s">
        <v>116</v>
      </c>
      <c r="H2" s="108"/>
      <c r="I2" s="109"/>
      <c r="J2" s="55"/>
      <c r="K2" s="116" t="s">
        <v>109</v>
      </c>
      <c r="L2" s="116" t="s">
        <v>108</v>
      </c>
      <c r="M2" s="116" t="s">
        <v>110</v>
      </c>
      <c r="N2" s="116" t="s">
        <v>111</v>
      </c>
      <c r="O2" s="55"/>
      <c r="P2" s="113" t="s">
        <v>113</v>
      </c>
      <c r="Q2" s="113" t="s">
        <v>114</v>
      </c>
    </row>
    <row r="3" spans="2:17" s="50" customFormat="1" ht="14.25" customHeight="1" thickBot="1">
      <c r="B3" s="42"/>
      <c r="C3" s="110"/>
      <c r="D3" s="111"/>
      <c r="E3" s="112"/>
      <c r="F3" s="55"/>
      <c r="G3" s="110"/>
      <c r="H3" s="111"/>
      <c r="I3" s="112"/>
      <c r="J3" s="55"/>
      <c r="K3" s="117"/>
      <c r="L3" s="117"/>
      <c r="M3" s="117"/>
      <c r="N3" s="117"/>
      <c r="O3" s="55"/>
      <c r="P3" s="114"/>
      <c r="Q3" s="114"/>
    </row>
    <row r="4" spans="2:17" s="50" customFormat="1" ht="14.25" customHeight="1" thickTop="1" thickBot="1">
      <c r="B4" s="42"/>
      <c r="C4" s="56" t="s">
        <v>106</v>
      </c>
      <c r="D4" s="56" t="s">
        <v>5</v>
      </c>
      <c r="E4" s="56" t="s">
        <v>107</v>
      </c>
      <c r="F4" s="55"/>
      <c r="G4" s="56" t="s">
        <v>106</v>
      </c>
      <c r="H4" s="56" t="s">
        <v>5</v>
      </c>
      <c r="I4" s="56" t="s">
        <v>107</v>
      </c>
      <c r="J4" s="55"/>
      <c r="K4" s="118"/>
      <c r="L4" s="118"/>
      <c r="M4" s="118"/>
      <c r="N4" s="118"/>
      <c r="O4" s="55"/>
      <c r="P4" s="115"/>
      <c r="Q4" s="115"/>
    </row>
    <row r="5" spans="2:17" ht="16.2" thickTop="1">
      <c r="B5" s="52">
        <v>51</v>
      </c>
      <c r="C5" s="28" t="e">
        <f>SUMIF(Flexo!#REF!,"51",Flexo!#REF!)</f>
        <v>#REF!</v>
      </c>
      <c r="D5" s="27" t="e">
        <f>SUMIF(Sac!#REF!,"51",Sac!#REF!)</f>
        <v>#REF!</v>
      </c>
      <c r="E5" s="27" t="e">
        <f>SUM(C5:D5)</f>
        <v>#REF!</v>
      </c>
      <c r="G5" s="28" t="e">
        <f>SUMPRODUCT((Flexo!#REF!=51)*1)</f>
        <v>#REF!</v>
      </c>
      <c r="H5" s="28" t="e">
        <f>SUMPRODUCT((Sac!#REF!=51)*1)</f>
        <v>#REF!</v>
      </c>
      <c r="I5" s="27" t="e">
        <f>SUM(G5:H5)</f>
        <v>#REF!</v>
      </c>
      <c r="K5" s="29">
        <v>72.75</v>
      </c>
      <c r="L5" s="30">
        <v>0.15</v>
      </c>
      <c r="M5" s="30">
        <f>(L5*60)-0.2*(L5*60)</f>
        <v>7.2</v>
      </c>
      <c r="N5" s="30">
        <f>M5*K5</f>
        <v>523.80000000000007</v>
      </c>
      <c r="P5" s="31" t="e">
        <f>E5/M5</f>
        <v>#REF!</v>
      </c>
      <c r="Q5" s="32" t="e">
        <f>P5/K5</f>
        <v>#REF!</v>
      </c>
    </row>
    <row r="6" spans="2:17" ht="15.6">
      <c r="B6" s="53">
        <v>52</v>
      </c>
      <c r="C6" s="28" t="e">
        <f>SUMIF(Flexo!#REF!,"52",Flexo!#REF!)</f>
        <v>#REF!</v>
      </c>
      <c r="D6" s="28" t="e">
        <f>SUMIF(Sac!#REF!,"52",Sac!#REF!)</f>
        <v>#REF!</v>
      </c>
      <c r="E6" s="28" t="e">
        <f t="shared" ref="E6:E15" si="0">SUM(C6:D6)</f>
        <v>#REF!</v>
      </c>
      <c r="G6" s="28" t="e">
        <f>SUMPRODUCT((Flexo!#REF!=52)*1)</f>
        <v>#REF!</v>
      </c>
      <c r="H6" s="28" t="e">
        <f>SUMPRODUCT((Sac!#REF!=52)*1)</f>
        <v>#REF!</v>
      </c>
      <c r="I6" s="28" t="e">
        <f t="shared" ref="I6:I15" si="1">SUM(G6:H6)</f>
        <v>#REF!</v>
      </c>
      <c r="K6" s="33">
        <v>72.75</v>
      </c>
      <c r="L6" s="34">
        <v>0.06</v>
      </c>
      <c r="M6" s="34">
        <f t="shared" ref="M6:M14" si="2">(L6*60)-0.2*(L6*60)</f>
        <v>2.88</v>
      </c>
      <c r="N6" s="34">
        <f t="shared" ref="N6:N14" si="3">M6*K6</f>
        <v>209.51999999999998</v>
      </c>
      <c r="P6" s="35" t="e">
        <f t="shared" ref="P6:P14" si="4">E6/M6</f>
        <v>#REF!</v>
      </c>
      <c r="Q6" s="36" t="e">
        <f t="shared" ref="Q6:Q14" si="5">P6/K6</f>
        <v>#REF!</v>
      </c>
    </row>
    <row r="7" spans="2:17" ht="15.6">
      <c r="B7" s="53">
        <v>53</v>
      </c>
      <c r="C7" s="28" t="e">
        <f>SUMIF(Flexo!#REF!,"53",Flexo!#REF!)</f>
        <v>#REF!</v>
      </c>
      <c r="D7" s="28" t="e">
        <f>SUMIF(Sac!#REF!,"53",Sac!#REF!)</f>
        <v>#REF!</v>
      </c>
      <c r="E7" s="28" t="e">
        <f t="shared" si="0"/>
        <v>#REF!</v>
      </c>
      <c r="G7" s="28" t="e">
        <f>SUMPRODUCT((Flexo!#REF!=53)*1)</f>
        <v>#REF!</v>
      </c>
      <c r="H7" s="28" t="e">
        <f>SUMPRODUCT((Sac!#REF!=53)*1)</f>
        <v>#REF!</v>
      </c>
      <c r="I7" s="28" t="e">
        <f t="shared" si="1"/>
        <v>#REF!</v>
      </c>
      <c r="K7" s="33">
        <v>72.75</v>
      </c>
      <c r="L7" s="34">
        <v>0.14000000000000001</v>
      </c>
      <c r="M7" s="34">
        <f t="shared" si="2"/>
        <v>6.7200000000000006</v>
      </c>
      <c r="N7" s="34">
        <f t="shared" si="3"/>
        <v>488.88000000000005</v>
      </c>
      <c r="P7" s="35" t="e">
        <f t="shared" si="4"/>
        <v>#REF!</v>
      </c>
      <c r="Q7" s="36" t="e">
        <f t="shared" si="5"/>
        <v>#REF!</v>
      </c>
    </row>
    <row r="8" spans="2:17" ht="15.6">
      <c r="B8" s="53">
        <v>55</v>
      </c>
      <c r="C8" s="28" t="e">
        <f>SUMIF(Flexo!#REF!,"54",Flexo!#REF!)</f>
        <v>#REF!</v>
      </c>
      <c r="D8" s="28" t="e">
        <f>SUMIF(Sac!#REF!,"55",Sac!#REF!)</f>
        <v>#REF!</v>
      </c>
      <c r="E8" s="28" t="e">
        <f t="shared" si="0"/>
        <v>#REF!</v>
      </c>
      <c r="G8" s="28" t="e">
        <f>SUMPRODUCT((Flexo!#REF!=55)*1)</f>
        <v>#REF!</v>
      </c>
      <c r="H8" s="28" t="e">
        <f>SUMPRODUCT((Sac!#REF!=55)*1)</f>
        <v>#REF!</v>
      </c>
      <c r="I8" s="28" t="e">
        <f t="shared" si="1"/>
        <v>#REF!</v>
      </c>
      <c r="K8" s="33">
        <v>72.75</v>
      </c>
      <c r="L8" s="34">
        <v>0.2</v>
      </c>
      <c r="M8" s="34">
        <f t="shared" si="2"/>
        <v>9.6</v>
      </c>
      <c r="N8" s="34">
        <f t="shared" si="3"/>
        <v>698.4</v>
      </c>
      <c r="P8" s="35" t="e">
        <f t="shared" si="4"/>
        <v>#REF!</v>
      </c>
      <c r="Q8" s="36" t="e">
        <f t="shared" si="5"/>
        <v>#REF!</v>
      </c>
    </row>
    <row r="9" spans="2:17" ht="15.6">
      <c r="B9" s="53">
        <v>56</v>
      </c>
      <c r="C9" s="28" t="e">
        <f>SUMIF(Flexo!#REF!,"56",Flexo!#REF!)</f>
        <v>#REF!</v>
      </c>
      <c r="D9" s="28" t="e">
        <f>SUMIF(Sac!#REF!,"56",Sac!#REF!)</f>
        <v>#REF!</v>
      </c>
      <c r="E9" s="28" t="e">
        <f t="shared" si="0"/>
        <v>#REF!</v>
      </c>
      <c r="G9" s="28" t="e">
        <f>SUMPRODUCT((Flexo!#REF!=56)*1)</f>
        <v>#REF!</v>
      </c>
      <c r="H9" s="28" t="e">
        <f>SUMPRODUCT((Sac!#REF!=56)*1)</f>
        <v>#REF!</v>
      </c>
      <c r="I9" s="28" t="e">
        <f t="shared" si="1"/>
        <v>#REF!</v>
      </c>
      <c r="K9" s="33">
        <v>72.75</v>
      </c>
      <c r="L9" s="34">
        <v>0.2</v>
      </c>
      <c r="M9" s="34">
        <f t="shared" si="2"/>
        <v>9.6</v>
      </c>
      <c r="N9" s="34">
        <f t="shared" si="3"/>
        <v>698.4</v>
      </c>
      <c r="P9" s="35" t="e">
        <f t="shared" si="4"/>
        <v>#REF!</v>
      </c>
      <c r="Q9" s="36" t="e">
        <f t="shared" si="5"/>
        <v>#REF!</v>
      </c>
    </row>
    <row r="10" spans="2:17" ht="15.6">
      <c r="B10" s="53">
        <v>58</v>
      </c>
      <c r="C10" s="28" t="e">
        <f>SUMIF(Flexo!#REF!,"58",Flexo!#REF!)</f>
        <v>#REF!</v>
      </c>
      <c r="D10" s="28" t="e">
        <f>SUMIF(Sac!#REF!,"58",Sac!#REF!)</f>
        <v>#REF!</v>
      </c>
      <c r="E10" s="28" t="e">
        <f t="shared" si="0"/>
        <v>#REF!</v>
      </c>
      <c r="G10" s="28" t="e">
        <f>SUMPRODUCT((Flexo!#REF!=58)*1)</f>
        <v>#REF!</v>
      </c>
      <c r="H10" s="28" t="e">
        <f>SUMPRODUCT((Sac!#REF!=58)*1)</f>
        <v>#REF!</v>
      </c>
      <c r="I10" s="28" t="e">
        <f t="shared" si="1"/>
        <v>#REF!</v>
      </c>
      <c r="K10" s="33">
        <v>72.75</v>
      </c>
      <c r="L10" s="34">
        <v>0.2</v>
      </c>
      <c r="M10" s="34">
        <f t="shared" si="2"/>
        <v>9.6</v>
      </c>
      <c r="N10" s="34">
        <f t="shared" si="3"/>
        <v>698.4</v>
      </c>
      <c r="P10" s="35" t="e">
        <f t="shared" si="4"/>
        <v>#REF!</v>
      </c>
      <c r="Q10" s="36" t="e">
        <f t="shared" si="5"/>
        <v>#REF!</v>
      </c>
    </row>
    <row r="11" spans="2:17" ht="15.6">
      <c r="B11" s="53">
        <v>59</v>
      </c>
      <c r="C11" s="28" t="e">
        <f>SUMIF(Flexo!#REF!,"59",Flexo!#REF!)</f>
        <v>#REF!</v>
      </c>
      <c r="D11" s="28" t="e">
        <f>SUMIF(Sac!#REF!,"59",Sac!#REF!)</f>
        <v>#REF!</v>
      </c>
      <c r="E11" s="28" t="e">
        <f t="shared" si="0"/>
        <v>#REF!</v>
      </c>
      <c r="G11" s="28" t="e">
        <f>SUMPRODUCT((Flexo!#REF!=59)*1)</f>
        <v>#REF!</v>
      </c>
      <c r="H11" s="28" t="e">
        <f>SUMPRODUCT((Sac!#REF!=59)*1)</f>
        <v>#REF!</v>
      </c>
      <c r="I11" s="28" t="e">
        <f t="shared" si="1"/>
        <v>#REF!</v>
      </c>
      <c r="K11" s="33">
        <v>72.75</v>
      </c>
      <c r="L11" s="34">
        <v>0.2</v>
      </c>
      <c r="M11" s="34">
        <f t="shared" si="2"/>
        <v>9.6</v>
      </c>
      <c r="N11" s="34">
        <f t="shared" si="3"/>
        <v>698.4</v>
      </c>
      <c r="P11" s="35" t="e">
        <f t="shared" si="4"/>
        <v>#REF!</v>
      </c>
      <c r="Q11" s="36" t="e">
        <f t="shared" si="5"/>
        <v>#REF!</v>
      </c>
    </row>
    <row r="12" spans="2:17" ht="15.6">
      <c r="B12" s="53">
        <v>60</v>
      </c>
      <c r="C12" s="28" t="e">
        <f>SUMIF(Flexo!#REF!,"60",Flexo!#REF!)</f>
        <v>#REF!</v>
      </c>
      <c r="D12" s="28" t="e">
        <f>SUMIF(Sac!#REF!,"60",Sac!#REF!)</f>
        <v>#REF!</v>
      </c>
      <c r="E12" s="28" t="e">
        <f t="shared" si="0"/>
        <v>#REF!</v>
      </c>
      <c r="G12" s="28" t="e">
        <f>SUMPRODUCT((Flexo!#REF!=60)*1)</f>
        <v>#REF!</v>
      </c>
      <c r="H12" s="28" t="e">
        <f>SUMPRODUCT((Sac!#REF!=60)*1)</f>
        <v>#REF!</v>
      </c>
      <c r="I12" s="28" t="e">
        <f t="shared" si="1"/>
        <v>#REF!</v>
      </c>
      <c r="K12" s="33">
        <v>72.75</v>
      </c>
      <c r="L12" s="34">
        <v>0.08</v>
      </c>
      <c r="M12" s="34">
        <f t="shared" si="2"/>
        <v>3.84</v>
      </c>
      <c r="N12" s="34">
        <f t="shared" si="3"/>
        <v>279.36</v>
      </c>
      <c r="P12" s="35" t="e">
        <f t="shared" si="4"/>
        <v>#REF!</v>
      </c>
      <c r="Q12" s="36" t="e">
        <f t="shared" si="5"/>
        <v>#REF!</v>
      </c>
    </row>
    <row r="13" spans="2:17" ht="15.6">
      <c r="B13" s="53">
        <v>61</v>
      </c>
      <c r="C13" s="28" t="e">
        <f>SUMIF(Flexo!#REF!,"61",Flexo!#REF!)</f>
        <v>#REF!</v>
      </c>
      <c r="D13" s="28" t="e">
        <f>SUMIF(Sac!#REF!,"61",Sac!#REF!)</f>
        <v>#REF!</v>
      </c>
      <c r="E13" s="28" t="e">
        <f t="shared" si="0"/>
        <v>#REF!</v>
      </c>
      <c r="G13" s="28" t="e">
        <f>SUMPRODUCT((Flexo!#REF!=61)*1)</f>
        <v>#REF!</v>
      </c>
      <c r="H13" s="28" t="e">
        <f>SUMPRODUCT((Sac!#REF!=61)*1)</f>
        <v>#REF!</v>
      </c>
      <c r="I13" s="28" t="e">
        <f t="shared" si="1"/>
        <v>#REF!</v>
      </c>
      <c r="K13" s="33">
        <v>72.75</v>
      </c>
      <c r="L13" s="34">
        <v>0.2</v>
      </c>
      <c r="M13" s="34">
        <f t="shared" si="2"/>
        <v>9.6</v>
      </c>
      <c r="N13" s="34">
        <f t="shared" si="3"/>
        <v>698.4</v>
      </c>
      <c r="P13" s="35" t="e">
        <f t="shared" si="4"/>
        <v>#REF!</v>
      </c>
      <c r="Q13" s="36" t="e">
        <f t="shared" si="5"/>
        <v>#REF!</v>
      </c>
    </row>
    <row r="14" spans="2:17" ht="16.2" thickBot="1">
      <c r="B14" s="54">
        <v>62</v>
      </c>
      <c r="C14" s="37" t="e">
        <f>SUMIF(Flexo!#REF!,"62",Flexo!#REF!)</f>
        <v>#REF!</v>
      </c>
      <c r="D14" s="37" t="e">
        <f>SUMIF(Sac!#REF!,"62",Sac!#REF!)</f>
        <v>#REF!</v>
      </c>
      <c r="E14" s="37" t="e">
        <f t="shared" si="0"/>
        <v>#REF!</v>
      </c>
      <c r="G14" s="37" t="e">
        <f>SUMPRODUCT((Flexo!#REF!=62)*1)</f>
        <v>#REF!</v>
      </c>
      <c r="H14" s="37" t="e">
        <f>SUMPRODUCT((Sac!#REF!=62)*1)</f>
        <v>#REF!</v>
      </c>
      <c r="I14" s="37" t="e">
        <f t="shared" si="1"/>
        <v>#REF!</v>
      </c>
      <c r="K14" s="38">
        <v>72.75</v>
      </c>
      <c r="L14" s="39">
        <v>0.3</v>
      </c>
      <c r="M14" s="39">
        <f t="shared" si="2"/>
        <v>14.4</v>
      </c>
      <c r="N14" s="39">
        <f t="shared" si="3"/>
        <v>1047.6000000000001</v>
      </c>
      <c r="P14" s="40" t="e">
        <f t="shared" si="4"/>
        <v>#REF!</v>
      </c>
      <c r="Q14" s="41" t="e">
        <f t="shared" si="5"/>
        <v>#REF!</v>
      </c>
    </row>
    <row r="15" spans="2:17" s="42" customFormat="1" ht="16.8" thickTop="1" thickBot="1">
      <c r="C15" s="43" t="e">
        <f>SUM(C5:C14)</f>
        <v>#REF!</v>
      </c>
      <c r="D15" s="43" t="e">
        <f>SUM(D5:D14)</f>
        <v>#REF!</v>
      </c>
      <c r="E15" s="43" t="e">
        <f t="shared" si="0"/>
        <v>#REF!</v>
      </c>
      <c r="F15" s="44"/>
      <c r="G15" s="43" t="e">
        <f>SUM(G5:G14)</f>
        <v>#REF!</v>
      </c>
      <c r="H15" s="43" t="e">
        <f>SUM(H5:H14)</f>
        <v>#REF!</v>
      </c>
      <c r="I15" s="43" t="e">
        <f t="shared" si="1"/>
        <v>#REF!</v>
      </c>
      <c r="P15" s="45" t="e">
        <f>SUM(P5:P14)</f>
        <v>#REF!</v>
      </c>
      <c r="Q15" s="45" t="e">
        <f>SUM(Q5:Q14)</f>
        <v>#REF!</v>
      </c>
    </row>
    <row r="16" spans="2:17" ht="16.2" thickTop="1" thickBot="1"/>
    <row r="17" spans="2:17" s="50" customFormat="1" ht="14.25" customHeight="1" thickTop="1">
      <c r="C17" s="122" t="s">
        <v>122</v>
      </c>
      <c r="D17" s="123"/>
      <c r="E17" s="124"/>
      <c r="F17" s="55"/>
      <c r="G17" s="122" t="s">
        <v>123</v>
      </c>
      <c r="H17" s="123"/>
      <c r="I17" s="124"/>
      <c r="J17" s="55"/>
      <c r="K17" s="119" t="s">
        <v>109</v>
      </c>
      <c r="L17" s="119" t="s">
        <v>108</v>
      </c>
      <c r="M17" s="119" t="s">
        <v>110</v>
      </c>
      <c r="N17" s="119" t="s">
        <v>111</v>
      </c>
      <c r="O17" s="55"/>
      <c r="P17" s="113" t="s">
        <v>113</v>
      </c>
      <c r="Q17" s="113" t="s">
        <v>114</v>
      </c>
    </row>
    <row r="18" spans="2:17" s="50" customFormat="1" ht="14.25" customHeight="1" thickBot="1">
      <c r="C18" s="125"/>
      <c r="D18" s="126"/>
      <c r="E18" s="127"/>
      <c r="F18" s="55"/>
      <c r="G18" s="125"/>
      <c r="H18" s="126"/>
      <c r="I18" s="127"/>
      <c r="J18" s="55"/>
      <c r="K18" s="120"/>
      <c r="L18" s="120"/>
      <c r="M18" s="120"/>
      <c r="N18" s="120"/>
      <c r="O18" s="55"/>
      <c r="P18" s="114"/>
      <c r="Q18" s="114"/>
    </row>
    <row r="19" spans="2:17" s="50" customFormat="1" ht="14.25" customHeight="1" thickTop="1" thickBot="1">
      <c r="C19" s="57" t="s">
        <v>106</v>
      </c>
      <c r="D19" s="57" t="s">
        <v>5</v>
      </c>
      <c r="E19" s="57" t="s">
        <v>107</v>
      </c>
      <c r="F19" s="55"/>
      <c r="G19" s="57" t="s">
        <v>106</v>
      </c>
      <c r="H19" s="57" t="s">
        <v>5</v>
      </c>
      <c r="I19" s="57" t="s">
        <v>107</v>
      </c>
      <c r="J19" s="55"/>
      <c r="K19" s="121"/>
      <c r="L19" s="121"/>
      <c r="M19" s="121"/>
      <c r="N19" s="121"/>
      <c r="O19" s="55"/>
      <c r="P19" s="115"/>
      <c r="Q19" s="115"/>
    </row>
    <row r="20" spans="2:17" ht="16.2" thickTop="1">
      <c r="B20" s="52">
        <v>51</v>
      </c>
      <c r="C20" s="28" t="e">
        <f>SUMIF(Flexo!#REF!,"51",Flexo!$H$3:$H$67)</f>
        <v>#REF!</v>
      </c>
      <c r="D20" s="27" t="e">
        <f>SUMIF(Sac!#REF!,"51",Sac!$H$4:$H$52)</f>
        <v>#REF!</v>
      </c>
      <c r="E20" s="27" t="e">
        <f>SUM(C20:D20)</f>
        <v>#REF!</v>
      </c>
      <c r="G20" s="28"/>
      <c r="H20" s="28" t="e">
        <f>COUNTIFS(Sac!#REF!,"=51",Sac!$H$4:$H$52,"&gt;0")</f>
        <v>#REF!</v>
      </c>
      <c r="I20" s="27" t="e">
        <f>SUM(G20:H20)</f>
        <v>#REF!</v>
      </c>
      <c r="K20" s="29">
        <v>72.75</v>
      </c>
      <c r="L20" s="30">
        <v>0.15</v>
      </c>
      <c r="M20" s="30">
        <f>(L20*60)-0.2*(L20*60)</f>
        <v>7.2</v>
      </c>
      <c r="N20" s="30">
        <f>M20*K20</f>
        <v>523.80000000000007</v>
      </c>
      <c r="P20" s="31" t="e">
        <f>E20/M20</f>
        <v>#REF!</v>
      </c>
      <c r="Q20" s="46" t="e">
        <f>P20/K20</f>
        <v>#REF!</v>
      </c>
    </row>
    <row r="21" spans="2:17" ht="15.6">
      <c r="B21" s="53">
        <v>52</v>
      </c>
      <c r="C21" s="28" t="e">
        <f>SUMIF(Flexo!#REF!,"52",Flexo!$H$3:$H$67)</f>
        <v>#REF!</v>
      </c>
      <c r="D21" s="28" t="e">
        <f>SUMIF(Sac!#REF!,"52",Sac!$H$4:$H$52)</f>
        <v>#REF!</v>
      </c>
      <c r="E21" s="28" t="e">
        <f t="shared" ref="E21:E29" si="6">SUM(C21:D21)</f>
        <v>#REF!</v>
      </c>
      <c r="G21" s="28" t="e">
        <f>COUNTIFS(Flexo!#REF!,"=52",Flexo!$H$3:$H$67,"&gt;0")</f>
        <v>#REF!</v>
      </c>
      <c r="H21" s="28" t="e">
        <f>COUNTIFS(Sac!#REF!,"=52",Sac!$H$4:$H$52,"&gt;0")</f>
        <v>#REF!</v>
      </c>
      <c r="I21" s="28" t="e">
        <f t="shared" ref="I21:I29" si="7">SUM(G21:H21)</f>
        <v>#REF!</v>
      </c>
      <c r="K21" s="33">
        <v>72.75</v>
      </c>
      <c r="L21" s="34">
        <v>0.06</v>
      </c>
      <c r="M21" s="34">
        <f t="shared" ref="M21:M29" si="8">(L21*60)-0.2*(L21*60)</f>
        <v>2.88</v>
      </c>
      <c r="N21" s="34">
        <f t="shared" ref="N21:N29" si="9">M21*K21</f>
        <v>209.51999999999998</v>
      </c>
      <c r="P21" s="35" t="e">
        <f t="shared" ref="P21:P29" si="10">E21/M21</f>
        <v>#REF!</v>
      </c>
      <c r="Q21" s="47" t="e">
        <f t="shared" ref="Q21:Q29" si="11">P21/K21</f>
        <v>#REF!</v>
      </c>
    </row>
    <row r="22" spans="2:17" ht="15.6">
      <c r="B22" s="53">
        <v>53</v>
      </c>
      <c r="C22" s="28" t="e">
        <f>SUMIF(Flexo!#REF!,"53",Flexo!$H$3:$H$67)</f>
        <v>#REF!</v>
      </c>
      <c r="D22" s="28" t="e">
        <f>SUMIF(Sac!#REF!,"53",Sac!$H$4:$H$52)</f>
        <v>#REF!</v>
      </c>
      <c r="E22" s="28" t="e">
        <f t="shared" si="6"/>
        <v>#REF!</v>
      </c>
      <c r="G22" s="28" t="e">
        <f>COUNTIFS(Flexo!#REF!,"=53",Flexo!$H$3:$H$67,"&gt;0")</f>
        <v>#REF!</v>
      </c>
      <c r="H22" s="28" t="e">
        <f>COUNTIFS(Sac!#REF!,"=53",Sac!$H$4:$H$52,"&gt;0")</f>
        <v>#REF!</v>
      </c>
      <c r="I22" s="28" t="e">
        <f t="shared" si="7"/>
        <v>#REF!</v>
      </c>
      <c r="K22" s="33">
        <v>72.75</v>
      </c>
      <c r="L22" s="34">
        <v>0.14000000000000001</v>
      </c>
      <c r="M22" s="34">
        <f t="shared" si="8"/>
        <v>6.7200000000000006</v>
      </c>
      <c r="N22" s="34">
        <f t="shared" si="9"/>
        <v>488.88000000000005</v>
      </c>
      <c r="P22" s="35" t="e">
        <f t="shared" si="10"/>
        <v>#REF!</v>
      </c>
      <c r="Q22" s="47" t="e">
        <f t="shared" si="11"/>
        <v>#REF!</v>
      </c>
    </row>
    <row r="23" spans="2:17" ht="15.6">
      <c r="B23" s="53">
        <v>55</v>
      </c>
      <c r="C23" s="28" t="e">
        <f>SUMIF(Flexo!#REF!,"54",Flexo!$H$3:$H$67)</f>
        <v>#REF!</v>
      </c>
      <c r="D23" s="28" t="e">
        <f>SUMIF(Sac!#REF!,"55",Sac!$H$4:$H$52)</f>
        <v>#REF!</v>
      </c>
      <c r="E23" s="28" t="e">
        <f t="shared" si="6"/>
        <v>#REF!</v>
      </c>
      <c r="G23" s="28" t="e">
        <f>COUNTIFS(Flexo!#REF!,"=55",Flexo!$H$3:$H$67,"&gt;0")</f>
        <v>#REF!</v>
      </c>
      <c r="H23" s="28" t="e">
        <f>COUNTIFS(Sac!#REF!,"=55",Sac!$H$4:$H$52,"&gt;0")</f>
        <v>#REF!</v>
      </c>
      <c r="I23" s="28" t="e">
        <f t="shared" si="7"/>
        <v>#REF!</v>
      </c>
      <c r="K23" s="33">
        <v>72.75</v>
      </c>
      <c r="L23" s="34">
        <v>0.2</v>
      </c>
      <c r="M23" s="34">
        <f t="shared" si="8"/>
        <v>9.6</v>
      </c>
      <c r="N23" s="34">
        <f t="shared" si="9"/>
        <v>698.4</v>
      </c>
      <c r="P23" s="35" t="e">
        <f t="shared" si="10"/>
        <v>#REF!</v>
      </c>
      <c r="Q23" s="47" t="e">
        <f t="shared" si="11"/>
        <v>#REF!</v>
      </c>
    </row>
    <row r="24" spans="2:17" ht="15.6">
      <c r="B24" s="53">
        <v>56</v>
      </c>
      <c r="C24" s="28" t="e">
        <f>SUMIF(Flexo!#REF!,"56",Flexo!$H$3:$H$67)</f>
        <v>#REF!</v>
      </c>
      <c r="D24" s="28" t="e">
        <f>SUMIF(Sac!#REF!,"56",Sac!$H$4:$H$52)</f>
        <v>#REF!</v>
      </c>
      <c r="E24" s="28" t="e">
        <f t="shared" si="6"/>
        <v>#REF!</v>
      </c>
      <c r="G24" s="28" t="e">
        <f>COUNTIFS(Flexo!#REF!,"=56",Flexo!$H$3:$H$67,"&gt;0")</f>
        <v>#REF!</v>
      </c>
      <c r="H24" s="28" t="e">
        <f>COUNTIFS(Sac!#REF!,"=56",Sac!$H$4:$H$52,"&gt;0")</f>
        <v>#REF!</v>
      </c>
      <c r="I24" s="28" t="e">
        <f t="shared" si="7"/>
        <v>#REF!</v>
      </c>
      <c r="K24" s="33">
        <v>72.75</v>
      </c>
      <c r="L24" s="34">
        <v>0.2</v>
      </c>
      <c r="M24" s="34">
        <f t="shared" si="8"/>
        <v>9.6</v>
      </c>
      <c r="N24" s="34">
        <f t="shared" si="9"/>
        <v>698.4</v>
      </c>
      <c r="P24" s="35" t="e">
        <f t="shared" si="10"/>
        <v>#REF!</v>
      </c>
      <c r="Q24" s="47" t="e">
        <f t="shared" si="11"/>
        <v>#REF!</v>
      </c>
    </row>
    <row r="25" spans="2:17" ht="15.6">
      <c r="B25" s="53">
        <v>58</v>
      </c>
      <c r="C25" s="28" t="e">
        <f>SUMIF(Flexo!#REF!,"58",Flexo!$H$3:$H$67)</f>
        <v>#REF!</v>
      </c>
      <c r="D25" s="28" t="e">
        <f>SUMIF(Sac!#REF!,"58",Sac!$H$4:$H$52)</f>
        <v>#REF!</v>
      </c>
      <c r="E25" s="28" t="e">
        <f t="shared" si="6"/>
        <v>#REF!</v>
      </c>
      <c r="G25" s="28" t="e">
        <f>COUNTIFS(Flexo!#REF!,"=58",Flexo!$H$3:$H$67,"&gt;0")</f>
        <v>#REF!</v>
      </c>
      <c r="H25" s="28" t="e">
        <f>COUNTIFS(Sac!#REF!,"=58",Sac!$H$4:$H$52,"&gt;0")</f>
        <v>#REF!</v>
      </c>
      <c r="I25" s="28" t="e">
        <f t="shared" si="7"/>
        <v>#REF!</v>
      </c>
      <c r="K25" s="33">
        <v>72.75</v>
      </c>
      <c r="L25" s="34">
        <v>0.2</v>
      </c>
      <c r="M25" s="34">
        <f t="shared" si="8"/>
        <v>9.6</v>
      </c>
      <c r="N25" s="34">
        <f t="shared" si="9"/>
        <v>698.4</v>
      </c>
      <c r="P25" s="35" t="e">
        <f t="shared" si="10"/>
        <v>#REF!</v>
      </c>
      <c r="Q25" s="47" t="e">
        <f t="shared" si="11"/>
        <v>#REF!</v>
      </c>
    </row>
    <row r="26" spans="2:17" ht="15.6">
      <c r="B26" s="53">
        <v>59</v>
      </c>
      <c r="C26" s="28" t="e">
        <f>SUMIF(Flexo!#REF!,"59",Flexo!$H$3:$H$67)</f>
        <v>#REF!</v>
      </c>
      <c r="D26" s="28" t="e">
        <f>SUMIF(Sac!#REF!,"59",Sac!$H$4:$H$52)</f>
        <v>#REF!</v>
      </c>
      <c r="E26" s="28" t="e">
        <f t="shared" si="6"/>
        <v>#REF!</v>
      </c>
      <c r="G26" s="28" t="e">
        <f>COUNTIFS(Flexo!#REF!,"=59",Flexo!$H$3:$H$67,"&gt;0")</f>
        <v>#REF!</v>
      </c>
      <c r="H26" s="28" t="e">
        <f>COUNTIFS(Sac!#REF!,"=59",Sac!$H$4:$H$52,"&gt;0")</f>
        <v>#REF!</v>
      </c>
      <c r="I26" s="28" t="e">
        <f t="shared" si="7"/>
        <v>#REF!</v>
      </c>
      <c r="K26" s="33">
        <v>72.75</v>
      </c>
      <c r="L26" s="34">
        <v>0.2</v>
      </c>
      <c r="M26" s="34">
        <f t="shared" si="8"/>
        <v>9.6</v>
      </c>
      <c r="N26" s="34">
        <f t="shared" si="9"/>
        <v>698.4</v>
      </c>
      <c r="P26" s="35" t="e">
        <f t="shared" si="10"/>
        <v>#REF!</v>
      </c>
      <c r="Q26" s="47" t="e">
        <f t="shared" si="11"/>
        <v>#REF!</v>
      </c>
    </row>
    <row r="27" spans="2:17" ht="15.6">
      <c r="B27" s="53">
        <v>60</v>
      </c>
      <c r="C27" s="28" t="e">
        <f>SUMIF(Flexo!#REF!,"60",Flexo!$H$3:$H$67)</f>
        <v>#REF!</v>
      </c>
      <c r="D27" s="28" t="e">
        <f>SUMIF(Sac!#REF!,"60",Sac!$H$4:$H$52)</f>
        <v>#REF!</v>
      </c>
      <c r="E27" s="28" t="e">
        <f t="shared" si="6"/>
        <v>#REF!</v>
      </c>
      <c r="G27" s="28" t="e">
        <f>COUNTIFS(Flexo!#REF!,"=60",Flexo!$H$3:$H$67,"&gt;0")</f>
        <v>#REF!</v>
      </c>
      <c r="H27" s="28" t="e">
        <f>COUNTIFS(Sac!#REF!,"=60",Sac!$H$4:$H$52,"&gt;0")</f>
        <v>#REF!</v>
      </c>
      <c r="I27" s="28" t="e">
        <f t="shared" si="7"/>
        <v>#REF!</v>
      </c>
      <c r="K27" s="33">
        <v>72.75</v>
      </c>
      <c r="L27" s="34">
        <v>0.08</v>
      </c>
      <c r="M27" s="34">
        <f t="shared" si="8"/>
        <v>3.84</v>
      </c>
      <c r="N27" s="34">
        <f t="shared" si="9"/>
        <v>279.36</v>
      </c>
      <c r="P27" s="35" t="e">
        <f t="shared" si="10"/>
        <v>#REF!</v>
      </c>
      <c r="Q27" s="47" t="e">
        <f t="shared" si="11"/>
        <v>#REF!</v>
      </c>
    </row>
    <row r="28" spans="2:17" ht="15.6">
      <c r="B28" s="53">
        <v>61</v>
      </c>
      <c r="C28" s="28" t="e">
        <f>SUMIF(Flexo!#REF!,"61",Flexo!$H$3:$H$67)</f>
        <v>#REF!</v>
      </c>
      <c r="D28" s="28" t="e">
        <f>SUMIF(Sac!#REF!,"61",Sac!$H$4:$H$52)</f>
        <v>#REF!</v>
      </c>
      <c r="E28" s="28" t="e">
        <f t="shared" si="6"/>
        <v>#REF!</v>
      </c>
      <c r="G28" s="28" t="e">
        <f>COUNTIFS(Flexo!#REF!,"=61",Flexo!$H$3:$H$67,"&gt;0")</f>
        <v>#REF!</v>
      </c>
      <c r="H28" s="28" t="e">
        <f>COUNTIFS(Sac!#REF!,"=61",Sac!$H$4:$H$52,"&gt;0")</f>
        <v>#REF!</v>
      </c>
      <c r="I28" s="28" t="e">
        <f t="shared" si="7"/>
        <v>#REF!</v>
      </c>
      <c r="K28" s="33">
        <v>72.75</v>
      </c>
      <c r="L28" s="34">
        <v>0.2</v>
      </c>
      <c r="M28" s="34">
        <f t="shared" si="8"/>
        <v>9.6</v>
      </c>
      <c r="N28" s="34">
        <f t="shared" si="9"/>
        <v>698.4</v>
      </c>
      <c r="P28" s="35" t="e">
        <f t="shared" si="10"/>
        <v>#REF!</v>
      </c>
      <c r="Q28" s="47" t="e">
        <f t="shared" si="11"/>
        <v>#REF!</v>
      </c>
    </row>
    <row r="29" spans="2:17" ht="16.2" thickBot="1">
      <c r="B29" s="54">
        <v>62</v>
      </c>
      <c r="C29" s="37" t="e">
        <f>SUMIF(Flexo!#REF!,"62",Flexo!$H$3:$H$67)</f>
        <v>#REF!</v>
      </c>
      <c r="D29" s="37" t="e">
        <f>SUMIF(Sac!#REF!,"62",Sac!$H$4:$H$52)</f>
        <v>#REF!</v>
      </c>
      <c r="E29" s="37" t="e">
        <f t="shared" si="6"/>
        <v>#REF!</v>
      </c>
      <c r="G29" s="28" t="e">
        <f>COUNTIFS(Flexo!#REF!,"=62",Flexo!$H$3:$H$67,"&gt;0")</f>
        <v>#REF!</v>
      </c>
      <c r="H29" s="28" t="e">
        <f>COUNTIFS(Sac!#REF!,"=62",Sac!$H$4:$H$52,"&gt;0")</f>
        <v>#REF!</v>
      </c>
      <c r="I29" s="37" t="e">
        <f t="shared" si="7"/>
        <v>#REF!</v>
      </c>
      <c r="K29" s="38">
        <v>72.75</v>
      </c>
      <c r="L29" s="39">
        <v>0.3</v>
      </c>
      <c r="M29" s="39">
        <f t="shared" si="8"/>
        <v>14.4</v>
      </c>
      <c r="N29" s="39">
        <f t="shared" si="9"/>
        <v>1047.6000000000001</v>
      </c>
      <c r="P29" s="40" t="e">
        <f t="shared" si="10"/>
        <v>#REF!</v>
      </c>
      <c r="Q29" s="48" t="e">
        <f t="shared" si="11"/>
        <v>#REF!</v>
      </c>
    </row>
    <row r="30" spans="2:17" ht="16.8" thickTop="1" thickBot="1">
      <c r="C30" s="49" t="e">
        <f>SUM(C20:C29)</f>
        <v>#REF!</v>
      </c>
      <c r="D30" s="49" t="e">
        <f>SUM(D20:D29)</f>
        <v>#REF!</v>
      </c>
      <c r="E30" s="49" t="e">
        <f t="shared" ref="E30" si="12">SUM(C30:D30)</f>
        <v>#REF!</v>
      </c>
      <c r="F30" s="44"/>
      <c r="G30" s="49" t="e">
        <f>SUM(G20:G29)</f>
        <v>#REF!</v>
      </c>
      <c r="H30" s="49" t="e">
        <f>SUM(H20:H29)</f>
        <v>#REF!</v>
      </c>
      <c r="I30" s="49" t="e">
        <f t="shared" ref="I30" si="13">SUM(G30:H30)</f>
        <v>#REF!</v>
      </c>
      <c r="P30" s="45" t="e">
        <f>SUM(P20:P29)</f>
        <v>#REF!</v>
      </c>
      <c r="Q30" s="45" t="e">
        <f>SUM(Q20:Q29)</f>
        <v>#REF!</v>
      </c>
    </row>
    <row r="31" spans="2:17" ht="15.6" thickTop="1"/>
  </sheetData>
  <sheetProtection selectLockedCells="1" selectUnlockedCells="1"/>
  <mergeCells count="16">
    <mergeCell ref="N17:N19"/>
    <mergeCell ref="P17:P19"/>
    <mergeCell ref="Q17:Q19"/>
    <mergeCell ref="C17:E18"/>
    <mergeCell ref="G17:I18"/>
    <mergeCell ref="K17:K19"/>
    <mergeCell ref="L17:L19"/>
    <mergeCell ref="M17:M19"/>
    <mergeCell ref="C2:E3"/>
    <mergeCell ref="G2:I3"/>
    <mergeCell ref="P2:P4"/>
    <mergeCell ref="Q2:Q4"/>
    <mergeCell ref="K2:K4"/>
    <mergeCell ref="L2:L4"/>
    <mergeCell ref="M2:M4"/>
    <mergeCell ref="N2:N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B1:R31"/>
  <sheetViews>
    <sheetView zoomScale="111" zoomScaleNormal="111" workbookViewId="0">
      <selection sqref="A1:XFD1048576"/>
    </sheetView>
  </sheetViews>
  <sheetFormatPr baseColWidth="10" defaultRowHeight="15"/>
  <cols>
    <col min="1" max="1" width="3.6640625" customWidth="1"/>
    <col min="2" max="2" width="8.6640625" style="9" customWidth="1"/>
    <col min="3" max="6" width="10.6640625" customWidth="1"/>
    <col min="7" max="7" width="3.6640625" customWidth="1"/>
    <col min="8" max="8" width="8.6640625" style="9" customWidth="1"/>
    <col min="9" max="12" width="10.6640625" customWidth="1"/>
    <col min="13" max="13" width="3.6640625" customWidth="1"/>
    <col min="14" max="14" width="8.6640625" style="9" customWidth="1"/>
    <col min="15" max="18" width="10.6640625" customWidth="1"/>
    <col min="19" max="19" width="3.6640625" customWidth="1"/>
  </cols>
  <sheetData>
    <row r="1" spans="2:18" ht="15.6" thickBot="1"/>
    <row r="2" spans="2:18" ht="18.600000000000001" thickTop="1" thickBot="1">
      <c r="C2" s="128" t="s">
        <v>118</v>
      </c>
      <c r="D2" s="129"/>
      <c r="E2" s="129"/>
      <c r="F2" s="130"/>
      <c r="I2" s="128" t="s">
        <v>119</v>
      </c>
      <c r="J2" s="129"/>
      <c r="K2" s="129"/>
      <c r="L2" s="130"/>
      <c r="O2" s="128" t="s">
        <v>107</v>
      </c>
      <c r="P2" s="129"/>
      <c r="Q2" s="129"/>
      <c r="R2" s="130"/>
    </row>
    <row r="3" spans="2:18" s="58" customFormat="1" ht="19.5" customHeight="1" thickTop="1" thickBot="1">
      <c r="B3" s="9"/>
      <c r="C3" s="131" t="s">
        <v>115</v>
      </c>
      <c r="D3" s="131" t="s">
        <v>124</v>
      </c>
      <c r="E3" s="131" t="s">
        <v>125</v>
      </c>
      <c r="F3" s="131" t="s">
        <v>126</v>
      </c>
      <c r="H3" s="9"/>
      <c r="I3" s="131" t="s">
        <v>115</v>
      </c>
      <c r="J3" s="131" t="s">
        <v>124</v>
      </c>
      <c r="K3" s="131" t="s">
        <v>125</v>
      </c>
      <c r="L3" s="131" t="s">
        <v>126</v>
      </c>
      <c r="N3" s="9"/>
      <c r="O3" s="131" t="s">
        <v>115</v>
      </c>
      <c r="P3" s="131" t="s">
        <v>124</v>
      </c>
      <c r="Q3" s="131" t="s">
        <v>125</v>
      </c>
      <c r="R3" s="131" t="s">
        <v>126</v>
      </c>
    </row>
    <row r="4" spans="2:18" s="58" customFormat="1" ht="16.2" thickTop="1" thickBot="1">
      <c r="B4" s="9"/>
      <c r="C4" s="131"/>
      <c r="D4" s="131"/>
      <c r="E4" s="131"/>
      <c r="F4" s="131"/>
      <c r="H4" s="9"/>
      <c r="I4" s="131"/>
      <c r="J4" s="131"/>
      <c r="K4" s="131"/>
      <c r="L4" s="131"/>
      <c r="N4" s="9"/>
      <c r="O4" s="131"/>
      <c r="P4" s="131"/>
      <c r="Q4" s="131"/>
      <c r="R4" s="131"/>
    </row>
    <row r="5" spans="2:18" s="58" customFormat="1" ht="16.8" thickTop="1" thickBot="1">
      <c r="B5" s="59">
        <v>51</v>
      </c>
      <c r="C5" s="64" t="e">
        <f>SUMIF(Flexo!#REF!,"51",Flexo!#REF!)</f>
        <v>#REF!</v>
      </c>
      <c r="D5" s="64" t="e">
        <f>SUMIF(Flexo!#REF!,"51",Flexo!#REF!)</f>
        <v>#REF!</v>
      </c>
      <c r="E5" s="64" t="e">
        <f>SUMIF(Flexo!#REF!,"51",Flexo!#REF!)</f>
        <v>#REF!</v>
      </c>
      <c r="F5" s="64" t="e">
        <f>SUMIF(Flexo!#REF!,"51",Flexo!#REF!)</f>
        <v>#REF!</v>
      </c>
      <c r="H5" s="59">
        <v>51</v>
      </c>
      <c r="I5" s="64" t="e">
        <f>SUMIF(Sac!#REF!,"51",Sac!#REF!)</f>
        <v>#REF!</v>
      </c>
      <c r="J5" s="64" t="e">
        <f>SUMIF(Sac!#REF!,"51",Sac!#REF!)</f>
        <v>#REF!</v>
      </c>
      <c r="K5" s="64" t="e">
        <f>SUMIF(Sac!#REF!,"51",Sac!#REF!)</f>
        <v>#REF!</v>
      </c>
      <c r="L5" s="64" t="e">
        <f>SUMIF(Sac!#REF!,"51",Sac!#REF!)</f>
        <v>#REF!</v>
      </c>
      <c r="N5" s="59">
        <v>51</v>
      </c>
      <c r="O5" s="64" t="e">
        <f>C5+I5</f>
        <v>#REF!</v>
      </c>
      <c r="P5" s="64" t="e">
        <f t="shared" ref="P5:R14" si="0">D5+J5</f>
        <v>#REF!</v>
      </c>
      <c r="Q5" s="64" t="e">
        <f t="shared" si="0"/>
        <v>#REF!</v>
      </c>
      <c r="R5" s="64" t="e">
        <f t="shared" si="0"/>
        <v>#REF!</v>
      </c>
    </row>
    <row r="6" spans="2:18" s="58" customFormat="1" ht="16.8" thickTop="1" thickBot="1">
      <c r="B6" s="60">
        <v>52</v>
      </c>
      <c r="C6" s="64" t="e">
        <f>SUMIF(Flexo!#REF!,"52",Flexo!#REF!)</f>
        <v>#REF!</v>
      </c>
      <c r="D6" s="64" t="e">
        <f>SUMIF(Flexo!#REF!,"52",Flexo!#REF!)</f>
        <v>#REF!</v>
      </c>
      <c r="E6" s="64" t="e">
        <f>SUMIF(Flexo!#REF!,"52",Flexo!#REF!)</f>
        <v>#REF!</v>
      </c>
      <c r="F6" s="64" t="e">
        <f>SUMIF(Flexo!#REF!,"52",Flexo!#REF!)</f>
        <v>#REF!</v>
      </c>
      <c r="H6" s="60">
        <v>52</v>
      </c>
      <c r="I6" s="65" t="e">
        <f>SUMIF(Sac!#REF!,"52",Sac!#REF!)</f>
        <v>#REF!</v>
      </c>
      <c r="J6" s="65" t="e">
        <f>SUMIF(Sac!#REF!,"52",Sac!#REF!)</f>
        <v>#REF!</v>
      </c>
      <c r="K6" s="65" t="e">
        <f>SUMIF(Sac!#REF!,"52",Sac!#REF!)</f>
        <v>#REF!</v>
      </c>
      <c r="L6" s="65" t="e">
        <f>SUMIF(Sac!#REF!,"52",Sac!#REF!)</f>
        <v>#REF!</v>
      </c>
      <c r="N6" s="60">
        <v>52</v>
      </c>
      <c r="O6" s="65" t="e">
        <f>C6+I6</f>
        <v>#REF!</v>
      </c>
      <c r="P6" s="65" t="e">
        <f t="shared" si="0"/>
        <v>#REF!</v>
      </c>
      <c r="Q6" s="65" t="e">
        <f t="shared" si="0"/>
        <v>#REF!</v>
      </c>
      <c r="R6" s="65" t="e">
        <f t="shared" si="0"/>
        <v>#REF!</v>
      </c>
    </row>
    <row r="7" spans="2:18" s="58" customFormat="1" ht="16.8" thickTop="1" thickBot="1">
      <c r="B7" s="60">
        <v>53</v>
      </c>
      <c r="C7" s="64" t="e">
        <f>SUMIF(Flexo!#REF!,"53",Flexo!#REF!)</f>
        <v>#REF!</v>
      </c>
      <c r="D7" s="64" t="e">
        <f>SUMIF(Flexo!#REF!,"53",Flexo!#REF!)</f>
        <v>#REF!</v>
      </c>
      <c r="E7" s="64" t="e">
        <f>SUMIF(Flexo!#REF!,"53",Flexo!#REF!)</f>
        <v>#REF!</v>
      </c>
      <c r="F7" s="64" t="e">
        <f>SUMIF(Flexo!#REF!,"53",Flexo!#REF!)</f>
        <v>#REF!</v>
      </c>
      <c r="H7" s="60">
        <v>53</v>
      </c>
      <c r="I7" s="65" t="e">
        <f>SUMIF(Sac!#REF!,"53",Sac!#REF!)</f>
        <v>#REF!</v>
      </c>
      <c r="J7" s="65" t="e">
        <f>SUMIF(Sac!#REF!,"53",Sac!#REF!)</f>
        <v>#REF!</v>
      </c>
      <c r="K7" s="65" t="e">
        <f>SUMIF(Sac!#REF!,"53",Sac!#REF!)</f>
        <v>#REF!</v>
      </c>
      <c r="L7" s="65" t="e">
        <f>SUMIF(Sac!#REF!,"53",Sac!#REF!)</f>
        <v>#REF!</v>
      </c>
      <c r="N7" s="60">
        <v>53</v>
      </c>
      <c r="O7" s="65" t="e">
        <f t="shared" ref="O7:O14" si="1">C7+I7</f>
        <v>#REF!</v>
      </c>
      <c r="P7" s="65" t="e">
        <f t="shared" si="0"/>
        <v>#REF!</v>
      </c>
      <c r="Q7" s="65" t="e">
        <f t="shared" si="0"/>
        <v>#REF!</v>
      </c>
      <c r="R7" s="65" t="e">
        <f t="shared" si="0"/>
        <v>#REF!</v>
      </c>
    </row>
    <row r="8" spans="2:18" s="58" customFormat="1" ht="16.8" thickTop="1" thickBot="1">
      <c r="B8" s="60">
        <v>55</v>
      </c>
      <c r="C8" s="64" t="e">
        <f>SUMIF(Flexo!#REF!,"55",Flexo!#REF!)</f>
        <v>#REF!</v>
      </c>
      <c r="D8" s="64" t="e">
        <f>SUMIF(Flexo!#REF!,"55",Flexo!#REF!)</f>
        <v>#REF!</v>
      </c>
      <c r="E8" s="64" t="e">
        <f>SUMIF(Flexo!#REF!,"55",Flexo!#REF!)</f>
        <v>#REF!</v>
      </c>
      <c r="F8" s="64" t="e">
        <f>SUMIF(Flexo!#REF!,"55",Flexo!#REF!)</f>
        <v>#REF!</v>
      </c>
      <c r="H8" s="60">
        <v>55</v>
      </c>
      <c r="I8" s="65" t="e">
        <f>SUMIF(Sac!#REF!,"55",Sac!#REF!)</f>
        <v>#REF!</v>
      </c>
      <c r="J8" s="65" t="e">
        <f>SUMIF(Sac!#REF!,"55",Sac!#REF!)</f>
        <v>#REF!</v>
      </c>
      <c r="K8" s="65" t="e">
        <f>SUMIF(Sac!#REF!,"55",Sac!#REF!)</f>
        <v>#REF!</v>
      </c>
      <c r="L8" s="65" t="e">
        <f>SUMIF(Sac!#REF!,"55",Sac!#REF!)</f>
        <v>#REF!</v>
      </c>
      <c r="N8" s="60">
        <v>55</v>
      </c>
      <c r="O8" s="65" t="e">
        <f t="shared" si="1"/>
        <v>#REF!</v>
      </c>
      <c r="P8" s="65" t="e">
        <f t="shared" si="0"/>
        <v>#REF!</v>
      </c>
      <c r="Q8" s="65" t="e">
        <f t="shared" si="0"/>
        <v>#REF!</v>
      </c>
      <c r="R8" s="65" t="e">
        <f t="shared" si="0"/>
        <v>#REF!</v>
      </c>
    </row>
    <row r="9" spans="2:18" s="58" customFormat="1" ht="16.8" thickTop="1" thickBot="1">
      <c r="B9" s="60">
        <v>56</v>
      </c>
      <c r="C9" s="64" t="e">
        <f>SUMIF(Flexo!#REF!,"56",Flexo!#REF!)</f>
        <v>#REF!</v>
      </c>
      <c r="D9" s="64" t="e">
        <f>SUMIF(Flexo!#REF!,"56",Flexo!#REF!)</f>
        <v>#REF!</v>
      </c>
      <c r="E9" s="64" t="e">
        <f>SUMIF(Flexo!#REF!,"56",Flexo!#REF!)</f>
        <v>#REF!</v>
      </c>
      <c r="F9" s="64" t="e">
        <f>SUMIF(Flexo!#REF!,"56",Flexo!#REF!)</f>
        <v>#REF!</v>
      </c>
      <c r="H9" s="60">
        <v>56</v>
      </c>
      <c r="I9" s="65" t="e">
        <f>SUMIF(Sac!#REF!,"56",Sac!#REF!)</f>
        <v>#REF!</v>
      </c>
      <c r="J9" s="65" t="e">
        <f>SUMIF(Sac!#REF!,"56",Sac!#REF!)</f>
        <v>#REF!</v>
      </c>
      <c r="K9" s="65" t="e">
        <f>SUMIF(Sac!#REF!,"56",Sac!#REF!)</f>
        <v>#REF!</v>
      </c>
      <c r="L9" s="65" t="e">
        <f>SUMIF(Sac!#REF!,"56",Sac!#REF!)</f>
        <v>#REF!</v>
      </c>
      <c r="N9" s="60">
        <v>56</v>
      </c>
      <c r="O9" s="65" t="e">
        <f t="shared" si="1"/>
        <v>#REF!</v>
      </c>
      <c r="P9" s="65" t="e">
        <f t="shared" si="0"/>
        <v>#REF!</v>
      </c>
      <c r="Q9" s="65" t="e">
        <f t="shared" si="0"/>
        <v>#REF!</v>
      </c>
      <c r="R9" s="65" t="e">
        <f t="shared" si="0"/>
        <v>#REF!</v>
      </c>
    </row>
    <row r="10" spans="2:18" s="58" customFormat="1" ht="16.8" thickTop="1" thickBot="1">
      <c r="B10" s="60">
        <v>58</v>
      </c>
      <c r="C10" s="64" t="e">
        <f>SUMIF(Flexo!#REF!,"58",Flexo!#REF!)</f>
        <v>#REF!</v>
      </c>
      <c r="D10" s="64" t="e">
        <f>SUMIF(Flexo!#REF!,"58",Flexo!#REF!)</f>
        <v>#REF!</v>
      </c>
      <c r="E10" s="64" t="e">
        <f>SUMIF(Flexo!#REF!,"58",Flexo!#REF!)</f>
        <v>#REF!</v>
      </c>
      <c r="F10" s="64" t="e">
        <f>SUMIF(Flexo!#REF!,"58",Flexo!#REF!)</f>
        <v>#REF!</v>
      </c>
      <c r="H10" s="60">
        <v>58</v>
      </c>
      <c r="I10" s="65" t="e">
        <f>SUMIF(Sac!#REF!,"58",Sac!#REF!)</f>
        <v>#REF!</v>
      </c>
      <c r="J10" s="65" t="e">
        <f>SUMIF(Sac!#REF!,"58",Sac!#REF!)</f>
        <v>#REF!</v>
      </c>
      <c r="K10" s="65" t="e">
        <f>SUMIF(Sac!#REF!,"58",Sac!#REF!)</f>
        <v>#REF!</v>
      </c>
      <c r="L10" s="65" t="e">
        <f>SUMIF(Sac!#REF!,"58",Sac!#REF!)</f>
        <v>#REF!</v>
      </c>
      <c r="N10" s="60">
        <v>58</v>
      </c>
      <c r="O10" s="65" t="e">
        <f t="shared" si="1"/>
        <v>#REF!</v>
      </c>
      <c r="P10" s="65" t="e">
        <f t="shared" si="0"/>
        <v>#REF!</v>
      </c>
      <c r="Q10" s="65" t="e">
        <f t="shared" si="0"/>
        <v>#REF!</v>
      </c>
      <c r="R10" s="65" t="e">
        <f t="shared" si="0"/>
        <v>#REF!</v>
      </c>
    </row>
    <row r="11" spans="2:18" s="58" customFormat="1" ht="16.8" thickTop="1" thickBot="1">
      <c r="B11" s="60">
        <v>59</v>
      </c>
      <c r="C11" s="64" t="e">
        <f>SUMIF(Flexo!#REF!,"59",Flexo!#REF!)</f>
        <v>#REF!</v>
      </c>
      <c r="D11" s="64" t="e">
        <f>SUMIF(Flexo!#REF!,"59",Flexo!#REF!)</f>
        <v>#REF!</v>
      </c>
      <c r="E11" s="64" t="e">
        <f>SUMIF(Flexo!#REF!,"59",Flexo!#REF!)</f>
        <v>#REF!</v>
      </c>
      <c r="F11" s="64" t="e">
        <f>SUMIF(Flexo!#REF!,"59",Flexo!#REF!)</f>
        <v>#REF!</v>
      </c>
      <c r="H11" s="60">
        <v>59</v>
      </c>
      <c r="I11" s="65" t="e">
        <f>SUMIF(Sac!#REF!,"59",Sac!#REF!)</f>
        <v>#REF!</v>
      </c>
      <c r="J11" s="65" t="e">
        <f>SUMIF(Sac!#REF!,"59",Sac!#REF!)</f>
        <v>#REF!</v>
      </c>
      <c r="K11" s="65" t="e">
        <f>SUMIF(Sac!#REF!,"59",Sac!#REF!)</f>
        <v>#REF!</v>
      </c>
      <c r="L11" s="65" t="e">
        <f>SUMIF(Sac!#REF!,"59",Sac!#REF!)</f>
        <v>#REF!</v>
      </c>
      <c r="N11" s="60">
        <v>59</v>
      </c>
      <c r="O11" s="65" t="e">
        <f t="shared" si="1"/>
        <v>#REF!</v>
      </c>
      <c r="P11" s="65" t="e">
        <f t="shared" si="0"/>
        <v>#REF!</v>
      </c>
      <c r="Q11" s="65" t="e">
        <f t="shared" si="0"/>
        <v>#REF!</v>
      </c>
      <c r="R11" s="65" t="e">
        <f t="shared" si="0"/>
        <v>#REF!</v>
      </c>
    </row>
    <row r="12" spans="2:18" s="58" customFormat="1" ht="16.8" thickTop="1" thickBot="1">
      <c r="B12" s="60">
        <v>60</v>
      </c>
      <c r="C12" s="64" t="e">
        <f>SUMIF(Flexo!#REF!,"60",Flexo!#REF!)</f>
        <v>#REF!</v>
      </c>
      <c r="D12" s="64" t="e">
        <f>SUMIF(Flexo!#REF!,"60",Flexo!#REF!)</f>
        <v>#REF!</v>
      </c>
      <c r="E12" s="64" t="e">
        <f>SUMIF(Flexo!#REF!,"60",Flexo!#REF!)</f>
        <v>#REF!</v>
      </c>
      <c r="F12" s="64" t="e">
        <f>SUMIF(Flexo!#REF!,"60",Flexo!#REF!)</f>
        <v>#REF!</v>
      </c>
      <c r="H12" s="60">
        <v>60</v>
      </c>
      <c r="I12" s="65" t="e">
        <f>SUMIF(Sac!#REF!,"60",Sac!#REF!)</f>
        <v>#REF!</v>
      </c>
      <c r="J12" s="65" t="e">
        <f>SUMIF(Sac!#REF!,"60",Sac!#REF!)</f>
        <v>#REF!</v>
      </c>
      <c r="K12" s="65" t="e">
        <f>SUMIF(Sac!#REF!,"60",Sac!#REF!)</f>
        <v>#REF!</v>
      </c>
      <c r="L12" s="65" t="e">
        <f>SUMIF(Sac!#REF!,"60",Sac!#REF!)</f>
        <v>#REF!</v>
      </c>
      <c r="N12" s="60">
        <v>60</v>
      </c>
      <c r="O12" s="65" t="e">
        <f t="shared" si="1"/>
        <v>#REF!</v>
      </c>
      <c r="P12" s="65" t="e">
        <f t="shared" si="0"/>
        <v>#REF!</v>
      </c>
      <c r="Q12" s="65" t="e">
        <f t="shared" si="0"/>
        <v>#REF!</v>
      </c>
      <c r="R12" s="65" t="e">
        <f t="shared" si="0"/>
        <v>#REF!</v>
      </c>
    </row>
    <row r="13" spans="2:18" s="58" customFormat="1" ht="16.8" thickTop="1" thickBot="1">
      <c r="B13" s="60">
        <v>61</v>
      </c>
      <c r="C13" s="64" t="e">
        <f>SUMIF(Flexo!#REF!,"61",Flexo!#REF!)</f>
        <v>#REF!</v>
      </c>
      <c r="D13" s="64" t="e">
        <f>SUMIF(Flexo!#REF!,"61",Flexo!#REF!)</f>
        <v>#REF!</v>
      </c>
      <c r="E13" s="64" t="e">
        <f>SUMIF(Flexo!#REF!,"61",Flexo!#REF!)</f>
        <v>#REF!</v>
      </c>
      <c r="F13" s="64" t="e">
        <f>SUMIF(Flexo!#REF!,"61",Flexo!#REF!)</f>
        <v>#REF!</v>
      </c>
      <c r="H13" s="60">
        <v>61</v>
      </c>
      <c r="I13" s="65" t="e">
        <f>SUMIF(Sac!#REF!,"61",Sac!#REF!)</f>
        <v>#REF!</v>
      </c>
      <c r="J13" s="65" t="e">
        <f>SUMIF(Sac!#REF!,"61",Sac!#REF!)</f>
        <v>#REF!</v>
      </c>
      <c r="K13" s="65" t="e">
        <f>SUMIF(Sac!#REF!,"61",Sac!#REF!)</f>
        <v>#REF!</v>
      </c>
      <c r="L13" s="65" t="e">
        <f>SUMIF(Sac!#REF!,"61",Sac!#REF!)</f>
        <v>#REF!</v>
      </c>
      <c r="N13" s="60">
        <v>61</v>
      </c>
      <c r="O13" s="65" t="e">
        <f t="shared" si="1"/>
        <v>#REF!</v>
      </c>
      <c r="P13" s="65" t="e">
        <f t="shared" si="0"/>
        <v>#REF!</v>
      </c>
      <c r="Q13" s="65" t="e">
        <f t="shared" si="0"/>
        <v>#REF!</v>
      </c>
      <c r="R13" s="65" t="e">
        <f t="shared" si="0"/>
        <v>#REF!</v>
      </c>
    </row>
    <row r="14" spans="2:18" s="58" customFormat="1" ht="16.8" thickTop="1" thickBot="1">
      <c r="B14" s="61">
        <v>62</v>
      </c>
      <c r="C14" s="64" t="e">
        <f>SUMIF(Flexo!#REF!,"62",Flexo!#REF!)</f>
        <v>#REF!</v>
      </c>
      <c r="D14" s="64" t="e">
        <f>SUMIF(Flexo!#REF!,"62",Flexo!#REF!)</f>
        <v>#REF!</v>
      </c>
      <c r="E14" s="64" t="e">
        <f>SUMIF(Flexo!#REF!,"62",Flexo!#REF!)</f>
        <v>#REF!</v>
      </c>
      <c r="F14" s="64" t="e">
        <f>SUMIF(Flexo!#REF!,"62",Flexo!#REF!)</f>
        <v>#REF!</v>
      </c>
      <c r="H14" s="61">
        <v>62</v>
      </c>
      <c r="I14" s="66" t="e">
        <f>SUMIF(Sac!#REF!,"62",Sac!#REF!)</f>
        <v>#REF!</v>
      </c>
      <c r="J14" s="66" t="e">
        <f>SUMIF(Sac!#REF!,"62",Sac!#REF!)</f>
        <v>#REF!</v>
      </c>
      <c r="K14" s="66" t="e">
        <f>SUMIF(Sac!#REF!,"62",Sac!#REF!)</f>
        <v>#REF!</v>
      </c>
      <c r="L14" s="66" t="e">
        <f>SUMIF(Sac!#REF!,"62",Sac!#REF!)</f>
        <v>#REF!</v>
      </c>
      <c r="N14" s="61">
        <v>62</v>
      </c>
      <c r="O14" s="65" t="e">
        <f t="shared" si="1"/>
        <v>#REF!</v>
      </c>
      <c r="P14" s="65" t="e">
        <f t="shared" si="0"/>
        <v>#REF!</v>
      </c>
      <c r="Q14" s="65" t="e">
        <f t="shared" si="0"/>
        <v>#REF!</v>
      </c>
      <c r="R14" s="65" t="e">
        <f t="shared" si="0"/>
        <v>#REF!</v>
      </c>
    </row>
    <row r="15" spans="2:18" s="62" customFormat="1" ht="16.8" thickTop="1" thickBot="1">
      <c r="C15" s="63" t="e">
        <f>SUM(C5:C14)</f>
        <v>#REF!</v>
      </c>
      <c r="D15" s="63" t="e">
        <f t="shared" ref="D15:F15" si="2">SUM(D5:D14)</f>
        <v>#REF!</v>
      </c>
      <c r="E15" s="63" t="e">
        <f t="shared" si="2"/>
        <v>#REF!</v>
      </c>
      <c r="F15" s="63" t="e">
        <f t="shared" si="2"/>
        <v>#REF!</v>
      </c>
      <c r="I15" s="63" t="e">
        <f>SUM(I5:I14)</f>
        <v>#REF!</v>
      </c>
      <c r="J15" s="63" t="e">
        <f t="shared" ref="J15" si="3">SUM(J5:J14)</f>
        <v>#REF!</v>
      </c>
      <c r="K15" s="63" t="e">
        <f t="shared" ref="K15" si="4">SUM(K5:K14)</f>
        <v>#REF!</v>
      </c>
      <c r="L15" s="63" t="e">
        <f t="shared" ref="L15" si="5">SUM(L5:L14)</f>
        <v>#REF!</v>
      </c>
      <c r="O15" s="63" t="e">
        <f>SUM(O5:O14)</f>
        <v>#REF!</v>
      </c>
      <c r="P15" s="63" t="e">
        <f t="shared" ref="P15" si="6">SUM(P5:P14)</f>
        <v>#REF!</v>
      </c>
      <c r="Q15" s="63" t="e">
        <f t="shared" ref="Q15" si="7">SUM(Q5:Q14)</f>
        <v>#REF!</v>
      </c>
      <c r="R15" s="63" t="e">
        <f t="shared" ref="R15" si="8">SUM(R5:R14)</f>
        <v>#REF!</v>
      </c>
    </row>
    <row r="16" spans="2:18" ht="16.2" thickTop="1" thickBot="1"/>
    <row r="17" spans="2:18" ht="18.600000000000001" thickTop="1" thickBot="1">
      <c r="C17" s="132" t="s">
        <v>120</v>
      </c>
      <c r="D17" s="133"/>
      <c r="E17" s="133"/>
      <c r="F17" s="134"/>
      <c r="I17" s="132" t="s">
        <v>121</v>
      </c>
      <c r="J17" s="133"/>
      <c r="K17" s="133"/>
      <c r="L17" s="134"/>
      <c r="O17" s="132" t="s">
        <v>107</v>
      </c>
      <c r="P17" s="133"/>
      <c r="Q17" s="133"/>
      <c r="R17" s="134"/>
    </row>
    <row r="18" spans="2:18" s="58" customFormat="1" ht="19.5" customHeight="1" thickTop="1" thickBot="1">
      <c r="B18" s="9"/>
      <c r="C18" s="131" t="s">
        <v>115</v>
      </c>
      <c r="D18" s="131" t="s">
        <v>124</v>
      </c>
      <c r="E18" s="131" t="s">
        <v>125</v>
      </c>
      <c r="F18" s="131" t="s">
        <v>126</v>
      </c>
      <c r="H18" s="9"/>
      <c r="I18" s="131" t="s">
        <v>115</v>
      </c>
      <c r="J18" s="131" t="s">
        <v>124</v>
      </c>
      <c r="K18" s="131" t="s">
        <v>125</v>
      </c>
      <c r="L18" s="131" t="s">
        <v>126</v>
      </c>
      <c r="N18" s="9"/>
      <c r="O18" s="131" t="s">
        <v>115</v>
      </c>
      <c r="P18" s="131" t="s">
        <v>124</v>
      </c>
      <c r="Q18" s="131" t="s">
        <v>125</v>
      </c>
      <c r="R18" s="131" t="s">
        <v>126</v>
      </c>
    </row>
    <row r="19" spans="2:18" s="58" customFormat="1" ht="16.2" thickTop="1" thickBot="1">
      <c r="B19" s="9"/>
      <c r="C19" s="131"/>
      <c r="D19" s="131"/>
      <c r="E19" s="131"/>
      <c r="F19" s="131"/>
      <c r="H19" s="9"/>
      <c r="I19" s="131"/>
      <c r="J19" s="131"/>
      <c r="K19" s="131"/>
      <c r="L19" s="131"/>
      <c r="N19" s="9"/>
      <c r="O19" s="131"/>
      <c r="P19" s="131"/>
      <c r="Q19" s="131"/>
      <c r="R19" s="131"/>
    </row>
    <row r="20" spans="2:18" s="58" customFormat="1" ht="16.2" thickTop="1">
      <c r="B20" s="59">
        <v>51</v>
      </c>
      <c r="C20" s="64" t="e">
        <f>COUNTIFS(Flexo!#REF!,"=51",Flexo!#REF!,"&gt;0")</f>
        <v>#REF!</v>
      </c>
      <c r="D20" s="64" t="e">
        <f>COUNTIFS(Flexo!#REF!,"=51",Flexo!#REF!,"&gt;0")</f>
        <v>#REF!</v>
      </c>
      <c r="E20" s="64" t="e">
        <f>COUNTIFS(Flexo!#REF!,"=51",Flexo!#REF!,"&gt;0")</f>
        <v>#REF!</v>
      </c>
      <c r="F20" s="64" t="e">
        <f>COUNTIFS(Flexo!#REF!,"=51",Flexo!#REF!,"&gt;0")</f>
        <v>#REF!</v>
      </c>
      <c r="H20" s="59">
        <v>51</v>
      </c>
      <c r="I20" s="64" t="e">
        <f>COUNTIFS(Sac!#REF!,"=51",Sac!#REF!,"&gt;0")</f>
        <v>#REF!</v>
      </c>
      <c r="J20" s="64" t="e">
        <f>COUNTIFS(Sac!#REF!,"=51",Sac!#REF!,"&gt;0")</f>
        <v>#REF!</v>
      </c>
      <c r="K20" s="64" t="e">
        <f>COUNTIFS(Sac!#REF!,"=51",Sac!#REF!,"&gt;0")</f>
        <v>#REF!</v>
      </c>
      <c r="L20" s="64" t="e">
        <f>COUNTIFS(Sac!#REF!,"=51",Sac!#REF!,"&gt;0")</f>
        <v>#REF!</v>
      </c>
      <c r="N20" s="59">
        <v>51</v>
      </c>
      <c r="O20" s="64" t="e">
        <f>C20+I20</f>
        <v>#REF!</v>
      </c>
      <c r="P20" s="64" t="e">
        <f t="shared" ref="P20:P29" si="9">D20+J20</f>
        <v>#REF!</v>
      </c>
      <c r="Q20" s="64" t="e">
        <f t="shared" ref="Q20:Q29" si="10">E20+K20</f>
        <v>#REF!</v>
      </c>
      <c r="R20" s="64" t="e">
        <f t="shared" ref="R20:R29" si="11">F20+L20</f>
        <v>#REF!</v>
      </c>
    </row>
    <row r="21" spans="2:18" s="58" customFormat="1" ht="15.6">
      <c r="B21" s="60">
        <v>52</v>
      </c>
      <c r="C21" s="65" t="e">
        <f>COUNTIFS(Flexo!#REF!,"=52",Flexo!#REF!,"&gt;0")</f>
        <v>#REF!</v>
      </c>
      <c r="D21" s="65" t="e">
        <f>COUNTIFS(Flexo!#REF!,"=52",Flexo!#REF!,"&gt;0")</f>
        <v>#REF!</v>
      </c>
      <c r="E21" s="65" t="e">
        <f>COUNTIFS(Flexo!#REF!,"=52",Flexo!#REF!,"&gt;0")</f>
        <v>#REF!</v>
      </c>
      <c r="F21" s="65" t="e">
        <f>COUNTIFS(Flexo!#REF!,"=52",Flexo!#REF!,"&gt;0")</f>
        <v>#REF!</v>
      </c>
      <c r="H21" s="60">
        <v>52</v>
      </c>
      <c r="I21" s="65" t="e">
        <f>COUNTIFS(Sac!#REF!,"=52",Sac!#REF!,"&gt;0")</f>
        <v>#REF!</v>
      </c>
      <c r="J21" s="65" t="e">
        <f>COUNTIFS(Sac!#REF!,"=52",Sac!#REF!,"&gt;0")</f>
        <v>#REF!</v>
      </c>
      <c r="K21" s="65" t="e">
        <f>COUNTIFS(Sac!#REF!,"=52",Sac!#REF!,"&gt;0")</f>
        <v>#REF!</v>
      </c>
      <c r="L21" s="65" t="e">
        <f>COUNTIFS(Sac!#REF!,"=52",Sac!#REF!,"&gt;0")</f>
        <v>#REF!</v>
      </c>
      <c r="N21" s="60">
        <v>52</v>
      </c>
      <c r="O21" s="65" t="e">
        <f>C21+I21</f>
        <v>#REF!</v>
      </c>
      <c r="P21" s="65" t="e">
        <f t="shared" si="9"/>
        <v>#REF!</v>
      </c>
      <c r="Q21" s="65" t="e">
        <f t="shared" si="10"/>
        <v>#REF!</v>
      </c>
      <c r="R21" s="65" t="e">
        <f t="shared" si="11"/>
        <v>#REF!</v>
      </c>
    </row>
    <row r="22" spans="2:18" s="58" customFormat="1" ht="15.6">
      <c r="B22" s="60">
        <v>53</v>
      </c>
      <c r="C22" s="65" t="e">
        <f>COUNTIFS(Flexo!#REF!,"=53",Flexo!#REF!,"&gt;0")</f>
        <v>#REF!</v>
      </c>
      <c r="D22" s="65" t="e">
        <f>COUNTIFS(Flexo!#REF!,"=53",Flexo!#REF!,"&gt;0")</f>
        <v>#REF!</v>
      </c>
      <c r="E22" s="65" t="e">
        <f>COUNTIFS(Flexo!#REF!,"=53",Flexo!#REF!,"&gt;0")</f>
        <v>#REF!</v>
      </c>
      <c r="F22" s="65" t="e">
        <f>COUNTIFS(Flexo!#REF!,"=53",Flexo!#REF!,"&gt;0")</f>
        <v>#REF!</v>
      </c>
      <c r="H22" s="60">
        <v>53</v>
      </c>
      <c r="I22" s="65" t="e">
        <f>COUNTIFS(Sac!#REF!,"=53",Sac!#REF!,"&gt;0")</f>
        <v>#REF!</v>
      </c>
      <c r="J22" s="65" t="e">
        <f>COUNTIFS(Sac!#REF!,"=53",Sac!#REF!,"&gt;0")</f>
        <v>#REF!</v>
      </c>
      <c r="K22" s="65" t="e">
        <f>COUNTIFS(Sac!#REF!,"=53",Sac!#REF!,"&gt;0")</f>
        <v>#REF!</v>
      </c>
      <c r="L22" s="65" t="e">
        <f>COUNTIFS(Sac!#REF!,"=53",Sac!#REF!,"&gt;0")</f>
        <v>#REF!</v>
      </c>
      <c r="N22" s="60">
        <v>53</v>
      </c>
      <c r="O22" s="65" t="e">
        <f t="shared" ref="O22:O29" si="12">C22+I22</f>
        <v>#REF!</v>
      </c>
      <c r="P22" s="65" t="e">
        <f t="shared" si="9"/>
        <v>#REF!</v>
      </c>
      <c r="Q22" s="65" t="e">
        <f t="shared" si="10"/>
        <v>#REF!</v>
      </c>
      <c r="R22" s="65" t="e">
        <f t="shared" si="11"/>
        <v>#REF!</v>
      </c>
    </row>
    <row r="23" spans="2:18" s="58" customFormat="1" ht="15.6">
      <c r="B23" s="60">
        <v>55</v>
      </c>
      <c r="C23" s="65" t="e">
        <f>COUNTIFS(Flexo!#REF!,"=55",Flexo!#REF!,"&gt;0")</f>
        <v>#REF!</v>
      </c>
      <c r="D23" s="65" t="e">
        <f>COUNTIFS(Flexo!#REF!,"=55",Flexo!#REF!,"&gt;0")</f>
        <v>#REF!</v>
      </c>
      <c r="E23" s="65" t="e">
        <f>COUNTIFS(Flexo!#REF!,"=55",Flexo!#REF!,"&gt;0")</f>
        <v>#REF!</v>
      </c>
      <c r="F23" s="65" t="e">
        <f>COUNTIFS(Flexo!#REF!,"=55",Flexo!#REF!,"&gt;0")</f>
        <v>#REF!</v>
      </c>
      <c r="H23" s="60">
        <v>55</v>
      </c>
      <c r="I23" s="65" t="e">
        <f>COUNTIFS(Sac!#REF!,"=55",Sac!#REF!,"&gt;0")</f>
        <v>#REF!</v>
      </c>
      <c r="J23" s="65" t="e">
        <f>COUNTIFS(Sac!#REF!,"=55",Sac!#REF!,"&gt;0")</f>
        <v>#REF!</v>
      </c>
      <c r="K23" s="65" t="e">
        <f>COUNTIFS(Sac!#REF!,"=55",Sac!#REF!,"&gt;0")</f>
        <v>#REF!</v>
      </c>
      <c r="L23" s="65" t="e">
        <f>COUNTIFS(Sac!#REF!,"=55",Sac!#REF!,"&gt;0")</f>
        <v>#REF!</v>
      </c>
      <c r="N23" s="60">
        <v>55</v>
      </c>
      <c r="O23" s="65" t="e">
        <f t="shared" si="12"/>
        <v>#REF!</v>
      </c>
      <c r="P23" s="65" t="e">
        <f t="shared" si="9"/>
        <v>#REF!</v>
      </c>
      <c r="Q23" s="65" t="e">
        <f t="shared" si="10"/>
        <v>#REF!</v>
      </c>
      <c r="R23" s="65" t="e">
        <f t="shared" si="11"/>
        <v>#REF!</v>
      </c>
    </row>
    <row r="24" spans="2:18" s="58" customFormat="1" ht="15.6">
      <c r="B24" s="60">
        <v>56</v>
      </c>
      <c r="C24" s="65" t="e">
        <f>COUNTIFS(Flexo!#REF!,"=56",Flexo!#REF!,"&gt;0")</f>
        <v>#REF!</v>
      </c>
      <c r="D24" s="65" t="e">
        <f>COUNTIFS(Flexo!#REF!,"=56",Flexo!#REF!,"&gt;0")</f>
        <v>#REF!</v>
      </c>
      <c r="E24" s="65" t="e">
        <f>COUNTIFS(Flexo!#REF!,"=56",Flexo!#REF!,"&gt;0")</f>
        <v>#REF!</v>
      </c>
      <c r="F24" s="65" t="e">
        <f>COUNTIFS(Flexo!#REF!,"=56",Flexo!#REF!,"&gt;0")</f>
        <v>#REF!</v>
      </c>
      <c r="H24" s="60">
        <v>56</v>
      </c>
      <c r="I24" s="65" t="e">
        <f>COUNTIFS(Sac!#REF!,"=56",Sac!#REF!,"&gt;0")</f>
        <v>#REF!</v>
      </c>
      <c r="J24" s="65" t="e">
        <f>COUNTIFS(Sac!#REF!,"=56",Sac!#REF!,"&gt;0")</f>
        <v>#REF!</v>
      </c>
      <c r="K24" s="65" t="e">
        <f>COUNTIFS(Sac!#REF!,"=56",Sac!#REF!,"&gt;0")</f>
        <v>#REF!</v>
      </c>
      <c r="L24" s="65" t="e">
        <f>COUNTIFS(Sac!#REF!,"=56",Sac!#REF!,"&gt;0")</f>
        <v>#REF!</v>
      </c>
      <c r="N24" s="60">
        <v>56</v>
      </c>
      <c r="O24" s="65" t="e">
        <f t="shared" si="12"/>
        <v>#REF!</v>
      </c>
      <c r="P24" s="65" t="e">
        <f t="shared" si="9"/>
        <v>#REF!</v>
      </c>
      <c r="Q24" s="65" t="e">
        <f t="shared" si="10"/>
        <v>#REF!</v>
      </c>
      <c r="R24" s="65" t="e">
        <f t="shared" si="11"/>
        <v>#REF!</v>
      </c>
    </row>
    <row r="25" spans="2:18" s="58" customFormat="1" ht="15.6">
      <c r="B25" s="60">
        <v>58</v>
      </c>
      <c r="C25" s="65" t="e">
        <f>COUNTIFS(Flexo!#REF!,"=58",Flexo!#REF!,"&gt;0")</f>
        <v>#REF!</v>
      </c>
      <c r="D25" s="65" t="e">
        <f>COUNTIFS(Flexo!#REF!,"=58",Flexo!#REF!,"&gt;0")</f>
        <v>#REF!</v>
      </c>
      <c r="E25" s="65" t="e">
        <f>COUNTIFS(Flexo!#REF!,"=58",Flexo!#REF!,"&gt;0")</f>
        <v>#REF!</v>
      </c>
      <c r="F25" s="65" t="e">
        <f>COUNTIFS(Flexo!#REF!,"=58",Flexo!#REF!,"&gt;0")</f>
        <v>#REF!</v>
      </c>
      <c r="H25" s="60">
        <v>58</v>
      </c>
      <c r="I25" s="65" t="e">
        <f>COUNTIFS(Sac!#REF!,"=58",Sac!#REF!,"&gt;0")</f>
        <v>#REF!</v>
      </c>
      <c r="J25" s="65" t="e">
        <f>COUNTIFS(Sac!#REF!,"=58",Sac!#REF!,"&gt;0")</f>
        <v>#REF!</v>
      </c>
      <c r="K25" s="65" t="e">
        <f>COUNTIFS(Sac!#REF!,"=58",Sac!#REF!,"&gt;0")</f>
        <v>#REF!</v>
      </c>
      <c r="L25" s="65" t="e">
        <f>COUNTIFS(Sac!#REF!,"=58",Sac!#REF!,"&gt;0")</f>
        <v>#REF!</v>
      </c>
      <c r="N25" s="60">
        <v>58</v>
      </c>
      <c r="O25" s="65" t="e">
        <f t="shared" si="12"/>
        <v>#REF!</v>
      </c>
      <c r="P25" s="65" t="e">
        <f t="shared" si="9"/>
        <v>#REF!</v>
      </c>
      <c r="Q25" s="65" t="e">
        <f t="shared" si="10"/>
        <v>#REF!</v>
      </c>
      <c r="R25" s="65" t="e">
        <f t="shared" si="11"/>
        <v>#REF!</v>
      </c>
    </row>
    <row r="26" spans="2:18" s="58" customFormat="1" ht="15.6">
      <c r="B26" s="60">
        <v>59</v>
      </c>
      <c r="C26" s="65" t="e">
        <f>COUNTIFS(Flexo!#REF!,"=59",Flexo!#REF!,"&gt;0")</f>
        <v>#REF!</v>
      </c>
      <c r="D26" s="65" t="e">
        <f>COUNTIFS(Flexo!#REF!,"=59",Flexo!#REF!,"&gt;0")</f>
        <v>#REF!</v>
      </c>
      <c r="E26" s="65" t="e">
        <f>COUNTIFS(Flexo!#REF!,"=59",Flexo!#REF!,"&gt;0")</f>
        <v>#REF!</v>
      </c>
      <c r="F26" s="65" t="e">
        <f>COUNTIFS(Flexo!#REF!,"=59",Flexo!#REF!,"&gt;0")</f>
        <v>#REF!</v>
      </c>
      <c r="H26" s="60">
        <v>59</v>
      </c>
      <c r="I26" s="65" t="e">
        <f>COUNTIFS(Sac!#REF!,"=59",Sac!#REF!,"&gt;0")</f>
        <v>#REF!</v>
      </c>
      <c r="J26" s="65" t="e">
        <f>COUNTIFS(Sac!#REF!,"=59",Sac!#REF!,"&gt;0")</f>
        <v>#REF!</v>
      </c>
      <c r="K26" s="65" t="e">
        <f>COUNTIFS(Sac!#REF!,"=59",Sac!#REF!,"&gt;0")</f>
        <v>#REF!</v>
      </c>
      <c r="L26" s="65" t="e">
        <f>COUNTIFS(Sac!#REF!,"=59",Sac!#REF!,"&gt;0")</f>
        <v>#REF!</v>
      </c>
      <c r="N26" s="60">
        <v>59</v>
      </c>
      <c r="O26" s="65" t="e">
        <f t="shared" si="12"/>
        <v>#REF!</v>
      </c>
      <c r="P26" s="65" t="e">
        <f t="shared" si="9"/>
        <v>#REF!</v>
      </c>
      <c r="Q26" s="65" t="e">
        <f t="shared" si="10"/>
        <v>#REF!</v>
      </c>
      <c r="R26" s="65" t="e">
        <f t="shared" si="11"/>
        <v>#REF!</v>
      </c>
    </row>
    <row r="27" spans="2:18" s="58" customFormat="1" ht="15.6">
      <c r="B27" s="60">
        <v>60</v>
      </c>
      <c r="C27" s="65" t="e">
        <f>COUNTIFS(Flexo!#REF!,"=60",Flexo!#REF!,"&gt;0")</f>
        <v>#REF!</v>
      </c>
      <c r="D27" s="65" t="e">
        <f>COUNTIFS(Flexo!#REF!,"=60",Flexo!#REF!,"&gt;0")</f>
        <v>#REF!</v>
      </c>
      <c r="E27" s="65" t="e">
        <f>COUNTIFS(Flexo!#REF!,"=60",Flexo!#REF!,"&gt;0")</f>
        <v>#REF!</v>
      </c>
      <c r="F27" s="65" t="e">
        <f>COUNTIFS(Flexo!#REF!,"=60",Flexo!#REF!,"&gt;0")</f>
        <v>#REF!</v>
      </c>
      <c r="H27" s="60">
        <v>60</v>
      </c>
      <c r="I27" s="65" t="e">
        <f>COUNTIFS(Sac!#REF!,"=60",Sac!#REF!,"&gt;0")</f>
        <v>#REF!</v>
      </c>
      <c r="J27" s="65" t="e">
        <f>COUNTIFS(Sac!#REF!,"=60",Sac!#REF!,"&gt;0")</f>
        <v>#REF!</v>
      </c>
      <c r="K27" s="65" t="e">
        <f>COUNTIFS(Sac!#REF!,"=60",Sac!#REF!,"&gt;0")</f>
        <v>#REF!</v>
      </c>
      <c r="L27" s="65" t="e">
        <f>COUNTIFS(Sac!#REF!,"=60",Sac!#REF!,"&gt;0")</f>
        <v>#REF!</v>
      </c>
      <c r="N27" s="60">
        <v>60</v>
      </c>
      <c r="O27" s="65" t="e">
        <f t="shared" si="12"/>
        <v>#REF!</v>
      </c>
      <c r="P27" s="65" t="e">
        <f t="shared" si="9"/>
        <v>#REF!</v>
      </c>
      <c r="Q27" s="65" t="e">
        <f t="shared" si="10"/>
        <v>#REF!</v>
      </c>
      <c r="R27" s="65" t="e">
        <f t="shared" si="11"/>
        <v>#REF!</v>
      </c>
    </row>
    <row r="28" spans="2:18" s="58" customFormat="1" ht="15.6">
      <c r="B28" s="60">
        <v>61</v>
      </c>
      <c r="C28" s="65" t="e">
        <f>COUNTIFS(Flexo!#REF!,"=61",Flexo!#REF!,"&gt;0")</f>
        <v>#REF!</v>
      </c>
      <c r="D28" s="65" t="e">
        <f>COUNTIFS(Flexo!#REF!,"=61",Flexo!#REF!,"&gt;0")</f>
        <v>#REF!</v>
      </c>
      <c r="E28" s="65" t="e">
        <f>COUNTIFS(Flexo!#REF!,"=61",Flexo!#REF!,"&gt;0")</f>
        <v>#REF!</v>
      </c>
      <c r="F28" s="65" t="e">
        <f>COUNTIFS(Flexo!#REF!,"=61",Flexo!#REF!,"&gt;0")</f>
        <v>#REF!</v>
      </c>
      <c r="H28" s="60">
        <v>61</v>
      </c>
      <c r="I28" s="65" t="e">
        <f>COUNTIFS(Sac!#REF!,"=61",Sac!#REF!,"&gt;0")</f>
        <v>#REF!</v>
      </c>
      <c r="J28" s="65" t="e">
        <f>COUNTIFS(Sac!#REF!,"=61",Sac!#REF!,"&gt;0")</f>
        <v>#REF!</v>
      </c>
      <c r="K28" s="65" t="e">
        <f>COUNTIFS(Sac!#REF!,"=61",Sac!#REF!,"&gt;0")</f>
        <v>#REF!</v>
      </c>
      <c r="L28" s="65" t="e">
        <f>COUNTIFS(Sac!#REF!,"=61",Sac!#REF!,"&gt;0")</f>
        <v>#REF!</v>
      </c>
      <c r="N28" s="60">
        <v>61</v>
      </c>
      <c r="O28" s="65" t="e">
        <f t="shared" si="12"/>
        <v>#REF!</v>
      </c>
      <c r="P28" s="65" t="e">
        <f t="shared" si="9"/>
        <v>#REF!</v>
      </c>
      <c r="Q28" s="65" t="e">
        <f t="shared" si="10"/>
        <v>#REF!</v>
      </c>
      <c r="R28" s="65" t="e">
        <f t="shared" si="11"/>
        <v>#REF!</v>
      </c>
    </row>
    <row r="29" spans="2:18" s="58" customFormat="1" ht="16.2" thickBot="1">
      <c r="B29" s="61">
        <v>62</v>
      </c>
      <c r="C29" s="66" t="e">
        <f>COUNTIFS(Flexo!#REF!,"=62",Flexo!#REF!,"&gt;0")</f>
        <v>#REF!</v>
      </c>
      <c r="D29" s="66" t="e">
        <f>COUNTIFS(Flexo!#REF!,"=62",Flexo!#REF!,"&gt;0")</f>
        <v>#REF!</v>
      </c>
      <c r="E29" s="66" t="e">
        <f>COUNTIFS(Flexo!#REF!,"=62",Flexo!#REF!,"&gt;0")</f>
        <v>#REF!</v>
      </c>
      <c r="F29" s="66" t="e">
        <f>COUNTIFS(Flexo!#REF!,"=62",Flexo!#REF!,"&gt;0")</f>
        <v>#REF!</v>
      </c>
      <c r="H29" s="61">
        <v>62</v>
      </c>
      <c r="I29" s="66" t="e">
        <f>COUNTIFS(Sac!#REF!,"=62",Sac!#REF!,"&gt;0")</f>
        <v>#REF!</v>
      </c>
      <c r="J29" s="66" t="e">
        <f>COUNTIFS(Sac!#REF!,"=62",Sac!#REF!,"&gt;0")</f>
        <v>#REF!</v>
      </c>
      <c r="K29" s="66" t="e">
        <f>COUNTIFS(Sac!#REF!,"=62",Sac!#REF!,"&gt;0")</f>
        <v>#REF!</v>
      </c>
      <c r="L29" s="66" t="e">
        <f>COUNTIFS(Sac!#REF!,"=62",Sac!#REF!,"&gt;0")</f>
        <v>#REF!</v>
      </c>
      <c r="N29" s="61">
        <v>62</v>
      </c>
      <c r="O29" s="65" t="e">
        <f t="shared" si="12"/>
        <v>#REF!</v>
      </c>
      <c r="P29" s="65" t="e">
        <f t="shared" si="9"/>
        <v>#REF!</v>
      </c>
      <c r="Q29" s="65" t="e">
        <f t="shared" si="10"/>
        <v>#REF!</v>
      </c>
      <c r="R29" s="65" t="e">
        <f t="shared" si="11"/>
        <v>#REF!</v>
      </c>
    </row>
    <row r="30" spans="2:18" s="62" customFormat="1" ht="16.8" thickTop="1" thickBot="1">
      <c r="C30" s="63" t="e">
        <f>SUM(C20:C29)</f>
        <v>#REF!</v>
      </c>
      <c r="D30" s="63" t="e">
        <f t="shared" ref="D30" si="13">SUM(D20:D29)</f>
        <v>#REF!</v>
      </c>
      <c r="E30" s="63" t="e">
        <f t="shared" ref="E30" si="14">SUM(E20:E29)</f>
        <v>#REF!</v>
      </c>
      <c r="F30" s="63" t="e">
        <f t="shared" ref="F30" si="15">SUM(F20:F29)</f>
        <v>#REF!</v>
      </c>
      <c r="I30" s="63" t="e">
        <f>SUM(I20:I29)</f>
        <v>#REF!</v>
      </c>
      <c r="J30" s="63" t="e">
        <f t="shared" ref="J30" si="16">SUM(J20:J29)</f>
        <v>#REF!</v>
      </c>
      <c r="K30" s="63" t="e">
        <f t="shared" ref="K30" si="17">SUM(K20:K29)</f>
        <v>#REF!</v>
      </c>
      <c r="L30" s="63" t="e">
        <f t="shared" ref="L30" si="18">SUM(L20:L29)</f>
        <v>#REF!</v>
      </c>
      <c r="O30" s="63" t="e">
        <f>SUM(O20:O29)</f>
        <v>#REF!</v>
      </c>
      <c r="P30" s="63" t="e">
        <f t="shared" ref="P30" si="19">SUM(P20:P29)</f>
        <v>#REF!</v>
      </c>
      <c r="Q30" s="63" t="e">
        <f t="shared" ref="Q30" si="20">SUM(Q20:Q29)</f>
        <v>#REF!</v>
      </c>
      <c r="R30" s="63" t="e">
        <f t="shared" ref="R30" si="21">SUM(R20:R29)</f>
        <v>#REF!</v>
      </c>
    </row>
    <row r="31" spans="2:18" ht="15.6" thickTop="1"/>
  </sheetData>
  <sheetProtection selectLockedCells="1" selectUnlockedCells="1"/>
  <mergeCells count="30">
    <mergeCell ref="C17:F17"/>
    <mergeCell ref="I17:L17"/>
    <mergeCell ref="R18:R19"/>
    <mergeCell ref="C18:C19"/>
    <mergeCell ref="D18:D19"/>
    <mergeCell ref="E18:E19"/>
    <mergeCell ref="F18:F19"/>
    <mergeCell ref="I18:I19"/>
    <mergeCell ref="J18:J19"/>
    <mergeCell ref="K18:K19"/>
    <mergeCell ref="L18:L19"/>
    <mergeCell ref="O18:O19"/>
    <mergeCell ref="P18:P19"/>
    <mergeCell ref="Q18:Q19"/>
    <mergeCell ref="O17:R17"/>
    <mergeCell ref="C2:F2"/>
    <mergeCell ref="I2:L2"/>
    <mergeCell ref="I3:I4"/>
    <mergeCell ref="J3:J4"/>
    <mergeCell ref="K3:K4"/>
    <mergeCell ref="L3:L4"/>
    <mergeCell ref="C3:C4"/>
    <mergeCell ref="D3:D4"/>
    <mergeCell ref="E3:E4"/>
    <mergeCell ref="F3:F4"/>
    <mergeCell ref="O2:R2"/>
    <mergeCell ref="O3:O4"/>
    <mergeCell ref="P3:P4"/>
    <mergeCell ref="Q3:Q4"/>
    <mergeCell ref="R3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Flexo</vt:lpstr>
      <vt:lpstr>Sac</vt:lpstr>
      <vt:lpstr>Sac Compile</vt:lpstr>
      <vt:lpstr>Inventaire Boites</vt:lpstr>
      <vt:lpstr>Inventaire Broches</vt:lpstr>
      <vt:lpstr>Liste</vt:lpstr>
      <vt:lpstr>Hres 100</vt:lpstr>
      <vt:lpstr>Tableau de bord</vt:lpstr>
      <vt:lpstr>Boite</vt:lpstr>
      <vt:lpstr>Broche</vt:lpstr>
      <vt:lpstr>Client</vt:lpstr>
      <vt:lpstr>Coté</vt:lpstr>
      <vt:lpstr>Mach</vt:lpstr>
      <vt:lpstr>Préposée</vt:lpstr>
      <vt:lpstr>Statut</vt:lpstr>
      <vt:lpstr>Sac!Zone_d_impression</vt:lpstr>
      <vt:lpstr>'Sac Compile'!Zone_d_impression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Gestion Production</cp:lastModifiedBy>
  <cp:lastPrinted>2017-12-19T16:38:06Z</cp:lastPrinted>
  <dcterms:created xsi:type="dcterms:W3CDTF">2009-07-07T05:59:16Z</dcterms:created>
  <dcterms:modified xsi:type="dcterms:W3CDTF">2017-12-21T20:14:55Z</dcterms:modified>
</cp:coreProperties>
</file>