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embeddings/oleObject2.bin" ContentType="application/vnd.openxmlformats-officedocument.oleObject"/>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embeddings/oleObject3.bin" ContentType="application/vnd.openxmlformats-officedocument.oleObject"/>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bookViews>
    <workbookView xWindow="945" yWindow="-45" windowWidth="18840" windowHeight="11760" tabRatio="869" firstSheet="7" activeTab="7"/>
  </bookViews>
  <sheets>
    <sheet name="Données" sheetId="59" state="hidden" r:id="rId1"/>
    <sheet name="CONTROLE_DG" sheetId="75" state="hidden" r:id="rId2"/>
    <sheet name="CHX_INFO_C" sheetId="89" state="hidden" r:id="rId3"/>
    <sheet name="1_INFO_C" sheetId="67" state="hidden" r:id="rId4"/>
    <sheet name="DONNEES_LIASSE_RN" sheetId="66" state="hidden" r:id="rId5"/>
    <sheet name="Num_DPT" sheetId="90" state="hidden" r:id="rId6"/>
    <sheet name="DONNEES_RDT" sheetId="63" state="hidden" r:id="rId7"/>
    <sheet name="A_Page garde" sheetId="81" r:id="rId8"/>
    <sheet name="A_Sommaire NEX" sheetId="80" r:id="rId9"/>
    <sheet name="A_Présentation" sheetId="82" r:id="rId10"/>
    <sheet name="A_Caractéristiques de votre ex" sheetId="77" r:id="rId11"/>
    <sheet name="A_Baromètre exploitation NEX" sheetId="72" r:id="rId12"/>
    <sheet name="A_Points forts faibles NEX" sheetId="78" r:id="rId13"/>
    <sheet name="A_Rendts" sheetId="83" r:id="rId14"/>
    <sheet name="A_Commentaire p1 NEX" sheetId="79" r:id="rId15"/>
    <sheet name="A_Commentaire p2 NEX" sheetId="84" r:id="rId16"/>
    <sheet name="A_Commentaire p3" sheetId="86" r:id="rId17"/>
    <sheet name="A_Commentaire p4" sheetId="85" r:id="rId18"/>
    <sheet name="A_Evolution chges" sheetId="69" r:id="rId19"/>
    <sheet name="A_Donnees_Analyse des Charges" sheetId="70" state="hidden" r:id="rId20"/>
    <sheet name="A_Analyse des Charges NEX" sheetId="71" r:id="rId21"/>
    <sheet name="A_Compte Résultat &amp; SIG NEX " sheetId="68" r:id="rId22"/>
    <sheet name="A_Résult à Trésor" sheetId="76" r:id="rId23"/>
    <sheet name="A_Variat fds de R" sheetId="74" r:id="rId24"/>
    <sheet name="A_Bilan NEX" sheetId="73" r:id="rId25"/>
    <sheet name="A_Ratios NEX" sheetId="87" r:id="rId26"/>
    <sheet name="A_Prévention EB " sheetId="88" r:id="rId27"/>
    <sheet name="Page garde" sheetId="1" state="hidden" r:id="rId28"/>
    <sheet name="Sommaire 1EX" sheetId="51" state="hidden" r:id="rId29"/>
    <sheet name="Sommaire NEX" sheetId="2" state="hidden" r:id="rId30"/>
    <sheet name="Présentation" sheetId="30" state="hidden" r:id="rId31"/>
    <sheet name="Caractéristiques de votre explo" sheetId="31" state="hidden" r:id="rId32"/>
    <sheet name="Note d'actu" sheetId="32" state="hidden" r:id="rId33"/>
    <sheet name="Exploit.Moyenne" sheetId="33" state="hidden" r:id="rId34"/>
    <sheet name="Baromètre exploitation NEX" sheetId="4" state="hidden" r:id="rId35"/>
    <sheet name="Points forts faibles 1EX" sheetId="54" state="hidden" r:id="rId36"/>
    <sheet name="Points forts faibles NEX" sheetId="34" state="hidden" r:id="rId37"/>
    <sheet name="Rendts" sheetId="55" state="hidden" r:id="rId38"/>
    <sheet name="Rendts (3)" sheetId="65" state="hidden" r:id="rId39"/>
    <sheet name="Commentairep1 1EX" sheetId="52" state="hidden" r:id="rId40"/>
    <sheet name="Commentaire p1 NEX" sheetId="47" state="hidden" r:id="rId41"/>
    <sheet name="Commentairep2 1EX" sheetId="53" state="hidden" r:id="rId42"/>
    <sheet name="Commentaire p2 NEX" sheetId="48" state="hidden" r:id="rId43"/>
    <sheet name="Commentaire p3" sheetId="49" state="hidden" r:id="rId44"/>
    <sheet name="Commentaire p4" sheetId="50" state="hidden" r:id="rId45"/>
    <sheet name="Evolution chges" sheetId="35" state="hidden" r:id="rId46"/>
    <sheet name="Analyse des Charges NEX" sheetId="17" state="hidden" r:id="rId47"/>
    <sheet name="Compte Résultat &amp; SIG 1EX" sheetId="13" state="hidden" r:id="rId48"/>
    <sheet name="Compte Résultat &amp; SIG 2EX" sheetId="14" state="hidden" r:id="rId49"/>
    <sheet name="Compte Résultat &amp; SIG NEX" sheetId="15" state="hidden" r:id="rId50"/>
    <sheet name="Résult à Trésor" sheetId="39" state="hidden" r:id="rId51"/>
    <sheet name="Variat fds de R" sheetId="40" state="hidden" r:id="rId52"/>
    <sheet name="Bilan 1EX" sheetId="36" state="hidden" r:id="rId53"/>
    <sheet name="Bilan 2EX" sheetId="38" state="hidden" r:id="rId54"/>
    <sheet name="Bilan NEX" sheetId="37" state="hidden" r:id="rId55"/>
    <sheet name="Ratios 1EX" sheetId="26" state="hidden" r:id="rId56"/>
    <sheet name="Ratios 2EX" sheetId="27" state="hidden" r:id="rId57"/>
    <sheet name="Ratios NEX" sheetId="28" state="hidden" r:id="rId58"/>
    <sheet name="Prévention EB" sheetId="62" state="hidden" r:id="rId59"/>
    <sheet name="Prévention 1" sheetId="56" state="hidden" r:id="rId60"/>
    <sheet name="Prévention 2" sheetId="57" state="hidden" r:id="rId61"/>
    <sheet name="Exploitat. Moyen" sheetId="58" state="hidden" r:id="rId62"/>
    <sheet name="Donnees_Analyse des Charges NEX" sheetId="60" state="hidden" r:id="rId63"/>
  </sheets>
  <functionGroups builtInGroupCount="17"/>
  <definedNames>
    <definedName name="AdresAdht1">Données!$B$782</definedName>
    <definedName name="AdresAdht2">Données!$B$783</definedName>
    <definedName name="CAB">CONTROLE_DG!$I$43</definedName>
    <definedName name="CHOIX">CONTROLE_DG!$K$30</definedName>
    <definedName name="CivilAdht">Données!$B$779</definedName>
    <definedName name="CodeActAdht">Données!$B$787</definedName>
    <definedName name="CPAdht">Données!$B$784</definedName>
    <definedName name="D_30426">Données!$B$644</definedName>
    <definedName name="D_30426_1">Données!$C$644</definedName>
    <definedName name="D_30426_2">Données!$D$644</definedName>
    <definedName name="D_30470">Données!$B$524</definedName>
    <definedName name="D_30470_1">Données!$C$524</definedName>
    <definedName name="D_30470_2">Données!$D$524</definedName>
    <definedName name="D_30500">Données!$B$900</definedName>
    <definedName name="D_30500_1">Données!$C$900</definedName>
    <definedName name="D_30525">Données!$B$620</definedName>
    <definedName name="D_30525_1">Données!$C$620</definedName>
    <definedName name="D_30525_2">Données!$D$620</definedName>
    <definedName name="D_30526">Données!$B$621</definedName>
    <definedName name="D_30526_1">Données!$C$621</definedName>
    <definedName name="D_30526_2">Données!$D$621</definedName>
    <definedName name="D_30530">Données!$B$905</definedName>
    <definedName name="D_30530_1">Données!$C$905</definedName>
    <definedName name="D_30550">Données!$B$903</definedName>
    <definedName name="D_30550_1">Données!$C$903</definedName>
    <definedName name="D_30550_2">Données!$D$903</definedName>
    <definedName name="D_30560">Données!$B$904</definedName>
    <definedName name="D_30560_1">Données!$C$904</definedName>
    <definedName name="D_30560_2">Données!$D$904</definedName>
    <definedName name="D_31047">Données!$B$906</definedName>
    <definedName name="D_31047_1">Données!$C$906</definedName>
    <definedName name="D_31047_2">Données!$D$906</definedName>
    <definedName name="D_31050">Données!$B$907</definedName>
    <definedName name="D_31050_1">Données!$C$907</definedName>
    <definedName name="D_31050_2">Données!$D$907</definedName>
    <definedName name="D_31051">Données!$B$618</definedName>
    <definedName name="D_31051_1">Données!$C$618</definedName>
    <definedName name="D_31051_2">Données!$D$618</definedName>
    <definedName name="D_31053">Données!$B$908</definedName>
    <definedName name="D_31053_1">Données!$C$908</definedName>
    <definedName name="D_31053_2">Données!$D$908</definedName>
    <definedName name="D_31054">Données!$B$909</definedName>
    <definedName name="D_31054_1">Données!$C$909</definedName>
    <definedName name="D_31054_2">Données!$D$909</definedName>
    <definedName name="D_31055">Données!$B$910</definedName>
    <definedName name="D_31055_1">Données!$C$910</definedName>
    <definedName name="D_31055_2">Données!$D$910</definedName>
    <definedName name="D_31056">Données!$B$911</definedName>
    <definedName name="D_31056_1">Données!$C$911</definedName>
    <definedName name="D_31056_2">Données!$D$911</definedName>
    <definedName name="D_37000">Données!$B$533</definedName>
    <definedName name="D_37000_1">Données!$C$533</definedName>
    <definedName name="D_37000_2">Données!$D$533</definedName>
    <definedName name="D_37001">Données!$B$550</definedName>
    <definedName name="D_37001_1">Données!$C$550</definedName>
    <definedName name="D_37001_2">Données!$D$550</definedName>
    <definedName name="D_37002">Données!$B$534</definedName>
    <definedName name="D_37002_1">Données!$C$534</definedName>
    <definedName name="D_37002_2">Données!$D$534</definedName>
    <definedName name="D_37003">Données!$B$551</definedName>
    <definedName name="D_37003_1">Données!$C$551</definedName>
    <definedName name="D_37003_2">Données!$D$551</definedName>
    <definedName name="D_37004">Données!$B$535</definedName>
    <definedName name="D_37004_1">Données!$C$535</definedName>
    <definedName name="D_37004_2">Données!$D$535</definedName>
    <definedName name="D_37005">Données!$B$577</definedName>
    <definedName name="D_37005_1">Données!$C$577</definedName>
    <definedName name="D_37005_2">Données!$D$577</definedName>
    <definedName name="D_37006">Données!$B$596</definedName>
    <definedName name="D_37006_1">Données!$C$596</definedName>
    <definedName name="D_37006_2">Données!$D$596</definedName>
    <definedName name="D_37007">Données!$B$520</definedName>
    <definedName name="D_37007_1">Données!$C$520</definedName>
    <definedName name="D_37007_2">Données!$D$520</definedName>
    <definedName name="D_37008">Données!$B$525</definedName>
    <definedName name="D_37008_1">Données!$C$525</definedName>
    <definedName name="D_37008_2">Données!$D$525</definedName>
    <definedName name="D_37009">Données!$B$598</definedName>
    <definedName name="D_37009_1">Données!$C$598</definedName>
    <definedName name="D_37009_2">Données!$D$598</definedName>
    <definedName name="D_37010">Données!$B$497</definedName>
    <definedName name="D_37010_1">Données!$C$497</definedName>
    <definedName name="D_37010_2">Données!$D$497</definedName>
    <definedName name="D_37011">Données!$B$599</definedName>
    <definedName name="D_37011_1">Données!$C$599</definedName>
    <definedName name="D_37011_2">Données!$D$599</definedName>
    <definedName name="D_37012">Données!$B$901</definedName>
    <definedName name="D_37012_1">Données!$C$901</definedName>
    <definedName name="D_37012_2">Données!$D$901</definedName>
    <definedName name="D_37013">Données!$B$902</definedName>
    <definedName name="D_37013_1">Données!$C$902</definedName>
    <definedName name="D_37013_2">Données!$D$902</definedName>
    <definedName name="D_37014">Données!$B$601</definedName>
    <definedName name="D_37014_1">Données!$C$601</definedName>
    <definedName name="D_37014_2">Données!$D$601</definedName>
    <definedName name="D_37015">Données!$B$602</definedName>
    <definedName name="D_37015_1">Données!$C$602</definedName>
    <definedName name="D_37015_2">Données!$D$602</definedName>
    <definedName name="D_37016">Données!$B$536</definedName>
    <definedName name="D_37016_1">Données!$C$536</definedName>
    <definedName name="D_37016_2">Données!$D$536</definedName>
    <definedName name="D_37017">Données!$B$552</definedName>
    <definedName name="D_37017_1">Données!$C$552</definedName>
    <definedName name="D_37017_2">Données!$D$552</definedName>
    <definedName name="D_37018">Données!$B$537</definedName>
    <definedName name="D_37018_1">Données!$C$537</definedName>
    <definedName name="D_37018_2">Données!$D$537</definedName>
    <definedName name="D_37019">Données!$B$553</definedName>
    <definedName name="D_37019_1">Données!$C$553</definedName>
    <definedName name="D_37019_2">Données!$D$553</definedName>
    <definedName name="D_37020">Données!$B$545</definedName>
    <definedName name="D_37020_1">Données!$C$545</definedName>
    <definedName name="D_37020_2">Données!$D$545</definedName>
    <definedName name="D_37021">Données!$B$578</definedName>
    <definedName name="D_37021_1">Données!$C$578</definedName>
    <definedName name="D_37021_2">Données!$D$578</definedName>
    <definedName name="D_37022">Données!$B$610</definedName>
    <definedName name="D_37022_1">Données!$C$610</definedName>
    <definedName name="D_37022_2">Données!$D$610</definedName>
    <definedName name="D_37023">Données!$B$521</definedName>
    <definedName name="D_37023_1">Données!$C$521</definedName>
    <definedName name="D_37023_2">Données!$D$521</definedName>
    <definedName name="D_37024">Données!$B$526</definedName>
    <definedName name="D_37024_1">Données!$C$526</definedName>
    <definedName name="D_37024_2">Données!$D$526</definedName>
    <definedName name="D_37025">Données!$B$613</definedName>
    <definedName name="D_37025_1">Données!$C$613</definedName>
    <definedName name="D_37025_2">Données!$D$613</definedName>
    <definedName name="D_37026">Données!$B$619</definedName>
    <definedName name="D_37026_1">Données!$C$619</definedName>
    <definedName name="D_37026_2">Données!$D$619</definedName>
    <definedName name="D_37027">Données!$B$616</definedName>
    <definedName name="D_37027_1">Données!$C$616</definedName>
    <definedName name="D_37027_2">Données!$D$616</definedName>
    <definedName name="D_37028">Données!$B$624</definedName>
    <definedName name="D_37028_1">Données!$C$624</definedName>
    <definedName name="D_37028_2">Données!$D$624</definedName>
    <definedName name="D_37029">Données!$B$625</definedName>
    <definedName name="D_37029_1">Données!$C$625</definedName>
    <definedName name="D_37029_2">Données!$D$625</definedName>
    <definedName name="D_37030">Données!$B$628</definedName>
    <definedName name="D_37030_1">Données!$C$628</definedName>
    <definedName name="D_37030_2">Données!$D$628</definedName>
    <definedName name="D_37035">Données!$B$434</definedName>
    <definedName name="D_37035_1">Données!$C$434</definedName>
    <definedName name="D_37035_2">Données!$D$434</definedName>
    <definedName name="D_37036">Données!$B$435</definedName>
    <definedName name="D_37036_1">Données!$C$435</definedName>
    <definedName name="D_37036_2">Données!$D$435</definedName>
    <definedName name="D_37037">Données!$B$436</definedName>
    <definedName name="D_37037_1">Données!$C$436</definedName>
    <definedName name="D_37037_2">Données!$D$436</definedName>
    <definedName name="D_37038">Données!$B$437</definedName>
    <definedName name="D_37038_1">Données!$C$437</definedName>
    <definedName name="D_37038_2">Données!$D$437</definedName>
    <definedName name="D_37039">Données!$B$438</definedName>
    <definedName name="D_37039_1">Données!$C$438</definedName>
    <definedName name="D_37039_2">Données!$D$438</definedName>
    <definedName name="D_37040">Données!$B$439</definedName>
    <definedName name="D_37040_1">Données!$C$439</definedName>
    <definedName name="D_37040_2">Données!$D$439</definedName>
    <definedName name="D_37041">Données!$B$440</definedName>
    <definedName name="D_37041_1">Données!$C$440</definedName>
    <definedName name="D_37041_2">Données!$D$440</definedName>
    <definedName name="D_37042">Données!$B$580</definedName>
    <definedName name="D_37042_1">Données!$C$580</definedName>
    <definedName name="D_37042_2">Données!$D$580</definedName>
    <definedName name="D_37043">Données!$B$583</definedName>
    <definedName name="D_37043_1">Données!$C$583</definedName>
    <definedName name="D_37043_2">Données!$D$583</definedName>
    <definedName name="D_37044">Données!$B$441</definedName>
    <definedName name="D_37044_1">Données!$C$441</definedName>
    <definedName name="D_37044_2">Données!$D$441</definedName>
    <definedName name="D_37045">Données!$B$584</definedName>
    <definedName name="D_37045_1">Données!$C$584</definedName>
    <definedName name="D_37045_2">Données!$D$584</definedName>
    <definedName name="D_37046">Données!$B$546</definedName>
    <definedName name="D_37046_1">Données!$C$546</definedName>
    <definedName name="D_37046_2">Données!$D$546</definedName>
    <definedName name="D_37047">Données!$B$442</definedName>
    <definedName name="D_37047_1">Données!$C$442</definedName>
    <definedName name="D_37047_2">Données!$D$442</definedName>
    <definedName name="D_37048">Données!$B$443</definedName>
    <definedName name="D_37048_1">Données!$C$443</definedName>
    <definedName name="D_37048_2">Données!$D$443</definedName>
    <definedName name="D_37049">Données!$B$547</definedName>
    <definedName name="D_37049_1">Données!$C$547</definedName>
    <definedName name="D_37049_2">Données!$D$547</definedName>
    <definedName name="D_37050">Données!$B$579</definedName>
    <definedName name="D_37050_1">Données!$C$579</definedName>
    <definedName name="D_37050_2">Données!$D$579</definedName>
    <definedName name="D_37051">Données!$B$444</definedName>
    <definedName name="D_37051_1">Données!$C$444</definedName>
    <definedName name="D_37051_2">Données!$D$444</definedName>
    <definedName name="D_37052">Données!$B$445</definedName>
    <definedName name="D_37052_1">Données!$C$445</definedName>
    <definedName name="D_37052_2">Données!$D$445</definedName>
    <definedName name="D_37053">Données!$B$446</definedName>
    <definedName name="D_37053_1">Données!$C$446</definedName>
    <definedName name="D_37053_2">Données!$D$446</definedName>
    <definedName name="D_37054">Données!$B$447</definedName>
    <definedName name="D_37054_1">Données!$C$447</definedName>
    <definedName name="D_37054_2">Données!$D$447</definedName>
    <definedName name="D_37055">Données!$B$448</definedName>
    <definedName name="D_37055_1">Données!$C$448</definedName>
    <definedName name="D_37055_2">Données!$D$448</definedName>
    <definedName name="D_37056">Données!$B$449</definedName>
    <definedName name="D_37056_1">Données!$C$449</definedName>
    <definedName name="D_37056_2">Données!$D$449</definedName>
    <definedName name="D_37057">Données!$B$450</definedName>
    <definedName name="D_37057_1">Données!$C$450</definedName>
    <definedName name="D_37057_2">Données!$D$450</definedName>
    <definedName name="D_37058">Données!$B$549</definedName>
    <definedName name="D_37058_1">Données!$C$549</definedName>
    <definedName name="D_37058_2">Données!$D$549</definedName>
    <definedName name="D_37060">Données!$B$587</definedName>
    <definedName name="D_37060_1">Données!$C$587</definedName>
    <definedName name="D_37060_2">Données!$D$587</definedName>
    <definedName name="D_37061">Données!$B$451</definedName>
    <definedName name="D_37061_1">Données!$C$451</definedName>
    <definedName name="D_37061_2">Données!$D$451</definedName>
    <definedName name="D_37062">Données!$B$501</definedName>
    <definedName name="D_37062_1">Données!$C$501</definedName>
    <definedName name="D_37062_2">Données!$D$501</definedName>
    <definedName name="D_37063">Données!$B$502</definedName>
    <definedName name="D_37063_1">Données!$C$502</definedName>
    <definedName name="D_37063_2">Données!$D$502</definedName>
    <definedName name="D_37064">Données!$B$503</definedName>
    <definedName name="D_37064_1">Données!$C$503</definedName>
    <definedName name="D_37064_2">Données!$D$503</definedName>
    <definedName name="D_37065">Données!$B$504</definedName>
    <definedName name="D_37065_1">Données!$C$504</definedName>
    <definedName name="D_37065_2">Données!$D$504</definedName>
    <definedName name="D_37066">Données!$B$529</definedName>
    <definedName name="D_37066_1">Données!$C$529</definedName>
    <definedName name="D_37066_2">Données!$D$529</definedName>
    <definedName name="D_37067">Données!$B$499</definedName>
    <definedName name="D_37067_1">Données!$C$499</definedName>
    <definedName name="D_37067_2">Données!$D$499</definedName>
    <definedName name="D_37068">Données!$B$500</definedName>
    <definedName name="D_37068_1">Données!$C$500</definedName>
    <definedName name="D_37068_2">Données!$D$500</definedName>
    <definedName name="D_37069">Données!$B$452</definedName>
    <definedName name="D_37069_1">Données!$C$452</definedName>
    <definedName name="D_37069_2">Données!$D$452</definedName>
    <definedName name="D_37070">Données!$B$453</definedName>
    <definedName name="D_37070_1">Données!$C$453</definedName>
    <definedName name="D_37070_2">Données!$D$453</definedName>
    <definedName name="D_37071">Données!$B$454</definedName>
    <definedName name="D_37071_1">Données!$C$454</definedName>
    <definedName name="D_37071_2">Données!$D$454</definedName>
    <definedName name="D_37072">Données!$B$455</definedName>
    <definedName name="D_37072_1">Données!$C$455</definedName>
    <definedName name="D_37072_2">Données!$D$455</definedName>
    <definedName name="D_37073">Données!$B$456</definedName>
    <definedName name="D_37073_1">Données!$C$456</definedName>
    <definedName name="D_37073_2">Données!$D$456</definedName>
    <definedName name="D_37074">Données!$B$457</definedName>
    <definedName name="D_37074_1">Données!$C$457</definedName>
    <definedName name="D_37074_2">Données!$D$457</definedName>
    <definedName name="D_37075">Données!$B$523</definedName>
    <definedName name="D_37075_1">Données!$C$523</definedName>
    <definedName name="D_37075_2">Données!$D$523</definedName>
    <definedName name="D_37076">Données!$B$458</definedName>
    <definedName name="D_37076_1">Données!$C$458</definedName>
    <definedName name="D_37076_2">Données!$D$458</definedName>
    <definedName name="D_37077">Données!$B$459</definedName>
    <definedName name="D_37077_1">Données!$C$459</definedName>
    <definedName name="D_37077_2">Données!$D$459</definedName>
    <definedName name="D_37078">Données!$B$460</definedName>
    <definedName name="D_37078_1">Données!$C$460</definedName>
    <definedName name="D_37078_2">Données!$D$460</definedName>
    <definedName name="D_37079">Données!$B$522</definedName>
    <definedName name="D_37079_1">Données!$C$522</definedName>
    <definedName name="D_37079_2">Données!$D$522</definedName>
    <definedName name="D_37080">Données!$B$461</definedName>
    <definedName name="D_37080_1">Données!$C$461</definedName>
    <definedName name="D_37080_2">Données!$D$461</definedName>
    <definedName name="D_37081">Données!$B$576</definedName>
    <definedName name="D_37081_1">Données!$C$576</definedName>
    <definedName name="D_37081_2">Données!$D$576</definedName>
    <definedName name="D_37082">Données!$B$588</definedName>
    <definedName name="D_37082_1">Données!$C$588</definedName>
    <definedName name="D_37082_2">Données!$D$588</definedName>
    <definedName name="D_37083">Données!$B$640</definedName>
    <definedName name="D_37083_1">Données!$C$640</definedName>
    <definedName name="D_37083_2">Données!$D$640</definedName>
    <definedName name="D_37084">Données!$B$589</definedName>
    <definedName name="D_37084_1">Données!$C$589</definedName>
    <definedName name="D_37084_2">Données!$D$589</definedName>
    <definedName name="D_37085">Données!$B$590</definedName>
    <definedName name="D_37085_1">Données!$C$590</definedName>
    <definedName name="D_37085_2">Données!$D$590</definedName>
    <definedName name="D_37086">Données!$B$591</definedName>
    <definedName name="D_37086_1">Données!$C$591</definedName>
    <definedName name="D_37086_2">Données!$D$591</definedName>
    <definedName name="D_37087">Données!$B$592</definedName>
    <definedName name="D_37087_1">Données!$C$592</definedName>
    <definedName name="D_37087_2">Données!$D$592</definedName>
    <definedName name="D_37088">Données!$B$530</definedName>
    <definedName name="D_37088_1">Données!$C$530</definedName>
    <definedName name="D_37088_2">Données!$D$530</definedName>
    <definedName name="D_37089">Données!$B$531</definedName>
    <definedName name="D_37089_1">Données!$C$531</definedName>
    <definedName name="D_37089_2">Données!$D$531</definedName>
    <definedName name="D_37090">Données!$B$532</definedName>
    <definedName name="D_37090_1">Données!$C$532</definedName>
    <definedName name="D_37090_2">Données!$D$532</definedName>
    <definedName name="D_37091">Données!$B$629</definedName>
    <definedName name="D_37091_1">Données!$C$629</definedName>
    <definedName name="D_37091_2">Données!$D$629</definedName>
    <definedName name="D_37092">Données!$B$630</definedName>
    <definedName name="D_37092_1">Données!$C$630</definedName>
    <definedName name="D_37092_2">Données!$D$630</definedName>
    <definedName name="D_37093">Données!$B$631</definedName>
    <definedName name="D_37093_1">Données!$C$631</definedName>
    <definedName name="D_37093_2">Données!$D$631</definedName>
    <definedName name="D_37094">Données!$B$632</definedName>
    <definedName name="D_37094_1">Données!$C$632</definedName>
    <definedName name="D_37094_2">Données!$D$632</definedName>
    <definedName name="D_37095">Données!$B$633</definedName>
    <definedName name="D_37095_1">Données!$C$633</definedName>
    <definedName name="D_37095_2">Données!$D$633</definedName>
    <definedName name="D_37096">Données!$B$641</definedName>
    <definedName name="D_37096_1">Données!$C$641</definedName>
    <definedName name="D_37096_2">Données!$D$641</definedName>
    <definedName name="D_37097">Données!$B$635</definedName>
    <definedName name="D_37097_1">Données!$C$635</definedName>
    <definedName name="D_37097_2">Données!$D$635</definedName>
    <definedName name="D_37098">Données!$B$636</definedName>
    <definedName name="D_37098_1">Données!$C$636</definedName>
    <definedName name="D_37098_2">Données!$D$636</definedName>
    <definedName name="D_37099">Données!$B$637</definedName>
    <definedName name="D_37099_1">Données!$C$637</definedName>
    <definedName name="D_37099_2">Données!$D$637</definedName>
    <definedName name="D_37100">Données!$B$642</definedName>
    <definedName name="D_37100_1">Données!$C$642</definedName>
    <definedName name="D_37100_2">Données!$D$642</definedName>
    <definedName name="D_37101">Données!$B$638</definedName>
    <definedName name="D_37101_1">Données!$C$638</definedName>
    <definedName name="D_37101_2">Données!$D$638</definedName>
    <definedName name="D_37102">Données!$B$639</definedName>
    <definedName name="D_37102_1">Données!$C$639</definedName>
    <definedName name="D_37102_2">Données!$D$639</definedName>
    <definedName name="D_37103">Données!$B$582</definedName>
    <definedName name="D_37103_1">Données!$C$582</definedName>
    <definedName name="D_37103_2">Données!$D$582</definedName>
    <definedName name="D_37104">Données!$B$604</definedName>
    <definedName name="D_37104_1">Données!$C$604</definedName>
    <definedName name="D_37104_2">Données!$D$604</definedName>
    <definedName name="D_37105">Données!$B$603</definedName>
    <definedName name="D_37105_1">Données!$C$603</definedName>
    <definedName name="D_37105_2">Données!$D$603</definedName>
    <definedName name="D_37106">Données!$B$493</definedName>
    <definedName name="D_37106_1">Données!$C$493</definedName>
    <definedName name="D_37106_2">Données!$D$493</definedName>
    <definedName name="D_37107">Données!$B$505</definedName>
    <definedName name="D_37107_1">Données!$C$505</definedName>
    <definedName name="D_37107_2">Données!$D$505</definedName>
    <definedName name="D_37108">Données!$B$506</definedName>
    <definedName name="D_37108_1">Données!$C$506</definedName>
    <definedName name="D_37108_2">Données!$D$506</definedName>
    <definedName name="D_37109">Données!$B$507</definedName>
    <definedName name="D_37109_1">Données!$C$507</definedName>
    <definedName name="D_37109_2">Données!$D$507</definedName>
    <definedName name="D_37110">Données!$B$508</definedName>
    <definedName name="D_37110_1">Données!$C$508</definedName>
    <definedName name="D_37110_2">Données!$D$508</definedName>
    <definedName name="D_37111">Données!$B$509</definedName>
    <definedName name="D_37111_1">Données!$C$509</definedName>
    <definedName name="D_37111_2">Données!$D$509</definedName>
    <definedName name="D_37112">Données!$B$515</definedName>
    <definedName name="D_37112_1">Données!$C$515</definedName>
    <definedName name="D_37112_2">Données!$D$515</definedName>
    <definedName name="D_37113">Données!$B$516</definedName>
    <definedName name="D_37113_1">Données!$C$516</definedName>
    <definedName name="D_37113_2">Données!$D$516</definedName>
    <definedName name="D_37114">Données!$B$564</definedName>
    <definedName name="D_37114_1">Données!$C$564</definedName>
    <definedName name="D_37114_2">Données!$D$564</definedName>
    <definedName name="D_37115">Données!$B$565</definedName>
    <definedName name="D_37115_1">Données!$C$565</definedName>
    <definedName name="D_37115_2">Données!$D$565</definedName>
    <definedName name="D_37116">Données!$B$518</definedName>
    <definedName name="D_37116_1">Données!$C$518</definedName>
    <definedName name="D_37116_2">Données!$D$518</definedName>
    <definedName name="D_37117">Données!$B$519</definedName>
    <definedName name="D_37117_1">Données!$C$519</definedName>
    <definedName name="D_37117_2">Données!$D$519</definedName>
    <definedName name="D_37118">Données!$B$510</definedName>
    <definedName name="D_37118_1">Données!$C$510</definedName>
    <definedName name="D_37118_2">Données!$D$510</definedName>
    <definedName name="D_37119">Données!$B$511</definedName>
    <definedName name="D_37119_1">Données!$C$511</definedName>
    <definedName name="D_37119_2">Données!$D$511</definedName>
    <definedName name="D_37120">Données!$B$512</definedName>
    <definedName name="D_37120_1">Données!$C$512</definedName>
    <definedName name="D_37120_2">Données!$D$512</definedName>
    <definedName name="D_37121">Données!$B$513</definedName>
    <definedName name="D_37121_1">Données!$C$513</definedName>
    <definedName name="D_37121_2">Données!$D$513</definedName>
    <definedName name="D_37122">Données!$B$581</definedName>
    <definedName name="D_37122_1">Données!$C$581</definedName>
    <definedName name="D_37122_2">Données!$D$581</definedName>
    <definedName name="D_37123">Données!$B$566</definedName>
    <definedName name="D_37123_1">Données!$C$566</definedName>
    <definedName name="D_37123_2">Données!$D$566</definedName>
    <definedName name="D_37124">Données!$B$462</definedName>
    <definedName name="D_37124_1">Données!$C$462</definedName>
    <definedName name="D_37124_2">Données!$D$462</definedName>
    <definedName name="D_37125">Données!$B$463</definedName>
    <definedName name="D_37125_1">Données!$C$463</definedName>
    <definedName name="D_37125_2">Données!$D$463</definedName>
    <definedName name="D_37126">Données!$B$494</definedName>
    <definedName name="D_37126_1">Données!$C$494</definedName>
    <definedName name="D_37126_2">Données!$D$494</definedName>
    <definedName name="D_37127">Données!$B$495</definedName>
    <definedName name="D_37127_1">Données!$C$495</definedName>
    <definedName name="D_37127_2">Données!$D$495</definedName>
    <definedName name="D_37128">Données!$B$567</definedName>
    <definedName name="D_37128_1">Données!$C$567</definedName>
    <definedName name="D_37128_2">Données!$D$567</definedName>
    <definedName name="D_37129">Données!$B$605</definedName>
    <definedName name="D_37129_1">Données!$C$605</definedName>
    <definedName name="D_37129_2">Données!$D$605</definedName>
    <definedName name="D_37130">Données!$B$606</definedName>
    <definedName name="D_37130_1">Données!$C$606</definedName>
    <definedName name="D_37130_2">Données!$D$606</definedName>
    <definedName name="D_37131">Données!$B$464</definedName>
    <definedName name="D_37131_1">Données!$C$464</definedName>
    <definedName name="D_37131_2">Données!$D$464</definedName>
    <definedName name="D_37132">Données!$B$514</definedName>
    <definedName name="D_37132_1">Données!$C$514</definedName>
    <definedName name="D_37132_2">Données!$D$514</definedName>
    <definedName name="D_37133">Données!$B$563</definedName>
    <definedName name="D_37133_1">Données!$C$563</definedName>
    <definedName name="D_37133_2">Données!$D$563</definedName>
    <definedName name="D_37134">Données!$B$517</definedName>
    <definedName name="D_37134_1">Données!$C$517</definedName>
    <definedName name="D_37134_2">Données!$D$517</definedName>
    <definedName name="D_37135">Données!$B$465</definedName>
    <definedName name="D_37135_1">Données!$C$465</definedName>
    <definedName name="D_37135_2">Données!$D$465</definedName>
    <definedName name="D_37136">Données!$B$466</definedName>
    <definedName name="D_37136_1">Données!$C$466</definedName>
    <definedName name="D_37136_2">Données!$D$466</definedName>
    <definedName name="D_37137">Données!$B$467</definedName>
    <definedName name="D_37137_1">Données!$C$467</definedName>
    <definedName name="D_37137_2">Données!$D$467</definedName>
    <definedName name="D_37140">Données!$B$468</definedName>
    <definedName name="D_37140_1">Données!$C$468</definedName>
    <definedName name="D_37140_2">Données!$D$468</definedName>
    <definedName name="D_37141">Données!$B$615</definedName>
    <definedName name="D_37141_1">Données!$C$615</definedName>
    <definedName name="D_37141_2">Données!$D$615</definedName>
    <definedName name="D_37142">Données!$B$611</definedName>
    <definedName name="D_37142_1">Données!$C$611</definedName>
    <definedName name="D_37142_2">Données!$D$611</definedName>
    <definedName name="D_37143">Données!$B$612</definedName>
    <definedName name="D_37143_1">Données!$C$612</definedName>
    <definedName name="D_37143_2">Données!$D$612</definedName>
    <definedName name="D_37144">Données!$B$469</definedName>
    <definedName name="D_37144_1">Données!$C$469</definedName>
    <definedName name="D_37144_2">Données!$D$469</definedName>
    <definedName name="D_37145">Données!$B$470</definedName>
    <definedName name="D_37145_1">Données!$C$470</definedName>
    <definedName name="D_37145_2">Données!$D$470</definedName>
    <definedName name="D_37146">Données!$B$471</definedName>
    <definedName name="D_37146_1">Données!$C$471</definedName>
    <definedName name="D_37146_2">Données!$D$471</definedName>
    <definedName name="D_37147">Données!$B$568</definedName>
    <definedName name="D_37147_1">Données!$C$568</definedName>
    <definedName name="D_37147_2">Données!$D$568</definedName>
    <definedName name="D_37148">Données!$B$569</definedName>
    <definedName name="D_37148_1">Données!$C$569</definedName>
    <definedName name="D_37148_2">Données!$D$569</definedName>
    <definedName name="D_37149">Données!$B$570</definedName>
    <definedName name="D_37149_1">Données!$C$570</definedName>
    <definedName name="D_37149_2">Données!$D$570</definedName>
    <definedName name="D_37150">Données!$B$472</definedName>
    <definedName name="D_37150_1">Données!$C$472</definedName>
    <definedName name="D_37150_2">Données!$D$472</definedName>
    <definedName name="D_37151">Données!$B$473</definedName>
    <definedName name="D_37151_1">Données!$C$473</definedName>
    <definedName name="D_37151_2">Données!$D$473</definedName>
    <definedName name="D_37152">Données!$B$538</definedName>
    <definedName name="D_37152_1">Données!$C$538</definedName>
    <definedName name="D_37152_2">Données!$D$538</definedName>
    <definedName name="D_37153">Données!$B$539</definedName>
    <definedName name="D_37153_1">Données!$C$539</definedName>
    <definedName name="D_37153_2">Données!$D$539</definedName>
    <definedName name="D_37154">Données!$B$474</definedName>
    <definedName name="D_37154_1">Données!$C$474</definedName>
    <definedName name="D_37154_2">Données!$D$474</definedName>
    <definedName name="D_37155">Données!$B$475</definedName>
    <definedName name="D_37155_1">Données!$C$475</definedName>
    <definedName name="D_37155_2">Données!$D$475</definedName>
    <definedName name="D_37156">Données!$B$476</definedName>
    <definedName name="D_37156_1">Données!$C$476</definedName>
    <definedName name="D_37156_2">Données!$D$476</definedName>
    <definedName name="D_37157">Données!$B$477</definedName>
    <definedName name="D_37157_1">Données!$C$477</definedName>
    <definedName name="D_37157_2">Données!$D$477</definedName>
    <definedName name="D_37158">Données!$B$478</definedName>
    <definedName name="D_37158_1">Données!$C$478</definedName>
    <definedName name="D_37158_2">Données!$D$478</definedName>
    <definedName name="D_37159">Données!$B$479</definedName>
    <definedName name="D_37159_1">Données!$C$479</definedName>
    <definedName name="D_37159_2">Données!$D$479</definedName>
    <definedName name="D_37160">Données!$B$571</definedName>
    <definedName name="D_37160_1">Données!$C$571</definedName>
    <definedName name="D_37160_2">Données!$D$571</definedName>
    <definedName name="D_37161">Données!$B$572</definedName>
    <definedName name="D_37161_1">Données!$C$572</definedName>
    <definedName name="D_37161_2">Données!$D$572</definedName>
    <definedName name="D_37162">Données!$B$573</definedName>
    <definedName name="D_37162_1">Données!$C$573</definedName>
    <definedName name="D_37162_2">Données!$D$573</definedName>
    <definedName name="D_37163">Données!$B$574</definedName>
    <definedName name="D_37163_1">Données!$C$574</definedName>
    <definedName name="D_37163_2">Données!$D$574</definedName>
    <definedName name="D_37164">Données!$B$540</definedName>
    <definedName name="D_37164_1">Données!$C$540</definedName>
    <definedName name="D_37164_2">Données!$D$540</definedName>
    <definedName name="D_37165">Données!$B$575</definedName>
    <definedName name="D_37165_1">Données!$C$575</definedName>
    <definedName name="D_37165_2">Données!$D$575</definedName>
    <definedName name="D_37166">Données!$B$480</definedName>
    <definedName name="D_37166_1">Données!$C$480</definedName>
    <definedName name="D_37166_2">Données!$D$480</definedName>
    <definedName name="D_37167">Données!$B$481</definedName>
    <definedName name="D_37167_1">Données!$C$481</definedName>
    <definedName name="D_37167_2">Données!$D$481</definedName>
    <definedName name="D_37168">Données!$B$482</definedName>
    <definedName name="D_37168_1">Données!$C$482</definedName>
    <definedName name="D_37168_2">Données!$D$482</definedName>
    <definedName name="D_37169">Données!$B$483</definedName>
    <definedName name="D_37169_1">Données!$C$483</definedName>
    <definedName name="D_37169_2">Données!$D$483</definedName>
    <definedName name="D_37170">Données!$B$484</definedName>
    <definedName name="D_37170_1">Données!$C$484</definedName>
    <definedName name="D_37170_2">Données!$D$484</definedName>
    <definedName name="D_37171">Données!$B$485</definedName>
    <definedName name="D_37171_1">Données!$C$485</definedName>
    <definedName name="D_37171_2">Données!$D$485</definedName>
    <definedName name="D_37172">Données!$B$486</definedName>
    <definedName name="D_37172_1">Données!$C$486</definedName>
    <definedName name="D_37172_2">Données!$D$486</definedName>
    <definedName name="D_37175">Données!$B$487</definedName>
    <definedName name="D_37175_1">Données!$C$487</definedName>
    <definedName name="D_37175_2">Données!$D$487</definedName>
    <definedName name="D_37176">Données!$B$488</definedName>
    <definedName name="D_37176_1">Données!$C$488</definedName>
    <definedName name="D_37176_2">Données!$D$488</definedName>
    <definedName name="D_37177">Données!$B$548</definedName>
    <definedName name="D_37177_1">Données!$C$548</definedName>
    <definedName name="D_37177_2">Données!$D$548</definedName>
    <definedName name="D_37178">Données!$B$496</definedName>
    <definedName name="D_37178_1">Données!$C$496</definedName>
    <definedName name="D_37178_2">Données!$D$496</definedName>
    <definedName name="D_37179">Données!$B$560</definedName>
    <definedName name="D_37179_1">Données!$C$560</definedName>
    <definedName name="D_37179_2">Données!$D$560</definedName>
    <definedName name="D_37180">Données!$B$489</definedName>
    <definedName name="D_37180_1">Données!$C$489</definedName>
    <definedName name="D_37180_2">Données!$D$489</definedName>
    <definedName name="D_37181">Données!$B$585</definedName>
    <definedName name="D_37181_1">Données!$C$585</definedName>
    <definedName name="D_37181_2">Données!$D$585</definedName>
    <definedName name="D_37182">Données!$B$643</definedName>
    <definedName name="D_37182_1">Données!$C$643</definedName>
    <definedName name="D_37182_2">Données!$D$643</definedName>
    <definedName name="D_37183">Données!$B$586</definedName>
    <definedName name="D_37183_1">Données!$C$586</definedName>
    <definedName name="D_37183_2">Données!$D$586</definedName>
    <definedName name="D_37184">Données!$B$600</definedName>
    <definedName name="D_37184_1">Données!$C$600</definedName>
    <definedName name="D_37184_2">Données!$D$600</definedName>
    <definedName name="D_37185">Données!$B$490</definedName>
    <definedName name="D_37185_1">Données!$C$490</definedName>
    <definedName name="D_37185_2">Données!$D$490</definedName>
    <definedName name="D_37186">Données!$B$528</definedName>
    <definedName name="D_37186_1">Données!$C$528</definedName>
    <definedName name="D_37186_2">Données!$D$528</definedName>
    <definedName name="D_37187">Données!$B$543</definedName>
    <definedName name="D_37187_1">Données!$C$543</definedName>
    <definedName name="D_37187_2">Données!$D$543</definedName>
    <definedName name="D_37188">Données!$B$544</definedName>
    <definedName name="D_37188_1">Données!$C$544</definedName>
    <definedName name="D_37188_2">Données!$D$544</definedName>
    <definedName name="D_37189">Données!$B$607</definedName>
    <definedName name="D_37189_1">Données!$C$607</definedName>
    <definedName name="D_37189_2">Données!$D$607</definedName>
    <definedName name="D_37190">Données!$B$608</definedName>
    <definedName name="D_37190_1">Données!$C$608</definedName>
    <definedName name="D_37190_2">Données!$D$608</definedName>
    <definedName name="D_37191">Données!$B$561</definedName>
    <definedName name="D_37191_1">Données!$C$561</definedName>
    <definedName name="D_37191_2">Données!$D$561</definedName>
    <definedName name="D_37192">Données!$B$609</definedName>
    <definedName name="D_37192_1">Données!$C$609</definedName>
    <definedName name="D_37192_2">Données!$D$609</definedName>
    <definedName name="D_37193">Données!$B$491</definedName>
    <definedName name="D_37193_1">Données!$C$491</definedName>
    <definedName name="D_37193_2">Données!$D$491</definedName>
    <definedName name="D_37194">Données!$B$593</definedName>
    <definedName name="D_37194_1">Données!$C$593</definedName>
    <definedName name="D_37194_2">Données!$D$593</definedName>
    <definedName name="D_37195">Données!$B$541</definedName>
    <definedName name="D_37195_1">Données!$C$541</definedName>
    <definedName name="D_37195_2">Données!$D$541</definedName>
    <definedName name="D_37196">Données!$B$492</definedName>
    <definedName name="D_37196_1">Données!$C$492</definedName>
    <definedName name="D_37196_2">Données!$D$492</definedName>
    <definedName name="D_37197">Données!$B$558</definedName>
    <definedName name="D_37197_1">Données!$C$558</definedName>
    <definedName name="D_37197_2">Données!$D$558</definedName>
    <definedName name="D_37198">Données!$B$559</definedName>
    <definedName name="D_37198_1">Données!$C$559</definedName>
    <definedName name="D_37198_2">Données!$D$559</definedName>
    <definedName name="D_37199">Données!$B$498</definedName>
    <definedName name="D_37199_1">Données!$C$498</definedName>
    <definedName name="D_37199_2">Données!$D$498</definedName>
    <definedName name="D_37200">Données!$B$562</definedName>
    <definedName name="D_37200_1">Données!$C$562</definedName>
    <definedName name="D_37200_2">Données!$D$562</definedName>
    <definedName name="D_37201">Données!$B$912</definedName>
    <definedName name="D_37201_1">Données!$C$912</definedName>
    <definedName name="D_37202">Données!$B$527</definedName>
    <definedName name="D_37202_1">Données!$C$527</definedName>
    <definedName name="D_37202_2">Données!$D$527</definedName>
    <definedName name="D_37204">Données!$B$542</definedName>
    <definedName name="D_37204_1">Données!$C$542</definedName>
    <definedName name="D_37204_2">Données!$D$542</definedName>
    <definedName name="D_37205">Données!$B$554</definedName>
    <definedName name="D_37205_1">Données!$C$554</definedName>
    <definedName name="D_37205_2">Données!$D$554</definedName>
    <definedName name="D_37206">Données!$B$555</definedName>
    <definedName name="D_37206_1">Données!$C$555</definedName>
    <definedName name="D_37206_2">Données!$D$555</definedName>
    <definedName name="D_37207">Données!$B$556</definedName>
    <definedName name="D_37207_1">Données!$C$556</definedName>
    <definedName name="D_37207_2">Données!$D$556</definedName>
    <definedName name="D_37208">Données!$B$557</definedName>
    <definedName name="D_37208_1">Données!$C$557</definedName>
    <definedName name="D_37208_2">Données!$D$557</definedName>
    <definedName name="D_37301">Données!$B$594</definedName>
    <definedName name="D_37301_1">Données!$C$594</definedName>
    <definedName name="D_37301_2">Données!$D$594</definedName>
    <definedName name="D_37302">Données!$B$595</definedName>
    <definedName name="D_37302_1">Données!$C$595</definedName>
    <definedName name="D_37302_2">Données!$D$595</definedName>
    <definedName name="D_37303">Données!$B$597</definedName>
    <definedName name="D_37303_1">Données!$C$597</definedName>
    <definedName name="D_37303_2">Données!$D$597</definedName>
    <definedName name="D_37306">Données!$B$614</definedName>
    <definedName name="D_37306_1">Données!$C$614</definedName>
    <definedName name="D_37306_2">Données!$D$614</definedName>
    <definedName name="D_37322">Données!$B$215</definedName>
    <definedName name="D_37322_1">Données!$C$215</definedName>
    <definedName name="D_37322_2">Données!$D$215</definedName>
    <definedName name="D_37500">Données!$B$645</definedName>
    <definedName name="D_37500_1">Données!$C$645</definedName>
    <definedName name="D_37500_2">Données!$D$645</definedName>
    <definedName name="D_37501">Données!$B$646</definedName>
    <definedName name="D_37501_1">Données!$C$646</definedName>
    <definedName name="D_37501_2">Données!$D$646</definedName>
    <definedName name="D_37502">Données!$B$647</definedName>
    <definedName name="D_37502_1">Données!$C$647</definedName>
    <definedName name="D_37502_2">Données!$D$647</definedName>
    <definedName name="D_37503">Données!$B$650</definedName>
    <definedName name="D_37503_1">Données!$C$650</definedName>
    <definedName name="D_37503_2">Données!$D$650</definedName>
    <definedName name="D_37504">Données!$B$651</definedName>
    <definedName name="D_37504_1">Données!$C$651</definedName>
    <definedName name="D_37504_2">Données!$D$651</definedName>
    <definedName name="D_37505">Données!$B$652</definedName>
    <definedName name="D_37505_1">Données!$C$652</definedName>
    <definedName name="D_37505_2">Données!$D$652</definedName>
    <definedName name="D_37506">Données!$B$653</definedName>
    <definedName name="D_37506_1">Données!$C$653</definedName>
    <definedName name="D_37506_2">Données!$D$653</definedName>
    <definedName name="D_37507">Données!$B$654</definedName>
    <definedName name="D_37507_1">Données!$C$654</definedName>
    <definedName name="D_37507_2">Données!$D$654</definedName>
    <definedName name="D_37508">Données!$B$667</definedName>
    <definedName name="D_37508_1">Données!$C$667</definedName>
    <definedName name="D_37508_2">Données!$D$667</definedName>
    <definedName name="D_37509">Données!$B$668</definedName>
    <definedName name="D_37509_1">Données!$C$668</definedName>
    <definedName name="D_37509_2">Données!$D$668</definedName>
    <definedName name="D_37510">Données!$B$691</definedName>
    <definedName name="D_37510_1">Données!$C$691</definedName>
    <definedName name="D_37510_2">Données!$D$691</definedName>
    <definedName name="D_37511">Données!$B$692</definedName>
    <definedName name="D_37511_1">Données!$C$692</definedName>
    <definedName name="D_37511_2">Données!$D$692</definedName>
    <definedName name="D_37512">Données!$B$655</definedName>
    <definedName name="D_37512_1">Données!$C$655</definedName>
    <definedName name="D_37512_2">Données!$D$655</definedName>
    <definedName name="D_37513">Données!$B$706</definedName>
    <definedName name="D_37513_1">Données!$C$706</definedName>
    <definedName name="D_37513_2">Données!$D$706</definedName>
    <definedName name="D_37514">Données!$B$656</definedName>
    <definedName name="D_37514_1">Données!$C$656</definedName>
    <definedName name="D_37514_2">Données!$D$656</definedName>
    <definedName name="D_37515">Données!$B$657</definedName>
    <definedName name="D_37515_1">Données!$C$657</definedName>
    <definedName name="D_37515_2">Données!$D$657</definedName>
    <definedName name="D_37516">Données!$B$658</definedName>
    <definedName name="D_37516_1">Données!$C$658</definedName>
    <definedName name="D_37516_2">Données!$D$658</definedName>
    <definedName name="D_37517">Données!$B$677</definedName>
    <definedName name="D_37517_1">Données!$C$677</definedName>
    <definedName name="D_37517_2">Données!$D$677</definedName>
    <definedName name="D_37518">Données!$B$705</definedName>
    <definedName name="D_37518_1">Données!$C$705</definedName>
    <definedName name="D_37518_2">Données!$D$705</definedName>
    <definedName name="D_37519">Données!$B$676</definedName>
    <definedName name="D_37519_1">Données!$C$676</definedName>
    <definedName name="D_37519_2">Données!$D$676</definedName>
    <definedName name="D_37520">Données!$B$693</definedName>
    <definedName name="D_37520_1">Données!$C$693</definedName>
    <definedName name="D_37520_2">Données!$D$693</definedName>
    <definedName name="D_37521">Données!$B$694</definedName>
    <definedName name="D_37521_1">Données!$C$694</definedName>
    <definedName name="D_37521_2">Données!$D$694</definedName>
    <definedName name="D_37522">Données!$B$695</definedName>
    <definedName name="D_37522_1">Données!$C$695</definedName>
    <definedName name="D_37522_2">Données!$D$695</definedName>
    <definedName name="D_37523">Données!$B$696</definedName>
    <definedName name="D_37523_1">Données!$C$696</definedName>
    <definedName name="D_37523_2">Données!$D$696</definedName>
    <definedName name="D_37524">Données!$B$697</definedName>
    <definedName name="D_37524_1">Données!$C$697</definedName>
    <definedName name="D_37524_2">Données!$D$697</definedName>
    <definedName name="D_37530">Données!$B$698</definedName>
    <definedName name="D_37530_1">Données!$C$698</definedName>
    <definedName name="D_37530_2">Données!$D$698</definedName>
    <definedName name="D_37531">Données!$B$699</definedName>
    <definedName name="D_37531_1">Données!$C$699</definedName>
    <definedName name="D_37531_2">Données!$D$699</definedName>
    <definedName name="D_37532">Données!$B$700</definedName>
    <definedName name="D_37532_1">Données!$C$700</definedName>
    <definedName name="D_37532_2">Données!$D$700</definedName>
    <definedName name="D_37534">Données!$B$702</definedName>
    <definedName name="D_37534_1">Données!$C$702</definedName>
    <definedName name="D_37534_2">Données!$D$702</definedName>
    <definedName name="D_37535">Données!$B$707</definedName>
    <definedName name="D_37535_1">Données!$C$707</definedName>
    <definedName name="D_37535_2">Données!$D$707</definedName>
    <definedName name="D_37536">Données!$B$708</definedName>
    <definedName name="D_37536_1">Données!$C$708</definedName>
    <definedName name="D_37536_2">Données!$D$708</definedName>
    <definedName name="D_37537">Données!$B$701</definedName>
    <definedName name="D_37537_1">Données!$C$701</definedName>
    <definedName name="D_37537_2">Données!$D$701</definedName>
    <definedName name="D_37539">Données!$B$703</definedName>
    <definedName name="D_37539_1">Données!$C$703</definedName>
    <definedName name="D_37539_2">Données!$D$703</definedName>
    <definedName name="D_37540">Données!$B$704</definedName>
    <definedName name="D_37540_1">Données!$C$704</definedName>
    <definedName name="D_37540_2">Données!$D$704</definedName>
    <definedName name="D_38105">Données!$B$690</definedName>
    <definedName name="D_38105_1">Données!$C$690</definedName>
    <definedName name="D_38105_2">Données!$D$690</definedName>
    <definedName name="D_38106">Données!$B$682</definedName>
    <definedName name="D_38106_1">Données!$C$682</definedName>
    <definedName name="D_38106_2">Données!$D$682</definedName>
    <definedName name="D_38107">Données!$B$683</definedName>
    <definedName name="D_38107_1">Données!$C$683</definedName>
    <definedName name="D_38107_2">Données!$D$683</definedName>
    <definedName name="D_38108">Données!$B$684</definedName>
    <definedName name="D_38108_1">Données!$C$684</definedName>
    <definedName name="D_38108_2">Données!$D$684</definedName>
    <definedName name="D_38109">Données!$B$685</definedName>
    <definedName name="D_38109_1">Données!$C$685</definedName>
    <definedName name="D_38109_2">Données!$D$685</definedName>
    <definedName name="D_38110">Données!$B$686</definedName>
    <definedName name="D_38110_1">Données!$C$686</definedName>
    <definedName name="D_38110_2">Données!$D$686</definedName>
    <definedName name="D_38111">Données!$B$687</definedName>
    <definedName name="D_38111_1">Données!$C$687</definedName>
    <definedName name="D_38111_2">Données!$D$687</definedName>
    <definedName name="D_38112">Données!$B$688</definedName>
    <definedName name="D_38112_1">Données!$C$688</definedName>
    <definedName name="D_38112_2">Données!$D$688</definedName>
    <definedName name="D_38113">Données!$B$689</definedName>
    <definedName name="D_38113_1">Données!$C$689</definedName>
    <definedName name="D_38113_2">Données!$D$689</definedName>
    <definedName name="D_38120">Données!$B$649</definedName>
    <definedName name="D_38120_1">Données!$C$649</definedName>
    <definedName name="D_38120_2">Données!$D$649</definedName>
    <definedName name="D_38121">Données!$B$648</definedName>
    <definedName name="D_38121_1">Données!$C$648</definedName>
    <definedName name="D_38121_2">Données!$D$648</definedName>
    <definedName name="D_38124">Données!$B$659</definedName>
    <definedName name="D_38124_1">Données!$C$659</definedName>
    <definedName name="D_38124_2">Données!$D$659</definedName>
    <definedName name="D_38125">Données!$B$660</definedName>
    <definedName name="D_38125_1">Données!$C$660</definedName>
    <definedName name="D_38125_2">Données!$D$660</definedName>
    <definedName name="D_38126">Données!$B$661</definedName>
    <definedName name="D_38126_1">Données!$C$661</definedName>
    <definedName name="D_38126_2">Données!$D$661</definedName>
    <definedName name="D_38127">Données!$B$662</definedName>
    <definedName name="D_38127_1">Données!$C$662</definedName>
    <definedName name="D_38127_2">Données!$D$662</definedName>
    <definedName name="D_38128">Données!$B$666</definedName>
    <definedName name="D_38128_1">Données!$C$666</definedName>
    <definedName name="D_38128_2">Données!$D$666</definedName>
    <definedName name="D_38129">Données!$B$663</definedName>
    <definedName name="D_38129_1">Données!$C$663</definedName>
    <definedName name="D_38129_2">Données!$D$663</definedName>
    <definedName name="D_38130">Données!$B$664</definedName>
    <definedName name="D_38130_1">Données!$C$664</definedName>
    <definedName name="D_38130_2">Données!$D$664</definedName>
    <definedName name="D_38132">Données!$B$678</definedName>
    <definedName name="D_38132_1">Données!$C$678</definedName>
    <definedName name="D_38132_2">Données!$D$678</definedName>
    <definedName name="D_38133">Données!$B$679</definedName>
    <definedName name="D_38133_1">Données!$C$679</definedName>
    <definedName name="D_38133_2">Données!$D$679</definedName>
    <definedName name="D_38134">Données!$B$680</definedName>
    <definedName name="D_38134_1">Données!$C$680</definedName>
    <definedName name="D_38134_2">Données!$D$680</definedName>
    <definedName name="D_38135">Données!$B$681</definedName>
    <definedName name="D_38135_1">Données!$C$681</definedName>
    <definedName name="D_38135_2">Données!$D$681</definedName>
    <definedName name="D_38136">Données!$B$675</definedName>
    <definedName name="D_38136_1">Données!$C$675</definedName>
    <definedName name="D_38136_2">Données!$D$675</definedName>
    <definedName name="D_38137">Données!$B$669</definedName>
    <definedName name="D_38137_1">Données!$C$669</definedName>
    <definedName name="D_38137_2">Données!$D$669</definedName>
    <definedName name="D_38138">Données!$B$670</definedName>
    <definedName name="D_38138_1">Données!$C$670</definedName>
    <definedName name="D_38138_2">Données!$D$670</definedName>
    <definedName name="D_38140">Données!$B$671</definedName>
    <definedName name="D_38140_1">Données!$C$671</definedName>
    <definedName name="D_38140_2">Données!$D$671</definedName>
    <definedName name="D_38141">Données!$B$672</definedName>
    <definedName name="D_38141_1">Données!$C$672</definedName>
    <definedName name="D_38141_2">Données!$D$672</definedName>
    <definedName name="D_38142">Données!$B$673</definedName>
    <definedName name="D_38142_1">Données!$C$673</definedName>
    <definedName name="D_38142_2">Données!$D$673</definedName>
    <definedName name="D_38143">Données!$B$665</definedName>
    <definedName name="D_38143_1">Données!$C$665</definedName>
    <definedName name="D_38143_2">Données!$D$665</definedName>
    <definedName name="D_38144">Données!$B$674</definedName>
    <definedName name="D_38144_1">Données!$C$674</definedName>
    <definedName name="D_38144_2">Données!$D$674</definedName>
    <definedName name="DebutExN">'Page garde'!$S$13</definedName>
    <definedName name="DebutExN1">'Page garde'!$S$14</definedName>
    <definedName name="DebutExN1AA">'A_Page garde'!$S$14</definedName>
    <definedName name="DebutExN2">'Page garde'!$S$15</definedName>
    <definedName name="DebutExN2AA">'A_Page garde'!$S$15</definedName>
    <definedName name="DebutExNAA">'A_Page garde'!$S$13</definedName>
    <definedName name="FC_N">DONNEES_LIASSE_RN!$D$7</definedName>
    <definedName name="FC_N1">DONNEES_LIASSE_RN!$E$7</definedName>
    <definedName name="FC_N2">DONNEES_LIASSE_RN!$F$7</definedName>
    <definedName name="FF_N">DONNEES_LIASSE_RN!$D$8</definedName>
    <definedName name="FF_N1">DONNEES_LIASSE_RN!$E$8</definedName>
    <definedName name="FF_N2">DONNEES_LIASSE_RN!$F$8</definedName>
    <definedName name="FinExN">'Page garde'!$S$9</definedName>
    <definedName name="FinExN1">'Page garde'!$S$10</definedName>
    <definedName name="FinExN1AA">'A_Page garde'!$S$10</definedName>
    <definedName name="FinExN2">'Page garde'!$S$11</definedName>
    <definedName name="FinExN2AA">'A_Page garde'!$S$11</definedName>
    <definedName name="FinExNAA">'A_Page garde'!$S$9</definedName>
    <definedName name="FL_N">DONNEES_LIASSE_RN!$D$9</definedName>
    <definedName name="FL_N1">DONNEES_LIASSE_RN!$E$9</definedName>
    <definedName name="FL_N2">DONNEES_LIASSE_RN!$F$9</definedName>
    <definedName name="FS_N">DONNEES_LIASSE_RN!$D$10</definedName>
    <definedName name="FS_N1">DONNEES_LIASSE_RN!$E$10</definedName>
    <definedName name="FS_N2">DONNEES_LIASSE_RN!$F$10</definedName>
    <definedName name="FT_N">DONNEES_LIASSE_RN!$D$11</definedName>
    <definedName name="FT_N1">DONNEES_LIASSE_RN!$E$11</definedName>
    <definedName name="FT_N2">DONNEES_LIASSE_RN!$F$11</definedName>
    <definedName name="FW_N">DONNEES_LIASSE_RN!$D$12</definedName>
    <definedName name="FW_N1">DONNEES_LIASSE_RN!$E$12</definedName>
    <definedName name="FW_N2">DONNEES_LIASSE_RN!$F$12</definedName>
    <definedName name="FX_N">DONNEES_LIASSE_RN!$D$13</definedName>
    <definedName name="FX_N1">DONNEES_LIASSE_RN!$E$13</definedName>
    <definedName name="FX_N2">DONNEES_LIASSE_RN!$F$13</definedName>
    <definedName name="FY_N">DONNEES_LIASSE_RN!$D$14</definedName>
    <definedName name="FY_N1">DONNEES_LIASSE_RN!$E$14</definedName>
    <definedName name="FY_N2">DONNEES_LIASSE_RN!$F$14</definedName>
    <definedName name="FZ_N1">DONNEES_LIASSE_RN!$E$16</definedName>
    <definedName name="FZ_N2">DONNEES_LIASSE_RN!$F$16</definedName>
    <definedName name="GA_N">DONNEES_LIASSE_RN!$D$17</definedName>
    <definedName name="GA_N1">DONNEES_LIASSE_RN!$E$17</definedName>
    <definedName name="GA_N2">DONNEES_LIASSE_RN!$F$17</definedName>
    <definedName name="GB_N">DONNEES_LIASSE_RN!$D$18</definedName>
    <definedName name="GB_N1">DONNEES_LIASSE_RN!$E$18</definedName>
    <definedName name="GB_N2">DONNEES_LIASSE_RN!$F$18</definedName>
    <definedName name="GC_N">DONNEES_LIASSE_RN!$D$19</definedName>
    <definedName name="GC_N1">DONNEES_LIASSE_RN!$E$19</definedName>
    <definedName name="GC_N2">DONNEES_LIASSE_RN!$F$19</definedName>
    <definedName name="GD_N">DONNEES_LIASSE_RN!$D$20</definedName>
    <definedName name="GD_N1">DONNEES_LIASSE_RN!$E$20</definedName>
    <definedName name="GD_N2">DONNEES_LIASSE_RN!$F$20</definedName>
    <definedName name="GE_N">DONNEES_LIASSE_RN!$D$21</definedName>
    <definedName name="GE_N1">DONNEES_LIASSE_RN!$E$21</definedName>
    <definedName name="GE_N2">DONNEES_LIASSE_RN!$F$21</definedName>
    <definedName name="GF_N">DONNEES_LIASSE_RN!$D$22</definedName>
    <definedName name="GF_N1">DONNEES_LIASSE_RN!$E$22</definedName>
    <definedName name="GF_N2">DONNEES_LIASSE_RN!$F$22</definedName>
    <definedName name="GG_N">DONNEES_LIASSE_RN!$D$23</definedName>
    <definedName name="GG_N1">DONNEES_LIASSE_RN!$E$23</definedName>
    <definedName name="GG_N2">DONNEES_LIASSE_RN!$F$23</definedName>
    <definedName name="GH_N">DONNEES_LIASSE_RN!$D$24</definedName>
    <definedName name="GH_N1">DONNEES_LIASSE_RN!$E$24</definedName>
    <definedName name="GH_N2">DONNEES_LIASSE_RN!$F$24</definedName>
    <definedName name="GI_N">DONNEES_LIASSE_RN!$D$25</definedName>
    <definedName name="GI_N1">DONNEES_LIASSE_RN!$E$25</definedName>
    <definedName name="GI_N2">DONNEES_LIASSE_RN!$F$25</definedName>
    <definedName name="GJ_N">DONNEES_LIASSE_RN!$D$26</definedName>
    <definedName name="GJ_N1">DONNEES_LIASSE_RN!$E$26</definedName>
    <definedName name="GJ_N2">DONNEES_LIASSE_RN!$F$26</definedName>
    <definedName name="GK_N">DONNEES_LIASSE_RN!$D$27</definedName>
    <definedName name="GK_N1">DONNEES_LIASSE_RN!$E$27</definedName>
    <definedName name="GK_N2">DONNEES_LIASSE_RN!$F$27</definedName>
    <definedName name="GL_N">DONNEES_LIASSE_RN!$D$28</definedName>
    <definedName name="GL_N1">DONNEES_LIASSE_RN!$E$28</definedName>
    <definedName name="GL_N2">DONNEES_LIASSE_RN!$F$28</definedName>
    <definedName name="GM_N">DONNEES_LIASSE_RN!$D$29</definedName>
    <definedName name="GM_N1">DONNEES_LIASSE_RN!$E$29</definedName>
    <definedName name="GM_N2">DONNEES_LIASSE_RN!$F$29</definedName>
    <definedName name="GN_N">DONNEES_LIASSE_RN!$D$31</definedName>
    <definedName name="GN_N1">DONNEES_LIASSE_RN!$E$31</definedName>
    <definedName name="GN_N2">DONNEES_LIASSE_RN!$F$31</definedName>
    <definedName name="GT_N">DONNEES_LIASSE_RN!$D$38</definedName>
    <definedName name="GT_N1">DONNEES_LIASSE_RN!$E$38</definedName>
    <definedName name="GT_N2">DONNEES_LIASSE_RN!$F$38</definedName>
    <definedName name="GX_N">DONNEES_LIASSE_RN!$D$42</definedName>
    <definedName name="GX_N1">DONNEES_LIASSE_RN!$E$42</definedName>
    <definedName name="GX_N2">DONNEES_LIASSE_RN!$F$42</definedName>
    <definedName name="GY_N">DONNEES_LIASSE_RN!$D$43</definedName>
    <definedName name="GY_N1">DONNEES_LIASSE_RN!$E$43</definedName>
    <definedName name="GY_N2">DONNEES_LIASSE_RN!$F$43</definedName>
    <definedName name="GZ_N">DONNEES_LIASSE_RN!$D$15</definedName>
    <definedName name="GZ_N1">DONNEES_LIASSE_RN!$E$15</definedName>
    <definedName name="GZ_N2">DONNEES_LIASSE_RN!$F$15</definedName>
    <definedName name="HA_N">DONNEES_LIASSE_RN!$D$44</definedName>
    <definedName name="HA_N1">DONNEES_LIASSE_RN!$E$44</definedName>
    <definedName name="HA_N2">DONNEES_LIASSE_RN!$F$44</definedName>
    <definedName name="HB_N">DONNEES_LIASSE_RN!$D$45</definedName>
    <definedName name="HB_N1">DONNEES_LIASSE_RN!$E$45</definedName>
    <definedName name="HB_N2">DONNEES_LIASSE_RN!$F$45</definedName>
    <definedName name="HD_N">DONNEES_LIASSE_RN!$D$47</definedName>
    <definedName name="HD_N1">DONNEES_LIASSE_RN!$E$47</definedName>
    <definedName name="HD_N2">DONNEES_LIASSE_RN!$F$47</definedName>
    <definedName name="HE_N">DONNEES_LIASSE_RN!$D$48</definedName>
    <definedName name="HE_N1">DONNEES_LIASSE_RN!$E$48</definedName>
    <definedName name="HE_N2">DONNEES_LIASSE_RN!$F$48</definedName>
    <definedName name="HF_N">DONNEES_LIASSE_RN!$D$49</definedName>
    <definedName name="HF_N1">DONNEES_LIASSE_RN!$E$49</definedName>
    <definedName name="HF_N2">DONNEES_LIASSE_RN!$F$49</definedName>
    <definedName name="HG_N">DONNEES_LIASSE_RN!$D$50</definedName>
    <definedName name="HG_N1">DONNEES_LIASSE_RN!$E$50</definedName>
    <definedName name="HG_N2">DONNEES_LIASSE_RN!$F$50</definedName>
    <definedName name="HH_N">DONNEES_LIASSE_RN!$D$51</definedName>
    <definedName name="HH_N1">DONNEES_LIASSE_RN!$E$51</definedName>
    <definedName name="HH_N2">DONNEES_LIASSE_RN!$F$51</definedName>
    <definedName name="HI_N">DONNEES_LIASSE_RN!$D$52</definedName>
    <definedName name="HI_N1">DONNEES_LIASSE_RN!$E$52</definedName>
    <definedName name="HI_N2">DONNEES_LIASSE_RN!$F$52</definedName>
    <definedName name="HJ_N">DONNEES_LIASSE_RN!$D$53</definedName>
    <definedName name="HJ_N1">DONNEES_LIASSE_RN!$E$53</definedName>
    <definedName name="HJ_N2">DONNEES_LIASSE_RN!$F$53</definedName>
    <definedName name="HK_N">DONNEES_LIASSE_RN!$D$55</definedName>
    <definedName name="HK_N1">DONNEES_LIASSE_RN!$E$55</definedName>
    <definedName name="HK_N2">DONNEES_LIASSE_RN!$F$55</definedName>
    <definedName name="HL_N">DONNEES_LIASSE_RN!$D$56</definedName>
    <definedName name="HL_N1">DONNEES_LIASSE_RN!$E$56</definedName>
    <definedName name="HL_N2">DONNEES_LIASSE_RN!$F$56</definedName>
    <definedName name="HO_N">DONNEES_LIASSE_RN!$D$59</definedName>
    <definedName name="HO_N1">DONNEES_LIASSE_RN!$E$59</definedName>
    <definedName name="HO_N2">DONNEES_LIASSE_RN!$F$59</definedName>
    <definedName name="HV_N">DONNEES_LIASSE_RN!$D$60</definedName>
    <definedName name="HV_N1">DONNEES_LIASSE_RN!$E$60</definedName>
    <definedName name="HV_N2">DONNEES_LIASSE_RN!$F$60</definedName>
    <definedName name="IO_PROJET">"DOCTRT"</definedName>
    <definedName name="M_C_N_13">CHX_INFO_C!$D$32</definedName>
    <definedName name="M_C_N_164">CHX_INFO_C!$D$31</definedName>
    <definedName name="M_C_N1_13">CHX_INFO_C!$E$32</definedName>
    <definedName name="M_C_N1_164">CHX_INFO_C!$E$31</definedName>
    <definedName name="MonnaieDG">Données!$B$773</definedName>
    <definedName name="NbreMoisN">Données!$B$774</definedName>
    <definedName name="NbreMoisN1">Données!$B$775</definedName>
    <definedName name="NbreMoisN2">Données!$B$776</definedName>
    <definedName name="NomAdht">Données!$B$780</definedName>
    <definedName name="NomCabinet">Données!$B$719</definedName>
    <definedName name="Note_Globale" localSheetId="26">'A_Prévention EB '!#REF!</definedName>
    <definedName name="Note_Globale" localSheetId="58">'Prévention EB'!#REF!</definedName>
    <definedName name="NumAdht">Données!$B$778</definedName>
    <definedName name="NumCabinet">Données!$C$777</definedName>
    <definedName name="PAS_MONTANT_BAL">CONTROLE_DG!$T$41</definedName>
    <definedName name="Print_Area" localSheetId="32">'Note d''actu'!$A$1:$I$60</definedName>
    <definedName name="ProfessAdht">Données!$B$786</definedName>
    <definedName name="PW_N">DONNEES_LIASSE_RN!$D$121</definedName>
    <definedName name="PW_N1">DONNEES_LIASSE_RN!$E$121</definedName>
    <definedName name="PW_N2">DONNEES_LIASSE_RN!$F$121</definedName>
    <definedName name="QA_N">DONNEES_LIASSE_RN!$D$122</definedName>
    <definedName name="QA_N1">DONNEES_LIASSE_RN!$E$122</definedName>
    <definedName name="QA_N2">DONNEES_LIASSE_RN!$F$122</definedName>
    <definedName name="R_1073">Données!$B$83</definedName>
    <definedName name="R_1073_1">Données!$C$83</definedName>
    <definedName name="R_1073_2">Données!$D$83</definedName>
    <definedName name="R_1075">Données!$B$84</definedName>
    <definedName name="R_1075_1">Données!$C$84</definedName>
    <definedName name="R_1075_2">Données!$D$84</definedName>
    <definedName name="R_1077">Données!$B$85</definedName>
    <definedName name="R_1077_1">Données!$C$85</definedName>
    <definedName name="R_1077_2">Données!$D$85</definedName>
    <definedName name="R_1079">Données!$B$86</definedName>
    <definedName name="R_1079_1">Données!$C$86</definedName>
    <definedName name="R_1079_2">Données!$D$86</definedName>
    <definedName name="R_1088">Données!$B$87</definedName>
    <definedName name="R_1088_1">Données!$C$87</definedName>
    <definedName name="R_1088_2">Données!$D$87</definedName>
    <definedName name="R_1095">Données!$B$88</definedName>
    <definedName name="R_1095_1">Données!$C$88</definedName>
    <definedName name="R_1095_2">Données!$D$88</definedName>
    <definedName name="R_1096">Données!$B$89</definedName>
    <definedName name="R_1096_1">Données!$C$89</definedName>
    <definedName name="R_1096_2">Données!$D$89</definedName>
    <definedName name="R_1097">Données!$B$90</definedName>
    <definedName name="R_1097_1">Données!$C$90</definedName>
    <definedName name="R_1097_2">Données!$D$90</definedName>
    <definedName name="R_1098">Données!$B$91</definedName>
    <definedName name="R_1098_1">Données!$C$91</definedName>
    <definedName name="R_1098_2">Données!$D$91</definedName>
    <definedName name="R_1099">Données!$B$92</definedName>
    <definedName name="R_1099_1">Données!$C$92</definedName>
    <definedName name="R_1099_2">Données!$D$92</definedName>
    <definedName name="R_11000">Données!$B$176</definedName>
    <definedName name="R_11000_1">Données!$C$176</definedName>
    <definedName name="R_11000_2">Données!$D$176</definedName>
    <definedName name="R_11004">Données!$B$177</definedName>
    <definedName name="R_11004_1">Données!$C$177</definedName>
    <definedName name="R_11004_2">Données!$D$177</definedName>
    <definedName name="R_11006">Données!$B$178</definedName>
    <definedName name="R_11006_1">Données!$C$178</definedName>
    <definedName name="R_11006_2">Données!$D$178</definedName>
    <definedName name="R_11007">Données!$B$179</definedName>
    <definedName name="R_11007_1">Données!$C$179</definedName>
    <definedName name="R_11007_2">Données!$D$179</definedName>
    <definedName name="R_11008">Données!$B$180</definedName>
    <definedName name="R_11008_1">Données!$C$180</definedName>
    <definedName name="R_11008_2">Données!$D$180</definedName>
    <definedName name="R_11011">Données!$B$181</definedName>
    <definedName name="R_11011_1">Données!$C$181</definedName>
    <definedName name="R_11011_2">Données!$D$181</definedName>
    <definedName name="R_11014">Données!$B$182</definedName>
    <definedName name="R_11014_1">Données!$C$182</definedName>
    <definedName name="R_11014_2">Données!$D$182</definedName>
    <definedName name="R_11015">Données!$B$183</definedName>
    <definedName name="R_11015_1">Données!$C$183</definedName>
    <definedName name="R_11015_2">Données!$D$183</definedName>
    <definedName name="R_11016">Données!$B$184</definedName>
    <definedName name="R_11016_1">Données!$C$184</definedName>
    <definedName name="R_11016_2">Données!$D$184</definedName>
    <definedName name="R_11017">Données!$B$185</definedName>
    <definedName name="R_11017_1">Données!$C$185</definedName>
    <definedName name="R_11017_2">Données!$D$185</definedName>
    <definedName name="R_11018">Données!$B$186</definedName>
    <definedName name="R_11018_1">Données!$C$186</definedName>
    <definedName name="R_11018_2">Données!$D$186</definedName>
    <definedName name="R_11019">Données!$B$187</definedName>
    <definedName name="R_11019_1">Données!$C$187</definedName>
    <definedName name="R_11019_2">Données!$D$187</definedName>
    <definedName name="R_11020">Données!$B$188</definedName>
    <definedName name="R_11020_1">Données!$C$188</definedName>
    <definedName name="R_11020_2">Données!$D$188</definedName>
    <definedName name="R_11021">Données!$B$189</definedName>
    <definedName name="R_11021_1">Données!$C$189</definedName>
    <definedName name="R_11021_2">Données!$D$189</definedName>
    <definedName name="R_11022">Données!$B$803</definedName>
    <definedName name="R_11022_1">Données!$C$803</definedName>
    <definedName name="R_11022_2">Données!$D$803</definedName>
    <definedName name="R_11035">Données!$B$800</definedName>
    <definedName name="R_11052">Données!$B$808</definedName>
    <definedName name="R_11052_1">Données!$C$808</definedName>
    <definedName name="R_11052_2">Données!$D$808</definedName>
    <definedName name="R_11053">Données!$B$807</definedName>
    <definedName name="R_11053_1">Données!$C$807</definedName>
    <definedName name="R_11054">Données!$B$806</definedName>
    <definedName name="R_11054_1">Données!$C$806</definedName>
    <definedName name="R_11066">Données!$B$801</definedName>
    <definedName name="R_11066_1">Données!$C$801</definedName>
    <definedName name="R_11066_2">Données!$D$801</definedName>
    <definedName name="R_11067">Données!$B$802</definedName>
    <definedName name="R_11067_1">Données!$C$802</definedName>
    <definedName name="R_11067_2">Données!$D$802</definedName>
    <definedName name="R_11068">Données!$B$804</definedName>
    <definedName name="R_11068_1">Données!$C$804</definedName>
    <definedName name="R_11068_2">Données!$D$804</definedName>
    <definedName name="R_11069">Données!$B$805</definedName>
    <definedName name="R_11069_1">Données!$C$805</definedName>
    <definedName name="R_11069_2">Données!$D$805</definedName>
    <definedName name="R_11106">Données!$B$190</definedName>
    <definedName name="R_11106_1">Données!$C$190</definedName>
    <definedName name="R_11106_2">Données!$D$190</definedName>
    <definedName name="R_11107">Données!$B$191</definedName>
    <definedName name="R_11107_1">Données!$C$191</definedName>
    <definedName name="R_11107_2">Données!$D$191</definedName>
    <definedName name="R_11108">Données!$B$192</definedName>
    <definedName name="R_11108_1">Données!$C$192</definedName>
    <definedName name="R_11108_2">Données!$D$192</definedName>
    <definedName name="R_1137">Données!$B$93</definedName>
    <definedName name="R_1137_1">Données!$C$93</definedName>
    <definedName name="R_1137_2">Données!$D$93</definedName>
    <definedName name="R_1156">Données!$B$94</definedName>
    <definedName name="R_1156_1">Données!$C$94</definedName>
    <definedName name="R_1156_2">Données!$D$94</definedName>
    <definedName name="R_1166">Données!$B$95</definedName>
    <definedName name="R_1166_1">Données!$C$95</definedName>
    <definedName name="R_1166_2">Données!$D$95</definedName>
    <definedName name="R_1167">Données!$B$96</definedName>
    <definedName name="R_1167_1">Données!$C$96</definedName>
    <definedName name="R_1167_2">Données!$D$96</definedName>
    <definedName name="R_1172">Données!$B$97</definedName>
    <definedName name="R_1172_1">Données!$C$97</definedName>
    <definedName name="R_1172_2">Données!$D$97</definedName>
    <definedName name="R_1173">Données!$B$98</definedName>
    <definedName name="R_1173_1">Données!$C$98</definedName>
    <definedName name="R_1173_2">Données!$D$98</definedName>
    <definedName name="R_1174">Données!$B$99</definedName>
    <definedName name="R_1174_1">Données!$C$99</definedName>
    <definedName name="R_1174_2">Données!$D$99</definedName>
    <definedName name="R_1175">Données!$B$100</definedName>
    <definedName name="R_1175_1">Données!$C$100</definedName>
    <definedName name="R_1175_2">Données!$D$100</definedName>
    <definedName name="R_1200">Données!$B$101</definedName>
    <definedName name="R_1200_1">Données!$C$101</definedName>
    <definedName name="R_1200_2">Données!$D$101</definedName>
    <definedName name="R_1201">Données!$B$102</definedName>
    <definedName name="R_1201_1">Données!$C$102</definedName>
    <definedName name="R_1201_2">Données!$D$102</definedName>
    <definedName name="R_1206">Données!$B$103</definedName>
    <definedName name="R_1206_1">Données!$C$103</definedName>
    <definedName name="R_1206_2">Données!$D$103</definedName>
    <definedName name="R_1256">Données!$B$104</definedName>
    <definedName name="R_1256_1">Données!$C$104</definedName>
    <definedName name="R_1256_2">Données!$D$104</definedName>
    <definedName name="R_1257">Données!$B$105</definedName>
    <definedName name="R_1257_1">Données!$C$105</definedName>
    <definedName name="R_1257_2">Données!$D$105</definedName>
    <definedName name="R_1259">Données!$B$106</definedName>
    <definedName name="R_1259_1">Données!$C$106</definedName>
    <definedName name="R_1259_2">Données!$D$106</definedName>
    <definedName name="R_1260">Données!$B$107</definedName>
    <definedName name="R_1260_1">Données!$C$107</definedName>
    <definedName name="R_1260_2">Données!$D$107</definedName>
    <definedName name="R_1261">Données!$B$108</definedName>
    <definedName name="R_1261_1">Données!$C$108</definedName>
    <definedName name="R_1261_2">Données!$D$108</definedName>
    <definedName name="R_1262">Données!$B$109</definedName>
    <definedName name="R_1262_1">Données!$C$109</definedName>
    <definedName name="R_1262_2">Données!$D$109</definedName>
    <definedName name="R_1263">Données!$B$110</definedName>
    <definedName name="R_1263_1">Données!$C$110</definedName>
    <definedName name="R_1263_2">Données!$D$110</definedName>
    <definedName name="R_1266">Données!$B$111</definedName>
    <definedName name="R_1266_1">Données!$C$111</definedName>
    <definedName name="R_1266_2">Données!$D$111</definedName>
    <definedName name="R_1268">Données!$B$112</definedName>
    <definedName name="R_1268_1">Données!$C$112</definedName>
    <definedName name="R_1268_2">Données!$D$112</definedName>
    <definedName name="R_1269">Données!$B$113</definedName>
    <definedName name="R_1269_1">Données!$C$113</definedName>
    <definedName name="R_1269_2">Données!$D$113</definedName>
    <definedName name="R_1271">Données!$B$114</definedName>
    <definedName name="R_1271_1">Données!$C$114</definedName>
    <definedName name="R_1271_2">Données!$D$114</definedName>
    <definedName name="R_1272">Données!$B$115</definedName>
    <definedName name="R_1272_1">Données!$C$115</definedName>
    <definedName name="R_1272_2">Données!$D$115</definedName>
    <definedName name="R_1273">Données!$B$116</definedName>
    <definedName name="R_1273_1">Données!$C$116</definedName>
    <definedName name="R_1273_2">Données!$D$116</definedName>
    <definedName name="R_1274">Données!$B$117</definedName>
    <definedName name="R_1274_1">Données!$C$117</definedName>
    <definedName name="R_1274_2">Données!$D$117</definedName>
    <definedName name="R_1275">Données!$B$118</definedName>
    <definedName name="R_1275_1">Données!$C$118</definedName>
    <definedName name="R_1275_2">Données!$D$118</definedName>
    <definedName name="R_1278">Données!$B$119</definedName>
    <definedName name="R_1278_1">Données!$C$119</definedName>
    <definedName name="R_1278_2">Données!$D$119</definedName>
    <definedName name="R_1280">Données!$B$120</definedName>
    <definedName name="R_1280_1">Données!$C$120</definedName>
    <definedName name="R_1280_2">Données!$D$120</definedName>
    <definedName name="R_1295">Données!$B$121</definedName>
    <definedName name="R_1295_1">Données!$C$121</definedName>
    <definedName name="R_1295_2">Données!$D$121</definedName>
    <definedName name="R_1296">Données!$B$122</definedName>
    <definedName name="R_1296_1">Données!$C$122</definedName>
    <definedName name="R_1296_2">Données!$D$122</definedName>
    <definedName name="R_1298">Données!$B$123</definedName>
    <definedName name="R_1298_1">Données!$C$123</definedName>
    <definedName name="R_1298_2">Données!$D$123</definedName>
    <definedName name="R_1299">Données!$B$124</definedName>
    <definedName name="R_1299_1">Données!$C$124</definedName>
    <definedName name="R_1299_2">Données!$D$124</definedName>
    <definedName name="R_1300">Données!$B$125</definedName>
    <definedName name="R_1300_1">Données!$C$125</definedName>
    <definedName name="R_1300_2">Données!$D$125</definedName>
    <definedName name="R_1302">Données!$B$126</definedName>
    <definedName name="R_1302_1">Données!$C$126</definedName>
    <definedName name="R_1302_2">Données!$D$126</definedName>
    <definedName name="R_1306">Données!$B$127</definedName>
    <definedName name="R_1306_1">Données!$C$127</definedName>
    <definedName name="R_1306_2">Données!$D$127</definedName>
    <definedName name="R_1321">Données!$B$128</definedName>
    <definedName name="R_1321_1">Données!$C$128</definedName>
    <definedName name="R_1321_2">Données!$D$128</definedName>
    <definedName name="R_1322">Données!$B$129</definedName>
    <definedName name="R_1322_1">Données!$C$129</definedName>
    <definedName name="R_1322_2">Données!$D$129</definedName>
    <definedName name="R_1324">Données!$B$130</definedName>
    <definedName name="R_1324_1">Données!$C$130</definedName>
    <definedName name="R_1324_2">Données!$D$130</definedName>
    <definedName name="R_1368">Données!$B$131</definedName>
    <definedName name="R_1368_1">Données!$C$131</definedName>
    <definedName name="R_1368_2">Données!$D$131</definedName>
    <definedName name="R_1369">Données!$B$132</definedName>
    <definedName name="R_1369_1">Données!$C$132</definedName>
    <definedName name="R_1369_2">Données!$D$132</definedName>
    <definedName name="R_1370">Données!$B$133</definedName>
    <definedName name="R_1370_1">Données!$C$133</definedName>
    <definedName name="R_1370_2">Données!$D$133</definedName>
    <definedName name="R_1372">Données!$B$134</definedName>
    <definedName name="R_1372_1">Données!$C$134</definedName>
    <definedName name="R_1372_2">Données!$D$134</definedName>
    <definedName name="R_1373">Données!$B$135</definedName>
    <definedName name="R_1373_1">Données!$C$135</definedName>
    <definedName name="R_1373_2">Données!$D$135</definedName>
    <definedName name="R_1483">Données!$B$136</definedName>
    <definedName name="R_1483_1">Données!$C$136</definedName>
    <definedName name="R_1483_2">Données!$D$136</definedName>
    <definedName name="R_1512">Données!$B$137</definedName>
    <definedName name="R_1512_1">Données!$C$137</definedName>
    <definedName name="R_1512_2">Données!$D$137</definedName>
    <definedName name="R_1513">Données!$B$138</definedName>
    <definedName name="R_1513_1">Données!$C$138</definedName>
    <definedName name="R_1513_2">Données!$D$138</definedName>
    <definedName name="R_1514">Données!$B$139</definedName>
    <definedName name="R_1514_1">Données!$C$139</definedName>
    <definedName name="R_1514_2">Données!$D$139</definedName>
    <definedName name="R_1516">Données!$B$140</definedName>
    <definedName name="R_1516_1">Données!$C$140</definedName>
    <definedName name="R_1516_2">Données!$D$140</definedName>
    <definedName name="R_1517">Données!$B$141</definedName>
    <definedName name="R_1517_1">Données!$C$141</definedName>
    <definedName name="R_1517_2">Données!$D$141</definedName>
    <definedName name="R_1518">Données!$B$142</definedName>
    <definedName name="R_1518_1">Données!$C$142</definedName>
    <definedName name="R_1518_2">Données!$D$142</definedName>
    <definedName name="R_1658">Données!$B$143</definedName>
    <definedName name="R_1658_1">Données!$C$143</definedName>
    <definedName name="R_1658_2">Données!$D$143</definedName>
    <definedName name="R_1670">Données!$B$144</definedName>
    <definedName name="R_1670_1">Données!$C$144</definedName>
    <definedName name="R_1670_2">Données!$D$144</definedName>
    <definedName name="R_1682">Données!$B$145</definedName>
    <definedName name="R_1682_1">Données!$C$145</definedName>
    <definedName name="R_1682_2">Données!$D$145</definedName>
    <definedName name="R_17036">Données!$B$193</definedName>
    <definedName name="R_17036_1">Données!$C$193</definedName>
    <definedName name="R_17036_2">Données!$D$193</definedName>
    <definedName name="R_17037">Données!$B$194</definedName>
    <definedName name="R_17037_1">Données!$C$194</definedName>
    <definedName name="R_17037_2">Données!$D$194</definedName>
    <definedName name="R_17038">Données!$B$195</definedName>
    <definedName name="R_17038_1">Données!$C$195</definedName>
    <definedName name="R_17038_2">Données!$D$195</definedName>
    <definedName name="R_17039">Données!$B$196</definedName>
    <definedName name="R_17039_1">Données!$C$196</definedName>
    <definedName name="R_17039_2">Données!$D$196</definedName>
    <definedName name="R_17040">Données!$B$197</definedName>
    <definedName name="R_17040_1">Données!$C$197</definedName>
    <definedName name="R_17040_2">Données!$D$197</definedName>
    <definedName name="R_17041">Données!$B$198</definedName>
    <definedName name="R_17041_1">Données!$C$198</definedName>
    <definedName name="R_17041_2">Données!$D$198</definedName>
    <definedName name="R_17045">Données!$B$199</definedName>
    <definedName name="R_17045_1">Données!$C$199</definedName>
    <definedName name="R_17045_2">Données!$D$199</definedName>
    <definedName name="R_17049">Données!$B$200</definedName>
    <definedName name="R_17049_1">Données!$C$200</definedName>
    <definedName name="R_17049_2">Données!$D$200</definedName>
    <definedName name="R_17053">Données!$B$201</definedName>
    <definedName name="R_17053_1">Données!$C$201</definedName>
    <definedName name="R_17053_2">Données!$D$201</definedName>
    <definedName name="R_17166">Données!$B$202</definedName>
    <definedName name="R_17166_1">Données!$C$202</definedName>
    <definedName name="R_17166_2">Données!$D$202</definedName>
    <definedName name="R_17168">Données!$B$203</definedName>
    <definedName name="R_17168_1">Données!$C$203</definedName>
    <definedName name="R_17168_2">Données!$D$203</definedName>
    <definedName name="R_17202">Données!$B$204</definedName>
    <definedName name="R_17202_1">Données!$C$204</definedName>
    <definedName name="R_17202_2">Données!$D$204</definedName>
    <definedName name="R_17930">Données!$B$205</definedName>
    <definedName name="R_17930_1">Données!$C$205</definedName>
    <definedName name="R_17930_2">Données!$D$205</definedName>
    <definedName name="R_17931">Données!$B$206</definedName>
    <definedName name="R_17931_1">Données!$C$206</definedName>
    <definedName name="R_17931_2">Données!$D$206</definedName>
    <definedName name="R_17980">Données!$B$207</definedName>
    <definedName name="R_17980_1">Données!$C$207</definedName>
    <definedName name="R_17980_2">Données!$D$207</definedName>
    <definedName name="R_18011">Données!$B$208</definedName>
    <definedName name="R_18011_1">Données!$C$208</definedName>
    <definedName name="R_18011_2">Données!$D$208</definedName>
    <definedName name="R_18012">Données!$B$209</definedName>
    <definedName name="R_18012_1">Données!$C$209</definedName>
    <definedName name="R_18012_2">Données!$D$209</definedName>
    <definedName name="R_18013">Données!$B$210</definedName>
    <definedName name="R_18013_1">Données!$C$210</definedName>
    <definedName name="R_18013_2">Données!$D$210</definedName>
    <definedName name="R_18014">Données!$B$211</definedName>
    <definedName name="R_18014_1">Données!$C$211</definedName>
    <definedName name="R_18014_2">Données!$D$211</definedName>
    <definedName name="R_18015">Données!$B$212</definedName>
    <definedName name="R_18015_1">Données!$C$212</definedName>
    <definedName name="R_18015_2">Données!$D$212</definedName>
    <definedName name="R_18017">Données!$B$213</definedName>
    <definedName name="R_18017_1">Données!$C$213</definedName>
    <definedName name="R_18017_2">Données!$D$213</definedName>
    <definedName name="R_1878">Données!$B$146</definedName>
    <definedName name="R_1878_1">Données!$C$146</definedName>
    <definedName name="R_1878_2">Données!$D$146</definedName>
    <definedName name="R_208">Données!$B$5</definedName>
    <definedName name="R_208_1">Données!$C$5</definedName>
    <definedName name="R_208_2">Données!$D$5</definedName>
    <definedName name="R_2082">Données!$B$147</definedName>
    <definedName name="R_2082_1">Données!$C$147</definedName>
    <definedName name="R_2082_2">Données!$D$147</definedName>
    <definedName name="R_2097">Données!$B$148</definedName>
    <definedName name="R_2097_1">Données!$C$148</definedName>
    <definedName name="R_2097_2">Données!$D$148</definedName>
    <definedName name="R_2098">Données!$B$149</definedName>
    <definedName name="R_2098_1">Données!$C$149</definedName>
    <definedName name="R_2098_2">Données!$D$149</definedName>
    <definedName name="R_21">Données!$B$1</definedName>
    <definedName name="R_21_1">Données!$C$1</definedName>
    <definedName name="R_21_2">Données!$D$1</definedName>
    <definedName name="R_2109">Données!$B$150</definedName>
    <definedName name="R_2109_1">Données!$C$150</definedName>
    <definedName name="R_2109_2">Données!$D$150</definedName>
    <definedName name="R_2111">Données!$B$151</definedName>
    <definedName name="R_2111_1">Données!$C$151</definedName>
    <definedName name="R_2111_2">Données!$D$151</definedName>
    <definedName name="R_2113">Données!$B$152</definedName>
    <definedName name="R_2113_1">Données!$C$152</definedName>
    <definedName name="R_2113_2">Données!$D$152</definedName>
    <definedName name="R_2119">Données!$B$153</definedName>
    <definedName name="R_2119_1">Données!$C$153</definedName>
    <definedName name="R_2119_2">Données!$D$153</definedName>
    <definedName name="R_212">Données!$B$6</definedName>
    <definedName name="R_212_1">Données!$C$6</definedName>
    <definedName name="R_212_2">Données!$D$6</definedName>
    <definedName name="R_2122">Données!$B$154</definedName>
    <definedName name="R_2122_1">Données!$C$154</definedName>
    <definedName name="R_2122_2">Données!$D$154</definedName>
    <definedName name="R_214">Données!$B$7</definedName>
    <definedName name="R_214_1">Données!$C$7</definedName>
    <definedName name="R_214_2">Données!$D$7</definedName>
    <definedName name="R_218">Données!$B$8</definedName>
    <definedName name="R_218_1">Données!$C$8</definedName>
    <definedName name="R_218_2">Données!$D$8</definedName>
    <definedName name="R_220">Données!$B$9</definedName>
    <definedName name="R_220_1">Données!$C$9</definedName>
    <definedName name="R_220_2">Données!$D$9</definedName>
    <definedName name="R_235">Données!$B$10</definedName>
    <definedName name="R_235_1">Données!$C$10</definedName>
    <definedName name="R_235_2">Données!$D$10</definedName>
    <definedName name="R_237">Données!$B$11</definedName>
    <definedName name="R_237_1">Données!$C$11</definedName>
    <definedName name="R_237_2">Données!$D$11</definedName>
    <definedName name="R_239">Données!$B$12</definedName>
    <definedName name="R_239_1">Données!$C$12</definedName>
    <definedName name="R_239_2">Données!$D$12</definedName>
    <definedName name="R_256">Données!$B$13</definedName>
    <definedName name="R_256_1">Données!$C$13</definedName>
    <definedName name="R_256_2">Données!$D$13</definedName>
    <definedName name="R_257">Données!$B$14</definedName>
    <definedName name="R_257_1">Données!$C$14</definedName>
    <definedName name="R_257_2">Données!$D$14</definedName>
    <definedName name="R_258">Données!$B$15</definedName>
    <definedName name="R_258_1">Données!$C$15</definedName>
    <definedName name="R_258_2">Données!$D$15</definedName>
    <definedName name="R_266">Données!$B$16</definedName>
    <definedName name="R_266_1">Données!$C$16</definedName>
    <definedName name="R_266_2">Données!$D$16</definedName>
    <definedName name="R_288">Données!$B$17</definedName>
    <definedName name="R_288_1">Données!$C$17</definedName>
    <definedName name="R_288_2">Données!$D$17</definedName>
    <definedName name="R_300">Données!$B$18</definedName>
    <definedName name="R_300_1">Données!$C$18</definedName>
    <definedName name="R_300_2">Données!$D$18</definedName>
    <definedName name="R_302">Données!$B$19</definedName>
    <definedName name="R_302_1">Données!$C$19</definedName>
    <definedName name="R_302_2">Données!$D$19</definedName>
    <definedName name="R_3028">Données!$B$155</definedName>
    <definedName name="R_3028_1">Données!$C$155</definedName>
    <definedName name="R_3028_2">Données!$D$155</definedName>
    <definedName name="R_3032">Données!$B$156</definedName>
    <definedName name="R_3032_1">Données!$C$156</definedName>
    <definedName name="R_3032_2">Données!$D$156</definedName>
    <definedName name="R_308">Données!$B$20</definedName>
    <definedName name="R_308_1">Données!$C$20</definedName>
    <definedName name="R_308_2">Données!$D$20</definedName>
    <definedName name="R_334">Données!$B$21</definedName>
    <definedName name="R_334_1">Données!$C$21</definedName>
    <definedName name="R_334_2">Données!$D$21</definedName>
    <definedName name="R_339">Données!$B$22</definedName>
    <definedName name="R_339_1">Données!$C$22</definedName>
    <definedName name="R_339_2">Données!$D$22</definedName>
    <definedName name="R_342">Données!$B$23</definedName>
    <definedName name="R_342_1">Données!$C$23</definedName>
    <definedName name="R_342_2">Données!$D$23</definedName>
    <definedName name="R_374">Données!$B$24</definedName>
    <definedName name="R_374_1">Données!$C$24</definedName>
    <definedName name="R_374_2">Données!$D$24</definedName>
    <definedName name="R_390">Données!$B$25</definedName>
    <definedName name="R_390_1">Données!$C$25</definedName>
    <definedName name="R_390_2">Données!$D$25</definedName>
    <definedName name="R_391">Données!$B$26</definedName>
    <definedName name="R_391_1">Données!$C$26</definedName>
    <definedName name="R_391_2">Données!$D$26</definedName>
    <definedName name="R_398">Données!$B$27</definedName>
    <definedName name="R_398_1">Données!$C$27</definedName>
    <definedName name="R_398_2">Données!$D$27</definedName>
    <definedName name="R_403">Données!$B$28</definedName>
    <definedName name="R_403_1">Données!$C$28</definedName>
    <definedName name="R_403_2">Données!$D$28</definedName>
    <definedName name="R_407">Données!$B$29</definedName>
    <definedName name="R_407_1">Données!$C$29</definedName>
    <definedName name="R_407_2">Données!$D$29</definedName>
    <definedName name="R_408">Données!$B$30</definedName>
    <definedName name="R_408_1">Données!$C$30</definedName>
    <definedName name="R_408_2">Données!$D$30</definedName>
    <definedName name="R_409">Données!$B$31</definedName>
    <definedName name="R_409_1">Données!$C$31</definedName>
    <definedName name="R_409_2">Données!$D$31</definedName>
    <definedName name="R_410">Données!$B$32</definedName>
    <definedName name="R_410_1">Données!$C$32</definedName>
    <definedName name="R_410_2">Données!$D$32</definedName>
    <definedName name="R_411">Données!$B$33</definedName>
    <definedName name="R_411_1">Données!$C$33</definedName>
    <definedName name="R_411_2">Données!$D$33</definedName>
    <definedName name="R_413">Données!$B$34</definedName>
    <definedName name="R_413_1">Données!$C$34</definedName>
    <definedName name="R_413_2">Données!$D$34</definedName>
    <definedName name="R_416">Données!$B$35</definedName>
    <definedName name="R_416_1">Données!$C$35</definedName>
    <definedName name="R_416_2">Données!$D$35</definedName>
    <definedName name="R_423">Données!$B$36</definedName>
    <definedName name="R_423_1">Données!$C$36</definedName>
    <definedName name="R_423_2">Données!$D$36</definedName>
    <definedName name="R_426">Données!$B$37</definedName>
    <definedName name="R_426_1">Données!$C$37</definedName>
    <definedName name="R_426_2">Données!$D$37</definedName>
    <definedName name="R_429">Données!$B$38</definedName>
    <definedName name="R_429_1">Données!$C$38</definedName>
    <definedName name="R_429_2">Données!$D$38</definedName>
    <definedName name="R_430">Données!$B$39</definedName>
    <definedName name="R_430_1">Données!$C$39</definedName>
    <definedName name="R_430_2">Données!$D$39</definedName>
    <definedName name="R_431">Données!$B$40</definedName>
    <definedName name="R_431_1">Données!$C$40</definedName>
    <definedName name="R_431_2">Données!$D$40</definedName>
    <definedName name="R_432">Données!$B$41</definedName>
    <definedName name="R_432_1">Données!$C$41</definedName>
    <definedName name="R_432_2">Données!$D$41</definedName>
    <definedName name="R_433">Données!$B$42</definedName>
    <definedName name="R_433_1">Données!$C$42</definedName>
    <definedName name="R_433_2">Données!$D$42</definedName>
    <definedName name="R_434">Données!$B$43</definedName>
    <definedName name="R_434_1">Données!$C$43</definedName>
    <definedName name="R_434_2">Données!$D$43</definedName>
    <definedName name="R_436">Données!$B$44</definedName>
    <definedName name="R_436_1">Données!$C$44</definedName>
    <definedName name="R_436_2">Données!$D$44</definedName>
    <definedName name="R_437">Données!$B$45</definedName>
    <definedName name="R_437_1">Données!$C$45</definedName>
    <definedName name="R_437_2">Données!$D$45</definedName>
    <definedName name="R_438">Données!$B$46</definedName>
    <definedName name="R_438_1">Données!$C$46</definedName>
    <definedName name="R_438_2">Données!$D$46</definedName>
    <definedName name="R_5501">Données!$B$157</definedName>
    <definedName name="R_5501_1">Données!$C$157</definedName>
    <definedName name="R_5501_2">Données!$D$157</definedName>
    <definedName name="R_5503">Données!$B$158</definedName>
    <definedName name="R_5503_1">Données!$C$158</definedName>
    <definedName name="R_5503_2">Données!$D$158</definedName>
    <definedName name="R_554">Données!$B$47</definedName>
    <definedName name="R_554_1">Données!$C$47</definedName>
    <definedName name="R_554_2">Données!$D$47</definedName>
    <definedName name="R_578">Données!$B$48</definedName>
    <definedName name="R_578_1">Données!$C$48</definedName>
    <definedName name="R_578_2">Données!$D$48</definedName>
    <definedName name="R_584">Données!$B$49</definedName>
    <definedName name="R_584_1">Données!$C$49</definedName>
    <definedName name="R_584_2">Données!$D$49</definedName>
    <definedName name="R_585">Données!$B$50</definedName>
    <definedName name="R_585_1">Données!$C$50</definedName>
    <definedName name="R_585_2">Données!$D$50</definedName>
    <definedName name="R_587">Données!$B$51</definedName>
    <definedName name="R_587_1">Données!$C$51</definedName>
    <definedName name="R_587_2">Données!$D$51</definedName>
    <definedName name="R_5965">Données!$B$159</definedName>
    <definedName name="R_5965_1">Données!$C$159</definedName>
    <definedName name="R_5965_2">Données!$D$159</definedName>
    <definedName name="R_602">Données!$B$52</definedName>
    <definedName name="R_602_1">Données!$C$52</definedName>
    <definedName name="R_602_2">Données!$D$52</definedName>
    <definedName name="R_608">Données!$B$53</definedName>
    <definedName name="R_608_1">Données!$C$53</definedName>
    <definedName name="R_608_2">Données!$D$53</definedName>
    <definedName name="R_612">Données!$B$54</definedName>
    <definedName name="R_612_1">Données!$C$54</definedName>
    <definedName name="R_612_2">Données!$D$54</definedName>
    <definedName name="R_625">Données!$B$55</definedName>
    <definedName name="R_625_1">Données!$C$55</definedName>
    <definedName name="R_625_2">Données!$D$55</definedName>
    <definedName name="R_640">Données!$B$56</definedName>
    <definedName name="R_640_1">Données!$C$56</definedName>
    <definedName name="R_640_2">Données!$D$56</definedName>
    <definedName name="R_646">Données!$B$57</definedName>
    <definedName name="R_646_1">Données!$C$57</definedName>
    <definedName name="R_646_2">Données!$D$57</definedName>
    <definedName name="R_652">Données!$B$58</definedName>
    <definedName name="R_652_1">Données!$C$58</definedName>
    <definedName name="R_652_2">Données!$D$58</definedName>
    <definedName name="R_658">Données!$B$59</definedName>
    <definedName name="R_658_1">Données!$C$59</definedName>
    <definedName name="R_658_2">Données!$D$59</definedName>
    <definedName name="R_662">Données!$B$60</definedName>
    <definedName name="R_662_1">Données!$C$60</definedName>
    <definedName name="R_662_2">Données!$D$60</definedName>
    <definedName name="R_663">Données!$B$61</definedName>
    <definedName name="R_663_1">Données!$C$61</definedName>
    <definedName name="R_663_2">Données!$D$61</definedName>
    <definedName name="R_664">Données!$B$62</definedName>
    <definedName name="R_664_1">Données!$C$62</definedName>
    <definedName name="R_664_2">Données!$D$62</definedName>
    <definedName name="R_668">Données!$B$63</definedName>
    <definedName name="R_668_1">Données!$C$63</definedName>
    <definedName name="R_668_2">Données!$D$63</definedName>
    <definedName name="R_672">Données!$B$64</definedName>
    <definedName name="R_672_1">Données!$C$64</definedName>
    <definedName name="R_672_2">Données!$D$64</definedName>
    <definedName name="R_678">Données!$B$65</definedName>
    <definedName name="R_678_1">Données!$C$65</definedName>
    <definedName name="R_678_2">Données!$D$65</definedName>
    <definedName name="R_702">Données!$B$66</definedName>
    <definedName name="R_702_1">Données!$C$66</definedName>
    <definedName name="R_702_2">Données!$D$66</definedName>
    <definedName name="R_709">Données!$B$67</definedName>
    <definedName name="R_709_1">Données!$C$67</definedName>
    <definedName name="R_709_2">Données!$D$67</definedName>
    <definedName name="R_7208">Données!$B$160</definedName>
    <definedName name="R_7208_1">Données!$C$160</definedName>
    <definedName name="R_7208_2">Données!$D$160</definedName>
    <definedName name="R_7209">Données!$B$161</definedName>
    <definedName name="R_7209_1">Données!$C$161</definedName>
    <definedName name="R_7209_2">Données!$D$161</definedName>
    <definedName name="R_7210">Données!$B$162</definedName>
    <definedName name="R_7210_1">Données!$C$162</definedName>
    <definedName name="R_7210_2">Données!$D$162</definedName>
    <definedName name="R_7211">Données!$B$163</definedName>
    <definedName name="R_7211_1">Données!$C$163</definedName>
    <definedName name="R_7211_2">Données!$D$163</definedName>
    <definedName name="R_7212">Données!$B$164</definedName>
    <definedName name="R_7212_1">Données!$C$164</definedName>
    <definedName name="R_7212_2">Données!$D$164</definedName>
    <definedName name="R_722">Données!$B$68</definedName>
    <definedName name="R_722_1">Données!$C$68</definedName>
    <definedName name="R_722_2">Données!$D$68</definedName>
    <definedName name="R_723">Données!$B$69</definedName>
    <definedName name="R_723_1">Données!$C$69</definedName>
    <definedName name="R_723_2">Données!$D$69</definedName>
    <definedName name="R_728">Données!$B$70</definedName>
    <definedName name="R_728_1">Données!$C$70</definedName>
    <definedName name="R_728_2">Données!$D$70</definedName>
    <definedName name="R_74">Données!$B$2</definedName>
    <definedName name="R_74_1">Données!$C$2</definedName>
    <definedName name="R_74_2">Données!$D$2</definedName>
    <definedName name="R_750">Données!$B$71</definedName>
    <definedName name="R_750_1">Données!$C$71</definedName>
    <definedName name="R_750_2">Données!$D$71</definedName>
    <definedName name="R_752">Données!$B$72</definedName>
    <definedName name="R_752_1">Données!$C$72</definedName>
    <definedName name="R_752_2">Données!$D$72</definedName>
    <definedName name="R_774">Données!$B$73</definedName>
    <definedName name="R_774_1">Données!$C$73</definedName>
    <definedName name="R_774_2">Données!$D$73</definedName>
    <definedName name="R_778">Données!$B$74</definedName>
    <definedName name="R_778_1">Données!$C$74</definedName>
    <definedName name="R_778_2">Données!$D$74</definedName>
    <definedName name="R_820">Données!$B$75</definedName>
    <definedName name="R_820_1">Données!$C$75</definedName>
    <definedName name="R_820_2">Données!$D$75</definedName>
    <definedName name="R_822">Données!$B$76</definedName>
    <definedName name="R_822_1">Données!$C$76</definedName>
    <definedName name="R_822_2">Données!$D$76</definedName>
    <definedName name="R_824">Données!$B$77</definedName>
    <definedName name="R_824_1">Données!$C$77</definedName>
    <definedName name="R_824_2">Données!$D$77</definedName>
    <definedName name="R_826">Données!$B$78</definedName>
    <definedName name="R_826_1">Données!$C$78</definedName>
    <definedName name="R_826_2">Données!$D$78</definedName>
    <definedName name="R_835">Données!$B$79</definedName>
    <definedName name="R_835_1">Données!$C$79</definedName>
    <definedName name="R_835_2">Données!$D$79</definedName>
    <definedName name="R_836">Données!$B$80</definedName>
    <definedName name="R_836_1">Données!$C$80</definedName>
    <definedName name="R_836_2">Données!$D$80</definedName>
    <definedName name="R_847">Données!$B$81</definedName>
    <definedName name="R_847_1">Données!$C$81</definedName>
    <definedName name="R_847_2">Données!$D$81</definedName>
    <definedName name="R_851">Données!$B$82</definedName>
    <definedName name="R_851_1">Données!$C$82</definedName>
    <definedName name="R_851_2">Données!$D$82</definedName>
    <definedName name="R_89">Données!$B$3</definedName>
    <definedName name="R_89_1">Données!$C$3</definedName>
    <definedName name="R_89_2">Données!$D$3</definedName>
    <definedName name="R_98">Données!$B$4</definedName>
    <definedName name="R_98_1">Données!$C$4</definedName>
    <definedName name="R_98_2">Données!$D$4</definedName>
    <definedName name="R_9807">Données!$B$165</definedName>
    <definedName name="R_9807_1">Données!$C$165</definedName>
    <definedName name="R_9807_2">Données!$D$165</definedName>
    <definedName name="R_9809">Données!$B$166</definedName>
    <definedName name="R_9809_1">Données!$C$166</definedName>
    <definedName name="R_9809_2">Données!$D$166</definedName>
    <definedName name="R_9813">Données!$B$167</definedName>
    <definedName name="R_9813_1">Données!$C$167</definedName>
    <definedName name="R_9813_2">Données!$D$167</definedName>
    <definedName name="R_9814">Données!$B$168</definedName>
    <definedName name="R_9814_1">Données!$C$168</definedName>
    <definedName name="R_9814_2">Données!$D$168</definedName>
    <definedName name="R_9815">Données!$B$169</definedName>
    <definedName name="R_9815_1">Données!$C$169</definedName>
    <definedName name="R_9815_2">Données!$D$169</definedName>
    <definedName name="R_9816">Données!$B$170</definedName>
    <definedName name="R_9816_1">Données!$C$170</definedName>
    <definedName name="R_9816_2">Données!$D$170</definedName>
    <definedName name="R_9822">Données!$B$171</definedName>
    <definedName name="R_9822_1">Données!$C$171</definedName>
    <definedName name="R_9822_2">Données!$D$171</definedName>
    <definedName name="R_9823">Données!$B$172</definedName>
    <definedName name="R_9823_1">Données!$C$172</definedName>
    <definedName name="R_9823_2">Données!$D$172</definedName>
    <definedName name="R_9832">Données!$B$173</definedName>
    <definedName name="R_9832_1">Données!$C$173</definedName>
    <definedName name="R_9832_2">Données!$D$173</definedName>
    <definedName name="R_9833">Données!$B$174</definedName>
    <definedName name="R_9833_1">Données!$C$174</definedName>
    <definedName name="R_9833_2">Données!$D$174</definedName>
    <definedName name="R_9873">Données!$B$175</definedName>
    <definedName name="R_9873_1">Données!$C$175</definedName>
    <definedName name="R_9873_2">Données!$D$175</definedName>
    <definedName name="Raisonsoc">Données!$B$723</definedName>
    <definedName name="UB_N">DONNEES_LIASSE_RN!$D$125</definedName>
    <definedName name="UB_N1">DONNEES_LIASSE_RN!$E$125</definedName>
    <definedName name="UB_N2">DONNEES_LIASSE_RN!$F$125</definedName>
    <definedName name="UT_N">DONNEES_LIASSE_RN!$D$106</definedName>
    <definedName name="UT_N1">DONNEES_LIASSE_RN!$E$106</definedName>
    <definedName name="UT_N2">DONNEES_LIASSE_RN!$F$106</definedName>
    <definedName name="VilleAdht">Données!$B$785</definedName>
    <definedName name="ZD_N">DONNEES_LIASSE_RN!$D$76</definedName>
    <definedName name="ZD_N1">DONNEES_LIASSE_RN!$E$76</definedName>
    <definedName name="ZD_N2">DONNEES_LIASSE_RN!$F$76</definedName>
    <definedName name="ZE_N">DONNEES_LIASSE_RN!$D$77</definedName>
    <definedName name="ZE_N1">DONNEES_LIASSE_RN!$E$77</definedName>
    <definedName name="ZE_N2">DONNEES_LIASSE_RN!$F$77</definedName>
    <definedName name="ZF_2151_N">DONNEES_LIASSE_RN!$D$78</definedName>
    <definedName name="ZF_2151_N1">DONNEES_LIASSE_RN!$E$78</definedName>
    <definedName name="ZF_2151_N2">DONNEES_LIASSE_RN!$F$78</definedName>
    <definedName name="ZF_N">DONNEES_LIASSE_RN!$D$16</definedName>
    <definedName name="ZG_N">DONNEES_LIASSE_RN!$D$79</definedName>
    <definedName name="ZG_N1">DONNEES_LIASSE_RN!$E$79</definedName>
    <definedName name="ZG_N2">DONNEES_LIASSE_RN!$F$79</definedName>
    <definedName name="ZH_N">DONNEES_LIASSE_RN!$D$80</definedName>
    <definedName name="ZH_N1">DONNEES_LIASSE_RN!$E$80</definedName>
    <definedName name="ZH_N2">DONNEES_LIASSE_RN!$F$80</definedName>
    <definedName name="ZI_N">DONNEES_LIASSE_RN!$D$81</definedName>
    <definedName name="ZI_N1">DONNEES_LIASSE_RN!$E$81</definedName>
    <definedName name="ZI_N2">DONNEES_LIASSE_RN!$F$81</definedName>
    <definedName name="ZJ_N">DONNEES_LIASSE_RN!$D$82</definedName>
    <definedName name="ZJ_N1">DONNEES_LIASSE_RN!$E$82</definedName>
    <definedName name="ZJ_N2">DONNEES_LIASSE_RN!$F$82</definedName>
    <definedName name="ZK_N">DONNEES_LIASSE_RN!$D$83</definedName>
    <definedName name="ZK_N1">DONNEES_LIASSE_RN!$E$83</definedName>
    <definedName name="ZK_N2">DONNEES_LIASSE_RN!$F$83</definedName>
    <definedName name="ZL_N">DONNEES_LIASSE_RN!$D$84</definedName>
    <definedName name="ZL_N1">DONNEES_LIASSE_RN!$E$84</definedName>
    <definedName name="ZL_N2">DONNEES_LIASSE_RN!$F$84</definedName>
    <definedName name="ZN_N1">DONNEES_LIASSE_RN!$E$84</definedName>
    <definedName name="ZO_N">DONNEES_LIASSE_RN!$D$85</definedName>
    <definedName name="ZO_N1">DONNEES_LIASSE_RN!$E$85</definedName>
    <definedName name="ZO_N2">DONNEES_LIASSE_RN!$F$85</definedName>
    <definedName name="_xlnm.Print_Area" localSheetId="20">'A_Analyse des Charges NEX'!$A$1:$G$59</definedName>
    <definedName name="_xlnm.Print_Area" localSheetId="11">'A_Baromètre exploitation NEX'!$A$1:$J$30</definedName>
    <definedName name="_xlnm.Print_Area" localSheetId="24">'A_Bilan NEX'!$A$1:$F$65</definedName>
    <definedName name="_xlnm.Print_Area" localSheetId="10">'A_Caractéristiques de votre ex'!$A$1:$I$55</definedName>
    <definedName name="_xlnm.Print_Area" localSheetId="14">'A_Commentaire p1 NEX'!$A$1:$I$56</definedName>
    <definedName name="_xlnm.Print_Area" localSheetId="15">'A_Commentaire p2 NEX'!$A$1:$H$53</definedName>
    <definedName name="_xlnm.Print_Area" localSheetId="16">'A_Commentaire p3'!$A$1:$H$52</definedName>
    <definedName name="_xlnm.Print_Area" localSheetId="17">'A_Commentaire p4'!$A$1:$I$63</definedName>
    <definedName name="_xlnm.Print_Area" localSheetId="21">'A_Compte Résultat &amp; SIG NEX '!$A$1:$I$54</definedName>
    <definedName name="_xlnm.Print_Area" localSheetId="18">'A_Evolution chges'!$A$1:$H$53</definedName>
    <definedName name="_xlnm.Print_Area" localSheetId="7">'A_Page garde'!$A$2:$P$50</definedName>
    <definedName name="_xlnm.Print_Area" localSheetId="12">'A_Points forts faibles NEX'!$A$1:$E$54</definedName>
    <definedName name="_xlnm.Print_Area" localSheetId="9">A_Présentation!$A$1:$H$48</definedName>
    <definedName name="_xlnm.Print_Area" localSheetId="25">'A_Ratios NEX'!$A$1:$H$58</definedName>
    <definedName name="_xlnm.Print_Area" localSheetId="13">A_Rendts!$A$1:$H$15</definedName>
    <definedName name="_xlnm.Print_Area" localSheetId="22">'A_Résult à Trésor'!$A$1:$H$66</definedName>
    <definedName name="_xlnm.Print_Area" localSheetId="8">'A_Sommaire NEX'!$A$1:$E$45</definedName>
    <definedName name="_xlnm.Print_Area" localSheetId="23">'A_Variat fds de R'!$A$1:$G$72</definedName>
    <definedName name="_xlnm.Print_Area" localSheetId="46">'Analyse des Charges NEX'!$A$1:$G$59</definedName>
    <definedName name="_xlnm.Print_Area" localSheetId="34">'Baromètre exploitation NEX'!$A$1:$J$30</definedName>
    <definedName name="_xlnm.Print_Area" localSheetId="52">'Bilan 1EX'!$A$1:$F$67</definedName>
    <definedName name="_xlnm.Print_Area" localSheetId="53">'Bilan 2EX'!$A$1:$E$65</definedName>
    <definedName name="_xlnm.Print_Area" localSheetId="54">'Bilan NEX'!$A$1:$F$65</definedName>
    <definedName name="_xlnm.Print_Area" localSheetId="31">'Caractéristiques de votre explo'!$A$1:$I$55</definedName>
    <definedName name="_xlnm.Print_Area" localSheetId="40">'Commentaire p1 NEX'!$A$1:$I$56</definedName>
    <definedName name="_xlnm.Print_Area" localSheetId="42">'Commentaire p2 NEX'!$A$1:$H$53</definedName>
    <definedName name="_xlnm.Print_Area" localSheetId="43">'Commentaire p3'!$A$1:$H$52</definedName>
    <definedName name="_xlnm.Print_Area" localSheetId="44">'Commentaire p4'!$A$1:$I$69</definedName>
    <definedName name="_xlnm.Print_Area" localSheetId="39">'Commentairep1 1EX'!$A$1:$I$57</definedName>
    <definedName name="_xlnm.Print_Area" localSheetId="41">'Commentairep2 1EX'!$A$1:$H$57</definedName>
    <definedName name="_xlnm.Print_Area" localSheetId="47">'Compte Résultat &amp; SIG 1EX'!$A$1:$E$56</definedName>
    <definedName name="_xlnm.Print_Area" localSheetId="48">'Compte Résultat &amp; SIG 2EX'!$A$1:$G$56</definedName>
    <definedName name="_xlnm.Print_Area" localSheetId="49">'Compte Résultat &amp; SIG NEX'!$A$1:$I$57</definedName>
    <definedName name="_xlnm.Print_Area" localSheetId="45">'Evolution chges'!$A$1:$H$53</definedName>
    <definedName name="_xlnm.Print_Area" localSheetId="33">Exploit.Moyenne!$A$1:$I$52</definedName>
    <definedName name="_xlnm.Print_Area" localSheetId="27">'Page garde'!$A$2:$P$50</definedName>
    <definedName name="_xlnm.Print_Area" localSheetId="35">'Points forts faibles 1EX'!$A$1:$E$56</definedName>
    <definedName name="_xlnm.Print_Area" localSheetId="36">'Points forts faibles NEX'!$A$1:$E$54</definedName>
    <definedName name="_xlnm.Print_Area" localSheetId="30">Présentation!$A$1:$H$53</definedName>
    <definedName name="_xlnm.Print_Area" localSheetId="59">'Prévention 1'!$A$1:$P$38</definedName>
    <definedName name="_xlnm.Print_Area" localSheetId="60">'Prévention 2'!$A$1:$G$47</definedName>
    <definedName name="_xlnm.Print_Area" localSheetId="55">'Ratios 1EX'!$A$1:$F$54</definedName>
    <definedName name="_xlnm.Print_Area" localSheetId="56">'Ratios 2EX'!$A$1:$G$56</definedName>
    <definedName name="_xlnm.Print_Area" localSheetId="57">'Ratios NEX'!$A$1:$H$59</definedName>
    <definedName name="_xlnm.Print_Area" localSheetId="37">Rendts!$A$1:$J$36</definedName>
    <definedName name="_xlnm.Print_Area" localSheetId="38">'Rendts (3)'!$A$1:$I$101</definedName>
    <definedName name="_xlnm.Print_Area" localSheetId="50">'Résult à Trésor'!$A$1:$H$66</definedName>
    <definedName name="_xlnm.Print_Area" localSheetId="28">'Sommaire 1EX'!$A$1:$E$49</definedName>
    <definedName name="_xlnm.Print_Area" localSheetId="29">'Sommaire NEX'!$A$1:$E$51</definedName>
    <definedName name="_xlnm.Print_Area" localSheetId="51">'Variat fds de R'!$A$1:$G$72</definedName>
    <definedName name="ZQ_N">DONNEES_LIASSE_RN!$D$86</definedName>
    <definedName name="ZQ_N1">DONNEES_LIASSE_RN!$E$86</definedName>
    <definedName name="ZQ_N2">DONNEES_LIASSE_RN!$F$86</definedName>
    <definedName name="ZQ_N2cor">DONNEES_LIASSE_RN!$F$87</definedName>
    <definedName name="ZR_9903" localSheetId="0">Données!$B$822</definedName>
    <definedName name="ZR_9903_1" localSheetId="0">Données!$C$822</definedName>
  </definedNames>
  <calcPr calcId="145621"/>
</workbook>
</file>

<file path=xl/calcChain.xml><?xml version="1.0" encoding="utf-8"?>
<calcChain xmlns="http://schemas.openxmlformats.org/spreadsheetml/2006/main">
  <c r="P48" i="75" l="1"/>
  <c r="P47" i="75"/>
  <c r="C9" i="74"/>
  <c r="D9" i="74"/>
  <c r="D18" i="76" s="1"/>
  <c r="K32" i="89"/>
  <c r="K31" i="89"/>
  <c r="H32" i="89"/>
  <c r="E32" i="89" s="1"/>
  <c r="C27" i="74" s="1"/>
  <c r="H31" i="89"/>
  <c r="E31" i="89" s="1"/>
  <c r="C31" i="74" s="1"/>
  <c r="J32" i="89"/>
  <c r="J31" i="89"/>
  <c r="G32" i="89"/>
  <c r="D32" i="89" s="1"/>
  <c r="D27" i="74" s="1"/>
  <c r="D30" i="76" s="1"/>
  <c r="G15" i="86" s="1"/>
  <c r="G31" i="89"/>
  <c r="D31" i="89" s="1"/>
  <c r="D29" i="74" s="1"/>
  <c r="N22" i="89"/>
  <c r="N18" i="89"/>
  <c r="N17" i="89"/>
  <c r="N16" i="89"/>
  <c r="M17" i="89"/>
  <c r="M18" i="89"/>
  <c r="M22" i="89"/>
  <c r="M16" i="89"/>
  <c r="M5" i="89"/>
  <c r="F33" i="87"/>
  <c r="I26" i="88" s="1"/>
  <c r="S26" i="88" s="1"/>
  <c r="F28" i="87"/>
  <c r="D58" i="74"/>
  <c r="C58" i="74"/>
  <c r="D14" i="76" s="1"/>
  <c r="D2" i="90"/>
  <c r="E2" i="90" s="1"/>
  <c r="D23" i="74"/>
  <c r="D33" i="76" s="1"/>
  <c r="M52" i="85" s="1"/>
  <c r="D21" i="74"/>
  <c r="D57" i="76" s="1"/>
  <c r="I37" i="78" s="1"/>
  <c r="C23" i="74"/>
  <c r="C21" i="74"/>
  <c r="L10" i="78" s="1"/>
  <c r="D53" i="74"/>
  <c r="C53" i="74"/>
  <c r="E36" i="85"/>
  <c r="E20" i="85"/>
  <c r="E14" i="85"/>
  <c r="E26" i="85"/>
  <c r="D20" i="84"/>
  <c r="B23" i="72"/>
  <c r="B26" i="72"/>
  <c r="B54" i="68"/>
  <c r="C56" i="87"/>
  <c r="B64" i="73"/>
  <c r="B68" i="74"/>
  <c r="B65" i="76"/>
  <c r="C58" i="76"/>
  <c r="C17" i="76"/>
  <c r="C35" i="76"/>
  <c r="B52" i="87"/>
  <c r="B36" i="87"/>
  <c r="B31" i="87"/>
  <c r="B21" i="87"/>
  <c r="B42" i="73"/>
  <c r="B25" i="73"/>
  <c r="B7" i="74"/>
  <c r="B53" i="74"/>
  <c r="B63" i="74"/>
  <c r="B48" i="68"/>
  <c r="G33" i="87"/>
  <c r="K26" i="88" s="1"/>
  <c r="T26" i="88" s="1"/>
  <c r="E33" i="87"/>
  <c r="G26" i="88" s="1"/>
  <c r="R26" i="88" s="1"/>
  <c r="J60" i="74"/>
  <c r="J58" i="74"/>
  <c r="J53" i="74"/>
  <c r="J51" i="74"/>
  <c r="J49" i="74"/>
  <c r="J47" i="74"/>
  <c r="G28" i="87"/>
  <c r="E28" i="87"/>
  <c r="B33" i="85" s="1"/>
  <c r="G16" i="86"/>
  <c r="B45" i="84"/>
  <c r="J11" i="89"/>
  <c r="D11" i="89" s="1"/>
  <c r="G24" i="77" s="1"/>
  <c r="K11" i="89"/>
  <c r="L11" i="89"/>
  <c r="J12" i="89"/>
  <c r="D12" i="89" s="1"/>
  <c r="G25" i="77" s="1"/>
  <c r="D31" i="75" s="1"/>
  <c r="K12" i="89"/>
  <c r="E12" i="89" s="1"/>
  <c r="L12" i="89"/>
  <c r="F12" i="89" s="1"/>
  <c r="J13" i="89"/>
  <c r="D13" i="89" s="1"/>
  <c r="D30" i="75" s="1"/>
  <c r="K13" i="89"/>
  <c r="E13" i="89" s="1"/>
  <c r="L13" i="89"/>
  <c r="J16" i="89"/>
  <c r="D16" i="89" s="1"/>
  <c r="K16" i="89"/>
  <c r="E16" i="89" s="1"/>
  <c r="L16" i="89"/>
  <c r="J17" i="89"/>
  <c r="D17" i="89" s="1"/>
  <c r="C19" i="69" s="1"/>
  <c r="K17" i="89"/>
  <c r="E17" i="89" s="1"/>
  <c r="E19" i="69" s="1"/>
  <c r="F19" i="69" s="1"/>
  <c r="L17" i="89"/>
  <c r="J18" i="89"/>
  <c r="D18" i="89" s="1"/>
  <c r="K18" i="89"/>
  <c r="E18" i="89" s="1"/>
  <c r="E18" i="69" s="1"/>
  <c r="L18" i="89"/>
  <c r="F18" i="89" s="1"/>
  <c r="J19" i="89"/>
  <c r="K19" i="89"/>
  <c r="L19" i="89"/>
  <c r="J20" i="89"/>
  <c r="K20" i="89"/>
  <c r="E20" i="89" s="1"/>
  <c r="E21" i="69" s="1"/>
  <c r="L20" i="89"/>
  <c r="J21" i="89"/>
  <c r="D21" i="89" s="1"/>
  <c r="C22" i="68" s="1"/>
  <c r="K21" i="89"/>
  <c r="L21" i="89"/>
  <c r="F21" i="89" s="1"/>
  <c r="G22" i="68" s="1"/>
  <c r="J22" i="89"/>
  <c r="D22" i="89" s="1"/>
  <c r="C28" i="69" s="1"/>
  <c r="K22" i="89"/>
  <c r="E22" i="89" s="1"/>
  <c r="L22" i="89"/>
  <c r="F22" i="89" s="1"/>
  <c r="J23" i="89"/>
  <c r="K23" i="89"/>
  <c r="E23" i="89" s="1"/>
  <c r="L23" i="89"/>
  <c r="F23" i="89" s="1"/>
  <c r="J24" i="89"/>
  <c r="K24" i="89"/>
  <c r="L24" i="89"/>
  <c r="J25" i="89"/>
  <c r="D25" i="89" s="1"/>
  <c r="K25" i="89"/>
  <c r="E25" i="89" s="1"/>
  <c r="L25" i="89"/>
  <c r="J26" i="89"/>
  <c r="K26" i="89"/>
  <c r="E26" i="89" s="1"/>
  <c r="E30" i="69" s="1"/>
  <c r="L26" i="89"/>
  <c r="F26" i="89" s="1"/>
  <c r="J27" i="89"/>
  <c r="K27" i="89"/>
  <c r="L27" i="89"/>
  <c r="K10" i="89"/>
  <c r="E10" i="89" s="1"/>
  <c r="L10" i="89"/>
  <c r="J10" i="89"/>
  <c r="D10" i="89" s="1"/>
  <c r="G23" i="77" s="1"/>
  <c r="H11" i="89"/>
  <c r="I11" i="89"/>
  <c r="H12" i="89"/>
  <c r="I12" i="89"/>
  <c r="H13" i="89"/>
  <c r="I13" i="89"/>
  <c r="H16" i="89"/>
  <c r="I16" i="89"/>
  <c r="H17" i="89"/>
  <c r="I17" i="89"/>
  <c r="H18" i="89"/>
  <c r="I18" i="89"/>
  <c r="H19" i="89"/>
  <c r="I19" i="89"/>
  <c r="H20" i="89"/>
  <c r="I20" i="89"/>
  <c r="H21" i="89"/>
  <c r="I21" i="89"/>
  <c r="H22" i="89"/>
  <c r="I22" i="89"/>
  <c r="H23" i="89"/>
  <c r="I23" i="89"/>
  <c r="H24" i="89"/>
  <c r="E24" i="89" s="1"/>
  <c r="I24" i="89"/>
  <c r="H25" i="89"/>
  <c r="I25" i="89"/>
  <c r="H26" i="89"/>
  <c r="I26" i="89"/>
  <c r="H27" i="89"/>
  <c r="I27" i="89"/>
  <c r="G11" i="89"/>
  <c r="G12" i="89"/>
  <c r="G13" i="89"/>
  <c r="G16" i="89"/>
  <c r="G17" i="89"/>
  <c r="G18" i="89"/>
  <c r="G19" i="89"/>
  <c r="G20" i="89"/>
  <c r="D20" i="89" s="1"/>
  <c r="C21" i="69" s="1"/>
  <c r="G21" i="89"/>
  <c r="G22" i="89"/>
  <c r="G23" i="89"/>
  <c r="G24" i="89"/>
  <c r="D24" i="89" s="1"/>
  <c r="C38" i="69" s="1"/>
  <c r="G25" i="89"/>
  <c r="G26" i="89"/>
  <c r="G27" i="89"/>
  <c r="H10" i="89"/>
  <c r="I10" i="89"/>
  <c r="F10" i="89" s="1"/>
  <c r="G10" i="89"/>
  <c r="K48" i="75"/>
  <c r="I48" i="75"/>
  <c r="G48" i="75"/>
  <c r="D26" i="89"/>
  <c r="C30" i="69" s="1"/>
  <c r="F24" i="89"/>
  <c r="G31" i="68" s="1"/>
  <c r="H31" i="68" s="1"/>
  <c r="F20" i="89"/>
  <c r="F16" i="89"/>
  <c r="Z78" i="88"/>
  <c r="AA70" i="88"/>
  <c r="Z70" i="88"/>
  <c r="AA62" i="88"/>
  <c r="Z62" i="88"/>
  <c r="AB53" i="88"/>
  <c r="AA53" i="88"/>
  <c r="Z53" i="88"/>
  <c r="R42" i="88"/>
  <c r="S42" i="88" s="1"/>
  <c r="T42" i="88" s="1"/>
  <c r="U42" i="88" s="1"/>
  <c r="AC9" i="88"/>
  <c r="T3" i="88"/>
  <c r="V3" i="88" s="1"/>
  <c r="R3" i="88"/>
  <c r="C62" i="86"/>
  <c r="J14" i="86"/>
  <c r="C64" i="85"/>
  <c r="B61" i="85"/>
  <c r="B34" i="85"/>
  <c r="C63" i="84"/>
  <c r="B51" i="84"/>
  <c r="G35" i="84"/>
  <c r="J17" i="84"/>
  <c r="B1" i="83"/>
  <c r="D46" i="81"/>
  <c r="T15" i="81"/>
  <c r="S15" i="81" s="1"/>
  <c r="T14" i="81"/>
  <c r="S14" i="81" s="1"/>
  <c r="E13" i="69" s="1"/>
  <c r="T13" i="81"/>
  <c r="S13" i="81" s="1"/>
  <c r="J12" i="81"/>
  <c r="T11" i="81"/>
  <c r="S11" i="81" s="1"/>
  <c r="J11" i="81"/>
  <c r="T10" i="81"/>
  <c r="S10" i="81" s="1"/>
  <c r="G14" i="72" s="1"/>
  <c r="J10" i="81"/>
  <c r="T9" i="81"/>
  <c r="S9" i="81" s="1"/>
  <c r="C34" i="73" s="1"/>
  <c r="J9" i="81"/>
  <c r="G30" i="68"/>
  <c r="H30" i="68" s="1"/>
  <c r="E67" i="75"/>
  <c r="F67" i="75"/>
  <c r="D67" i="75"/>
  <c r="E64" i="75"/>
  <c r="F64" i="75"/>
  <c r="D64" i="75"/>
  <c r="D60" i="75"/>
  <c r="D57" i="75"/>
  <c r="D49" i="74"/>
  <c r="C49" i="74"/>
  <c r="D46" i="75"/>
  <c r="D49" i="75"/>
  <c r="F39" i="75"/>
  <c r="E39" i="75"/>
  <c r="D39" i="75"/>
  <c r="C62" i="79"/>
  <c r="B51" i="79"/>
  <c r="L4" i="78"/>
  <c r="K4" i="78"/>
  <c r="H39" i="77"/>
  <c r="H41" i="77"/>
  <c r="G41" i="77"/>
  <c r="G39" i="77"/>
  <c r="D33" i="75"/>
  <c r="G31" i="77"/>
  <c r="G30" i="77"/>
  <c r="G29" i="77"/>
  <c r="G28" i="77"/>
  <c r="B54" i="77"/>
  <c r="L31" i="77"/>
  <c r="K31" i="77"/>
  <c r="L30" i="77"/>
  <c r="K30" i="77"/>
  <c r="L29" i="77"/>
  <c r="K29" i="77"/>
  <c r="L28" i="77"/>
  <c r="K28" i="77"/>
  <c r="H28" i="77"/>
  <c r="M25" i="77"/>
  <c r="M24" i="77"/>
  <c r="M23" i="77"/>
  <c r="D16" i="77"/>
  <c r="D15" i="77"/>
  <c r="E11" i="77"/>
  <c r="C46" i="76"/>
  <c r="C22" i="76"/>
  <c r="D60" i="74"/>
  <c r="C60" i="74"/>
  <c r="D14" i="75"/>
  <c r="D23" i="75"/>
  <c r="D21" i="75"/>
  <c r="D19" i="75"/>
  <c r="D12" i="75"/>
  <c r="D10" i="75"/>
  <c r="D51" i="74"/>
  <c r="C51" i="74"/>
  <c r="D47" i="74"/>
  <c r="C47" i="74"/>
  <c r="C35" i="74"/>
  <c r="D35" i="74"/>
  <c r="D52" i="76" s="1"/>
  <c r="G24" i="86" s="1"/>
  <c r="C33" i="74"/>
  <c r="D33" i="74"/>
  <c r="D17" i="74"/>
  <c r="G33" i="84" s="1"/>
  <c r="C17" i="74"/>
  <c r="D15" i="74"/>
  <c r="D28" i="76" s="1"/>
  <c r="G14" i="86" s="1"/>
  <c r="C15" i="74"/>
  <c r="D13" i="74"/>
  <c r="G31" i="84" s="1"/>
  <c r="C13" i="74"/>
  <c r="D7" i="74"/>
  <c r="C7" i="74"/>
  <c r="D11" i="74"/>
  <c r="D42" i="76" s="1"/>
  <c r="C11" i="74"/>
  <c r="C35" i="40"/>
  <c r="E38" i="73"/>
  <c r="D38" i="73"/>
  <c r="E40" i="73"/>
  <c r="D40" i="73"/>
  <c r="E42" i="73"/>
  <c r="D42" i="73"/>
  <c r="E44" i="73"/>
  <c r="D44" i="73"/>
  <c r="E46" i="73"/>
  <c r="D46" i="73"/>
  <c r="E50" i="73"/>
  <c r="D50" i="73"/>
  <c r="E52" i="73"/>
  <c r="D52" i="73"/>
  <c r="E54" i="73"/>
  <c r="D54" i="73"/>
  <c r="E56" i="73"/>
  <c r="D56" i="73"/>
  <c r="E58" i="73"/>
  <c r="D58" i="73"/>
  <c r="C58" i="73"/>
  <c r="C56" i="73"/>
  <c r="C54" i="73"/>
  <c r="C52" i="73"/>
  <c r="C50" i="73"/>
  <c r="C46" i="73"/>
  <c r="C40" i="73"/>
  <c r="C44" i="73"/>
  <c r="C42" i="73"/>
  <c r="C38" i="73"/>
  <c r="E29" i="73"/>
  <c r="D29" i="73"/>
  <c r="C29" i="73"/>
  <c r="E27" i="73"/>
  <c r="D27" i="73"/>
  <c r="C27" i="73"/>
  <c r="E25" i="73"/>
  <c r="D25" i="73"/>
  <c r="C25" i="73"/>
  <c r="E23" i="73"/>
  <c r="D23" i="73"/>
  <c r="C23" i="73"/>
  <c r="E21" i="73"/>
  <c r="D21" i="73"/>
  <c r="C21" i="73"/>
  <c r="E17" i="73"/>
  <c r="D17" i="73"/>
  <c r="C17" i="73"/>
  <c r="E15" i="73"/>
  <c r="D15" i="73"/>
  <c r="C15" i="73"/>
  <c r="E13" i="73"/>
  <c r="D13" i="73"/>
  <c r="C13" i="73"/>
  <c r="B29" i="72"/>
  <c r="E26" i="72"/>
  <c r="E23" i="72"/>
  <c r="E21" i="72"/>
  <c r="E18" i="72"/>
  <c r="E16" i="72"/>
  <c r="B55" i="71"/>
  <c r="J40" i="71"/>
  <c r="J39" i="71"/>
  <c r="J38" i="71"/>
  <c r="J37" i="71"/>
  <c r="J36" i="71"/>
  <c r="J35" i="71"/>
  <c r="K12" i="71"/>
  <c r="J12" i="71"/>
  <c r="K11" i="71"/>
  <c r="J11" i="71"/>
  <c r="K10" i="71"/>
  <c r="J10" i="71"/>
  <c r="K9" i="71"/>
  <c r="J9" i="71"/>
  <c r="K8" i="71"/>
  <c r="J8" i="71"/>
  <c r="K7" i="71"/>
  <c r="J7" i="71"/>
  <c r="E11" i="70"/>
  <c r="E12" i="70"/>
  <c r="D12" i="70"/>
  <c r="D11" i="70"/>
  <c r="E47" i="69"/>
  <c r="F47" i="69" s="1"/>
  <c r="C47" i="69"/>
  <c r="D40" i="70" s="1"/>
  <c r="E44" i="69"/>
  <c r="F44" i="69" s="1"/>
  <c r="C44" i="69"/>
  <c r="D44" i="69" s="1"/>
  <c r="E43" i="69"/>
  <c r="F43" i="69" s="1"/>
  <c r="C43" i="69"/>
  <c r="D43" i="69" s="1"/>
  <c r="C42" i="69"/>
  <c r="D42" i="69" s="1"/>
  <c r="E42" i="69"/>
  <c r="F42" i="69" s="1"/>
  <c r="E41" i="69"/>
  <c r="F41" i="69" s="1"/>
  <c r="C41" i="69"/>
  <c r="D41" i="69" s="1"/>
  <c r="E33" i="69"/>
  <c r="F33" i="69" s="1"/>
  <c r="C33" i="69"/>
  <c r="D33" i="69" s="1"/>
  <c r="E31" i="69"/>
  <c r="F31" i="69" s="1"/>
  <c r="C31" i="69"/>
  <c r="D31" i="69" s="1"/>
  <c r="E29" i="69"/>
  <c r="F29" i="69" s="1"/>
  <c r="C29" i="69"/>
  <c r="D29" i="69" s="1"/>
  <c r="E25" i="69"/>
  <c r="F25" i="69" s="1"/>
  <c r="C25" i="69"/>
  <c r="D25" i="69" s="1"/>
  <c r="E24" i="69"/>
  <c r="C24" i="69"/>
  <c r="D24" i="69" s="1"/>
  <c r="E48" i="68"/>
  <c r="F48" i="68" s="1"/>
  <c r="G29" i="68"/>
  <c r="H29" i="68" s="1"/>
  <c r="G37" i="68"/>
  <c r="H37" i="68" s="1"/>
  <c r="E37" i="68"/>
  <c r="F37" i="68" s="1"/>
  <c r="G36" i="68"/>
  <c r="H36" i="68" s="1"/>
  <c r="E36" i="68"/>
  <c r="F36" i="68" s="1"/>
  <c r="G35" i="68"/>
  <c r="H35" i="68" s="1"/>
  <c r="E35" i="68"/>
  <c r="F35" i="68" s="1"/>
  <c r="G34" i="68"/>
  <c r="H34" i="68" s="1"/>
  <c r="E34" i="68"/>
  <c r="F34" i="68" s="1"/>
  <c r="G33" i="68"/>
  <c r="H33" i="68" s="1"/>
  <c r="K22" i="88" s="1"/>
  <c r="T22" i="88" s="1"/>
  <c r="E33" i="68"/>
  <c r="F33" i="68" s="1"/>
  <c r="I22" i="88" s="1"/>
  <c r="S22" i="88" s="1"/>
  <c r="E30" i="68"/>
  <c r="F30" i="68" s="1"/>
  <c r="C30" i="68"/>
  <c r="D30" i="68" s="1"/>
  <c r="E29" i="68"/>
  <c r="F29" i="68" s="1"/>
  <c r="C29" i="68"/>
  <c r="D29" i="68" s="1"/>
  <c r="G27" i="68"/>
  <c r="H27" i="68" s="1"/>
  <c r="E27" i="68"/>
  <c r="F27" i="68" s="1"/>
  <c r="G48" i="68"/>
  <c r="H48" i="68" s="1"/>
  <c r="G49" i="68"/>
  <c r="H49" i="68" s="1"/>
  <c r="E49" i="68"/>
  <c r="F49" i="68" s="1"/>
  <c r="C49" i="68"/>
  <c r="D49" i="68" s="1"/>
  <c r="C48" i="68"/>
  <c r="D48" i="68" s="1"/>
  <c r="G44" i="68"/>
  <c r="H44" i="68" s="1"/>
  <c r="E44" i="68"/>
  <c r="F44" i="68" s="1"/>
  <c r="C44" i="68"/>
  <c r="D44" i="68" s="1"/>
  <c r="G43" i="68"/>
  <c r="H43" i="68" s="1"/>
  <c r="E43" i="68"/>
  <c r="F43" i="68" s="1"/>
  <c r="C43" i="68"/>
  <c r="D43" i="68" s="1"/>
  <c r="G42" i="68"/>
  <c r="H42" i="68" s="1"/>
  <c r="E42" i="68"/>
  <c r="F42" i="68" s="1"/>
  <c r="C42" i="68"/>
  <c r="D42" i="68" s="1"/>
  <c r="G41" i="68"/>
  <c r="H41" i="68" s="1"/>
  <c r="E41" i="68"/>
  <c r="F41" i="68" s="1"/>
  <c r="C41" i="68"/>
  <c r="D41" i="68" s="1"/>
  <c r="C37" i="68"/>
  <c r="D37" i="68" s="1"/>
  <c r="C36" i="68"/>
  <c r="D36" i="68" s="1"/>
  <c r="C35" i="68"/>
  <c r="D35" i="68" s="1"/>
  <c r="C34" i="68"/>
  <c r="D34" i="68" s="1"/>
  <c r="C33" i="68"/>
  <c r="D33" i="68" s="1"/>
  <c r="B31" i="68"/>
  <c r="C27" i="68"/>
  <c r="D27" i="68" s="1"/>
  <c r="C20" i="68"/>
  <c r="D20" i="68" s="1"/>
  <c r="G20" i="68"/>
  <c r="H20" i="68" s="1"/>
  <c r="E20" i="68"/>
  <c r="F20" i="68" s="1"/>
  <c r="G15" i="68"/>
  <c r="H15" i="68" s="1"/>
  <c r="E15" i="68"/>
  <c r="F15" i="68" s="1"/>
  <c r="C15" i="68"/>
  <c r="D15" i="68" s="1"/>
  <c r="G13" i="68"/>
  <c r="H13" i="68" s="1"/>
  <c r="E13" i="68"/>
  <c r="F13" i="68" s="1"/>
  <c r="C13" i="68"/>
  <c r="D13" i="68" s="1"/>
  <c r="G11" i="68"/>
  <c r="H11" i="68" s="1"/>
  <c r="E11" i="68"/>
  <c r="F11" i="68" s="1"/>
  <c r="C11" i="68"/>
  <c r="G10" i="68"/>
  <c r="H10" i="68" s="1"/>
  <c r="E10" i="68"/>
  <c r="F10" i="68" s="1"/>
  <c r="C10" i="68"/>
  <c r="D10" i="68" s="1"/>
  <c r="B37" i="68"/>
  <c r="B36" i="68"/>
  <c r="B35" i="68"/>
  <c r="B34" i="68"/>
  <c r="B33" i="68"/>
  <c r="B26" i="68"/>
  <c r="B30" i="68"/>
  <c r="B29" i="68"/>
  <c r="B27" i="68"/>
  <c r="B21" i="68"/>
  <c r="B13" i="68"/>
  <c r="G9" i="68"/>
  <c r="E9" i="68"/>
  <c r="C9" i="68"/>
  <c r="B49" i="68"/>
  <c r="B44" i="68"/>
  <c r="B43" i="68"/>
  <c r="B42" i="68"/>
  <c r="B41" i="68"/>
  <c r="B22" i="68"/>
  <c r="B20" i="68"/>
  <c r="G12" i="68"/>
  <c r="H12" i="68" s="1"/>
  <c r="E12" i="68"/>
  <c r="F12" i="68" s="1"/>
  <c r="C12" i="68"/>
  <c r="D12" i="68" s="1"/>
  <c r="B12" i="68"/>
  <c r="F96" i="65"/>
  <c r="G96" i="65"/>
  <c r="F12" i="65"/>
  <c r="G12" i="65"/>
  <c r="F13" i="65"/>
  <c r="G13" i="65"/>
  <c r="F14" i="65"/>
  <c r="G14" i="65"/>
  <c r="F99" i="65"/>
  <c r="G99" i="65"/>
  <c r="F97" i="65"/>
  <c r="G97" i="65"/>
  <c r="F15" i="65"/>
  <c r="G15" i="65"/>
  <c r="F16" i="65"/>
  <c r="G16" i="65"/>
  <c r="F17" i="65"/>
  <c r="G17" i="65"/>
  <c r="F18" i="65"/>
  <c r="G18" i="65"/>
  <c r="F19" i="65"/>
  <c r="G19" i="65"/>
  <c r="F20" i="65"/>
  <c r="G20" i="65"/>
  <c r="F21" i="65"/>
  <c r="G21" i="65"/>
  <c r="F22" i="65"/>
  <c r="G22" i="65"/>
  <c r="F23" i="65"/>
  <c r="G23" i="65"/>
  <c r="F24" i="65"/>
  <c r="G24" i="65"/>
  <c r="F25" i="65"/>
  <c r="G25" i="65"/>
  <c r="F26" i="65"/>
  <c r="G26" i="65"/>
  <c r="F27" i="65"/>
  <c r="G27" i="65"/>
  <c r="F28" i="65"/>
  <c r="G28" i="65"/>
  <c r="F29" i="65"/>
  <c r="G29" i="65"/>
  <c r="F30" i="65"/>
  <c r="G30" i="65"/>
  <c r="F31" i="65"/>
  <c r="G31" i="65"/>
  <c r="F32" i="65"/>
  <c r="G32" i="65"/>
  <c r="F33" i="65"/>
  <c r="G33" i="65"/>
  <c r="F34" i="65"/>
  <c r="G34" i="65"/>
  <c r="F35" i="65"/>
  <c r="G35" i="65"/>
  <c r="F36" i="65"/>
  <c r="G36" i="65"/>
  <c r="F37" i="65"/>
  <c r="G37" i="65"/>
  <c r="F38" i="65"/>
  <c r="G38" i="65"/>
  <c r="F98" i="65"/>
  <c r="G98" i="65"/>
  <c r="F39" i="65"/>
  <c r="G39" i="65"/>
  <c r="F40" i="65"/>
  <c r="G40" i="65"/>
  <c r="F41" i="65"/>
  <c r="G41" i="65"/>
  <c r="F42" i="65"/>
  <c r="G42" i="65"/>
  <c r="F43" i="65"/>
  <c r="G43" i="65"/>
  <c r="F44" i="65"/>
  <c r="G44" i="65"/>
  <c r="F45" i="65"/>
  <c r="G45" i="65"/>
  <c r="F46" i="65"/>
  <c r="G46" i="65"/>
  <c r="F47" i="65"/>
  <c r="G47" i="65"/>
  <c r="F48" i="65"/>
  <c r="G48" i="65"/>
  <c r="F49" i="65"/>
  <c r="G49" i="65"/>
  <c r="F50" i="65"/>
  <c r="G50" i="65"/>
  <c r="F51" i="65"/>
  <c r="G51" i="65"/>
  <c r="F52" i="65"/>
  <c r="G52" i="65"/>
  <c r="F100" i="65"/>
  <c r="G100" i="65"/>
  <c r="F53" i="65"/>
  <c r="G53" i="65"/>
  <c r="F54" i="65"/>
  <c r="G54" i="65"/>
  <c r="F55" i="65"/>
  <c r="G55" i="65"/>
  <c r="F56" i="65"/>
  <c r="G56" i="65"/>
  <c r="F57" i="65"/>
  <c r="G57" i="65"/>
  <c r="F58" i="65"/>
  <c r="G58" i="65"/>
  <c r="F59" i="65"/>
  <c r="G59" i="65"/>
  <c r="F60" i="65"/>
  <c r="G60" i="65"/>
  <c r="F61" i="65"/>
  <c r="G61" i="65"/>
  <c r="F62" i="65"/>
  <c r="G62" i="65"/>
  <c r="F63" i="65"/>
  <c r="G63" i="65"/>
  <c r="F64" i="65"/>
  <c r="G64" i="65"/>
  <c r="F65" i="65"/>
  <c r="G65" i="65"/>
  <c r="F66" i="65"/>
  <c r="G66" i="65"/>
  <c r="F67" i="65"/>
  <c r="G67" i="65"/>
  <c r="F68" i="65"/>
  <c r="G68" i="65"/>
  <c r="F69" i="65"/>
  <c r="G69" i="65"/>
  <c r="F70" i="65"/>
  <c r="G70" i="65"/>
  <c r="F71" i="65"/>
  <c r="G71" i="65"/>
  <c r="F72" i="65"/>
  <c r="G72" i="65"/>
  <c r="F73" i="65"/>
  <c r="G73" i="65"/>
  <c r="F74" i="65"/>
  <c r="G74" i="65"/>
  <c r="F75" i="65"/>
  <c r="G75" i="65"/>
  <c r="F76" i="65"/>
  <c r="G76" i="65"/>
  <c r="F77" i="65"/>
  <c r="G77" i="65"/>
  <c r="F78" i="65"/>
  <c r="G78" i="65"/>
  <c r="F79" i="65"/>
  <c r="G79" i="65"/>
  <c r="F80" i="65"/>
  <c r="G80" i="65"/>
  <c r="F81" i="65"/>
  <c r="G81" i="65"/>
  <c r="F82" i="65"/>
  <c r="G82" i="65"/>
  <c r="F83" i="65"/>
  <c r="G83" i="65"/>
  <c r="F84" i="65"/>
  <c r="G84" i="65"/>
  <c r="F85" i="65"/>
  <c r="G85" i="65"/>
  <c r="F86" i="65"/>
  <c r="G86" i="65"/>
  <c r="F87" i="65"/>
  <c r="G87" i="65"/>
  <c r="F88" i="65"/>
  <c r="G88" i="65"/>
  <c r="F89" i="65"/>
  <c r="G89" i="65"/>
  <c r="F90" i="65"/>
  <c r="G90" i="65"/>
  <c r="F91" i="65"/>
  <c r="G91" i="65"/>
  <c r="F92" i="65"/>
  <c r="G92" i="65"/>
  <c r="F93" i="65"/>
  <c r="G93" i="65"/>
  <c r="F94" i="65"/>
  <c r="G94" i="65"/>
  <c r="F95" i="65"/>
  <c r="G95" i="65"/>
  <c r="G11" i="65"/>
  <c r="F11" i="65"/>
  <c r="R37" i="33"/>
  <c r="Q37" i="33"/>
  <c r="P37" i="33"/>
  <c r="O37" i="33"/>
  <c r="N37" i="33"/>
  <c r="M37" i="33"/>
  <c r="D96" i="65"/>
  <c r="D12" i="65"/>
  <c r="D13" i="65"/>
  <c r="D14" i="65"/>
  <c r="D99" i="65"/>
  <c r="D97" i="65"/>
  <c r="D15" i="65"/>
  <c r="D16" i="65"/>
  <c r="D17" i="65"/>
  <c r="D18" i="65"/>
  <c r="D19" i="65"/>
  <c r="D20" i="65"/>
  <c r="D21" i="65"/>
  <c r="D22" i="65"/>
  <c r="D23" i="65"/>
  <c r="D24" i="65"/>
  <c r="D25" i="65"/>
  <c r="D26" i="65"/>
  <c r="D27" i="65"/>
  <c r="D28" i="65"/>
  <c r="D29" i="65"/>
  <c r="D30" i="65"/>
  <c r="D31" i="65"/>
  <c r="D32" i="65"/>
  <c r="D33" i="65"/>
  <c r="D34" i="65"/>
  <c r="D35" i="65"/>
  <c r="D36" i="65"/>
  <c r="D37" i="65"/>
  <c r="D38" i="65"/>
  <c r="D98" i="65"/>
  <c r="D39" i="65"/>
  <c r="D40" i="65"/>
  <c r="D41" i="65"/>
  <c r="D42" i="65"/>
  <c r="D43" i="65"/>
  <c r="D44" i="65"/>
  <c r="D45" i="65"/>
  <c r="D46" i="65"/>
  <c r="D47" i="65"/>
  <c r="D48" i="65"/>
  <c r="D49" i="65"/>
  <c r="D50" i="65"/>
  <c r="D51" i="65"/>
  <c r="D52" i="65"/>
  <c r="D100" i="65"/>
  <c r="D53" i="65"/>
  <c r="D54" i="65"/>
  <c r="D55" i="65"/>
  <c r="D56" i="65"/>
  <c r="D57" i="65"/>
  <c r="D58" i="65"/>
  <c r="D59" i="65"/>
  <c r="D60" i="65"/>
  <c r="D61" i="65"/>
  <c r="D62" i="65"/>
  <c r="D63" i="65"/>
  <c r="D64" i="65"/>
  <c r="D65" i="65"/>
  <c r="D66" i="65"/>
  <c r="D67" i="65"/>
  <c r="D68" i="65"/>
  <c r="D69" i="65"/>
  <c r="D70" i="65"/>
  <c r="D71" i="65"/>
  <c r="D72" i="65"/>
  <c r="D73" i="65"/>
  <c r="D74" i="65"/>
  <c r="D75" i="65"/>
  <c r="D76" i="65"/>
  <c r="D77" i="65"/>
  <c r="D78" i="65"/>
  <c r="D79" i="65"/>
  <c r="D80" i="65"/>
  <c r="D81" i="65"/>
  <c r="D82" i="65"/>
  <c r="D83" i="65"/>
  <c r="D84" i="65"/>
  <c r="D85" i="65"/>
  <c r="D86" i="65"/>
  <c r="D87" i="65"/>
  <c r="D88" i="65"/>
  <c r="D89" i="65"/>
  <c r="D90" i="65"/>
  <c r="D91" i="65"/>
  <c r="D92" i="65"/>
  <c r="D93" i="65"/>
  <c r="D94" i="65"/>
  <c r="D95" i="65"/>
  <c r="D11" i="65"/>
  <c r="H96" i="65"/>
  <c r="H12" i="65"/>
  <c r="H13" i="65"/>
  <c r="H14" i="65"/>
  <c r="H99" i="65"/>
  <c r="H97" i="65"/>
  <c r="H15" i="65"/>
  <c r="H16" i="65"/>
  <c r="H17" i="65"/>
  <c r="H18" i="65"/>
  <c r="H19" i="65"/>
  <c r="H20" i="65"/>
  <c r="H21" i="65"/>
  <c r="H22" i="65"/>
  <c r="H23" i="65"/>
  <c r="H24" i="65"/>
  <c r="H25" i="65"/>
  <c r="H26" i="65"/>
  <c r="H27" i="65"/>
  <c r="H28" i="65"/>
  <c r="H29" i="65"/>
  <c r="H30" i="65"/>
  <c r="H31" i="65"/>
  <c r="H32" i="65"/>
  <c r="H33" i="65"/>
  <c r="H34" i="65"/>
  <c r="H35" i="65"/>
  <c r="H36" i="65"/>
  <c r="H37" i="65"/>
  <c r="H38" i="65"/>
  <c r="H98" i="65"/>
  <c r="H39" i="65"/>
  <c r="H40" i="65"/>
  <c r="H41" i="65"/>
  <c r="H42" i="65"/>
  <c r="H43" i="65"/>
  <c r="H44" i="65"/>
  <c r="H45" i="65"/>
  <c r="H46" i="65"/>
  <c r="H47" i="65"/>
  <c r="H48" i="65"/>
  <c r="H49" i="65"/>
  <c r="H50" i="65"/>
  <c r="H51" i="65"/>
  <c r="H52" i="65"/>
  <c r="H100" i="65"/>
  <c r="H53" i="65"/>
  <c r="H54" i="65"/>
  <c r="H55" i="65"/>
  <c r="H56" i="65"/>
  <c r="H57" i="65"/>
  <c r="H58" i="65"/>
  <c r="H59" i="65"/>
  <c r="H60" i="65"/>
  <c r="H61" i="65"/>
  <c r="H62" i="65"/>
  <c r="H63" i="65"/>
  <c r="H64" i="65"/>
  <c r="H65" i="65"/>
  <c r="H66" i="65"/>
  <c r="H67" i="65"/>
  <c r="H68" i="65"/>
  <c r="H69" i="65"/>
  <c r="H70" i="65"/>
  <c r="H71" i="65"/>
  <c r="H72" i="65"/>
  <c r="H73" i="65"/>
  <c r="H74" i="65"/>
  <c r="H75" i="65"/>
  <c r="H76" i="65"/>
  <c r="H77" i="65"/>
  <c r="H78" i="65"/>
  <c r="H79" i="65"/>
  <c r="H80" i="65"/>
  <c r="H81" i="65"/>
  <c r="H82" i="65"/>
  <c r="H83" i="65"/>
  <c r="H84" i="65"/>
  <c r="H85" i="65"/>
  <c r="H86" i="65"/>
  <c r="H87" i="65"/>
  <c r="H88" i="65"/>
  <c r="H89" i="65"/>
  <c r="H90" i="65"/>
  <c r="H91" i="65"/>
  <c r="H92" i="65"/>
  <c r="H93" i="65"/>
  <c r="H94" i="65"/>
  <c r="H95" i="65"/>
  <c r="H11" i="65"/>
  <c r="E96" i="65"/>
  <c r="E12" i="65"/>
  <c r="E13" i="65"/>
  <c r="E14" i="65"/>
  <c r="E99" i="65"/>
  <c r="E97" i="65"/>
  <c r="E15" i="65"/>
  <c r="E16" i="65"/>
  <c r="E17" i="65"/>
  <c r="E18" i="65"/>
  <c r="E19" i="65"/>
  <c r="E20" i="65"/>
  <c r="E21" i="65"/>
  <c r="E22" i="65"/>
  <c r="E23" i="65"/>
  <c r="E24" i="65"/>
  <c r="E25" i="65"/>
  <c r="E26" i="65"/>
  <c r="E27" i="65"/>
  <c r="E28" i="65"/>
  <c r="E29" i="65"/>
  <c r="E30" i="65"/>
  <c r="E31" i="65"/>
  <c r="E32" i="65"/>
  <c r="E33" i="65"/>
  <c r="E34" i="65"/>
  <c r="E35" i="65"/>
  <c r="E36" i="65"/>
  <c r="E37" i="65"/>
  <c r="E38" i="65"/>
  <c r="E98" i="65"/>
  <c r="E39" i="65"/>
  <c r="E40" i="65"/>
  <c r="E41" i="65"/>
  <c r="E42" i="65"/>
  <c r="E43" i="65"/>
  <c r="E44" i="65"/>
  <c r="E45" i="65"/>
  <c r="E46" i="65"/>
  <c r="E47" i="65"/>
  <c r="E48" i="65"/>
  <c r="E49" i="65"/>
  <c r="E50" i="65"/>
  <c r="E51" i="65"/>
  <c r="E52" i="65"/>
  <c r="E100" i="65"/>
  <c r="E53" i="65"/>
  <c r="E54" i="65"/>
  <c r="E55" i="65"/>
  <c r="E56" i="65"/>
  <c r="E57" i="65"/>
  <c r="E58" i="65"/>
  <c r="E59" i="65"/>
  <c r="E60" i="65"/>
  <c r="E61" i="65"/>
  <c r="E62" i="65"/>
  <c r="E63" i="65"/>
  <c r="E64" i="65"/>
  <c r="E65" i="65"/>
  <c r="E66" i="65"/>
  <c r="E67" i="65"/>
  <c r="E68" i="65"/>
  <c r="E69" i="65"/>
  <c r="E70" i="65"/>
  <c r="E71" i="65"/>
  <c r="E72" i="65"/>
  <c r="E73" i="65"/>
  <c r="E74" i="65"/>
  <c r="E75" i="65"/>
  <c r="E76" i="65"/>
  <c r="E77" i="65"/>
  <c r="E78" i="65"/>
  <c r="E79" i="65"/>
  <c r="E80" i="65"/>
  <c r="E81" i="65"/>
  <c r="E82" i="65"/>
  <c r="E83" i="65"/>
  <c r="E84" i="65"/>
  <c r="E85" i="65"/>
  <c r="E86" i="65"/>
  <c r="E87" i="65"/>
  <c r="E88" i="65"/>
  <c r="E89" i="65"/>
  <c r="E90" i="65"/>
  <c r="E91" i="65"/>
  <c r="E92" i="65"/>
  <c r="E93" i="65"/>
  <c r="E94" i="65"/>
  <c r="E95" i="65"/>
  <c r="E11" i="65"/>
  <c r="B12" i="65"/>
  <c r="B13" i="65"/>
  <c r="B14" i="65"/>
  <c r="B15" i="65"/>
  <c r="B16" i="65"/>
  <c r="B17" i="65"/>
  <c r="B18" i="65"/>
  <c r="B19" i="65"/>
  <c r="B20" i="65"/>
  <c r="B21" i="65"/>
  <c r="B22" i="65"/>
  <c r="B23" i="65"/>
  <c r="B24" i="65"/>
  <c r="B25" i="65"/>
  <c r="B26" i="65"/>
  <c r="B27" i="65"/>
  <c r="B28" i="65"/>
  <c r="B29" i="65"/>
  <c r="B30" i="65"/>
  <c r="B31" i="65"/>
  <c r="B32" i="65"/>
  <c r="B33" i="65"/>
  <c r="B34" i="65"/>
  <c r="B35" i="65"/>
  <c r="B36" i="65"/>
  <c r="B37" i="65"/>
  <c r="B38" i="65"/>
  <c r="B39" i="65"/>
  <c r="B40" i="65"/>
  <c r="B41" i="65"/>
  <c r="B42" i="65"/>
  <c r="B43" i="65"/>
  <c r="B44" i="65"/>
  <c r="B45" i="65"/>
  <c r="B46" i="65"/>
  <c r="B47" i="65"/>
  <c r="B48" i="65"/>
  <c r="B49" i="65"/>
  <c r="B50" i="65"/>
  <c r="B51" i="65"/>
  <c r="B52" i="65"/>
  <c r="B53" i="65"/>
  <c r="B54" i="65"/>
  <c r="B55" i="65"/>
  <c r="B56" i="65"/>
  <c r="B57" i="65"/>
  <c r="B58" i="65"/>
  <c r="B59" i="65"/>
  <c r="B60" i="65"/>
  <c r="B61" i="65"/>
  <c r="B62" i="65"/>
  <c r="B63" i="65"/>
  <c r="B64" i="65"/>
  <c r="B65" i="65"/>
  <c r="B66" i="65"/>
  <c r="B67" i="65"/>
  <c r="B68" i="65"/>
  <c r="B69" i="65"/>
  <c r="B70" i="65"/>
  <c r="B71" i="65"/>
  <c r="B72" i="65"/>
  <c r="B73" i="65"/>
  <c r="B74" i="65"/>
  <c r="B75" i="65"/>
  <c r="B76" i="65"/>
  <c r="B77" i="65"/>
  <c r="B78" i="65"/>
  <c r="B79" i="65"/>
  <c r="B80" i="65"/>
  <c r="B81" i="65"/>
  <c r="B82" i="65"/>
  <c r="B83" i="65"/>
  <c r="B84" i="65"/>
  <c r="B85" i="65"/>
  <c r="B86" i="65"/>
  <c r="B87" i="65"/>
  <c r="B88" i="65"/>
  <c r="B89" i="65"/>
  <c r="B90" i="65"/>
  <c r="B91" i="65"/>
  <c r="B92" i="65"/>
  <c r="B93" i="65"/>
  <c r="B94" i="65"/>
  <c r="B95" i="65"/>
  <c r="B11" i="65"/>
  <c r="C96" i="65"/>
  <c r="C12" i="65"/>
  <c r="C13" i="65"/>
  <c r="C14" i="65"/>
  <c r="C99" i="65"/>
  <c r="C97" i="65"/>
  <c r="C15" i="65"/>
  <c r="C16" i="65"/>
  <c r="C17" i="65"/>
  <c r="C18" i="65"/>
  <c r="C19" i="65"/>
  <c r="C20" i="65"/>
  <c r="C21" i="65"/>
  <c r="C22" i="65"/>
  <c r="C23" i="65"/>
  <c r="C24" i="65"/>
  <c r="C25" i="65"/>
  <c r="C26" i="65"/>
  <c r="C27" i="65"/>
  <c r="C28" i="65"/>
  <c r="C29" i="65"/>
  <c r="C30" i="65"/>
  <c r="C31" i="65"/>
  <c r="C32" i="65"/>
  <c r="C33" i="65"/>
  <c r="C34" i="65"/>
  <c r="C35" i="65"/>
  <c r="C36" i="65"/>
  <c r="C37" i="65"/>
  <c r="C38" i="65"/>
  <c r="C98" i="65"/>
  <c r="C39" i="65"/>
  <c r="C40" i="65"/>
  <c r="C41" i="65"/>
  <c r="C42" i="65"/>
  <c r="C43" i="65"/>
  <c r="C44" i="65"/>
  <c r="C45" i="65"/>
  <c r="C46" i="65"/>
  <c r="C47" i="65"/>
  <c r="C48" i="65"/>
  <c r="C49" i="65"/>
  <c r="C50" i="65"/>
  <c r="C51" i="65"/>
  <c r="C52" i="65"/>
  <c r="C100" i="65"/>
  <c r="C53" i="65"/>
  <c r="C54" i="65"/>
  <c r="C55" i="65"/>
  <c r="C56" i="65"/>
  <c r="C57" i="65"/>
  <c r="C58" i="65"/>
  <c r="C59" i="65"/>
  <c r="C60" i="65"/>
  <c r="C61" i="65"/>
  <c r="C62" i="65"/>
  <c r="C63" i="65"/>
  <c r="C64" i="65"/>
  <c r="C65" i="65"/>
  <c r="C66" i="65"/>
  <c r="C67" i="65"/>
  <c r="C68" i="65"/>
  <c r="C69" i="65"/>
  <c r="C70" i="65"/>
  <c r="C71" i="65"/>
  <c r="C72" i="65"/>
  <c r="C73" i="65"/>
  <c r="C74" i="65"/>
  <c r="C75" i="65"/>
  <c r="C76" i="65"/>
  <c r="C77" i="65"/>
  <c r="C78" i="65"/>
  <c r="C79" i="65"/>
  <c r="C80" i="65"/>
  <c r="C81" i="65"/>
  <c r="C82" i="65"/>
  <c r="C83" i="65"/>
  <c r="C84" i="65"/>
  <c r="C85" i="65"/>
  <c r="C86" i="65"/>
  <c r="C87" i="65"/>
  <c r="C88" i="65"/>
  <c r="C89" i="65"/>
  <c r="C90" i="65"/>
  <c r="C91" i="65"/>
  <c r="C92" i="65"/>
  <c r="C93" i="65"/>
  <c r="C94" i="65"/>
  <c r="C95" i="65"/>
  <c r="C11" i="65"/>
  <c r="B1" i="65"/>
  <c r="M46" i="33"/>
  <c r="AF24" i="62" s="1"/>
  <c r="M44" i="33"/>
  <c r="AF16" i="62" s="1"/>
  <c r="M42" i="33"/>
  <c r="AF10" i="62" s="1"/>
  <c r="H48" i="33"/>
  <c r="AF20" i="62" s="1"/>
  <c r="H46" i="33"/>
  <c r="H44" i="33"/>
  <c r="AF28" i="62" s="1"/>
  <c r="H42" i="33"/>
  <c r="AF26" i="62" s="1"/>
  <c r="H39" i="33"/>
  <c r="AF18" i="62" s="1"/>
  <c r="H37" i="33"/>
  <c r="AF14" i="62" s="1"/>
  <c r="H35" i="33"/>
  <c r="H33" i="33"/>
  <c r="H31" i="33"/>
  <c r="H29" i="33"/>
  <c r="H27" i="33"/>
  <c r="AF22" i="62" s="1"/>
  <c r="H25" i="33"/>
  <c r="H23" i="33"/>
  <c r="AF12" i="62" s="1"/>
  <c r="H21" i="33"/>
  <c r="E15" i="33"/>
  <c r="D14" i="33"/>
  <c r="K46" i="84" l="1"/>
  <c r="E101" i="65"/>
  <c r="P50" i="75"/>
  <c r="E47" i="74"/>
  <c r="D43" i="76" s="1"/>
  <c r="I17" i="84"/>
  <c r="D101" i="65"/>
  <c r="D27" i="89"/>
  <c r="C14" i="68" s="1"/>
  <c r="D23" i="89"/>
  <c r="D19" i="89"/>
  <c r="C20" i="69" s="1"/>
  <c r="G42" i="69"/>
  <c r="F51" i="74"/>
  <c r="D21" i="76" s="1"/>
  <c r="J62" i="74"/>
  <c r="E27" i="89"/>
  <c r="E14" i="68" s="1"/>
  <c r="E21" i="89"/>
  <c r="E22" i="68" s="1"/>
  <c r="E19" i="89"/>
  <c r="E20" i="69" s="1"/>
  <c r="F20" i="69" s="1"/>
  <c r="G20" i="69" s="1"/>
  <c r="E11" i="89"/>
  <c r="I36" i="78"/>
  <c r="K8" i="88"/>
  <c r="K12" i="87"/>
  <c r="E34" i="73"/>
  <c r="E9" i="73"/>
  <c r="G7" i="68"/>
  <c r="K40" i="81"/>
  <c r="F11" i="82"/>
  <c r="C13" i="69"/>
  <c r="E60" i="74"/>
  <c r="D15" i="83"/>
  <c r="D14" i="72"/>
  <c r="C14" i="69"/>
  <c r="E6" i="70"/>
  <c r="D46" i="74"/>
  <c r="I12" i="87"/>
  <c r="I8" i="88"/>
  <c r="F12" i="82"/>
  <c r="D6" i="70"/>
  <c r="E7" i="68"/>
  <c r="C46" i="74"/>
  <c r="G8" i="88"/>
  <c r="D9" i="73"/>
  <c r="M54" i="85"/>
  <c r="E14" i="69"/>
  <c r="C7" i="68"/>
  <c r="D6" i="74"/>
  <c r="D34" i="73"/>
  <c r="C9" i="73"/>
  <c r="K41" i="81"/>
  <c r="E15" i="83"/>
  <c r="D34" i="70"/>
  <c r="C6" i="74"/>
  <c r="J12" i="87"/>
  <c r="K16" i="88"/>
  <c r="T16" i="88" s="1"/>
  <c r="D17" i="76"/>
  <c r="G30" i="84"/>
  <c r="D41" i="76"/>
  <c r="C29" i="74"/>
  <c r="G22" i="88"/>
  <c r="R22" i="88" s="1"/>
  <c r="U22" i="88" s="1"/>
  <c r="I16" i="88"/>
  <c r="S16" i="88" s="1"/>
  <c r="G16" i="88"/>
  <c r="R16" i="88" s="1"/>
  <c r="B16" i="84"/>
  <c r="C23" i="69"/>
  <c r="D29" i="76"/>
  <c r="B49" i="85" s="1"/>
  <c r="Q47" i="75"/>
  <c r="D31" i="74"/>
  <c r="F27" i="89"/>
  <c r="G14" i="68" s="1"/>
  <c r="H14" i="68" s="1"/>
  <c r="F25" i="89"/>
  <c r="F19" i="89"/>
  <c r="F17" i="89"/>
  <c r="F13" i="89"/>
  <c r="F11" i="89"/>
  <c r="C18" i="69"/>
  <c r="D18" i="69" s="1"/>
  <c r="C17" i="69"/>
  <c r="D17" i="69" s="1"/>
  <c r="K47" i="84"/>
  <c r="K48" i="84" s="1"/>
  <c r="B47" i="84" s="1"/>
  <c r="B18" i="85"/>
  <c r="B17" i="84"/>
  <c r="B15" i="84"/>
  <c r="B18" i="84"/>
  <c r="E31" i="68"/>
  <c r="F31" i="68" s="1"/>
  <c r="I52" i="75"/>
  <c r="K52" i="75"/>
  <c r="G52" i="75"/>
  <c r="C37" i="69"/>
  <c r="D37" i="69" s="1"/>
  <c r="E22" i="69"/>
  <c r="F22" i="69" s="1"/>
  <c r="C39" i="69"/>
  <c r="D39" i="69" s="1"/>
  <c r="E45" i="68"/>
  <c r="F45" i="68" s="1"/>
  <c r="G49" i="75"/>
  <c r="G50" i="75" s="1"/>
  <c r="E45" i="69"/>
  <c r="G26" i="68"/>
  <c r="H26" i="68" s="1"/>
  <c r="E37" i="69"/>
  <c r="F37" i="69" s="1"/>
  <c r="C36" i="69"/>
  <c r="D36" i="69" s="1"/>
  <c r="E17" i="69"/>
  <c r="E16" i="69" s="1"/>
  <c r="C45" i="68"/>
  <c r="D45" i="68" s="1"/>
  <c r="E26" i="68"/>
  <c r="F26" i="68" s="1"/>
  <c r="E38" i="69"/>
  <c r="F38" i="69" s="1"/>
  <c r="C45" i="69"/>
  <c r="D45" i="69" s="1"/>
  <c r="C26" i="68"/>
  <c r="D26" i="68" s="1"/>
  <c r="E39" i="69"/>
  <c r="F39" i="69" s="1"/>
  <c r="E36" i="69"/>
  <c r="F36" i="69" s="1"/>
  <c r="G36" i="69" s="1"/>
  <c r="C21" i="68"/>
  <c r="D21" i="68" s="1"/>
  <c r="D30" i="69"/>
  <c r="D28" i="69"/>
  <c r="H22" i="68"/>
  <c r="G21" i="68"/>
  <c r="H21" i="68" s="1"/>
  <c r="D20" i="69"/>
  <c r="C22" i="69"/>
  <c r="D22" i="69" s="1"/>
  <c r="E21" i="68"/>
  <c r="F21" i="68" s="1"/>
  <c r="C31" i="68"/>
  <c r="D31" i="68" s="1"/>
  <c r="D38" i="69"/>
  <c r="D21" i="69"/>
  <c r="E28" i="69"/>
  <c r="E27" i="69" s="1"/>
  <c r="D22" i="68"/>
  <c r="D19" i="69"/>
  <c r="G19" i="69" s="1"/>
  <c r="F22" i="68"/>
  <c r="F30" i="69"/>
  <c r="F21" i="69"/>
  <c r="G21" i="69" s="1"/>
  <c r="F18" i="69"/>
  <c r="U26" i="88"/>
  <c r="O26" i="88" s="1"/>
  <c r="F14" i="68"/>
  <c r="D14" i="68"/>
  <c r="F60" i="74"/>
  <c r="D62" i="74"/>
  <c r="D56" i="75"/>
  <c r="E56" i="75" s="1"/>
  <c r="E53" i="74"/>
  <c r="D46" i="76" s="1"/>
  <c r="E11" i="75"/>
  <c r="E20" i="75"/>
  <c r="E23" i="75" s="1"/>
  <c r="D59" i="75"/>
  <c r="E59" i="75" s="1"/>
  <c r="E10" i="88"/>
  <c r="E14" i="88"/>
  <c r="E18" i="88"/>
  <c r="E22" i="88"/>
  <c r="E26" i="88"/>
  <c r="W26" i="88" s="1"/>
  <c r="E12" i="88"/>
  <c r="E16" i="88"/>
  <c r="E20" i="88"/>
  <c r="E24" i="88"/>
  <c r="E28" i="88"/>
  <c r="E49" i="74"/>
  <c r="D44" i="76" s="1"/>
  <c r="D15" i="78"/>
  <c r="F53" i="74"/>
  <c r="D22" i="76" s="1"/>
  <c r="D45" i="75"/>
  <c r="E45" i="75" s="1"/>
  <c r="L12" i="78"/>
  <c r="E51" i="74"/>
  <c r="D45" i="76" s="1"/>
  <c r="C62" i="74"/>
  <c r="F49" i="74"/>
  <c r="D20" i="76" s="1"/>
  <c r="C11" i="73"/>
  <c r="E58" i="74"/>
  <c r="F47" i="74"/>
  <c r="D19" i="76" s="1"/>
  <c r="D11" i="73"/>
  <c r="F58" i="74"/>
  <c r="K14" i="78"/>
  <c r="K10" i="78"/>
  <c r="M10" i="78" s="1"/>
  <c r="L14" i="78"/>
  <c r="D16" i="78"/>
  <c r="M4" i="78"/>
  <c r="M29" i="77"/>
  <c r="M30" i="77"/>
  <c r="G32" i="77"/>
  <c r="H29" i="77" s="1"/>
  <c r="M31" i="77"/>
  <c r="M28" i="77"/>
  <c r="G26" i="77"/>
  <c r="H25" i="77" s="1"/>
  <c r="D19" i="74"/>
  <c r="C19" i="74"/>
  <c r="E19" i="73"/>
  <c r="D36" i="73"/>
  <c r="D19" i="73"/>
  <c r="E48" i="73"/>
  <c r="E36" i="73"/>
  <c r="E11" i="73"/>
  <c r="C19" i="73"/>
  <c r="C36" i="73"/>
  <c r="C48" i="73"/>
  <c r="D48" i="73"/>
  <c r="G33" i="69"/>
  <c r="E10" i="70"/>
  <c r="D38" i="70"/>
  <c r="D10" i="70"/>
  <c r="D47" i="69"/>
  <c r="G47" i="69" s="1"/>
  <c r="G25" i="69"/>
  <c r="G31" i="69"/>
  <c r="G41" i="69"/>
  <c r="G44" i="69"/>
  <c r="G29" i="69"/>
  <c r="G43" i="69"/>
  <c r="E23" i="69"/>
  <c r="C27" i="69"/>
  <c r="F24" i="69"/>
  <c r="G24" i="69" s="1"/>
  <c r="D11" i="68"/>
  <c r="K16" i="62"/>
  <c r="T16" i="62" s="1"/>
  <c r="I16" i="62"/>
  <c r="S16" i="62" s="1"/>
  <c r="G16" i="62"/>
  <c r="Z78" i="62"/>
  <c r="AA70" i="62"/>
  <c r="Z70" i="62"/>
  <c r="AA62" i="62"/>
  <c r="Z62" i="62"/>
  <c r="AB53" i="62"/>
  <c r="AA53" i="62"/>
  <c r="Z53" i="62"/>
  <c r="K28" i="62"/>
  <c r="T28" i="62" s="1"/>
  <c r="I28" i="62"/>
  <c r="S28" i="62" s="1"/>
  <c r="G28" i="62"/>
  <c r="R28" i="62" s="1"/>
  <c r="E28" i="62"/>
  <c r="K26" i="62"/>
  <c r="T26" i="62" s="1"/>
  <c r="I26" i="62"/>
  <c r="S26" i="62" s="1"/>
  <c r="G26" i="62"/>
  <c r="E26" i="62"/>
  <c r="K24" i="62"/>
  <c r="T24" i="62" s="1"/>
  <c r="I24" i="62"/>
  <c r="S24" i="62" s="1"/>
  <c r="G24" i="62"/>
  <c r="R24" i="62" s="1"/>
  <c r="E24" i="62"/>
  <c r="K22" i="62"/>
  <c r="T22" i="62" s="1"/>
  <c r="I22" i="62"/>
  <c r="S22" i="62" s="1"/>
  <c r="G22" i="62"/>
  <c r="E22" i="62"/>
  <c r="K20" i="62"/>
  <c r="T20" i="62" s="1"/>
  <c r="I20" i="62"/>
  <c r="S20" i="62" s="1"/>
  <c r="G20" i="62"/>
  <c r="R20" i="62" s="1"/>
  <c r="E20" i="62"/>
  <c r="K18" i="62"/>
  <c r="T18" i="62" s="1"/>
  <c r="I18" i="62"/>
  <c r="S18" i="62" s="1"/>
  <c r="G18" i="62"/>
  <c r="E18" i="62"/>
  <c r="E16" i="62"/>
  <c r="K14" i="62"/>
  <c r="T14" i="62" s="1"/>
  <c r="I14" i="62"/>
  <c r="S14" i="62" s="1"/>
  <c r="G14" i="62"/>
  <c r="E14" i="62"/>
  <c r="E12" i="62"/>
  <c r="K10" i="62"/>
  <c r="K12" i="62" s="1"/>
  <c r="T12" i="62" s="1"/>
  <c r="I10" i="62"/>
  <c r="I12" i="62" s="1"/>
  <c r="S12" i="62" s="1"/>
  <c r="G10" i="62"/>
  <c r="R10" i="62" s="1"/>
  <c r="E10" i="62"/>
  <c r="AC9" i="62"/>
  <c r="R42" i="62"/>
  <c r="S42" i="62" s="1"/>
  <c r="T42" i="62" s="1"/>
  <c r="U42" i="62" s="1"/>
  <c r="B63" i="50"/>
  <c r="B52" i="15"/>
  <c r="E45" i="48"/>
  <c r="E45" i="53"/>
  <c r="B64" i="36"/>
  <c r="J9" i="1"/>
  <c r="D15" i="40"/>
  <c r="M25" i="31"/>
  <c r="M24" i="31"/>
  <c r="M23" i="31"/>
  <c r="D40" i="60"/>
  <c r="D39" i="60"/>
  <c r="D38" i="60"/>
  <c r="D37" i="60"/>
  <c r="D36" i="60"/>
  <c r="D35" i="60"/>
  <c r="E12" i="60"/>
  <c r="D12" i="60"/>
  <c r="E11" i="60"/>
  <c r="D11" i="60"/>
  <c r="E10" i="60"/>
  <c r="D10" i="60"/>
  <c r="E9" i="60"/>
  <c r="D9" i="60"/>
  <c r="E8" i="60"/>
  <c r="D8" i="60"/>
  <c r="E7" i="60"/>
  <c r="D7" i="60"/>
  <c r="D13" i="31"/>
  <c r="D35" i="39"/>
  <c r="D28" i="39"/>
  <c r="D39" i="40"/>
  <c r="C39" i="40"/>
  <c r="D33" i="40"/>
  <c r="C33" i="40"/>
  <c r="D13" i="40"/>
  <c r="C13" i="40"/>
  <c r="C15" i="40"/>
  <c r="G31" i="31"/>
  <c r="G30" i="31"/>
  <c r="G29" i="31"/>
  <c r="G28" i="31"/>
  <c r="G25" i="31"/>
  <c r="G24" i="31"/>
  <c r="G23" i="31"/>
  <c r="D58" i="40"/>
  <c r="C58" i="40"/>
  <c r="T14" i="1"/>
  <c r="S14" i="1" s="1"/>
  <c r="T15" i="1"/>
  <c r="S15" i="1" s="1"/>
  <c r="T13" i="1"/>
  <c r="S13" i="1" s="1"/>
  <c r="T10" i="1"/>
  <c r="S10" i="1" s="1"/>
  <c r="T11" i="1"/>
  <c r="S11" i="1" s="1"/>
  <c r="T9" i="1"/>
  <c r="S9" i="1" s="1"/>
  <c r="G35" i="56"/>
  <c r="D16" i="31"/>
  <c r="D15" i="31"/>
  <c r="G48" i="1"/>
  <c r="G33" i="58"/>
  <c r="F33" i="58"/>
  <c r="G33" i="33"/>
  <c r="F33" i="33"/>
  <c r="G55" i="15"/>
  <c r="E3" i="57"/>
  <c r="C15" i="58"/>
  <c r="C14" i="58"/>
  <c r="H42" i="58"/>
  <c r="D24" i="57" s="1"/>
  <c r="H50" i="58"/>
  <c r="D26" i="57" s="1"/>
  <c r="H54" i="58"/>
  <c r="D27" i="57" s="1"/>
  <c r="H44" i="58"/>
  <c r="D23" i="57" s="1"/>
  <c r="H48" i="58"/>
  <c r="D15" i="57" s="1"/>
  <c r="H23" i="58"/>
  <c r="D10" i="57" s="1"/>
  <c r="H37" i="58"/>
  <c r="D11" i="57" s="1"/>
  <c r="H39" i="58"/>
  <c r="D12" i="57" s="1"/>
  <c r="H52" i="58"/>
  <c r="D9" i="57" s="1"/>
  <c r="J11" i="57"/>
  <c r="K11" i="57"/>
  <c r="J12" i="57"/>
  <c r="K12" i="57"/>
  <c r="J13" i="57"/>
  <c r="K13" i="57"/>
  <c r="J14" i="57"/>
  <c r="K14" i="57"/>
  <c r="J16" i="57"/>
  <c r="K16" i="57"/>
  <c r="J17" i="57"/>
  <c r="K17" i="57"/>
  <c r="J25" i="57"/>
  <c r="K25" i="57"/>
  <c r="J26" i="57"/>
  <c r="K26" i="57"/>
  <c r="J28" i="57"/>
  <c r="K28" i="57"/>
  <c r="J29" i="57"/>
  <c r="K29" i="57"/>
  <c r="J37" i="57"/>
  <c r="K37" i="57"/>
  <c r="M37" i="57" s="1"/>
  <c r="F35" i="57" s="1"/>
  <c r="J38" i="57"/>
  <c r="K38" i="57"/>
  <c r="H35" i="58"/>
  <c r="D36" i="57" s="1"/>
  <c r="H27" i="58"/>
  <c r="D35" i="57" s="1"/>
  <c r="G54" i="58"/>
  <c r="F54" i="58"/>
  <c r="G52" i="58"/>
  <c r="F52" i="58"/>
  <c r="G50" i="58"/>
  <c r="F50" i="58"/>
  <c r="G48" i="58"/>
  <c r="F48" i="58"/>
  <c r="H46" i="58"/>
  <c r="G46" i="58"/>
  <c r="F46" i="58"/>
  <c r="L44" i="58"/>
  <c r="G44" i="58"/>
  <c r="F44" i="58"/>
  <c r="L42" i="58"/>
  <c r="G42" i="58"/>
  <c r="F42" i="58"/>
  <c r="G39" i="58"/>
  <c r="F39" i="58"/>
  <c r="G37" i="58"/>
  <c r="F37" i="58"/>
  <c r="G35" i="58"/>
  <c r="F35" i="58"/>
  <c r="H33" i="58"/>
  <c r="H31" i="58"/>
  <c r="G31" i="58"/>
  <c r="F31" i="58"/>
  <c r="H29" i="58"/>
  <c r="G29" i="58"/>
  <c r="F29" i="58"/>
  <c r="G27" i="58"/>
  <c r="H25" i="58"/>
  <c r="G25" i="58"/>
  <c r="F25" i="58"/>
  <c r="F23" i="58"/>
  <c r="G23" i="58"/>
  <c r="B40" i="57"/>
  <c r="E36" i="57"/>
  <c r="L38" i="57"/>
  <c r="N38" i="57" s="1"/>
  <c r="G36" i="57" s="1"/>
  <c r="E35" i="57"/>
  <c r="O37" i="57" s="1"/>
  <c r="C35" i="57" s="1"/>
  <c r="L37" i="57"/>
  <c r="N37" i="57" s="1"/>
  <c r="G35" i="57" s="1"/>
  <c r="L29" i="57"/>
  <c r="E26" i="57"/>
  <c r="L28" i="57"/>
  <c r="E24" i="57"/>
  <c r="L26" i="57"/>
  <c r="E23" i="57"/>
  <c r="L25" i="57"/>
  <c r="E15" i="57"/>
  <c r="L17" i="57"/>
  <c r="E14" i="57"/>
  <c r="O16" i="57" s="1"/>
  <c r="L16" i="57"/>
  <c r="E12" i="57"/>
  <c r="L14" i="57"/>
  <c r="E11" i="57"/>
  <c r="L13" i="57"/>
  <c r="E10" i="57"/>
  <c r="L12" i="57"/>
  <c r="E9" i="57"/>
  <c r="L11" i="57"/>
  <c r="B1" i="57"/>
  <c r="D35" i="56"/>
  <c r="D33" i="56"/>
  <c r="J10" i="56"/>
  <c r="J9" i="56"/>
  <c r="J8" i="56"/>
  <c r="J7" i="56"/>
  <c r="C52" i="13"/>
  <c r="C53" i="14"/>
  <c r="C55" i="15"/>
  <c r="E53" i="14"/>
  <c r="G21" i="33"/>
  <c r="E55" i="15"/>
  <c r="L31" i="31"/>
  <c r="L30" i="31"/>
  <c r="L29" i="31"/>
  <c r="L28" i="31"/>
  <c r="C9" i="15"/>
  <c r="K31" i="31"/>
  <c r="K30" i="31"/>
  <c r="K29" i="31"/>
  <c r="K28" i="31"/>
  <c r="H31" i="31"/>
  <c r="H30" i="31"/>
  <c r="H29" i="31"/>
  <c r="H28" i="31"/>
  <c r="G21" i="15"/>
  <c r="E21" i="15"/>
  <c r="K15" i="34"/>
  <c r="L15" i="34"/>
  <c r="K9" i="54"/>
  <c r="C51" i="15"/>
  <c r="A1" i="55"/>
  <c r="L9" i="34"/>
  <c r="K9" i="34"/>
  <c r="C49" i="14"/>
  <c r="C48" i="13"/>
  <c r="F23" i="33"/>
  <c r="C29" i="15"/>
  <c r="H14" i="15"/>
  <c r="H13" i="15"/>
  <c r="G14" i="15"/>
  <c r="G13" i="15"/>
  <c r="F14" i="15"/>
  <c r="E14" i="15"/>
  <c r="D14" i="15"/>
  <c r="C14" i="15"/>
  <c r="F13" i="15"/>
  <c r="E13" i="15"/>
  <c r="D13" i="15"/>
  <c r="C13" i="15"/>
  <c r="H12" i="15"/>
  <c r="G12" i="15"/>
  <c r="F12" i="15"/>
  <c r="E12" i="15"/>
  <c r="D12" i="15"/>
  <c r="C12" i="15"/>
  <c r="B12" i="15"/>
  <c r="D14" i="13"/>
  <c r="C14" i="13"/>
  <c r="D13" i="13"/>
  <c r="C13" i="13"/>
  <c r="F12" i="14"/>
  <c r="F11" i="14"/>
  <c r="E12" i="14"/>
  <c r="E11" i="14"/>
  <c r="D12" i="14"/>
  <c r="D11" i="14"/>
  <c r="C12" i="14"/>
  <c r="C11" i="14"/>
  <c r="F21" i="33"/>
  <c r="G23" i="33"/>
  <c r="F25" i="33"/>
  <c r="J40" i="17"/>
  <c r="J39" i="17"/>
  <c r="J38" i="17"/>
  <c r="J37" i="17"/>
  <c r="J36" i="17"/>
  <c r="J35" i="17"/>
  <c r="K9" i="17"/>
  <c r="J9" i="17"/>
  <c r="K11" i="17"/>
  <c r="J11" i="17"/>
  <c r="B55" i="17"/>
  <c r="K12" i="17"/>
  <c r="K10" i="17"/>
  <c r="K8" i="17"/>
  <c r="K7" i="17"/>
  <c r="J12" i="17"/>
  <c r="J10" i="17"/>
  <c r="J8" i="17"/>
  <c r="J7" i="17"/>
  <c r="G26" i="4"/>
  <c r="G23" i="4"/>
  <c r="G21" i="4"/>
  <c r="G18" i="4"/>
  <c r="G16" i="4"/>
  <c r="B29" i="4"/>
  <c r="D26" i="4"/>
  <c r="D23" i="4"/>
  <c r="D21" i="4"/>
  <c r="D18" i="4"/>
  <c r="D16" i="4"/>
  <c r="H26" i="4"/>
  <c r="E26" i="4"/>
  <c r="H23" i="4"/>
  <c r="H21" i="4"/>
  <c r="H18" i="4"/>
  <c r="H16" i="4"/>
  <c r="E23" i="4"/>
  <c r="E21" i="4"/>
  <c r="E18" i="4"/>
  <c r="E16" i="4"/>
  <c r="B66" i="36"/>
  <c r="D20" i="36"/>
  <c r="D32" i="36"/>
  <c r="D28" i="36"/>
  <c r="D46" i="36"/>
  <c r="D48" i="36"/>
  <c r="D52" i="36"/>
  <c r="D50" i="36"/>
  <c r="D62" i="36"/>
  <c r="D60" i="36"/>
  <c r="D58" i="36"/>
  <c r="D56" i="36"/>
  <c r="D54" i="36"/>
  <c r="D44" i="36"/>
  <c r="D42" i="36"/>
  <c r="D40" i="36"/>
  <c r="D38" i="36"/>
  <c r="D30" i="36"/>
  <c r="D26" i="36"/>
  <c r="D24" i="36"/>
  <c r="D22" i="36"/>
  <c r="D18" i="36"/>
  <c r="D16" i="36"/>
  <c r="D14" i="36"/>
  <c r="D12" i="36"/>
  <c r="B64" i="38"/>
  <c r="D19" i="38"/>
  <c r="C19" i="38"/>
  <c r="D31" i="38"/>
  <c r="C31" i="38"/>
  <c r="D27" i="38"/>
  <c r="C27" i="38"/>
  <c r="D44" i="38"/>
  <c r="C44" i="38"/>
  <c r="D46" i="38"/>
  <c r="C46" i="38"/>
  <c r="D50" i="38"/>
  <c r="C50" i="38"/>
  <c r="D48" i="38"/>
  <c r="C48" i="38"/>
  <c r="D60" i="38"/>
  <c r="D58" i="38"/>
  <c r="D56" i="38"/>
  <c r="D54" i="38"/>
  <c r="D52" i="38"/>
  <c r="D42" i="38"/>
  <c r="D40" i="38"/>
  <c r="D38" i="38"/>
  <c r="D36" i="38"/>
  <c r="D29" i="38"/>
  <c r="D25" i="38"/>
  <c r="D23" i="38"/>
  <c r="D21" i="38"/>
  <c r="D17" i="38"/>
  <c r="D15" i="38"/>
  <c r="D13" i="38"/>
  <c r="D11" i="38"/>
  <c r="C60" i="38"/>
  <c r="C58" i="38"/>
  <c r="C56" i="38"/>
  <c r="C54" i="38"/>
  <c r="C52" i="38"/>
  <c r="C42" i="38"/>
  <c r="C40" i="38"/>
  <c r="C38" i="38"/>
  <c r="C36" i="38"/>
  <c r="C29" i="38"/>
  <c r="C25" i="38"/>
  <c r="C23" i="38"/>
  <c r="C21" i="38"/>
  <c r="C17" i="38"/>
  <c r="C15" i="38"/>
  <c r="C13" i="38"/>
  <c r="C11" i="38"/>
  <c r="B64" i="37"/>
  <c r="E31" i="37"/>
  <c r="D31" i="37"/>
  <c r="C31" i="37"/>
  <c r="D19" i="37"/>
  <c r="E19" i="37"/>
  <c r="C19" i="37"/>
  <c r="E27" i="37"/>
  <c r="D27" i="37"/>
  <c r="C27" i="37"/>
  <c r="E44" i="37"/>
  <c r="D44" i="37"/>
  <c r="C44" i="37"/>
  <c r="E46" i="37"/>
  <c r="D46" i="37"/>
  <c r="C46" i="37"/>
  <c r="C50" i="37"/>
  <c r="E48" i="37"/>
  <c r="D48" i="37"/>
  <c r="C48" i="37"/>
  <c r="E50" i="37"/>
  <c r="D50" i="37"/>
  <c r="E60" i="37"/>
  <c r="E58" i="37"/>
  <c r="E56" i="37"/>
  <c r="E54" i="37"/>
  <c r="E52" i="37"/>
  <c r="E42" i="37"/>
  <c r="E40" i="37"/>
  <c r="E38" i="37"/>
  <c r="E36" i="37"/>
  <c r="E29" i="37"/>
  <c r="E25" i="37"/>
  <c r="E23" i="37"/>
  <c r="E21" i="37"/>
  <c r="E17" i="37"/>
  <c r="E15" i="37"/>
  <c r="E13" i="37"/>
  <c r="E11" i="37"/>
  <c r="D60" i="37"/>
  <c r="C60" i="37"/>
  <c r="D58" i="37"/>
  <c r="C58" i="37"/>
  <c r="D56" i="37"/>
  <c r="C56" i="37"/>
  <c r="D54" i="37"/>
  <c r="C54" i="37"/>
  <c r="D52" i="37"/>
  <c r="C52" i="37"/>
  <c r="D42" i="37"/>
  <c r="C42" i="37"/>
  <c r="D40" i="37"/>
  <c r="C40" i="37"/>
  <c r="D38" i="37"/>
  <c r="C38" i="37"/>
  <c r="D36" i="37"/>
  <c r="C36" i="37"/>
  <c r="D29" i="37"/>
  <c r="C29" i="37"/>
  <c r="D25" i="37"/>
  <c r="C25" i="37"/>
  <c r="D23" i="37"/>
  <c r="C23" i="37"/>
  <c r="D21" i="37"/>
  <c r="C21" i="37"/>
  <c r="D17" i="37"/>
  <c r="C17" i="37"/>
  <c r="D15" i="37"/>
  <c r="C15" i="37"/>
  <c r="D13" i="37"/>
  <c r="C13" i="37"/>
  <c r="D11" i="37"/>
  <c r="C11" i="37"/>
  <c r="E11" i="31"/>
  <c r="G44" i="31"/>
  <c r="H23" i="31"/>
  <c r="G46" i="31"/>
  <c r="F42" i="31"/>
  <c r="F41" i="31"/>
  <c r="F40" i="31"/>
  <c r="F39" i="31"/>
  <c r="D12" i="31"/>
  <c r="B54" i="31"/>
  <c r="G50" i="31"/>
  <c r="G49" i="31"/>
  <c r="J31" i="47"/>
  <c r="K31" i="47"/>
  <c r="C62" i="47"/>
  <c r="B19" i="47" s="1"/>
  <c r="B51" i="47"/>
  <c r="K47" i="48"/>
  <c r="K46" i="48"/>
  <c r="G33" i="48"/>
  <c r="J17" i="48"/>
  <c r="I17" i="48"/>
  <c r="B18" i="48" s="1"/>
  <c r="B51" i="48"/>
  <c r="C63" i="48"/>
  <c r="B48" i="48" s="1"/>
  <c r="G35" i="48"/>
  <c r="G31" i="48"/>
  <c r="G24" i="49"/>
  <c r="J14" i="49"/>
  <c r="G14" i="49" s="1"/>
  <c r="B49" i="49"/>
  <c r="B30" i="49"/>
  <c r="G15" i="49"/>
  <c r="B31" i="49"/>
  <c r="C62" i="49"/>
  <c r="B28" i="49" s="1"/>
  <c r="G17" i="49"/>
  <c r="G16" i="49"/>
  <c r="B27" i="49"/>
  <c r="C70" i="50"/>
  <c r="B51" i="50" s="1"/>
  <c r="B33" i="50"/>
  <c r="B29" i="50"/>
  <c r="B24" i="50"/>
  <c r="B18" i="50"/>
  <c r="B67" i="50"/>
  <c r="B55" i="50"/>
  <c r="B54" i="50"/>
  <c r="B62" i="50"/>
  <c r="B34" i="50"/>
  <c r="K6" i="34"/>
  <c r="L6" i="34"/>
  <c r="K13" i="34"/>
  <c r="L13" i="34"/>
  <c r="F27" i="33"/>
  <c r="F29" i="33"/>
  <c r="F31" i="33"/>
  <c r="F35" i="33"/>
  <c r="B52" i="52"/>
  <c r="C62" i="52"/>
  <c r="B47" i="52" s="1"/>
  <c r="J31" i="52"/>
  <c r="K31" i="52"/>
  <c r="B53" i="53"/>
  <c r="G33" i="53"/>
  <c r="C62" i="53"/>
  <c r="B15" i="53" s="1"/>
  <c r="K47" i="53"/>
  <c r="K46" i="53"/>
  <c r="G35" i="53"/>
  <c r="G31" i="53"/>
  <c r="J17" i="53"/>
  <c r="I17" i="53"/>
  <c r="B25" i="13"/>
  <c r="D18" i="13"/>
  <c r="C18" i="13"/>
  <c r="D12" i="13"/>
  <c r="C12" i="13"/>
  <c r="C42" i="13"/>
  <c r="D25" i="13"/>
  <c r="C25" i="13"/>
  <c r="D26" i="13"/>
  <c r="C26" i="13"/>
  <c r="B26" i="13"/>
  <c r="C9" i="13"/>
  <c r="C44" i="13"/>
  <c r="C37" i="13"/>
  <c r="D19" i="13"/>
  <c r="C19" i="13"/>
  <c r="D51" i="13"/>
  <c r="D47" i="13"/>
  <c r="D45" i="13"/>
  <c r="D36" i="13"/>
  <c r="D40" i="13"/>
  <c r="D35" i="13"/>
  <c r="D33" i="13"/>
  <c r="D31" i="13"/>
  <c r="D28" i="13"/>
  <c r="D23" i="13"/>
  <c r="D21" i="13"/>
  <c r="D20" i="13"/>
  <c r="D17" i="13"/>
  <c r="C51" i="13"/>
  <c r="C47" i="13"/>
  <c r="C45" i="13"/>
  <c r="C40" i="13"/>
  <c r="C38" i="13"/>
  <c r="C36" i="13"/>
  <c r="C35" i="13"/>
  <c r="C33" i="13"/>
  <c r="C31" i="13"/>
  <c r="C28" i="13"/>
  <c r="C23" i="13"/>
  <c r="C21" i="13"/>
  <c r="C20" i="13"/>
  <c r="C17" i="13"/>
  <c r="D15" i="13"/>
  <c r="C15" i="13"/>
  <c r="D11" i="13"/>
  <c r="C11" i="13"/>
  <c r="D44" i="13"/>
  <c r="B44" i="13"/>
  <c r="B30" i="13"/>
  <c r="B19" i="13"/>
  <c r="D49" i="13"/>
  <c r="D48" i="13"/>
  <c r="D43" i="13"/>
  <c r="D42" i="13"/>
  <c r="D41" i="13"/>
  <c r="D37" i="13"/>
  <c r="D32" i="13"/>
  <c r="C49" i="13"/>
  <c r="C43" i="13"/>
  <c r="C41" i="13"/>
  <c r="C32" i="13"/>
  <c r="B43" i="13"/>
  <c r="B42" i="13"/>
  <c r="B41" i="13"/>
  <c r="B38" i="13"/>
  <c r="B37" i="13"/>
  <c r="B36" i="13"/>
  <c r="B18" i="13"/>
  <c r="B12" i="13"/>
  <c r="B55" i="14"/>
  <c r="B24" i="14"/>
  <c r="F16" i="14"/>
  <c r="E16" i="14"/>
  <c r="D16" i="14"/>
  <c r="C16" i="14"/>
  <c r="F10" i="14"/>
  <c r="E10" i="14"/>
  <c r="D10" i="14"/>
  <c r="C10" i="14"/>
  <c r="E43" i="14"/>
  <c r="C43" i="14"/>
  <c r="F24" i="14"/>
  <c r="E24" i="14"/>
  <c r="D24" i="14"/>
  <c r="C24" i="14"/>
  <c r="F25" i="14"/>
  <c r="E25" i="14"/>
  <c r="D25" i="14"/>
  <c r="C25" i="14"/>
  <c r="B25" i="14"/>
  <c r="E8" i="14"/>
  <c r="C8" i="14"/>
  <c r="E45" i="14"/>
  <c r="C45" i="14"/>
  <c r="E37" i="14"/>
  <c r="C37" i="14"/>
  <c r="F17" i="14"/>
  <c r="D17" i="14"/>
  <c r="E17" i="14"/>
  <c r="C17" i="14"/>
  <c r="F52" i="14"/>
  <c r="F50" i="14"/>
  <c r="F49" i="14"/>
  <c r="F48" i="14"/>
  <c r="F46" i="14"/>
  <c r="F45" i="14"/>
  <c r="F44" i="14"/>
  <c r="F43" i="14"/>
  <c r="F42" i="14"/>
  <c r="F40" i="14"/>
  <c r="F37" i="14"/>
  <c r="F36" i="14"/>
  <c r="F35" i="14"/>
  <c r="F33" i="14"/>
  <c r="F32" i="14"/>
  <c r="F30" i="14"/>
  <c r="F27" i="14"/>
  <c r="F22" i="14"/>
  <c r="F19" i="14"/>
  <c r="F18" i="14"/>
  <c r="F15" i="14"/>
  <c r="F13" i="14"/>
  <c r="F9" i="14"/>
  <c r="E52" i="14"/>
  <c r="E50" i="14"/>
  <c r="E49" i="14"/>
  <c r="E48" i="14"/>
  <c r="E46" i="14"/>
  <c r="E44" i="14"/>
  <c r="E42" i="14"/>
  <c r="E40" i="14"/>
  <c r="E38" i="14"/>
  <c r="E36" i="14"/>
  <c r="E35" i="14"/>
  <c r="E33" i="14"/>
  <c r="E32" i="14"/>
  <c r="C42" i="14"/>
  <c r="D42" i="14"/>
  <c r="D43" i="14"/>
  <c r="C44" i="14"/>
  <c r="D44" i="14"/>
  <c r="D45" i="14"/>
  <c r="C46" i="14"/>
  <c r="D46" i="14"/>
  <c r="C48" i="14"/>
  <c r="D48" i="14"/>
  <c r="D49" i="14"/>
  <c r="C50" i="14"/>
  <c r="D50" i="14"/>
  <c r="C52" i="14"/>
  <c r="D52" i="14"/>
  <c r="C35" i="14"/>
  <c r="D35" i="14"/>
  <c r="C36" i="14"/>
  <c r="D36" i="14"/>
  <c r="D37" i="14"/>
  <c r="C38" i="14"/>
  <c r="C40" i="14"/>
  <c r="D40" i="14"/>
  <c r="D32" i="14"/>
  <c r="C32" i="14"/>
  <c r="D33" i="14"/>
  <c r="C33" i="14"/>
  <c r="E30" i="14"/>
  <c r="E27" i="14"/>
  <c r="E22" i="14"/>
  <c r="E19" i="14"/>
  <c r="E18" i="14"/>
  <c r="E15" i="14"/>
  <c r="E13" i="14"/>
  <c r="E9" i="14"/>
  <c r="D19" i="14"/>
  <c r="D18" i="14"/>
  <c r="D15" i="14"/>
  <c r="D13" i="14"/>
  <c r="D9" i="14"/>
  <c r="C22" i="14"/>
  <c r="D22" i="14"/>
  <c r="C27" i="14"/>
  <c r="D27" i="14"/>
  <c r="C30" i="14"/>
  <c r="D30" i="14"/>
  <c r="C19" i="14"/>
  <c r="C18" i="14"/>
  <c r="C15" i="14"/>
  <c r="C13" i="14"/>
  <c r="C9" i="14"/>
  <c r="B17" i="14"/>
  <c r="B50" i="14"/>
  <c r="B45" i="14"/>
  <c r="B44" i="14"/>
  <c r="B43" i="14"/>
  <c r="B42" i="14"/>
  <c r="B38" i="14"/>
  <c r="B37" i="14"/>
  <c r="B36" i="14"/>
  <c r="B29" i="14"/>
  <c r="B16" i="14"/>
  <c r="B10" i="14"/>
  <c r="B26" i="15"/>
  <c r="H11" i="15"/>
  <c r="F18" i="15"/>
  <c r="H18" i="15"/>
  <c r="D18" i="15"/>
  <c r="F11" i="15"/>
  <c r="D11" i="15"/>
  <c r="G18" i="15"/>
  <c r="E18" i="15"/>
  <c r="G11" i="15"/>
  <c r="E11" i="15"/>
  <c r="C11" i="15"/>
  <c r="C18" i="15"/>
  <c r="C21" i="15"/>
  <c r="G45" i="15"/>
  <c r="E45" i="15"/>
  <c r="C45" i="15"/>
  <c r="H26" i="15"/>
  <c r="G26" i="15"/>
  <c r="F26" i="15"/>
  <c r="E26" i="15"/>
  <c r="D26" i="15"/>
  <c r="C26" i="15"/>
  <c r="H27" i="15"/>
  <c r="G27" i="15"/>
  <c r="F27" i="15"/>
  <c r="E27" i="15"/>
  <c r="D27" i="15"/>
  <c r="C27" i="15"/>
  <c r="B27" i="15"/>
  <c r="G9" i="15"/>
  <c r="E9" i="15"/>
  <c r="G47" i="15"/>
  <c r="E47" i="15"/>
  <c r="C47" i="15"/>
  <c r="G39" i="15"/>
  <c r="E39" i="15"/>
  <c r="C39" i="15"/>
  <c r="H19" i="15"/>
  <c r="F19" i="15"/>
  <c r="D19" i="15"/>
  <c r="G19" i="15"/>
  <c r="E19" i="15"/>
  <c r="C19" i="15"/>
  <c r="B57" i="15"/>
  <c r="H54" i="15"/>
  <c r="H52" i="15"/>
  <c r="H51" i="15"/>
  <c r="H50" i="15"/>
  <c r="G54" i="15"/>
  <c r="G52" i="15"/>
  <c r="G51" i="15"/>
  <c r="G50" i="15"/>
  <c r="H48" i="15"/>
  <c r="H47" i="15"/>
  <c r="H46" i="15"/>
  <c r="H45" i="15"/>
  <c r="H44" i="15"/>
  <c r="G48" i="15"/>
  <c r="G46" i="15"/>
  <c r="G44" i="15"/>
  <c r="H42" i="15"/>
  <c r="G42" i="15"/>
  <c r="H39" i="15"/>
  <c r="H38" i="15"/>
  <c r="G40" i="15"/>
  <c r="G38" i="15"/>
  <c r="H37" i="15"/>
  <c r="H35" i="15"/>
  <c r="H34" i="15"/>
  <c r="H32" i="15"/>
  <c r="H29" i="15"/>
  <c r="G37" i="15"/>
  <c r="G35" i="15"/>
  <c r="G34" i="15"/>
  <c r="G32" i="15"/>
  <c r="G29" i="15"/>
  <c r="H24" i="15"/>
  <c r="G24" i="15"/>
  <c r="H21" i="15"/>
  <c r="H20" i="15"/>
  <c r="H17" i="15"/>
  <c r="G20" i="15"/>
  <c r="G17" i="15"/>
  <c r="G15" i="15"/>
  <c r="H15" i="15"/>
  <c r="G10" i="15"/>
  <c r="H10" i="15"/>
  <c r="F54" i="15"/>
  <c r="E54" i="15"/>
  <c r="D54" i="15"/>
  <c r="C54" i="15"/>
  <c r="F52" i="15"/>
  <c r="E52" i="15"/>
  <c r="D52" i="15"/>
  <c r="C52" i="15"/>
  <c r="F51" i="15"/>
  <c r="E51" i="15"/>
  <c r="D51" i="15"/>
  <c r="F50" i="15"/>
  <c r="E50" i="15"/>
  <c r="D50" i="15"/>
  <c r="C50" i="15"/>
  <c r="F48" i="15"/>
  <c r="E48" i="15"/>
  <c r="D48" i="15"/>
  <c r="C48" i="15"/>
  <c r="F47" i="15"/>
  <c r="D47" i="15"/>
  <c r="F46" i="15"/>
  <c r="E46" i="15"/>
  <c r="D46" i="15"/>
  <c r="C46" i="15"/>
  <c r="F45" i="15"/>
  <c r="D45" i="15"/>
  <c r="F44" i="15"/>
  <c r="E44" i="15"/>
  <c r="D44" i="15"/>
  <c r="C44" i="15"/>
  <c r="F42" i="15"/>
  <c r="E42" i="15"/>
  <c r="D42" i="15"/>
  <c r="C42" i="15"/>
  <c r="E40" i="15"/>
  <c r="C40" i="15"/>
  <c r="F39" i="15"/>
  <c r="D39" i="15"/>
  <c r="F38" i="15"/>
  <c r="E38" i="15"/>
  <c r="D38" i="15"/>
  <c r="C38" i="15"/>
  <c r="F37" i="15"/>
  <c r="E37" i="15"/>
  <c r="D37" i="15"/>
  <c r="C37" i="15"/>
  <c r="F35" i="15"/>
  <c r="E35" i="15"/>
  <c r="D35" i="15"/>
  <c r="C35" i="15"/>
  <c r="F34" i="15"/>
  <c r="E34" i="15"/>
  <c r="D34" i="15"/>
  <c r="C34" i="15"/>
  <c r="F32" i="15"/>
  <c r="E32" i="15"/>
  <c r="D32" i="15"/>
  <c r="C32" i="15"/>
  <c r="F29" i="15"/>
  <c r="E29" i="15"/>
  <c r="D29" i="15"/>
  <c r="F24" i="15"/>
  <c r="E24" i="15"/>
  <c r="D24" i="15"/>
  <c r="C24" i="15"/>
  <c r="F21" i="15"/>
  <c r="D21" i="15"/>
  <c r="F20" i="15"/>
  <c r="E20" i="15"/>
  <c r="D20" i="15"/>
  <c r="C20" i="15"/>
  <c r="F17" i="15"/>
  <c r="E17" i="15"/>
  <c r="D17" i="15"/>
  <c r="C17" i="15"/>
  <c r="F15" i="15"/>
  <c r="E15" i="15"/>
  <c r="D15" i="15"/>
  <c r="C15" i="15"/>
  <c r="F10" i="15"/>
  <c r="E10" i="15"/>
  <c r="D10" i="15"/>
  <c r="C10" i="15"/>
  <c r="B19" i="15"/>
  <c r="B45" i="15"/>
  <c r="B47" i="15"/>
  <c r="B46" i="15"/>
  <c r="B44" i="15"/>
  <c r="B40" i="15"/>
  <c r="B39" i="15"/>
  <c r="B38" i="15"/>
  <c r="B31" i="15"/>
  <c r="B18" i="15"/>
  <c r="B11" i="15"/>
  <c r="B50" i="35"/>
  <c r="F36" i="35"/>
  <c r="G36" i="35" s="1"/>
  <c r="D36" i="35"/>
  <c r="E36" i="35"/>
  <c r="C36" i="35"/>
  <c r="D40" i="35"/>
  <c r="F40" i="35"/>
  <c r="E40" i="35"/>
  <c r="C40" i="35"/>
  <c r="F47" i="35"/>
  <c r="F45" i="35"/>
  <c r="F44" i="35"/>
  <c r="F43" i="35"/>
  <c r="F42" i="35"/>
  <c r="F39" i="35"/>
  <c r="F38" i="35"/>
  <c r="G38" i="35" s="1"/>
  <c r="F37" i="35"/>
  <c r="F34" i="35"/>
  <c r="F32" i="35"/>
  <c r="G32" i="35" s="1"/>
  <c r="F31" i="35"/>
  <c r="F30" i="35"/>
  <c r="G30" i="35" s="1"/>
  <c r="F29" i="35"/>
  <c r="F28" i="35"/>
  <c r="F27" i="35"/>
  <c r="F25" i="35"/>
  <c r="G25" i="35" s="1"/>
  <c r="F24" i="35"/>
  <c r="G24" i="35" s="1"/>
  <c r="F23" i="35"/>
  <c r="G23" i="35" s="1"/>
  <c r="F21" i="35"/>
  <c r="G21" i="35" s="1"/>
  <c r="F20" i="35"/>
  <c r="F19" i="35"/>
  <c r="F18" i="35"/>
  <c r="F17" i="35"/>
  <c r="F16" i="35"/>
  <c r="D27" i="35"/>
  <c r="E27" i="35"/>
  <c r="C27" i="35"/>
  <c r="E47" i="35"/>
  <c r="E45" i="35"/>
  <c r="E44" i="35"/>
  <c r="E43" i="35"/>
  <c r="E42" i="35"/>
  <c r="E39" i="35"/>
  <c r="E38" i="35"/>
  <c r="E37" i="35"/>
  <c r="E34" i="35"/>
  <c r="E32" i="35"/>
  <c r="E31" i="35"/>
  <c r="E30" i="35"/>
  <c r="E29" i="35"/>
  <c r="E28" i="35"/>
  <c r="E25" i="35"/>
  <c r="E24" i="35"/>
  <c r="E23" i="35"/>
  <c r="E21" i="35"/>
  <c r="E20" i="35"/>
  <c r="E19" i="35"/>
  <c r="E18" i="35"/>
  <c r="E17" i="35"/>
  <c r="E16" i="35"/>
  <c r="D39" i="35"/>
  <c r="D38" i="35"/>
  <c r="D37" i="35"/>
  <c r="D25" i="35"/>
  <c r="D24" i="35"/>
  <c r="D32" i="35"/>
  <c r="D31" i="35"/>
  <c r="D30" i="35"/>
  <c r="D29" i="35"/>
  <c r="D28" i="35"/>
  <c r="D47" i="35"/>
  <c r="D45" i="35"/>
  <c r="D44" i="35"/>
  <c r="D43" i="35"/>
  <c r="D42" i="35"/>
  <c r="D34" i="35"/>
  <c r="D23" i="35"/>
  <c r="D21" i="35"/>
  <c r="D20" i="35"/>
  <c r="D19" i="35"/>
  <c r="D18" i="35"/>
  <c r="D17" i="35"/>
  <c r="C47" i="35"/>
  <c r="C45" i="35"/>
  <c r="C44" i="35"/>
  <c r="C43" i="35"/>
  <c r="C42" i="35"/>
  <c r="C39" i="35"/>
  <c r="C38" i="35"/>
  <c r="C37" i="35"/>
  <c r="C34" i="35"/>
  <c r="C32" i="35"/>
  <c r="C31" i="35"/>
  <c r="C30" i="35"/>
  <c r="C29" i="35"/>
  <c r="C28" i="35"/>
  <c r="C25" i="35"/>
  <c r="C24" i="35"/>
  <c r="C23" i="35"/>
  <c r="C21" i="35"/>
  <c r="C20" i="35"/>
  <c r="C19" i="35"/>
  <c r="C18" i="35"/>
  <c r="C17" i="35"/>
  <c r="D16" i="35"/>
  <c r="C16" i="35"/>
  <c r="G46" i="33"/>
  <c r="F46" i="33"/>
  <c r="G44" i="33"/>
  <c r="F44" i="33"/>
  <c r="G42" i="33"/>
  <c r="F42" i="33"/>
  <c r="G29" i="33"/>
  <c r="F48" i="33"/>
  <c r="G48" i="33"/>
  <c r="G39" i="33"/>
  <c r="G37" i="33"/>
  <c r="G35" i="33"/>
  <c r="G31" i="33"/>
  <c r="G27" i="33"/>
  <c r="G25" i="33"/>
  <c r="F37" i="33"/>
  <c r="F39" i="33"/>
  <c r="J12" i="1"/>
  <c r="J11" i="1"/>
  <c r="J10" i="1"/>
  <c r="D48" i="1"/>
  <c r="D46" i="1"/>
  <c r="L4" i="34"/>
  <c r="K4" i="34"/>
  <c r="K14" i="34"/>
  <c r="L14" i="34"/>
  <c r="K8" i="34"/>
  <c r="L8" i="34"/>
  <c r="B51" i="34"/>
  <c r="D18" i="34"/>
  <c r="B22" i="34"/>
  <c r="B19" i="34"/>
  <c r="K7" i="34"/>
  <c r="L7" i="34"/>
  <c r="D21" i="34"/>
  <c r="B18" i="34"/>
  <c r="B21" i="34"/>
  <c r="L5" i="34"/>
  <c r="K5" i="34"/>
  <c r="L11" i="34"/>
  <c r="K11" i="34"/>
  <c r="K12" i="34"/>
  <c r="D48" i="34" s="1"/>
  <c r="K10" i="34"/>
  <c r="L12" i="34"/>
  <c r="L10" i="34"/>
  <c r="B51" i="54"/>
  <c r="K12" i="54"/>
  <c r="D47" i="54" s="1"/>
  <c r="K11" i="54"/>
  <c r="B43" i="54" s="1"/>
  <c r="K10" i="54"/>
  <c r="L9" i="54"/>
  <c r="K14" i="54"/>
  <c r="L14" i="54"/>
  <c r="K7" i="54"/>
  <c r="L7" i="54"/>
  <c r="L4" i="54"/>
  <c r="K4" i="54"/>
  <c r="K13" i="54"/>
  <c r="L13" i="54"/>
  <c r="L12" i="54"/>
  <c r="L11" i="54"/>
  <c r="L10" i="54"/>
  <c r="K8" i="54"/>
  <c r="L8" i="54"/>
  <c r="K6" i="54"/>
  <c r="L6" i="54"/>
  <c r="K5" i="54"/>
  <c r="L5" i="54"/>
  <c r="B7" i="30"/>
  <c r="E47" i="26"/>
  <c r="E45" i="26"/>
  <c r="E43" i="26"/>
  <c r="E41" i="26"/>
  <c r="B53" i="26"/>
  <c r="E34" i="26"/>
  <c r="E29" i="26"/>
  <c r="E24" i="26"/>
  <c r="E19" i="26"/>
  <c r="E14" i="26"/>
  <c r="F50" i="27"/>
  <c r="F46" i="27"/>
  <c r="E46" i="27"/>
  <c r="F48" i="27"/>
  <c r="E48" i="27"/>
  <c r="F44" i="27"/>
  <c r="E44" i="27"/>
  <c r="E50" i="27"/>
  <c r="B55" i="27"/>
  <c r="F37" i="27"/>
  <c r="F32" i="27"/>
  <c r="F27" i="27"/>
  <c r="F22" i="27"/>
  <c r="F17" i="27"/>
  <c r="E37" i="27"/>
  <c r="E32" i="27"/>
  <c r="E27" i="27"/>
  <c r="E22" i="27"/>
  <c r="E17" i="27"/>
  <c r="G52" i="28"/>
  <c r="E38" i="28"/>
  <c r="E46" i="28"/>
  <c r="G38" i="28"/>
  <c r="F38" i="28"/>
  <c r="G33" i="28"/>
  <c r="F33" i="28"/>
  <c r="E33" i="28"/>
  <c r="G28" i="28"/>
  <c r="F28" i="28"/>
  <c r="E28" i="28"/>
  <c r="G23" i="28"/>
  <c r="F23" i="28"/>
  <c r="G46" i="28"/>
  <c r="G48" i="28"/>
  <c r="G50" i="28"/>
  <c r="F52" i="28"/>
  <c r="F50" i="28"/>
  <c r="F48" i="28"/>
  <c r="E52" i="28"/>
  <c r="E50" i="28"/>
  <c r="E48" i="28"/>
  <c r="F46" i="28"/>
  <c r="G18" i="28"/>
  <c r="F18" i="28"/>
  <c r="E18" i="28"/>
  <c r="E23" i="28"/>
  <c r="B57" i="28"/>
  <c r="B65" i="39"/>
  <c r="D41" i="39"/>
  <c r="D17" i="39"/>
  <c r="D42" i="39"/>
  <c r="D60" i="39"/>
  <c r="D58" i="39"/>
  <c r="D57" i="39"/>
  <c r="D54" i="39"/>
  <c r="D53" i="39"/>
  <c r="D52" i="39"/>
  <c r="D49" i="39"/>
  <c r="D48" i="39"/>
  <c r="D47" i="39"/>
  <c r="D46" i="39"/>
  <c r="D45" i="39"/>
  <c r="D44" i="39"/>
  <c r="D43" i="39"/>
  <c r="D33" i="39"/>
  <c r="D30" i="39"/>
  <c r="D29" i="39"/>
  <c r="D25" i="39"/>
  <c r="D24" i="39"/>
  <c r="D23" i="39"/>
  <c r="D22" i="39"/>
  <c r="D21" i="39"/>
  <c r="D20" i="39"/>
  <c r="D19" i="39"/>
  <c r="D18" i="39"/>
  <c r="D14" i="39"/>
  <c r="B68" i="40"/>
  <c r="C9" i="40"/>
  <c r="D9" i="40"/>
  <c r="D57" i="40"/>
  <c r="D60" i="40"/>
  <c r="C57" i="40"/>
  <c r="C60" i="40"/>
  <c r="D7" i="40"/>
  <c r="C7" i="40"/>
  <c r="C55" i="40"/>
  <c r="D55" i="40"/>
  <c r="D53" i="40"/>
  <c r="C53" i="40"/>
  <c r="C51" i="40"/>
  <c r="D51" i="40"/>
  <c r="D49" i="40"/>
  <c r="C49" i="40"/>
  <c r="D47" i="40"/>
  <c r="C47" i="40"/>
  <c r="D25" i="40"/>
  <c r="C25" i="40"/>
  <c r="D19" i="40"/>
  <c r="C19" i="40"/>
  <c r="C37" i="40"/>
  <c r="C31" i="40"/>
  <c r="C29" i="40"/>
  <c r="C27" i="40"/>
  <c r="C23" i="40"/>
  <c r="C21" i="40"/>
  <c r="C17" i="40"/>
  <c r="C11" i="40"/>
  <c r="D37" i="40"/>
  <c r="D35" i="40"/>
  <c r="D31" i="40"/>
  <c r="D29" i="40"/>
  <c r="D27" i="40"/>
  <c r="D23" i="40"/>
  <c r="D21" i="40"/>
  <c r="D17" i="40"/>
  <c r="D11" i="40"/>
  <c r="B18" i="53" l="1"/>
  <c r="G25" i="49"/>
  <c r="L18" i="4"/>
  <c r="I18" i="4" s="1"/>
  <c r="B16" i="53"/>
  <c r="G30" i="48"/>
  <c r="G19" i="35"/>
  <c r="G29" i="35"/>
  <c r="G34" i="35"/>
  <c r="G30" i="53"/>
  <c r="M38" i="57"/>
  <c r="F36" i="57" s="1"/>
  <c r="G18" i="35"/>
  <c r="G28" i="35"/>
  <c r="G39" i="35"/>
  <c r="B17" i="53"/>
  <c r="L21" i="4"/>
  <c r="I21" i="4" s="1"/>
  <c r="W16" i="88"/>
  <c r="X16" i="88" s="1"/>
  <c r="G42" i="35"/>
  <c r="G45" i="35"/>
  <c r="G16" i="35"/>
  <c r="G20" i="35"/>
  <c r="G37" i="35"/>
  <c r="G43" i="35"/>
  <c r="B17" i="48"/>
  <c r="L23" i="4"/>
  <c r="I23" i="4" s="1"/>
  <c r="O38" i="57"/>
  <c r="C36" i="57" s="1"/>
  <c r="C31" i="73"/>
  <c r="B37" i="86" s="1"/>
  <c r="I49" i="75"/>
  <c r="I50" i="75" s="1"/>
  <c r="C58" i="27"/>
  <c r="C59" i="27" s="1"/>
  <c r="C60" i="27" s="1"/>
  <c r="B20" i="27" s="1"/>
  <c r="B97" i="65"/>
  <c r="B100" i="65"/>
  <c r="B96" i="65"/>
  <c r="B98" i="65"/>
  <c r="B99" i="65"/>
  <c r="G47" i="35"/>
  <c r="G40" i="35"/>
  <c r="B15" i="48"/>
  <c r="G17" i="35"/>
  <c r="G27" i="35"/>
  <c r="G31" i="35"/>
  <c r="G44" i="35"/>
  <c r="B16" i="48"/>
  <c r="L16" i="4"/>
  <c r="I16" i="4" s="1"/>
  <c r="L26" i="4"/>
  <c r="I26" i="4" s="1"/>
  <c r="U16" i="88"/>
  <c r="AA16" i="88" s="1"/>
  <c r="AB16" i="88" s="1"/>
  <c r="AC16" i="88" s="1"/>
  <c r="D63" i="75"/>
  <c r="G63" i="75" s="1"/>
  <c r="D34" i="60"/>
  <c r="B42" i="86"/>
  <c r="B68" i="48"/>
  <c r="B69" i="48" s="1"/>
  <c r="B70" i="48" s="1"/>
  <c r="B50" i="48" s="1"/>
  <c r="B57" i="78"/>
  <c r="B58" i="78" s="1"/>
  <c r="B59" i="78" s="1"/>
  <c r="B60" i="78" s="1"/>
  <c r="B70" i="76"/>
  <c r="B71" i="76" s="1"/>
  <c r="B72" i="76" s="1"/>
  <c r="B73" i="76" s="1"/>
  <c r="B35" i="72"/>
  <c r="B36" i="72" s="1"/>
  <c r="B37" i="72" s="1"/>
  <c r="B38" i="72" s="1"/>
  <c r="J6" i="71"/>
  <c r="B79" i="86"/>
  <c r="B80" i="86" s="1"/>
  <c r="B81" i="86" s="1"/>
  <c r="B82" i="86" s="1"/>
  <c r="B69" i="73"/>
  <c r="B70" i="73" s="1"/>
  <c r="B71" i="73" s="1"/>
  <c r="B72" i="73" s="1"/>
  <c r="C60" i="87"/>
  <c r="C61" i="87" s="1"/>
  <c r="C62" i="87" s="1"/>
  <c r="C63" i="87" s="1"/>
  <c r="B73" i="85"/>
  <c r="B74" i="85" s="1"/>
  <c r="B75" i="85" s="1"/>
  <c r="B76" i="85" s="1"/>
  <c r="B68" i="84"/>
  <c r="B69" i="84" s="1"/>
  <c r="B70" i="84" s="1"/>
  <c r="B71" i="84" s="1"/>
  <c r="K3" i="78"/>
  <c r="J34" i="71"/>
  <c r="B71" i="74"/>
  <c r="B72" i="74" s="1"/>
  <c r="B73" i="74" s="1"/>
  <c r="B74" i="74" s="1"/>
  <c r="B58" i="68"/>
  <c r="B59" i="68" s="1"/>
  <c r="B60" i="68" s="1"/>
  <c r="B61" i="68" s="1"/>
  <c r="C16" i="75"/>
  <c r="C15" i="75"/>
  <c r="B35" i="4"/>
  <c r="B36" i="4" s="1"/>
  <c r="B37" i="4" s="1"/>
  <c r="B38" i="4" s="1"/>
  <c r="B79" i="50"/>
  <c r="B80" i="50" s="1"/>
  <c r="B81" i="50" s="1"/>
  <c r="E26" i="50" s="1"/>
  <c r="E62" i="74"/>
  <c r="K6" i="71"/>
  <c r="L3" i="78"/>
  <c r="AA22" i="88"/>
  <c r="AB22" i="88" s="1"/>
  <c r="AC22" i="88" s="1"/>
  <c r="O22" i="88"/>
  <c r="W22" i="88"/>
  <c r="X22" i="88" s="1"/>
  <c r="K49" i="75"/>
  <c r="K50" i="75" s="1"/>
  <c r="B50" i="85"/>
  <c r="D53" i="76"/>
  <c r="G25" i="86" s="1"/>
  <c r="Q48" i="75"/>
  <c r="Q50" i="75" s="1"/>
  <c r="G17" i="86"/>
  <c r="E45" i="84"/>
  <c r="G26" i="72"/>
  <c r="H26" i="72" s="1"/>
  <c r="G45" i="68"/>
  <c r="H45" i="68" s="1"/>
  <c r="G18" i="68"/>
  <c r="H18" i="68" s="1"/>
  <c r="G46" i="87" s="1"/>
  <c r="E48" i="87"/>
  <c r="C16" i="69"/>
  <c r="G18" i="69"/>
  <c r="D60" i="73"/>
  <c r="E66" i="75" s="1"/>
  <c r="I66" i="75" s="1"/>
  <c r="G22" i="69"/>
  <c r="F17" i="69"/>
  <c r="G17" i="69" s="1"/>
  <c r="G37" i="69"/>
  <c r="F48" i="87"/>
  <c r="G48" i="87"/>
  <c r="AA26" i="88"/>
  <c r="AB26" i="88" s="1"/>
  <c r="AC26" i="88" s="1"/>
  <c r="G30" i="69"/>
  <c r="G38" i="69"/>
  <c r="C25" i="74"/>
  <c r="C39" i="74" s="1"/>
  <c r="D25" i="74"/>
  <c r="D26" i="72"/>
  <c r="F28" i="69"/>
  <c r="G28" i="69" s="1"/>
  <c r="F45" i="69"/>
  <c r="G45" i="69" s="1"/>
  <c r="G39" i="69"/>
  <c r="E35" i="69"/>
  <c r="F35" i="69" s="1"/>
  <c r="E18" i="68"/>
  <c r="F18" i="68" s="1"/>
  <c r="G16" i="72" s="1"/>
  <c r="H16" i="72" s="1"/>
  <c r="C18" i="68"/>
  <c r="D18" i="68" s="1"/>
  <c r="C35" i="69"/>
  <c r="D39" i="70" s="1"/>
  <c r="E14" i="75"/>
  <c r="C24" i="75"/>
  <c r="C25" i="75"/>
  <c r="M16" i="88"/>
  <c r="X26" i="88"/>
  <c r="M26" i="88"/>
  <c r="E60" i="73"/>
  <c r="F66" i="75" s="1"/>
  <c r="K66" i="75" s="1"/>
  <c r="D27" i="78"/>
  <c r="C60" i="73"/>
  <c r="D66" i="75" s="1"/>
  <c r="G66" i="75" s="1"/>
  <c r="E31" i="73"/>
  <c r="F63" i="75" s="1"/>
  <c r="K63" i="75" s="1"/>
  <c r="D31" i="73"/>
  <c r="E63" i="75" s="1"/>
  <c r="I63" i="75" s="1"/>
  <c r="M14" i="78"/>
  <c r="B27" i="78"/>
  <c r="B29" i="78"/>
  <c r="D29" i="78"/>
  <c r="H31" i="77"/>
  <c r="H30" i="77"/>
  <c r="D32" i="75"/>
  <c r="E32" i="75" s="1"/>
  <c r="N25" i="77"/>
  <c r="D29" i="75"/>
  <c r="E29" i="75" s="1"/>
  <c r="H23" i="77"/>
  <c r="H24" i="77"/>
  <c r="N23" i="77"/>
  <c r="N24" i="77"/>
  <c r="D23" i="69"/>
  <c r="D8" i="70"/>
  <c r="D36" i="70"/>
  <c r="D9" i="70"/>
  <c r="D37" i="70"/>
  <c r="F23" i="69"/>
  <c r="E8" i="70"/>
  <c r="E7" i="70"/>
  <c r="F27" i="69"/>
  <c r="E9" i="70"/>
  <c r="D27" i="69"/>
  <c r="D37" i="54"/>
  <c r="M9" i="54"/>
  <c r="W10" i="62"/>
  <c r="X10" i="62" s="1"/>
  <c r="B32" i="34"/>
  <c r="W26" i="62"/>
  <c r="M26" i="62" s="1"/>
  <c r="W24" i="62"/>
  <c r="X24" i="62" s="1"/>
  <c r="Y24" i="62" s="1"/>
  <c r="H40" i="15"/>
  <c r="W14" i="62"/>
  <c r="X14" i="62" s="1"/>
  <c r="W20" i="62"/>
  <c r="X20" i="62" s="1"/>
  <c r="Y20" i="62" s="1"/>
  <c r="W28" i="62"/>
  <c r="X28" i="62" s="1"/>
  <c r="Y28" i="62" s="1"/>
  <c r="G12" i="62"/>
  <c r="W12" i="62" s="1"/>
  <c r="X12" i="62" s="1"/>
  <c r="Y12" i="62" s="1"/>
  <c r="W18" i="62"/>
  <c r="X18" i="62" s="1"/>
  <c r="W22" i="62"/>
  <c r="X22" i="62" s="1"/>
  <c r="Z22" i="62" s="1"/>
  <c r="W16" i="62"/>
  <c r="U24" i="62"/>
  <c r="AA24" i="62" s="1"/>
  <c r="U28" i="62"/>
  <c r="AA28" i="62" s="1"/>
  <c r="B35" i="27"/>
  <c r="M18" i="62"/>
  <c r="K6" i="17"/>
  <c r="E6" i="60"/>
  <c r="G14" i="4"/>
  <c r="D9" i="37"/>
  <c r="C46" i="40"/>
  <c r="J12" i="28"/>
  <c r="U20" i="62"/>
  <c r="AA20" i="62" s="1"/>
  <c r="B70" i="53"/>
  <c r="B71" i="53" s="1"/>
  <c r="B72" i="53" s="1"/>
  <c r="B45" i="53" s="1"/>
  <c r="T10" i="62"/>
  <c r="R14" i="62"/>
  <c r="U14" i="62" s="1"/>
  <c r="AA14" i="62" s="1"/>
  <c r="B37" i="34"/>
  <c r="B69" i="37"/>
  <c r="B70" i="37" s="1"/>
  <c r="B71" i="37" s="1"/>
  <c r="B62" i="37" s="1"/>
  <c r="B61" i="15"/>
  <c r="B62" i="15" s="1"/>
  <c r="B63" i="15" s="1"/>
  <c r="B64" i="15" s="1"/>
  <c r="D6" i="60"/>
  <c r="B71" i="40"/>
  <c r="B72" i="40" s="1"/>
  <c r="B73" i="40" s="1"/>
  <c r="B66" i="40" s="1"/>
  <c r="B61" i="14"/>
  <c r="B62" i="14" s="1"/>
  <c r="B63" i="14" s="1"/>
  <c r="B49" i="14" s="1"/>
  <c r="B79" i="49"/>
  <c r="B80" i="49" s="1"/>
  <c r="B81" i="49" s="1"/>
  <c r="B47" i="49" s="1"/>
  <c r="B57" i="34"/>
  <c r="B58" i="34" s="1"/>
  <c r="B59" i="34" s="1"/>
  <c r="B50" i="34" s="1"/>
  <c r="B56" i="33"/>
  <c r="B57" i="33" s="1"/>
  <c r="B58" i="33" s="1"/>
  <c r="B42" i="33" s="1"/>
  <c r="S10" i="62"/>
  <c r="U10" i="62" s="1"/>
  <c r="R18" i="62"/>
  <c r="U18" i="62" s="1"/>
  <c r="O18" i="62" s="1"/>
  <c r="R22" i="62"/>
  <c r="U22" i="62" s="1"/>
  <c r="O22" i="62" s="1"/>
  <c r="R26" i="62"/>
  <c r="U26" i="62" s="1"/>
  <c r="C61" i="28"/>
  <c r="C62" i="28" s="1"/>
  <c r="C63" i="28" s="1"/>
  <c r="B21" i="28" s="1"/>
  <c r="B69" i="38"/>
  <c r="B70" i="38" s="1"/>
  <c r="B71" i="38" s="1"/>
  <c r="B42" i="38" s="1"/>
  <c r="B70" i="39"/>
  <c r="B71" i="39" s="1"/>
  <c r="B72" i="39" s="1"/>
  <c r="B73" i="39" s="1"/>
  <c r="R16" i="62"/>
  <c r="U16" i="62" s="1"/>
  <c r="T3" i="62"/>
  <c r="R3" i="62"/>
  <c r="F60" i="40"/>
  <c r="B30" i="27"/>
  <c r="E14" i="50"/>
  <c r="D20" i="48"/>
  <c r="B71" i="48"/>
  <c r="B45" i="48"/>
  <c r="B28" i="4"/>
  <c r="B26" i="4"/>
  <c r="B23" i="4"/>
  <c r="E9" i="37"/>
  <c r="E34" i="37"/>
  <c r="G7" i="15"/>
  <c r="K12" i="28"/>
  <c r="B47" i="54"/>
  <c r="F53" i="40"/>
  <c r="F47" i="40"/>
  <c r="F51" i="40"/>
  <c r="M12" i="54"/>
  <c r="D46" i="54"/>
  <c r="M9" i="34"/>
  <c r="M43" i="58"/>
  <c r="E27" i="57" s="1"/>
  <c r="O29" i="57" s="1"/>
  <c r="C27" i="57" s="1"/>
  <c r="D62" i="40"/>
  <c r="D63" i="40" s="1"/>
  <c r="G32" i="31"/>
  <c r="M28" i="31"/>
  <c r="H32" i="31"/>
  <c r="E58" i="40"/>
  <c r="E7" i="15"/>
  <c r="L3" i="54"/>
  <c r="E14" i="35"/>
  <c r="E6" i="14"/>
  <c r="D34" i="37"/>
  <c r="D34" i="38"/>
  <c r="C6" i="40"/>
  <c r="I12" i="27"/>
  <c r="L3" i="34"/>
  <c r="D9" i="38"/>
  <c r="B47" i="47"/>
  <c r="F58" i="40"/>
  <c r="E60" i="40"/>
  <c r="M8" i="54"/>
  <c r="B45" i="54"/>
  <c r="D29" i="34"/>
  <c r="B48" i="53"/>
  <c r="B49" i="47"/>
  <c r="O26" i="57"/>
  <c r="C24" i="57" s="1"/>
  <c r="E51" i="40"/>
  <c r="D46" i="34"/>
  <c r="M7" i="34"/>
  <c r="K48" i="48"/>
  <c r="B47" i="48" s="1"/>
  <c r="B46" i="47"/>
  <c r="C62" i="40"/>
  <c r="C63" i="40" s="1"/>
  <c r="M6" i="54"/>
  <c r="M10" i="54"/>
  <c r="B37" i="54"/>
  <c r="D42" i="54"/>
  <c r="B46" i="54"/>
  <c r="D48" i="54"/>
  <c r="B15" i="34"/>
  <c r="M12" i="34"/>
  <c r="M5" i="34"/>
  <c r="D19" i="34" s="1"/>
  <c r="M14" i="34"/>
  <c r="F40" i="15"/>
  <c r="N25" i="57"/>
  <c r="G23" i="57" s="1"/>
  <c r="O25" i="57"/>
  <c r="C23" i="57" s="1"/>
  <c r="E55" i="40"/>
  <c r="E57" i="40"/>
  <c r="D40" i="54"/>
  <c r="D45" i="54"/>
  <c r="M8" i="34"/>
  <c r="D16" i="34"/>
  <c r="D40" i="15"/>
  <c r="D38" i="13"/>
  <c r="O12" i="57"/>
  <c r="C10" i="57" s="1"/>
  <c r="I26" i="58"/>
  <c r="M14" i="54"/>
  <c r="D38" i="54"/>
  <c r="B25" i="34"/>
  <c r="I23" i="58"/>
  <c r="B42" i="49"/>
  <c r="B59" i="50"/>
  <c r="N17" i="57"/>
  <c r="G15" i="57" s="1"/>
  <c r="O17" i="57"/>
  <c r="C15" i="57" s="1"/>
  <c r="M17" i="57"/>
  <c r="F15" i="57" s="1"/>
  <c r="N14" i="57"/>
  <c r="G14" i="57" s="1"/>
  <c r="M14" i="57"/>
  <c r="F12" i="57" s="1"/>
  <c r="N16" i="57"/>
  <c r="M16" i="57"/>
  <c r="F14" i="57" s="1"/>
  <c r="N13" i="57"/>
  <c r="G11" i="57" s="1"/>
  <c r="M13" i="57"/>
  <c r="F11" i="57" s="1"/>
  <c r="I25" i="58"/>
  <c r="J26" i="58" s="1"/>
  <c r="M7" i="54"/>
  <c r="D25" i="34"/>
  <c r="B24" i="34"/>
  <c r="D24" i="34"/>
  <c r="N12" i="57"/>
  <c r="G12" i="57" s="1"/>
  <c r="M12" i="57"/>
  <c r="F10" i="57" s="1"/>
  <c r="M15" i="34"/>
  <c r="D31" i="34"/>
  <c r="M13" i="54"/>
  <c r="M13" i="34"/>
  <c r="L31" i="47"/>
  <c r="B31" i="47" s="1"/>
  <c r="L31" i="52"/>
  <c r="M11" i="34"/>
  <c r="B40" i="54"/>
  <c r="B42" i="54"/>
  <c r="D41" i="54"/>
  <c r="D43" i="54"/>
  <c r="M11" i="54"/>
  <c r="B41" i="54"/>
  <c r="B45" i="34"/>
  <c r="D47" i="34"/>
  <c r="D45" i="34"/>
  <c r="B47" i="34"/>
  <c r="B46" i="34"/>
  <c r="N11" i="57"/>
  <c r="G9" i="57" s="1"/>
  <c r="M6" i="34"/>
  <c r="D22" i="34" s="1"/>
  <c r="M11" i="57"/>
  <c r="F9" i="57" s="1"/>
  <c r="O11" i="57"/>
  <c r="C9" i="57" s="1"/>
  <c r="M5" i="54"/>
  <c r="G38" i="31"/>
  <c r="M10" i="34"/>
  <c r="K48" i="53"/>
  <c r="B47" i="53" s="1"/>
  <c r="D37" i="34"/>
  <c r="F49" i="40"/>
  <c r="E49" i="40"/>
  <c r="N28" i="57"/>
  <c r="G26" i="57" s="1"/>
  <c r="M28" i="57"/>
  <c r="F26" i="57" s="1"/>
  <c r="N26" i="57"/>
  <c r="G24" i="57" s="1"/>
  <c r="M26" i="57"/>
  <c r="F24" i="57" s="1"/>
  <c r="F38" i="14"/>
  <c r="M4" i="54"/>
  <c r="D38" i="14"/>
  <c r="N29" i="57"/>
  <c r="G27" i="57" s="1"/>
  <c r="M25" i="57"/>
  <c r="F23" i="57" s="1"/>
  <c r="F55" i="40"/>
  <c r="O13" i="57"/>
  <c r="C11" i="57" s="1"/>
  <c r="O14" i="57"/>
  <c r="C12" i="57" s="1"/>
  <c r="J26" i="33"/>
  <c r="J23" i="33"/>
  <c r="O28" i="57"/>
  <c r="C26" i="57" s="1"/>
  <c r="G26" i="31"/>
  <c r="E47" i="40"/>
  <c r="M31" i="31"/>
  <c r="M30" i="31"/>
  <c r="J25" i="33"/>
  <c r="M29" i="31"/>
  <c r="D15" i="34"/>
  <c r="B27" i="34"/>
  <c r="D28" i="34"/>
  <c r="M4" i="34"/>
  <c r="B16" i="34" s="1"/>
  <c r="B46" i="52"/>
  <c r="B52" i="50"/>
  <c r="B31" i="34"/>
  <c r="D38" i="34"/>
  <c r="M29" i="57"/>
  <c r="F27" i="57" s="1"/>
  <c r="B57" i="50"/>
  <c r="E53" i="40"/>
  <c r="B38" i="54"/>
  <c r="B19" i="52"/>
  <c r="B39" i="50"/>
  <c r="B38" i="34"/>
  <c r="B29" i="34"/>
  <c r="D32" i="34"/>
  <c r="B33" i="34"/>
  <c r="B28" i="34"/>
  <c r="D33" i="34"/>
  <c r="D27" i="34"/>
  <c r="B50" i="27" l="1"/>
  <c r="C61" i="27"/>
  <c r="C53" i="27"/>
  <c r="O16" i="88"/>
  <c r="E20" i="50"/>
  <c r="B82" i="50"/>
  <c r="G23" i="87"/>
  <c r="K28" i="88" s="1"/>
  <c r="T28" i="88" s="1"/>
  <c r="E36" i="50"/>
  <c r="G38" i="87"/>
  <c r="K24" i="88" s="1"/>
  <c r="T24" i="88" s="1"/>
  <c r="D55" i="74"/>
  <c r="J55" i="74"/>
  <c r="J57" i="74" s="1"/>
  <c r="J63" i="74" s="1"/>
  <c r="G52" i="87" s="1"/>
  <c r="K20" i="88" s="1"/>
  <c r="T20" i="88" s="1"/>
  <c r="E38" i="87"/>
  <c r="C55" i="74"/>
  <c r="C57" i="74" s="1"/>
  <c r="C63" i="74" s="1"/>
  <c r="F52" i="87" s="1"/>
  <c r="I20" i="88" s="1"/>
  <c r="S20" i="88" s="1"/>
  <c r="E23" i="87"/>
  <c r="C65" i="50"/>
  <c r="M22" i="88"/>
  <c r="F23" i="87"/>
  <c r="I28" i="88" s="1"/>
  <c r="S28" i="88" s="1"/>
  <c r="M10" i="62"/>
  <c r="Y10" i="62"/>
  <c r="Z10" i="62" s="1"/>
  <c r="G24" i="68"/>
  <c r="H24" i="68" s="1"/>
  <c r="G50" i="87" s="1"/>
  <c r="K10" i="88"/>
  <c r="E41" i="75"/>
  <c r="D41" i="75"/>
  <c r="D16" i="69"/>
  <c r="D7" i="70"/>
  <c r="K13" i="78"/>
  <c r="D35" i="70"/>
  <c r="F38" i="87"/>
  <c r="I24" i="88" s="1"/>
  <c r="S24" i="88" s="1"/>
  <c r="L26" i="72"/>
  <c r="I26" i="72" s="1"/>
  <c r="K31" i="79"/>
  <c r="F16" i="69"/>
  <c r="D39" i="74"/>
  <c r="B48" i="84"/>
  <c r="F46" i="87"/>
  <c r="I10" i="88"/>
  <c r="G10" i="88"/>
  <c r="E46" i="87"/>
  <c r="J31" i="79"/>
  <c r="C24" i="68"/>
  <c r="D24" i="68" s="1"/>
  <c r="L13" i="78"/>
  <c r="D35" i="69"/>
  <c r="G35" i="69" s="1"/>
  <c r="O28" i="62"/>
  <c r="L5" i="78"/>
  <c r="L8" i="78" s="1"/>
  <c r="E24" i="68"/>
  <c r="F24" i="68" s="1"/>
  <c r="F50" i="87" s="1"/>
  <c r="K5" i="78"/>
  <c r="K8" i="78" s="1"/>
  <c r="D28" i="78" s="1"/>
  <c r="H26" i="77"/>
  <c r="Y26" i="88"/>
  <c r="Z26" i="88" s="1"/>
  <c r="Y22" i="88"/>
  <c r="Z22" i="88" s="1"/>
  <c r="Y16" i="88"/>
  <c r="Z16" i="88" s="1"/>
  <c r="B43" i="50"/>
  <c r="B45" i="50"/>
  <c r="D16" i="72"/>
  <c r="K6" i="78"/>
  <c r="L6" i="78"/>
  <c r="B55" i="15"/>
  <c r="H32" i="77"/>
  <c r="B72" i="38"/>
  <c r="G23" i="69"/>
  <c r="B73" i="53"/>
  <c r="B48" i="33"/>
  <c r="G27" i="69"/>
  <c r="B44" i="33"/>
  <c r="B7" i="40"/>
  <c r="B59" i="33"/>
  <c r="B53" i="40"/>
  <c r="B25" i="37"/>
  <c r="O24" i="62"/>
  <c r="B51" i="33"/>
  <c r="B42" i="37"/>
  <c r="D43" i="34"/>
  <c r="B43" i="34"/>
  <c r="D40" i="34"/>
  <c r="B40" i="34"/>
  <c r="D41" i="34"/>
  <c r="B41" i="34"/>
  <c r="D42" i="34"/>
  <c r="B42" i="34"/>
  <c r="C46" i="39"/>
  <c r="C35" i="39"/>
  <c r="E62" i="40"/>
  <c r="C58" i="39"/>
  <c r="M22" i="62"/>
  <c r="Y22" i="62"/>
  <c r="M24" i="62"/>
  <c r="Z24" i="62"/>
  <c r="M20" i="62"/>
  <c r="X26" i="62"/>
  <c r="Y26" i="62" s="1"/>
  <c r="M14" i="62"/>
  <c r="Y14" i="62"/>
  <c r="Z14" i="62" s="1"/>
  <c r="B64" i="14"/>
  <c r="C22" i="39"/>
  <c r="C17" i="39"/>
  <c r="B63" i="39"/>
  <c r="B53" i="14"/>
  <c r="B72" i="37"/>
  <c r="B52" i="28"/>
  <c r="B36" i="28"/>
  <c r="B51" i="15"/>
  <c r="C56" i="28"/>
  <c r="Z20" i="62"/>
  <c r="AA22" i="62"/>
  <c r="AC22" i="62" s="1"/>
  <c r="X16" i="62"/>
  <c r="M16" i="62"/>
  <c r="M28" i="62"/>
  <c r="Z28" i="62"/>
  <c r="M12" i="62"/>
  <c r="AA18" i="62"/>
  <c r="AB18" i="62" s="1"/>
  <c r="R12" i="62"/>
  <c r="U12" i="62" s="1"/>
  <c r="AA12" i="62" s="1"/>
  <c r="AB24" i="62"/>
  <c r="AC24" i="62" s="1"/>
  <c r="O20" i="62"/>
  <c r="Z12" i="62"/>
  <c r="O14" i="62"/>
  <c r="O10" i="62"/>
  <c r="AA10" i="62"/>
  <c r="AA16" i="62"/>
  <c r="O16" i="62"/>
  <c r="H24" i="31"/>
  <c r="N25" i="31"/>
  <c r="B37" i="49"/>
  <c r="B82" i="49"/>
  <c r="Y18" i="62"/>
  <c r="Z18" i="62" s="1"/>
  <c r="B60" i="34"/>
  <c r="AA26" i="62"/>
  <c r="O26" i="62"/>
  <c r="B63" i="40"/>
  <c r="B74" i="40"/>
  <c r="N24" i="31"/>
  <c r="B46" i="50"/>
  <c r="D20" i="53"/>
  <c r="B62" i="38"/>
  <c r="C64" i="28"/>
  <c r="B31" i="28"/>
  <c r="H25" i="31"/>
  <c r="B50" i="53"/>
  <c r="B25" i="38"/>
  <c r="N23" i="31"/>
  <c r="V3" i="62"/>
  <c r="AB28" i="62"/>
  <c r="AC28" i="62" s="1"/>
  <c r="AB20" i="62"/>
  <c r="AC20" i="62" s="1"/>
  <c r="AB14" i="62"/>
  <c r="AC14" i="62" s="1"/>
  <c r="G10" i="57"/>
  <c r="E63" i="40"/>
  <c r="K26" i="33"/>
  <c r="C9" i="37"/>
  <c r="G9" i="26"/>
  <c r="C14" i="35"/>
  <c r="D6" i="40"/>
  <c r="J32" i="56"/>
  <c r="H12" i="27"/>
  <c r="D36" i="36"/>
  <c r="K3" i="54"/>
  <c r="C6" i="14"/>
  <c r="D46" i="40"/>
  <c r="F12" i="30"/>
  <c r="J6" i="17"/>
  <c r="K3" i="34"/>
  <c r="C7" i="13"/>
  <c r="I12" i="28"/>
  <c r="D10" i="36"/>
  <c r="C34" i="37"/>
  <c r="J34" i="17"/>
  <c r="C7" i="15"/>
  <c r="C34" i="38"/>
  <c r="K41" i="1"/>
  <c r="D14" i="4"/>
  <c r="C9" i="38"/>
  <c r="C13" i="35"/>
  <c r="F11" i="30"/>
  <c r="K40" i="1"/>
  <c r="J31" i="56"/>
  <c r="E13" i="35"/>
  <c r="G28" i="88" l="1"/>
  <c r="B24" i="85"/>
  <c r="K12" i="88"/>
  <c r="T12" i="88" s="1"/>
  <c r="G24" i="88"/>
  <c r="B29" i="85"/>
  <c r="G32" i="68"/>
  <c r="G39" i="68" s="1"/>
  <c r="G18" i="87" s="1"/>
  <c r="D57" i="74"/>
  <c r="B28" i="86" s="1"/>
  <c r="E55" i="74"/>
  <c r="D47" i="76" s="1"/>
  <c r="D58" i="76" s="1"/>
  <c r="F55" i="74"/>
  <c r="D23" i="76" s="1"/>
  <c r="D35" i="76" s="1"/>
  <c r="T10" i="88"/>
  <c r="L31" i="79"/>
  <c r="B31" i="79" s="1"/>
  <c r="G16" i="69"/>
  <c r="M13" i="78"/>
  <c r="D53" i="75"/>
  <c r="B57" i="85"/>
  <c r="B56" i="85"/>
  <c r="G12" i="88"/>
  <c r="R10" i="88"/>
  <c r="W10" i="88"/>
  <c r="D18" i="72"/>
  <c r="E50" i="87"/>
  <c r="S10" i="88"/>
  <c r="I12" i="88"/>
  <c r="S12" i="88" s="1"/>
  <c r="K19" i="79"/>
  <c r="G18" i="72"/>
  <c r="J19" i="79"/>
  <c r="C32" i="68"/>
  <c r="K7" i="78" s="1"/>
  <c r="D18" i="78"/>
  <c r="E32" i="68"/>
  <c r="L7" i="78" s="1"/>
  <c r="M5" i="78"/>
  <c r="D19" i="78" s="1"/>
  <c r="B18" i="78"/>
  <c r="L11" i="78"/>
  <c r="M8" i="78"/>
  <c r="B28" i="78"/>
  <c r="B21" i="78"/>
  <c r="D21" i="78"/>
  <c r="M6" i="78"/>
  <c r="D22" i="78" s="1"/>
  <c r="L16" i="72"/>
  <c r="I16" i="72" s="1"/>
  <c r="AB22" i="62"/>
  <c r="G47" i="68"/>
  <c r="F40" i="75" s="1"/>
  <c r="K39" i="75" s="1"/>
  <c r="O12" i="62"/>
  <c r="Z26" i="62"/>
  <c r="AC18" i="62"/>
  <c r="Y16" i="62"/>
  <c r="Y30" i="62" s="1"/>
  <c r="AB12" i="62"/>
  <c r="AC12" i="62" s="1"/>
  <c r="AB10" i="62"/>
  <c r="AC10" i="62" s="1"/>
  <c r="H26" i="31"/>
  <c r="AB16" i="62"/>
  <c r="AC16" i="62" s="1"/>
  <c r="AB26" i="62"/>
  <c r="AC26" i="62"/>
  <c r="H32" i="68" l="1"/>
  <c r="H39" i="68"/>
  <c r="K14" i="88" s="1"/>
  <c r="T14" i="88" s="1"/>
  <c r="Z16" i="62"/>
  <c r="Z30" i="62" s="1"/>
  <c r="D63" i="74"/>
  <c r="E57" i="74"/>
  <c r="R24" i="88"/>
  <c r="U24" i="88" s="1"/>
  <c r="W24" i="88"/>
  <c r="R28" i="88"/>
  <c r="U28" i="88" s="1"/>
  <c r="W28" i="88"/>
  <c r="I42" i="78"/>
  <c r="B27" i="86"/>
  <c r="I41" i="78"/>
  <c r="D60" i="76"/>
  <c r="L18" i="72"/>
  <c r="R12" i="88"/>
  <c r="U12" i="88" s="1"/>
  <c r="W12" i="88"/>
  <c r="M10" i="88"/>
  <c r="X10" i="88"/>
  <c r="U10" i="88"/>
  <c r="L19" i="79"/>
  <c r="B19" i="79" s="1"/>
  <c r="B22" i="78"/>
  <c r="B43" i="85"/>
  <c r="D32" i="68"/>
  <c r="C39" i="68"/>
  <c r="E39" i="68"/>
  <c r="F18" i="87" s="1"/>
  <c r="F32" i="68"/>
  <c r="B19" i="78"/>
  <c r="M7" i="78"/>
  <c r="B25" i="78" s="1"/>
  <c r="D24" i="78"/>
  <c r="B24" i="78"/>
  <c r="G51" i="68"/>
  <c r="H51" i="68" s="1"/>
  <c r="H47" i="68"/>
  <c r="K18" i="88" s="1"/>
  <c r="T18" i="88" s="1"/>
  <c r="AB30" i="62"/>
  <c r="AC30" i="62" s="1"/>
  <c r="G33" i="62" s="1"/>
  <c r="D25" i="78" l="1"/>
  <c r="G31" i="62"/>
  <c r="R40" i="62"/>
  <c r="S40" i="62" s="1"/>
  <c r="J42" i="78"/>
  <c r="AA28" i="88"/>
  <c r="AB28" i="88" s="1"/>
  <c r="AC28" i="88" s="1"/>
  <c r="O28" i="88"/>
  <c r="B31" i="86"/>
  <c r="K11" i="78"/>
  <c r="M11" i="78" s="1"/>
  <c r="B30" i="86"/>
  <c r="E52" i="87"/>
  <c r="E63" i="74"/>
  <c r="D54" i="75"/>
  <c r="E53" i="75" s="1"/>
  <c r="M28" i="88"/>
  <c r="X28" i="88"/>
  <c r="O24" i="88"/>
  <c r="AA24" i="88"/>
  <c r="AB24" i="88" s="1"/>
  <c r="AC24" i="88" s="1"/>
  <c r="I46" i="78"/>
  <c r="K12" i="78"/>
  <c r="D48" i="75"/>
  <c r="E48" i="75" s="1"/>
  <c r="M24" i="88"/>
  <c r="X24" i="88"/>
  <c r="Y24" i="88" s="1"/>
  <c r="Z24" i="88" s="1"/>
  <c r="I18" i="72"/>
  <c r="O12" i="88"/>
  <c r="AA12" i="88"/>
  <c r="E18" i="87"/>
  <c r="B47" i="85"/>
  <c r="B46" i="85"/>
  <c r="O10" i="88"/>
  <c r="AA10" i="88"/>
  <c r="AB10" i="88" s="1"/>
  <c r="AC10" i="88" s="1"/>
  <c r="X12" i="88"/>
  <c r="M12" i="88"/>
  <c r="Y10" i="88"/>
  <c r="Z10" i="88" s="1"/>
  <c r="F39" i="68"/>
  <c r="D39" i="68"/>
  <c r="B46" i="79"/>
  <c r="C47" i="68"/>
  <c r="E47" i="68"/>
  <c r="E51" i="68" s="1"/>
  <c r="R41" i="62"/>
  <c r="S41" i="62" s="1"/>
  <c r="T41" i="62" s="1"/>
  <c r="U41" i="62" s="1"/>
  <c r="T40" i="62"/>
  <c r="D47" i="78" l="1"/>
  <c r="D46" i="78"/>
  <c r="B45" i="78"/>
  <c r="M12" i="78"/>
  <c r="D45" i="78"/>
  <c r="B46" i="78"/>
  <c r="D48" i="78"/>
  <c r="B47" i="78"/>
  <c r="Y28" i="88"/>
  <c r="Z28" i="88" s="1"/>
  <c r="B39" i="85"/>
  <c r="G20" i="88"/>
  <c r="D41" i="78"/>
  <c r="D40" i="78"/>
  <c r="B42" i="78"/>
  <c r="B41" i="78"/>
  <c r="B40" i="78"/>
  <c r="D43" i="78"/>
  <c r="B43" i="78"/>
  <c r="D42" i="78"/>
  <c r="B49" i="79"/>
  <c r="I14" i="88"/>
  <c r="S14" i="88" s="1"/>
  <c r="Y12" i="88"/>
  <c r="Z12" i="88" s="1"/>
  <c r="AB12" i="88"/>
  <c r="AC12" i="88" s="1"/>
  <c r="B47" i="79"/>
  <c r="G14" i="88"/>
  <c r="D40" i="75"/>
  <c r="G39" i="75" s="1"/>
  <c r="B52" i="85"/>
  <c r="C51" i="68"/>
  <c r="D47" i="68"/>
  <c r="K9" i="78"/>
  <c r="L9" i="78"/>
  <c r="F47" i="68"/>
  <c r="E40" i="75"/>
  <c r="J40" i="75" s="1"/>
  <c r="F51" i="68"/>
  <c r="G23" i="72" s="1"/>
  <c r="L15" i="78"/>
  <c r="B37" i="62"/>
  <c r="U40" i="62"/>
  <c r="U43" i="62" s="1"/>
  <c r="T43" i="62"/>
  <c r="R20" i="88" l="1"/>
  <c r="U20" i="88" s="1"/>
  <c r="W20" i="88"/>
  <c r="I38" i="78"/>
  <c r="I39" i="78" s="1"/>
  <c r="M56" i="85"/>
  <c r="M57" i="85" s="1"/>
  <c r="D21" i="72"/>
  <c r="G18" i="88"/>
  <c r="G21" i="72"/>
  <c r="H21" i="72" s="1"/>
  <c r="I18" i="88"/>
  <c r="S18" i="88" s="1"/>
  <c r="D51" i="68"/>
  <c r="D23" i="72" s="1"/>
  <c r="L23" i="72" s="1"/>
  <c r="I23" i="72" s="1"/>
  <c r="B54" i="85"/>
  <c r="R14" i="88"/>
  <c r="U14" i="88" s="1"/>
  <c r="W14" i="88"/>
  <c r="H40" i="75"/>
  <c r="I39" i="75"/>
  <c r="K15" i="78"/>
  <c r="M15" i="78" s="1"/>
  <c r="D31" i="78"/>
  <c r="D33" i="78"/>
  <c r="B32" i="78"/>
  <c r="B33" i="78"/>
  <c r="B31" i="78"/>
  <c r="D32" i="78"/>
  <c r="M9" i="78"/>
  <c r="X44" i="62"/>
  <c r="U44" i="62"/>
  <c r="O20" i="88" l="1"/>
  <c r="AA20" i="88"/>
  <c r="AB20" i="88" s="1"/>
  <c r="AC20" i="88" s="1"/>
  <c r="M20" i="88"/>
  <c r="X20" i="88"/>
  <c r="Y20" i="88" s="1"/>
  <c r="Z20" i="88" s="1"/>
  <c r="L21" i="72"/>
  <c r="I21" i="72" s="1"/>
  <c r="M14" i="88"/>
  <c r="X14" i="88"/>
  <c r="Y14" i="88" s="1"/>
  <c r="Z14" i="88" s="1"/>
  <c r="O14" i="88"/>
  <c r="AA14" i="88"/>
  <c r="R18" i="88"/>
  <c r="U18" i="88" s="1"/>
  <c r="W18" i="88"/>
  <c r="B38" i="78"/>
  <c r="B37" i="78"/>
  <c r="D38" i="78"/>
  <c r="D37" i="78"/>
  <c r="X18" i="88" l="1"/>
  <c r="Y18" i="88" s="1"/>
  <c r="M18" i="88"/>
  <c r="AA18" i="88"/>
  <c r="AB18" i="88" s="1"/>
  <c r="O18" i="88"/>
  <c r="AB14" i="88"/>
  <c r="AC14" i="88" s="1"/>
  <c r="Z18" i="88" l="1"/>
  <c r="Y30" i="88"/>
  <c r="AC18" i="88"/>
  <c r="AB30" i="88"/>
  <c r="Z30" i="88" l="1"/>
  <c r="AC30" i="88"/>
  <c r="G31" i="88" l="1"/>
  <c r="R40" i="88"/>
  <c r="S40" i="88" s="1"/>
  <c r="G33" i="88"/>
  <c r="R41" i="88"/>
  <c r="S41" i="88" s="1"/>
  <c r="T41" i="88" s="1"/>
  <c r="U41" i="88" s="1"/>
  <c r="B37" i="88" l="1"/>
  <c r="T40" i="88"/>
  <c r="U40" i="88" l="1"/>
  <c r="U43" i="88" s="1"/>
  <c r="T43" i="88"/>
  <c r="X44" i="88" s="1"/>
  <c r="U44" i="88" l="1"/>
</calcChain>
</file>

<file path=xl/sharedStrings.xml><?xml version="1.0" encoding="utf-8"?>
<sst xmlns="http://schemas.openxmlformats.org/spreadsheetml/2006/main" count="2819" uniqueCount="1685">
  <si>
    <t>Exercice</t>
  </si>
  <si>
    <t>Page</t>
  </si>
  <si>
    <t>Le produit brut</t>
  </si>
  <si>
    <t>Le résultat courant</t>
  </si>
  <si>
    <t>EVOLUTION</t>
  </si>
  <si>
    <t>C</t>
  </si>
  <si>
    <t>J</t>
  </si>
  <si>
    <t>K</t>
  </si>
  <si>
    <t>L</t>
  </si>
  <si>
    <t>D</t>
  </si>
  <si>
    <t>Superficie</t>
  </si>
  <si>
    <t>Ha</t>
  </si>
  <si>
    <t xml:space="preserve"> Ventes d'origine végétale</t>
  </si>
  <si>
    <t xml:space="preserve"> Produits végétaux</t>
  </si>
  <si>
    <t xml:space="preserve"> Ventes d'origine animale</t>
  </si>
  <si>
    <t xml:space="preserve"> Produits animaux</t>
  </si>
  <si>
    <t xml:space="preserve"> MARGE SUR APPROVISIONNEMENTS</t>
  </si>
  <si>
    <t xml:space="preserve">        divers</t>
  </si>
  <si>
    <t xml:space="preserve"> VALEUR AJOUTEE</t>
  </si>
  <si>
    <t xml:space="preserve"> EXCEDENT BRUT D'EXPLOITATION</t>
  </si>
  <si>
    <t xml:space="preserve"> </t>
  </si>
  <si>
    <t xml:space="preserve"> RESULTAT COURANT</t>
  </si>
  <si>
    <t xml:space="preserve"> RESULTAT NET COMPTABLE</t>
  </si>
  <si>
    <t>Frais financiers</t>
  </si>
  <si>
    <t>Fonds de roulement</t>
  </si>
  <si>
    <t>Trésorerie</t>
  </si>
  <si>
    <t>- Prélèvements</t>
  </si>
  <si>
    <t>+ Apports</t>
  </si>
  <si>
    <t>+ Nouveaux emprunts</t>
  </si>
  <si>
    <t>- Investissements</t>
  </si>
  <si>
    <t>- Charges à répartir</t>
  </si>
  <si>
    <t>Disponibilités</t>
  </si>
  <si>
    <t>Excédent brut d'exploitation</t>
  </si>
  <si>
    <t>Production totale</t>
  </si>
  <si>
    <t>Capitaux propres</t>
  </si>
  <si>
    <t>Total du bilan</t>
  </si>
  <si>
    <t>Disponibilités + Créances à court terme</t>
  </si>
  <si>
    <t>Dettes à court terme</t>
  </si>
  <si>
    <t>Capacité d'autofinancement</t>
  </si>
  <si>
    <t>Dossier n°</t>
  </si>
  <si>
    <t>Profession</t>
  </si>
  <si>
    <t>Sommaire</t>
  </si>
  <si>
    <t>Présentation</t>
  </si>
  <si>
    <t>VOTRE EXPLOITATION ET VOTRE SECTEUR</t>
  </si>
  <si>
    <t>Caractéristiques de l'exploitation</t>
  </si>
  <si>
    <t xml:space="preserve">Comparaison de votre exploitation et de la moyenne </t>
  </si>
  <si>
    <t>de votre famille agricole</t>
  </si>
  <si>
    <t>FLASH SUR VOS RESULTATS</t>
  </si>
  <si>
    <t>Baromètre de votre exploitation</t>
  </si>
  <si>
    <t>Vos points forts / points faibles</t>
  </si>
  <si>
    <t>Vos rendements</t>
  </si>
  <si>
    <t>TABLEAUX DE SYNTHESE</t>
  </si>
  <si>
    <t>Le compte de résultat</t>
  </si>
  <si>
    <t>Du résultat à la trésorerie</t>
  </si>
  <si>
    <t>Variation du fonds de roulement et sa détermination</t>
  </si>
  <si>
    <t>Bilan</t>
  </si>
  <si>
    <t>Quelques ratios clés</t>
  </si>
  <si>
    <t>Une information sur les tendances du secteur agricole,</t>
  </si>
  <si>
    <t>même type,</t>
  </si>
  <si>
    <t xml:space="preserve">Une comparaison avec les résultats des exploitations du </t>
  </si>
  <si>
    <t>Ce document se limite à l'analyse des données contenues dans votre liasse</t>
  </si>
  <si>
    <t>fiscale. Pour une analyse plus fine, notamment au niveau de l'exploitation,</t>
  </si>
  <si>
    <t>nous vous recommandons de vous rapprocher de votre cabinet comptable.</t>
  </si>
  <si>
    <t>Nous souhaitons que ce rapport contribue à une mise en évidence des chiffres</t>
  </si>
  <si>
    <t>clés de votre entreprise et vous permette d'orienter vos décisions de gestion.</t>
  </si>
  <si>
    <t>SITUATION GEOGRAPHIQUE DE L'EXPLOITATION</t>
  </si>
  <si>
    <t>Département :</t>
  </si>
  <si>
    <t>Commune :</t>
  </si>
  <si>
    <t>Région agricole :</t>
  </si>
  <si>
    <t>FORME JURIDIQUE :</t>
  </si>
  <si>
    <t>REPARTITION DES TERRAINS AGRICOLES AU DEBUT DE L'EXERCICE</t>
  </si>
  <si>
    <t>Terres labourables</t>
  </si>
  <si>
    <t>Pâtures et prés permanents</t>
  </si>
  <si>
    <t>Autres : bois, taillis, marais</t>
  </si>
  <si>
    <t>CONTENANCE TOTALE</t>
  </si>
  <si>
    <t>Exploitée</t>
  </si>
  <si>
    <t>En faire valoir direct</t>
  </si>
  <si>
    <t>Sous le régime du fermage</t>
  </si>
  <si>
    <t>Mise à disposition</t>
  </si>
  <si>
    <t>En métayage</t>
  </si>
  <si>
    <t>TOTAL</t>
  </si>
  <si>
    <t xml:space="preserve">ACTIVITE EXERCEE - Nature et importance en pourcentage des produits </t>
  </si>
  <si>
    <t>de l'exercice</t>
  </si>
  <si>
    <t>PRODUCTIONS VEGETALES</t>
  </si>
  <si>
    <t>dont</t>
  </si>
  <si>
    <t>Arboriculture</t>
  </si>
  <si>
    <t>Viticulture</t>
  </si>
  <si>
    <t>Cultures spéciales et forcées (légumes)</t>
  </si>
  <si>
    <t>PRODUCTIONS ANIMALES</t>
  </si>
  <si>
    <t>AUTRES PRODUITS</t>
  </si>
  <si>
    <t>MARGE BRUTE TOTALE</t>
  </si>
  <si>
    <t>INTRANTS</t>
  </si>
  <si>
    <t>RESSOURCES HUMAINES</t>
  </si>
  <si>
    <t>MECANISATION</t>
  </si>
  <si>
    <t>FERMAGES</t>
  </si>
  <si>
    <t>IMPOTS &amp; TAXES</t>
  </si>
  <si>
    <t>COTISATIONS SOCIALES</t>
  </si>
  <si>
    <t>EXCEDENT BRUT D'EXPLOITATION</t>
  </si>
  <si>
    <t>RESULTAT COURANT</t>
  </si>
  <si>
    <t>AUTONOMIE FINANCIERE</t>
  </si>
  <si>
    <t>VIEILLISSEMENT DES IMMOBILISAT.</t>
  </si>
  <si>
    <t>La marge brute totale</t>
  </si>
  <si>
    <t xml:space="preserve"> Superficie retenue (ha)</t>
  </si>
  <si>
    <t xml:space="preserve"> Autres produits d'exploitation</t>
  </si>
  <si>
    <t xml:space="preserve"> PRODUIT TOTAL</t>
  </si>
  <si>
    <t xml:space="preserve">        mécanisation hors amortissements</t>
  </si>
  <si>
    <t xml:space="preserve">        fermages et charges locatives</t>
  </si>
  <si>
    <t>Superficie retenue (ha)</t>
  </si>
  <si>
    <t xml:space="preserve"> dont mécanisation hors amortissements</t>
  </si>
  <si>
    <t>POINTS FORTS</t>
  </si>
  <si>
    <t>POINTS FAIBLES</t>
  </si>
  <si>
    <t>EXPLOITATION</t>
  </si>
  <si>
    <t>FINANCIER</t>
  </si>
  <si>
    <t>Montants</t>
  </si>
  <si>
    <t>ha</t>
  </si>
  <si>
    <t xml:space="preserve">Montants </t>
  </si>
  <si>
    <t xml:space="preserve"> INTRANTS</t>
  </si>
  <si>
    <t xml:space="preserve">      Produits défense végétaux</t>
  </si>
  <si>
    <t xml:space="preserve">      Emballages et ficelles</t>
  </si>
  <si>
    <t xml:space="preserve">      Semences et plants</t>
  </si>
  <si>
    <t xml:space="preserve">      Engrais et amendements</t>
  </si>
  <si>
    <t xml:space="preserve">      Salaires</t>
  </si>
  <si>
    <t xml:space="preserve">      Charges sociales</t>
  </si>
  <si>
    <t xml:space="preserve"> RESSOURCES HUMAINES</t>
  </si>
  <si>
    <t xml:space="preserve"> MECANISATION</t>
  </si>
  <si>
    <t xml:space="preserve">       Produits pétroliers</t>
  </si>
  <si>
    <t xml:space="preserve">       Travaux agricoles par entreprises</t>
  </si>
  <si>
    <t xml:space="preserve">       Entretien réparations du matériel</t>
  </si>
  <si>
    <t xml:space="preserve">       Crédit bail</t>
  </si>
  <si>
    <t xml:space="preserve"> FERMAGES</t>
  </si>
  <si>
    <t xml:space="preserve"> AUTRES CHARGES EXTERNES</t>
  </si>
  <si>
    <t xml:space="preserve">        Fournitures utilisées</t>
  </si>
  <si>
    <t xml:space="preserve">        Ent. Réparations constructions terrains</t>
  </si>
  <si>
    <t xml:space="preserve">        Assurances</t>
  </si>
  <si>
    <t xml:space="preserve">        Autres charges externes</t>
  </si>
  <si>
    <t xml:space="preserve"> IMPOTS ET TAXES</t>
  </si>
  <si>
    <t xml:space="preserve"> COTISATIONS SOCIALES EXPLOITANT</t>
  </si>
  <si>
    <t xml:space="preserve"> RESULTAT FINANCIER</t>
  </si>
  <si>
    <t>Var./ha</t>
  </si>
  <si>
    <t>en %</t>
  </si>
  <si>
    <t xml:space="preserve">      - RRR obtenus</t>
  </si>
  <si>
    <t>Amortissements cumulés</t>
  </si>
  <si>
    <t>Base amortissable</t>
  </si>
  <si>
    <t>Total des dettes</t>
  </si>
  <si>
    <t>FINANCIERS</t>
  </si>
  <si>
    <t>TECHNIQUES</t>
  </si>
  <si>
    <t>Production / hectare</t>
  </si>
  <si>
    <t>BILAN ACTIF</t>
  </si>
  <si>
    <t>ACTIF IMMOBILISE</t>
  </si>
  <si>
    <t>Immobilisations incorporelles</t>
  </si>
  <si>
    <t>Immobilisations corporelles</t>
  </si>
  <si>
    <t>Immobilisations financières</t>
  </si>
  <si>
    <t>ACTIF CIRCULANT</t>
  </si>
  <si>
    <t>Stocks matières premières &amp; marchandises</t>
  </si>
  <si>
    <t>ACTIF CIRCULANT HORS EXPLOITATION</t>
  </si>
  <si>
    <t>BILAN PASSIF</t>
  </si>
  <si>
    <t>RESSOURCES PROPRES</t>
  </si>
  <si>
    <t>Capital et comptes courants</t>
  </si>
  <si>
    <t>Réserves et subventions</t>
  </si>
  <si>
    <t>PROVISIONS</t>
  </si>
  <si>
    <t>DETTES A LONG TERME</t>
  </si>
  <si>
    <t>DETTES D'EXPLOITATION</t>
  </si>
  <si>
    <t>Emprunts à court terme</t>
  </si>
  <si>
    <t>Fournisseurs</t>
  </si>
  <si>
    <t>Autres dettes</t>
  </si>
  <si>
    <t>Découvert</t>
  </si>
  <si>
    <t>DETTES HORS EXPLOITATION</t>
  </si>
  <si>
    <t>Trésorerie en début d'exercice</t>
  </si>
  <si>
    <t>Influence de l'activité</t>
  </si>
  <si>
    <t>- dotations aux amortissements et provisions</t>
  </si>
  <si>
    <t>- déstockage</t>
  </si>
  <si>
    <t>- augmentation des dettes fournisseurs</t>
  </si>
  <si>
    <t>- augmentation des dettes fiscales et sociales</t>
  </si>
  <si>
    <t>- augmentation des acomptes reçus</t>
  </si>
  <si>
    <t>- diminution des avances versées</t>
  </si>
  <si>
    <t>Influence de la structure</t>
  </si>
  <si>
    <t>- prix de vente des immobilisations cédées</t>
  </si>
  <si>
    <t>- nouveaux emprunts</t>
  </si>
  <si>
    <t>- subventions d'équipements reçues</t>
  </si>
  <si>
    <t>Votre propre influence</t>
  </si>
  <si>
    <t>- apports de fonds propres</t>
  </si>
  <si>
    <t>- reprise des amortissements et provisions</t>
  </si>
  <si>
    <t>- augmentation des stocks</t>
  </si>
  <si>
    <t>- diminution des dettes fournisseurs</t>
  </si>
  <si>
    <t>- diminution des dettes fiscales et sociales</t>
  </si>
  <si>
    <t>- diminution des acomptes reçus</t>
  </si>
  <si>
    <t>- augmentation des avances versées</t>
  </si>
  <si>
    <t>- acquisition d'immobilisations</t>
  </si>
  <si>
    <t>- remboursements d'emprunts</t>
  </si>
  <si>
    <t>- charges à répartir</t>
  </si>
  <si>
    <t>- prélèvements personnels</t>
  </si>
  <si>
    <t>Trésorerie en fin d'exercice</t>
  </si>
  <si>
    <t>- Reprises aux amortissements et provisions</t>
  </si>
  <si>
    <t>+ VNC immobilisations cédées</t>
  </si>
  <si>
    <t>- Prix de cession</t>
  </si>
  <si>
    <t>- Subventions</t>
  </si>
  <si>
    <t>Autofinancement net</t>
  </si>
  <si>
    <t>+ Subventions d'équipement</t>
  </si>
  <si>
    <t>- Remboursements d'emprunts</t>
  </si>
  <si>
    <t>+ Ventes immobilisations</t>
  </si>
  <si>
    <t>Variation fonds de roulement</t>
  </si>
  <si>
    <t>- Dettes fournisseurs + Avances versées</t>
  </si>
  <si>
    <t>- Autres dettes</t>
  </si>
  <si>
    <t>BESOIN EN FONDS DE ROULEMENT</t>
  </si>
  <si>
    <t>TRESORERIE</t>
  </si>
  <si>
    <t>Rendement</t>
  </si>
  <si>
    <t>Besoins</t>
  </si>
  <si>
    <t>Charges d'exploitation / hectare</t>
  </si>
  <si>
    <t>NS : non significatif</t>
  </si>
  <si>
    <t>Intrants</t>
  </si>
  <si>
    <t>Ressources humaines</t>
  </si>
  <si>
    <t>Mécanisation</t>
  </si>
  <si>
    <t>Fermages</t>
  </si>
  <si>
    <t>Cotis sociales exploitant</t>
  </si>
  <si>
    <t>Autres charges</t>
  </si>
  <si>
    <t>Résultat courant</t>
  </si>
  <si>
    <t>Base de données pour points forts points faibles :</t>
  </si>
  <si>
    <t>Produit total en valeur</t>
  </si>
  <si>
    <t>Produit brut / ha</t>
  </si>
  <si>
    <t>Valeur ajoutée / ha</t>
  </si>
  <si>
    <t>Taux charges financières / CA</t>
  </si>
  <si>
    <t>Résultat net</t>
  </si>
  <si>
    <t>Prélèvements personnels</t>
  </si>
  <si>
    <t>Variation</t>
  </si>
  <si>
    <t>VOTRE MARGE GLOBALE</t>
  </si>
  <si>
    <t>COMMENT AMELIORER VOTRE MARGE BRUTE ?</t>
  </si>
  <si>
    <t>Par un choix judicieux de votre assolement,</t>
  </si>
  <si>
    <t>Par une augmentation des rendements en appliquant des techniques optimales,</t>
  </si>
  <si>
    <t>Par une bonne commercialisation de vos produits,</t>
  </si>
  <si>
    <t>Par une excellente maîtrise des intrants.</t>
  </si>
  <si>
    <t>VOS CHARGES DE STRUCTURE</t>
  </si>
  <si>
    <t>Il traduit donc la capacité du chef d'entreprise à "gagner de l'argent" en faisant "son métier".</t>
  </si>
  <si>
    <t>RESULTAT FINANCIER</t>
  </si>
  <si>
    <t>Cet indicateur est la ressource financière potentielle d'origine interne de l'entreprise.</t>
  </si>
  <si>
    <t>Elle est engendrée par l'ensemble des produits et charges, hormis :</t>
  </si>
  <si>
    <t>Les charges et produits calculés:</t>
  </si>
  <si>
    <t>Une capacité d'autofinancement d'un niveau durablement trop faible aboutit :</t>
  </si>
  <si>
    <t>- soit à interdir la croissance de l'entreprise,</t>
  </si>
  <si>
    <t>LES RESSOURCES DE FINANCEMENT</t>
  </si>
  <si>
    <t>les subventions d'équipement reçues</t>
  </si>
  <si>
    <t>les apports faits par l'exploitant à l'entreprise</t>
  </si>
  <si>
    <t>l'augmentation des dettes financières</t>
  </si>
  <si>
    <t>les cessions d'actif immobilisé</t>
  </si>
  <si>
    <t>LES EMPLOIS</t>
  </si>
  <si>
    <t>Le total des ressources de financement ainsi explicité doit permettre de faire face :</t>
  </si>
  <si>
    <t>aux nouveaux investissements</t>
  </si>
  <si>
    <t>aux remboursements des emprunts</t>
  </si>
  <si>
    <t>LE BILAN</t>
  </si>
  <si>
    <t>Au passif, figure l'origine du financement de ces biens c'est à dire les fonds propres pour un</t>
  </si>
  <si>
    <t>Les ventes d'immobilisations</t>
  </si>
  <si>
    <t xml:space="preserve">- la quote-part des subventions d'investissement virée </t>
  </si>
  <si>
    <t xml:space="preserve">- soit à réduire fortement les prélèvements privés </t>
  </si>
  <si>
    <t xml:space="preserve">  (ou les résultats distribués aux associés).</t>
  </si>
  <si>
    <t>- soit à financer cette croissance par un recours à de nouveaux emprunts qui</t>
  </si>
  <si>
    <t xml:space="preserve">  pourront difficilement être remboursés,</t>
  </si>
  <si>
    <t>ET MAINTENANT QUELQUES RATIOS</t>
  </si>
  <si>
    <t>Certains équilibres du bilan doivent être recherchés …</t>
  </si>
  <si>
    <t>Ils peuvent être mesurés par des "ratios" dont les principaux sont :</t>
  </si>
  <si>
    <t>Il indique votre capacité à rembourser vos dettes à court terme.</t>
  </si>
  <si>
    <t>Ce ratio ne doit pas, en principe, être inférieur à 1.</t>
  </si>
  <si>
    <t>Il mesure votre dépendance financière vis à vis des tiers.</t>
  </si>
  <si>
    <t>Il mesure l'endettement de votre exploitation comparé au total du bilan.</t>
  </si>
  <si>
    <t>Le ratio de vieillissement des immobilisations</t>
  </si>
  <si>
    <t>Il est révélateur de l'équilibre financier de l'exploitation à court terme par hectare.</t>
  </si>
  <si>
    <t>CONCLUSION</t>
  </si>
  <si>
    <t>supportées au cours de l'exercice écoulé.</t>
  </si>
  <si>
    <t xml:space="preserve">Ce tableau permet l'analyse du compte de résultat à partir de la production réalisée et montre </t>
  </si>
  <si>
    <t>comment se forme le résultat net.</t>
  </si>
  <si>
    <t>et se pérenniser.</t>
  </si>
  <si>
    <t xml:space="preserve">La croissance de marge brute est primordiale pour toute entreprise souhaitant se développer </t>
  </si>
  <si>
    <t xml:space="preserve">A l'intérieur des charges de structure, les frais de personnel (salaires et charges sociales) et </t>
  </si>
  <si>
    <t>le coût de mécanisation sont les éléments que vous pouvez le plus moduler.</t>
  </si>
  <si>
    <t xml:space="preserve">D'un point de vue économique, l'éxcédent brut d'exploitation constitue la rémunération du </t>
  </si>
  <si>
    <t>capital investi dans l'outil de production ainsi que le travail des exploitants.</t>
  </si>
  <si>
    <t xml:space="preserve">C'est l'indicateur le plus synthétique de la performance économique, car il est engendré par </t>
  </si>
  <si>
    <t>les seules opérations du cycle d'exploitation avant amortissements et provisions, éléments</t>
  </si>
  <si>
    <t xml:space="preserve">Les éléments ci-dessus sont comparables d'une entreprise à l'autre, alors que les </t>
  </si>
  <si>
    <t xml:space="preserve">informations suivantes sont spécifiques à chaque entreprise et directement liées à </t>
  </si>
  <si>
    <t xml:space="preserve">En plus de cette part de bénéfice conservée, l'entreprise a bénéficié d'autres </t>
  </si>
  <si>
    <t>ressources financières stables :</t>
  </si>
  <si>
    <t>propres, les provisions pour risques et charges, les dettes et fonds externes.</t>
  </si>
  <si>
    <t>financiers et exceptionnels, impôts et prélèvements privés.</t>
  </si>
  <si>
    <t>Moyenne</t>
  </si>
  <si>
    <t>E B E</t>
  </si>
  <si>
    <t>SOLVABILITE A C T</t>
  </si>
  <si>
    <t>FDS ROULEMENT / L'HA</t>
  </si>
  <si>
    <t>VIEILLISSEMENT IMMO.</t>
  </si>
  <si>
    <t>Familles :</t>
  </si>
  <si>
    <t>Nbre exploita. Concernées</t>
  </si>
  <si>
    <t xml:space="preserve">Comparatif avec les statistiques internes du CGA </t>
  </si>
  <si>
    <t>Dégagements</t>
  </si>
  <si>
    <t>- la valeur nette comptable des éléments d'actif cédés,</t>
  </si>
  <si>
    <t xml:space="preserve">  au compte de résultat,</t>
  </si>
  <si>
    <t>Calcul des prélèvements nets</t>
  </si>
  <si>
    <t xml:space="preserve">Prélèvements </t>
  </si>
  <si>
    <t>Apports</t>
  </si>
  <si>
    <t>REGIME FISCAL :</t>
  </si>
  <si>
    <t>Chge financ.NETTE</t>
  </si>
  <si>
    <t>Monnaie</t>
  </si>
  <si>
    <t>A l'hectare</t>
  </si>
  <si>
    <t>- Intérêts courus</t>
  </si>
  <si>
    <t xml:space="preserve"> Stocks</t>
  </si>
  <si>
    <t xml:space="preserve"> Disponibilités / Concours bancaires</t>
  </si>
  <si>
    <t>Aisne</t>
  </si>
  <si>
    <t>10 à 13</t>
  </si>
  <si>
    <t>Vieillissement des équipements</t>
  </si>
  <si>
    <t>9 et suivantes</t>
  </si>
  <si>
    <t>COMMENTAIRES</t>
  </si>
  <si>
    <t xml:space="preserve">Le compte de résultat analysé page 16, met en évidence les produits générés et les charges </t>
  </si>
  <si>
    <t>Celle-ci est analysée page 18 de ce document.</t>
  </si>
  <si>
    <t xml:space="preserve">Les ressources, au passif, sont classées suivant leur provenance c'est à dire les fonds </t>
  </si>
  <si>
    <t>la structure financière.</t>
  </si>
  <si>
    <t>C J K L D</t>
  </si>
  <si>
    <t>Plus il est proche de 1 et plus votre indépendance est grande.</t>
  </si>
  <si>
    <t>- déficit hors plus ou moins-values</t>
  </si>
  <si>
    <t>Charges financières</t>
  </si>
  <si>
    <t>Le bilan est la photographie du patrimoine de l'exploitation à la clôture de l'exercice.</t>
  </si>
  <si>
    <t>- les dotations aux amortissements et provisions,</t>
  </si>
  <si>
    <t xml:space="preserve"> AMORT - PROV - CHGES &amp; PRDTS DIVERS</t>
  </si>
  <si>
    <t>7 et suivantes</t>
  </si>
  <si>
    <t>8 à 11</t>
  </si>
  <si>
    <t xml:space="preserve">Le compte de résultat analysé page 12, met en évidence les produits générés et les charges </t>
  </si>
  <si>
    <t>Celle-ci est analysée page 14 de ce document.</t>
  </si>
  <si>
    <t>S'agissant d'un début d'activité, aucune comparaison significative n'est possible.</t>
  </si>
  <si>
    <t xml:space="preserve">Polyculture </t>
  </si>
  <si>
    <t>Note d'actualité</t>
  </si>
  <si>
    <r>
      <t xml:space="preserve"> </t>
    </r>
    <r>
      <rPr>
        <i/>
        <sz val="10"/>
        <rFont val="Tahoma"/>
        <family val="2"/>
      </rPr>
      <t>dont</t>
    </r>
    <r>
      <rPr>
        <sz val="10"/>
        <rFont val="Tahoma"/>
        <family val="2"/>
      </rPr>
      <t xml:space="preserve"> mécanisation hors amortissements</t>
    </r>
  </si>
  <si>
    <t xml:space="preserve">Nous vous présentons votre dossier de gestion qui se compose de tableaux </t>
  </si>
  <si>
    <t>et graphiques assortis d'un commentaire personnalisé.</t>
  </si>
  <si>
    <t>Mais aussi :</t>
  </si>
  <si>
    <t>Récolte 2006</t>
  </si>
  <si>
    <t>MARGE BRUTE hors DPU</t>
  </si>
  <si>
    <t>MARGE BRUTE TOTALE avec DPU</t>
  </si>
  <si>
    <t>avec DPU</t>
  </si>
  <si>
    <t xml:space="preserve"> + aides couplées à la production</t>
  </si>
  <si>
    <t>Marge globale avec DPU / hectare</t>
  </si>
  <si>
    <t>Marge globale avec DPU  / hectare</t>
  </si>
  <si>
    <t xml:space="preserve"> + autres produits </t>
  </si>
  <si>
    <t xml:space="preserve"> - charges exceptionnelles </t>
  </si>
  <si>
    <t>(attachés à la récolte)</t>
  </si>
  <si>
    <t>Evolution de charges</t>
  </si>
  <si>
    <t>Comparaison de charges / Répartition du produit brut</t>
  </si>
  <si>
    <t xml:space="preserve"> + droits à paiement unique</t>
  </si>
  <si>
    <t>+ Dotations aux amortissements et provisions</t>
  </si>
  <si>
    <t xml:space="preserve">       Dot. amort. matériel et autres immob. corp.</t>
  </si>
  <si>
    <t>A l'actif, figure les biens affectés à l'exploitation ainsi que les créances (dont les DPU de la</t>
  </si>
  <si>
    <t xml:space="preserve"> récolte suivante).</t>
  </si>
  <si>
    <t>Ce résultat net est influencé par les DPU de l’année suivante.</t>
  </si>
  <si>
    <t>TABLEAU RECAPITULATIF DES PRODUITS RECOLTES</t>
  </si>
  <si>
    <t>Ex clos</t>
  </si>
  <si>
    <t>Cultures</t>
  </si>
  <si>
    <t>Pourcentage</t>
  </si>
  <si>
    <t>Prix unitaire</t>
  </si>
  <si>
    <t>Produits bruts</t>
  </si>
  <si>
    <t>Produits nets</t>
  </si>
  <si>
    <t>d'assolement</t>
  </si>
  <si>
    <t>hectare</t>
  </si>
  <si>
    <t>hors aides</t>
  </si>
  <si>
    <t/>
  </si>
  <si>
    <t>Taxes et cotis.</t>
  </si>
  <si>
    <t>La structure financière du bilan est stable et satisfaisante</t>
  </si>
  <si>
    <t>L'amélioration du produit brut</t>
  </si>
  <si>
    <t>et la maitrise de l'ensemble de vos charges</t>
  </si>
  <si>
    <t xml:space="preserve">vous permettent de dégager un résultat courant en augmentation de l'ordre de </t>
  </si>
  <si>
    <t>*</t>
  </si>
  <si>
    <t xml:space="preserve">Clients </t>
  </si>
  <si>
    <t xml:space="preserve">Aide pour calcul surfaces </t>
  </si>
  <si>
    <t>ares</t>
  </si>
  <si>
    <t>Récolte 2007</t>
  </si>
  <si>
    <t>+ Créances clients  - Acomptes reçus</t>
  </si>
  <si>
    <t xml:space="preserve">- diminution des créances clients </t>
  </si>
  <si>
    <t xml:space="preserve">- augmentation des créances clients </t>
  </si>
  <si>
    <t>Votre famille statistique :</t>
  </si>
  <si>
    <t>Votre situation économique</t>
  </si>
  <si>
    <t>Positionnement</t>
  </si>
  <si>
    <t>Statistiques CGA AISNE</t>
  </si>
  <si>
    <r>
      <t xml:space="preserve">r </t>
    </r>
    <r>
      <rPr>
        <sz val="10"/>
        <color indexed="62"/>
        <rFont val="Arial"/>
        <family val="2"/>
      </rPr>
      <t>n/n-1</t>
    </r>
  </si>
  <si>
    <r>
      <t xml:space="preserve">r </t>
    </r>
    <r>
      <rPr>
        <sz val="10"/>
        <color indexed="62"/>
        <rFont val="Arial"/>
        <family val="2"/>
      </rPr>
      <t>n-1/n-2</t>
    </r>
  </si>
  <si>
    <t>Chiffre d'affaires / ha</t>
  </si>
  <si>
    <t>n</t>
  </si>
  <si>
    <t>n-1</t>
  </si>
  <si>
    <t>n-2</t>
  </si>
  <si>
    <r>
      <t xml:space="preserve">r </t>
    </r>
    <r>
      <rPr>
        <sz val="10"/>
        <rFont val="Arial"/>
        <family val="2"/>
      </rPr>
      <t>n/n-1</t>
    </r>
  </si>
  <si>
    <r>
      <t xml:space="preserve">r </t>
    </r>
    <r>
      <rPr>
        <sz val="10"/>
        <rFont val="Arial"/>
        <family val="2"/>
      </rPr>
      <t>n-1/n-2</t>
    </r>
  </si>
  <si>
    <t>V / moy stat</t>
  </si>
  <si>
    <t xml:space="preserve">Marge brute / ha </t>
  </si>
  <si>
    <t>EBE / ha</t>
  </si>
  <si>
    <t>CA</t>
  </si>
  <si>
    <t>Résultat courant / ha</t>
  </si>
  <si>
    <t>Frais financiers / ha</t>
  </si>
  <si>
    <t xml:space="preserve">Fonds de roulement / ha </t>
  </si>
  <si>
    <t>Fonds de roulement / ha</t>
  </si>
  <si>
    <t>Positionnement Ratios 1</t>
  </si>
  <si>
    <t>Inversé pour les charges</t>
  </si>
  <si>
    <t>Votre situation financière</t>
  </si>
  <si>
    <t>Si</t>
  </si>
  <si>
    <t>&lt; 30 %</t>
  </si>
  <si>
    <t>par rapport moyenne</t>
  </si>
  <si>
    <t>Alerte</t>
  </si>
  <si>
    <t>30%&lt;x&lt;20 %</t>
  </si>
  <si>
    <t>A surveiller</t>
  </si>
  <si>
    <t>Bleu</t>
  </si>
  <si>
    <t>Bien</t>
  </si>
  <si>
    <t>20%&lt;x&lt;0</t>
  </si>
  <si>
    <t>Score moyen</t>
  </si>
  <si>
    <t>Vert</t>
  </si>
  <si>
    <t>Moyen</t>
  </si>
  <si>
    <t>&gt; moyenne</t>
  </si>
  <si>
    <t>Bon score</t>
  </si>
  <si>
    <t>Rouge</t>
  </si>
  <si>
    <t>A voir</t>
  </si>
  <si>
    <t>Autonomie Financière %</t>
  </si>
  <si>
    <t>Solvabilité à court terme %</t>
  </si>
  <si>
    <t xml:space="preserve">Autonomie Financière </t>
  </si>
  <si>
    <t>Ratio d'endettement %</t>
  </si>
  <si>
    <t>Solvabilité à court terme</t>
  </si>
  <si>
    <t>Capital et comptes courants / ha</t>
  </si>
  <si>
    <t>Capital et ctes courants/ha</t>
  </si>
  <si>
    <t>Positionnement Ratios 2</t>
  </si>
  <si>
    <t xml:space="preserve">Votre situation sociale </t>
  </si>
  <si>
    <t>&lt;-20 %</t>
  </si>
  <si>
    <t>Faible</t>
  </si>
  <si>
    <t xml:space="preserve"> -20%&lt;x&lt;20 %</t>
  </si>
  <si>
    <t>&gt;20%</t>
  </si>
  <si>
    <t>Elevé</t>
  </si>
  <si>
    <t>Variation inter année</t>
  </si>
  <si>
    <t>ò</t>
  </si>
  <si>
    <t xml:space="preserve"> -20%&lt;x&lt;-5 %</t>
  </si>
  <si>
    <t>ø</t>
  </si>
  <si>
    <t xml:space="preserve"> -5%&lt;x&lt;5 %</t>
  </si>
  <si>
    <t>ó</t>
  </si>
  <si>
    <t xml:space="preserve"> 5%&lt;x&lt;20 %</t>
  </si>
  <si>
    <t>ö</t>
  </si>
  <si>
    <t>ñ</t>
  </si>
  <si>
    <t>Votre famille agricole</t>
  </si>
  <si>
    <t xml:space="preserve">Nbre d'exploitations concernées </t>
  </si>
  <si>
    <t>Votre Exploitation</t>
  </si>
  <si>
    <t>Statistiques</t>
  </si>
  <si>
    <t>Récolte 2008</t>
  </si>
  <si>
    <t xml:space="preserve">MARGE BRUTE TOTALE </t>
  </si>
  <si>
    <t>RATIO D'ENDETTEMENT</t>
  </si>
  <si>
    <t>CAPITAL</t>
  </si>
  <si>
    <t>CHIFFRE D'AFFAIRES</t>
  </si>
  <si>
    <t>Capital / ha de l'adhérent</t>
  </si>
  <si>
    <t xml:space="preserve">SOLVABILITE A COURT TERME </t>
  </si>
  <si>
    <t>SURFACE TOTALE</t>
  </si>
  <si>
    <t xml:space="preserve">AUTONOMIE FINANCIERE </t>
  </si>
  <si>
    <t>Capital</t>
  </si>
  <si>
    <t xml:space="preserve">FONDS DE ROULEMENT / HA </t>
  </si>
  <si>
    <t>L’analyse des informations en notre possession nous indique que votre situation économique et financière est bien en dessous de la moyenne des exploitations de votre famille agricole. Nous tenons donc à vous alerter de la situation et nous vous invitons à consulter votre expert comptable.</t>
  </si>
  <si>
    <t>L’analyse des informations en notre possession nous indique que votre situation économique et financière est légèrement en dessous de la moyenne des exploitations de votre famille agricole. Nous vous invitons donc à surveiller votre situation économique et financière.</t>
  </si>
  <si>
    <t>L’analyse des informations en notre possession nous indique que votre situation économique et financière est au dessus de la moyenne des exploitations de votre famille agricole.</t>
  </si>
  <si>
    <t xml:space="preserve">Rentabilité brute d'exploitation </t>
  </si>
  <si>
    <t>Salaires et Chg. Sociales / ha</t>
  </si>
  <si>
    <t>Cotis. sociales exploitant / ha</t>
  </si>
  <si>
    <t>Salaires et Ch Sociales / ha</t>
  </si>
  <si>
    <t>Cotis sociales exploitant / ha</t>
  </si>
  <si>
    <t>Marge brute / ha</t>
  </si>
  <si>
    <t>Exercice 2010</t>
  </si>
  <si>
    <t>FinExN</t>
  </si>
  <si>
    <t>FinExN1</t>
  </si>
  <si>
    <t>FinExN2</t>
  </si>
  <si>
    <t>DebutExN1</t>
  </si>
  <si>
    <t>DebutExN2</t>
  </si>
  <si>
    <t>DebutExN</t>
  </si>
  <si>
    <t>Résultat de l'exercice</t>
  </si>
  <si>
    <t xml:space="preserve">Autres créances </t>
  </si>
  <si>
    <t xml:space="preserve"> + produits exceptionnels</t>
  </si>
  <si>
    <t>Autonomie financière</t>
  </si>
  <si>
    <t xml:space="preserve">Ratio d'endettement </t>
  </si>
  <si>
    <t>Fonds de roulement / HA</t>
  </si>
  <si>
    <t>Récolte 2011</t>
  </si>
  <si>
    <t>NOTE GLOGALE</t>
  </si>
  <si>
    <t>Code référence</t>
  </si>
  <si>
    <t>Vos chiffres</t>
  </si>
  <si>
    <t>Position/ Stat</t>
  </si>
  <si>
    <t>Barométre Evolution</t>
  </si>
  <si>
    <t>Note Stat</t>
  </si>
  <si>
    <t>Coeff stat</t>
  </si>
  <si>
    <t>Notes pondérées</t>
  </si>
  <si>
    <t>Note Evolution</t>
  </si>
  <si>
    <t>Coeff Evolution</t>
  </si>
  <si>
    <t>STATISTIQUE</t>
  </si>
  <si>
    <t>Chiffre d'affaires</t>
  </si>
  <si>
    <t>€ / ha</t>
  </si>
  <si>
    <t>Marge brute</t>
  </si>
  <si>
    <t xml:space="preserve">EBE </t>
  </si>
  <si>
    <t>Résultat financier</t>
  </si>
  <si>
    <t>Résultat financier / ha</t>
  </si>
  <si>
    <t>Resultat financier / ha</t>
  </si>
  <si>
    <t xml:space="preserve">Résultat courant </t>
  </si>
  <si>
    <t>Ratio d'endettement</t>
  </si>
  <si>
    <t>%</t>
  </si>
  <si>
    <t>Solvabilité CT</t>
  </si>
  <si>
    <t>Bon</t>
  </si>
  <si>
    <t>Note moyenne</t>
  </si>
  <si>
    <t>Situation moyenne / statistiques</t>
  </si>
  <si>
    <t>Positionnement Ratios</t>
  </si>
  <si>
    <t>Note</t>
  </si>
  <si>
    <t>Situation / évolution sur 2 ans</t>
  </si>
  <si>
    <t>Vos notes moyennes</t>
  </si>
  <si>
    <t>Coeff</t>
  </si>
  <si>
    <t>note</t>
  </si>
  <si>
    <t>Positionnement / stat</t>
  </si>
  <si>
    <t>Barometre évolution</t>
  </si>
  <si>
    <t>Note poseco</t>
  </si>
  <si>
    <t>somme</t>
  </si>
  <si>
    <t>code conclusion</t>
  </si>
  <si>
    <t>Position / stat</t>
  </si>
  <si>
    <t>Votre entreprise se situe bien au dessus de la moyenne des entreprises de votre secteur d'activité.</t>
  </si>
  <si>
    <t>Votre entreprise se situe au dessus de la moyenne des entreprises de votre secteur d'activité.</t>
  </si>
  <si>
    <t>Votre entreprise se situe dans la moyenne des entreprises de votre secteur d'activité.</t>
  </si>
  <si>
    <t>Votre entreprise se situe en dessous de la moyenne des entreprises de votre secteur d'activité.</t>
  </si>
  <si>
    <t>COTATION moyenne</t>
  </si>
  <si>
    <t>&lt;=4,7</t>
  </si>
  <si>
    <t>ALERTE maxi</t>
  </si>
  <si>
    <t>Votre entreprise se situe bien en dessous de la moyenne des entreprises de votre secteur d'activité.</t>
  </si>
  <si>
    <t>Nous ne pouvons pas comparer vos ratios à une statistique.</t>
  </si>
  <si>
    <t>Nous avons très peu d'informations statistiques.</t>
  </si>
  <si>
    <t>Position / evolution</t>
  </si>
  <si>
    <t>Les principaux ratios de votre entreprise évoluent très favorablement.</t>
  </si>
  <si>
    <t>Les principaux ratios de votre entreprise évoluent favorablement.</t>
  </si>
  <si>
    <t>Les principaux ratios de votre entreprise restent stables.</t>
  </si>
  <si>
    <t>Les principaux ratios de votre entreprise évoluent defavorablement.</t>
  </si>
  <si>
    <t>&lt;=3,7</t>
  </si>
  <si>
    <t xml:space="preserve">ALERTE </t>
  </si>
  <si>
    <t>Les principaux ratios de votre entreprise évoluent très défavorablement.</t>
  </si>
  <si>
    <t>Nous ne pouvons pas comparer vos ratios avec ceux d'une année antérieure.</t>
  </si>
  <si>
    <t>Position Poseco</t>
  </si>
  <si>
    <t>La note calculée par la méthode "poseco" est au dessus de la moyenne.</t>
  </si>
  <si>
    <t>La note calculée par la méthode "poseco" est dans la moyenne.</t>
  </si>
  <si>
    <t>La note calculée par la méthode "poseco" est en dessous de la moyenne.</t>
  </si>
  <si>
    <t>La note calculée par la méthode "poseco" est très en dessous de la moyenne.</t>
  </si>
  <si>
    <t>&lt;=3</t>
  </si>
  <si>
    <t>VIGILANCE</t>
  </si>
  <si>
    <t>La note calculée par la méthode "poseco" est très faible.</t>
  </si>
  <si>
    <t>Nous n'avons pas pu appliquer la méthode poseco à votre dossier.</t>
  </si>
  <si>
    <t>Conclusion</t>
  </si>
  <si>
    <t>&lt;=2,33</t>
  </si>
  <si>
    <t>BON RESULTAT</t>
  </si>
  <si>
    <t>TRES BONS RESULTATS</t>
  </si>
  <si>
    <t>A</t>
  </si>
  <si>
    <t xml:space="preserve">
Nos indicateurs nous révèlent que la situation économique et financière de votre entreprise est très préoccupante.  Nous tenons donc à vous alerter de la situation et nous vous invitons à consulter votre expert comptable.</t>
  </si>
  <si>
    <t>A M</t>
  </si>
  <si>
    <t>B</t>
  </si>
  <si>
    <t>Nos indicateurs nous révèlent que la situation économique et financière de votre entreprise semble préoccupante.  Nous tenons donc à vous alerter de la situation et nous vous invitons à consulter votre expert comptable.</t>
  </si>
  <si>
    <t>Nous vous invitons à rester vigilant sur la situation économique et financière de votre entreprise.</t>
  </si>
  <si>
    <t>V</t>
  </si>
  <si>
    <t xml:space="preserve">Nos indicateurs nous révèlent que la situation économique et financière de votre entreprise reste  favorable.
</t>
  </si>
  <si>
    <t>M</t>
  </si>
  <si>
    <t>E</t>
  </si>
  <si>
    <t xml:space="preserve">Nos indicateurs nous révèlent que la situation économique et financière de votre entreprise est bonne.
</t>
  </si>
  <si>
    <t>F</t>
  </si>
  <si>
    <t>Nos indicateurs nous révèlent que la situation économique et financière de votre entreprise est très bonne.</t>
  </si>
  <si>
    <t>B B</t>
  </si>
  <si>
    <t>G</t>
  </si>
  <si>
    <t>Nous n'avons pas suffisamment d'éléments pour analyser votre dossier.</t>
  </si>
  <si>
    <t>P A</t>
  </si>
  <si>
    <t xml:space="preserve"> VOS PRINCIPAUX RATIOS </t>
  </si>
  <si>
    <t>Salaires et Chg. Sociales</t>
  </si>
  <si>
    <r>
      <rPr>
        <b/>
        <u/>
        <sz val="14"/>
        <rFont val="Wingdings 3"/>
        <family val="1"/>
        <charset val="2"/>
      </rPr>
      <t>c</t>
    </r>
    <r>
      <rPr>
        <b/>
        <i/>
        <u/>
        <sz val="14"/>
        <rFont val="Calibri"/>
        <family val="2"/>
      </rPr>
      <t xml:space="preserve">  Synthèse</t>
    </r>
  </si>
  <si>
    <t>Prévention des difficultés économiques et financières</t>
  </si>
  <si>
    <t>Récolte 2012</t>
  </si>
  <si>
    <t>CHIFFRE D AFFAIRES</t>
  </si>
  <si>
    <t>Votre famille agricole :</t>
  </si>
  <si>
    <t>Nbre d'exploitations concernées :</t>
  </si>
  <si>
    <t xml:space="preserve">Comparatif AHD STAT pour </t>
  </si>
  <si>
    <t>feuille prévention EB</t>
  </si>
  <si>
    <t>RATIO D ENDETTEMENT</t>
  </si>
  <si>
    <t>T / ha</t>
  </si>
  <si>
    <t>€ / T</t>
  </si>
  <si>
    <t>Récolte 2013</t>
  </si>
  <si>
    <t>Statistiques   2013</t>
  </si>
  <si>
    <t>Février 2015</t>
  </si>
  <si>
    <t>Source : Agreste</t>
  </si>
  <si>
    <t>COMPTE DE RESULTAT</t>
  </si>
  <si>
    <t>Libelle</t>
  </si>
  <si>
    <t>Liasse</t>
  </si>
  <si>
    <t>Code rubrique</t>
  </si>
  <si>
    <t>N</t>
  </si>
  <si>
    <t>N-1</t>
  </si>
  <si>
    <t>N-2</t>
  </si>
  <si>
    <t>Vente d'origine végétale</t>
  </si>
  <si>
    <t>FC</t>
  </si>
  <si>
    <t>Vente d'origine Animale</t>
  </si>
  <si>
    <t>FF</t>
  </si>
  <si>
    <t>Vente d'animaux</t>
  </si>
  <si>
    <t>FL</t>
  </si>
  <si>
    <t>Variation Animaux reprod immob</t>
  </si>
  <si>
    <t>FS</t>
  </si>
  <si>
    <t>Variation d'inventaire de la productuion stockée</t>
  </si>
  <si>
    <t>FT</t>
  </si>
  <si>
    <t>Indemnités et subvention</t>
  </si>
  <si>
    <t>FW</t>
  </si>
  <si>
    <t>Repise sur prov et amortissements Transf de chges</t>
  </si>
  <si>
    <t>FX</t>
  </si>
  <si>
    <t>TOTAL DES PRODUITS D'EXPLOITATION</t>
  </si>
  <si>
    <t>FY</t>
  </si>
  <si>
    <t>Achat de marchandises et approv</t>
  </si>
  <si>
    <t>FZ</t>
  </si>
  <si>
    <t>Var stock marchandises et approv</t>
  </si>
  <si>
    <t>GA</t>
  </si>
  <si>
    <t>Achat d'animaux</t>
  </si>
  <si>
    <t>GB</t>
  </si>
  <si>
    <t>Autres achat et charges externes</t>
  </si>
  <si>
    <t>GC</t>
  </si>
  <si>
    <t>Impot Taxes</t>
  </si>
  <si>
    <t>GD</t>
  </si>
  <si>
    <t>Rémunérations</t>
  </si>
  <si>
    <t>GE</t>
  </si>
  <si>
    <t>Cotisation sociales perso de l'exploitant</t>
  </si>
  <si>
    <t>GF</t>
  </si>
  <si>
    <t>Autres charges sociales</t>
  </si>
  <si>
    <t>GG</t>
  </si>
  <si>
    <t>Dot d'explo sur Immo -  dotation aux amortissements</t>
  </si>
  <si>
    <t>GH</t>
  </si>
  <si>
    <t>Dot d'expl sur Immo -  dotation aux provisions</t>
  </si>
  <si>
    <t>GI</t>
  </si>
  <si>
    <t>Dot d'expl Sur Actif circulant -  dotation aux provisions</t>
  </si>
  <si>
    <t>GJ</t>
  </si>
  <si>
    <t>Dot d'expl Pour risques et charges -  dotation aux provisions</t>
  </si>
  <si>
    <t>GK</t>
  </si>
  <si>
    <t>Autres Charges</t>
  </si>
  <si>
    <t>GL</t>
  </si>
  <si>
    <t>TOTAL DES CHARGES D'EXPLOITATION</t>
  </si>
  <si>
    <t>GM</t>
  </si>
  <si>
    <t>RESULTAT D'EXPLOITATION</t>
  </si>
  <si>
    <t>GN</t>
  </si>
  <si>
    <t>Total des produits financiers</t>
  </si>
  <si>
    <t>GT</t>
  </si>
  <si>
    <t>GX</t>
  </si>
  <si>
    <t>RESULTAT FINANCIERS</t>
  </si>
  <si>
    <t>GY</t>
  </si>
  <si>
    <t>Produits exceptionnels sur opé de gest</t>
  </si>
  <si>
    <t>2146 Bis</t>
  </si>
  <si>
    <t>HA</t>
  </si>
  <si>
    <t>Produits des cessions d'éléments d'actif</t>
  </si>
  <si>
    <t>HB</t>
  </si>
  <si>
    <t>Reprises sur prov et transferts de charges</t>
  </si>
  <si>
    <t>HD</t>
  </si>
  <si>
    <t>TOTAL PRODUITS EXCEPTIONNELS</t>
  </si>
  <si>
    <t>HE</t>
  </si>
  <si>
    <t>Charges except sur opé de gestion</t>
  </si>
  <si>
    <t>HF</t>
  </si>
  <si>
    <t>Valeur compt des éléments d'actifs cédés</t>
  </si>
  <si>
    <t>HG</t>
  </si>
  <si>
    <t>Charges  except sur opération en capital</t>
  </si>
  <si>
    <t>HH</t>
  </si>
  <si>
    <t>Dotation except aux amort et provisions</t>
  </si>
  <si>
    <t>HI</t>
  </si>
  <si>
    <t>TOTAL DES CHARGES EXCEPTIONNELLES</t>
  </si>
  <si>
    <t>HJ</t>
  </si>
  <si>
    <t>RESULTAT EXCEPTIONNEL</t>
  </si>
  <si>
    <t>HK</t>
  </si>
  <si>
    <t>Participation des salariés aux résultat de l'entreprise</t>
  </si>
  <si>
    <t>HL</t>
  </si>
  <si>
    <t>BENEFICE OU PERTE</t>
  </si>
  <si>
    <t>HO</t>
  </si>
  <si>
    <t>RENSEIGNEMENTS DIVERS</t>
  </si>
  <si>
    <t>2151 Ter</t>
  </si>
  <si>
    <t>Engrais et amendements</t>
  </si>
  <si>
    <t>ZD</t>
  </si>
  <si>
    <t>Semences et plants</t>
  </si>
  <si>
    <t>ZE</t>
  </si>
  <si>
    <t>Produits de défense des végétaux</t>
  </si>
  <si>
    <t>ZF</t>
  </si>
  <si>
    <t>Aliments du bétail</t>
  </si>
  <si>
    <t>ZG</t>
  </si>
  <si>
    <t>Produits de défense des animaux</t>
  </si>
  <si>
    <t>ZH</t>
  </si>
  <si>
    <t>Combustibles carburants et lubrifiants</t>
  </si>
  <si>
    <t>ZI</t>
  </si>
  <si>
    <t>Autres compte</t>
  </si>
  <si>
    <t>ZJ</t>
  </si>
  <si>
    <t>Total Poste corresp ligne FZ du Tab 2146</t>
  </si>
  <si>
    <t>ZK</t>
  </si>
  <si>
    <t>Sous-traitance</t>
  </si>
  <si>
    <t>ZL</t>
  </si>
  <si>
    <t>Effectif moyen</t>
  </si>
  <si>
    <t>UR</t>
  </si>
  <si>
    <t>En Cas de société : Nombre d'associés</t>
  </si>
  <si>
    <t>UY</t>
  </si>
  <si>
    <t>Surface de l'exploitation Totale</t>
  </si>
  <si>
    <t>UT</t>
  </si>
  <si>
    <t>Surface de l'exploitation  En faire valoir direct</t>
  </si>
  <si>
    <t>UU</t>
  </si>
  <si>
    <t>Surface de l'exploitation  Mise à disposition par l'associé</t>
  </si>
  <si>
    <t>UV</t>
  </si>
  <si>
    <t>Surface de l'exploitation  En fermage</t>
  </si>
  <si>
    <t>UW</t>
  </si>
  <si>
    <t>Surface de l'exploitation  En métayage</t>
  </si>
  <si>
    <t>UX</t>
  </si>
  <si>
    <t>SITUATIONS ET MOUVEMENTS AMORTISSEMENTS</t>
  </si>
  <si>
    <t>Installations techniques, materiel et outillage  Augmentation</t>
  </si>
  <si>
    <t>PW</t>
  </si>
  <si>
    <t>Autres immobilisations corporelles  Augmentation</t>
  </si>
  <si>
    <t>QA</t>
  </si>
  <si>
    <t>TOTAL GENERAL I+II+II Augmentation</t>
  </si>
  <si>
    <t>UB</t>
  </si>
  <si>
    <t>Origine</t>
  </si>
  <si>
    <t>Code</t>
  </si>
  <si>
    <t>Superficie terres labourables</t>
  </si>
  <si>
    <t>OG 06</t>
  </si>
  <si>
    <t>ZP002</t>
  </si>
  <si>
    <t>Surface patures et pres</t>
  </si>
  <si>
    <t>ZP003</t>
  </si>
  <si>
    <t>Autres surfaces</t>
  </si>
  <si>
    <t>Calcull</t>
  </si>
  <si>
    <t>ZP004</t>
  </si>
  <si>
    <t>Surface total  Liasse</t>
  </si>
  <si>
    <t>Liasse UT</t>
  </si>
  <si>
    <t>ZP005</t>
  </si>
  <si>
    <t>Variat. Stock engrais et amendements</t>
  </si>
  <si>
    <t>ZP010</t>
  </si>
  <si>
    <t>Variat. Stock pdts défense végétaux</t>
  </si>
  <si>
    <t>ZP011</t>
  </si>
  <si>
    <t>Variat. Stock semences et plants</t>
  </si>
  <si>
    <t>ZP012</t>
  </si>
  <si>
    <t>Variat. Stock aliments du bétail</t>
  </si>
  <si>
    <t>ZP013</t>
  </si>
  <si>
    <t>Variat. Stock pdts défense Animaux</t>
  </si>
  <si>
    <t>_</t>
  </si>
  <si>
    <t>ZP014</t>
  </si>
  <si>
    <t>Variat. Stock achats animaux</t>
  </si>
  <si>
    <t>ZP015</t>
  </si>
  <si>
    <t>Variat. Stock pdts pétroliers</t>
  </si>
  <si>
    <t>ZP020</t>
  </si>
  <si>
    <t>Fournitures utilisées</t>
  </si>
  <si>
    <t>ZP025</t>
  </si>
  <si>
    <t>Assurances</t>
  </si>
  <si>
    <t>ZP027</t>
  </si>
  <si>
    <t>Entretien Réparation</t>
  </si>
  <si>
    <t>ZP030</t>
  </si>
  <si>
    <t>Entretien Réparation materiel</t>
  </si>
  <si>
    <t>ZP032</t>
  </si>
  <si>
    <t xml:space="preserve"> Autres produits </t>
  </si>
  <si>
    <t xml:space="preserve"> + autres produits dont subvention</t>
  </si>
  <si>
    <t>GZ</t>
  </si>
  <si>
    <t>Aide DPU</t>
  </si>
  <si>
    <t>ZP033</t>
  </si>
  <si>
    <t>ZO</t>
  </si>
  <si>
    <t>ZQ</t>
  </si>
  <si>
    <t>Autres Produits</t>
  </si>
  <si>
    <t>Dont remunération du travail</t>
  </si>
  <si>
    <t>HV</t>
  </si>
  <si>
    <t>Personnel exterieur à l'entreprise</t>
  </si>
  <si>
    <t>744   745</t>
  </si>
  <si>
    <t xml:space="preserve">      Aliment du bétail</t>
  </si>
  <si>
    <t xml:space="preserve">      Produits défense animaux</t>
  </si>
  <si>
    <t xml:space="preserve"> AUTRE AMORT - PROV</t>
  </si>
  <si>
    <t>CHGES &amp; PRDTS DIVERS</t>
  </si>
  <si>
    <t>Capital souscrit non appelé net</t>
  </si>
  <si>
    <t>AA</t>
  </si>
  <si>
    <t>Frais d'établissement net</t>
  </si>
  <si>
    <t>AC</t>
  </si>
  <si>
    <t>Autres immos incorporelles net</t>
  </si>
  <si>
    <t>AE</t>
  </si>
  <si>
    <t>Av. acomptes/immos incorp. net</t>
  </si>
  <si>
    <t>AG</t>
  </si>
  <si>
    <t>Terrains net</t>
  </si>
  <si>
    <t>AI</t>
  </si>
  <si>
    <t>Aménagements fonciers  net</t>
  </si>
  <si>
    <t>AK</t>
  </si>
  <si>
    <t>Amélioration du fonds  net</t>
  </si>
  <si>
    <t>AM</t>
  </si>
  <si>
    <t>Constructions  net</t>
  </si>
  <si>
    <t>AO</t>
  </si>
  <si>
    <t>Inst.tech. Mat.outil.industriel  net</t>
  </si>
  <si>
    <t>AQ</t>
  </si>
  <si>
    <t>Autres immos corporelles net</t>
  </si>
  <si>
    <t>AS</t>
  </si>
  <si>
    <t>Animaux reproducteurs net</t>
  </si>
  <si>
    <t>AU</t>
  </si>
  <si>
    <t>Animaux de service  net</t>
  </si>
  <si>
    <t>AW</t>
  </si>
  <si>
    <t>Plantations pérennes et autres végétaux immobilisés  net</t>
  </si>
  <si>
    <t>AY</t>
  </si>
  <si>
    <t>Immob. Corporelles en cours  net</t>
  </si>
  <si>
    <t>BA</t>
  </si>
  <si>
    <t>Avances et acomptes  net</t>
  </si>
  <si>
    <t>BC</t>
  </si>
  <si>
    <t>Partic.et créances rattachées  net</t>
  </si>
  <si>
    <t>BE</t>
  </si>
  <si>
    <t>Prêts  net</t>
  </si>
  <si>
    <t>BG</t>
  </si>
  <si>
    <t>Autres immobilisations financ.  net</t>
  </si>
  <si>
    <t>BI</t>
  </si>
  <si>
    <t>Total (I)  .  net</t>
  </si>
  <si>
    <t>BK</t>
  </si>
  <si>
    <t>Approvisionnements et march..  net</t>
  </si>
  <si>
    <t>BM</t>
  </si>
  <si>
    <t>Animaux et vég.en terre (c.long)  net</t>
  </si>
  <si>
    <t>BO</t>
  </si>
  <si>
    <t>En cours prod. biens et services (c.long)  net</t>
  </si>
  <si>
    <t>BQ</t>
  </si>
  <si>
    <t>Animaux et vég.en terre (c.court)  net</t>
  </si>
  <si>
    <t>BS</t>
  </si>
  <si>
    <t>BU</t>
  </si>
  <si>
    <t>Produits intermédiaires et finis  net</t>
  </si>
  <si>
    <t>BW</t>
  </si>
  <si>
    <t>Avances et acptes versés s/cdes  net</t>
  </si>
  <si>
    <t>BY</t>
  </si>
  <si>
    <t>Clients et comptes rattachés  net</t>
  </si>
  <si>
    <t>Autes clients et comptes rattachés  net</t>
  </si>
  <si>
    <t>CC</t>
  </si>
  <si>
    <t>Autres créances  net</t>
  </si>
  <si>
    <t>CE</t>
  </si>
  <si>
    <t>Val.mob.de placement   net</t>
  </si>
  <si>
    <t>CG</t>
  </si>
  <si>
    <t>Disponibilités   net</t>
  </si>
  <si>
    <t>CI</t>
  </si>
  <si>
    <t>Charges consatées d'avances   net</t>
  </si>
  <si>
    <t>CK</t>
  </si>
  <si>
    <t>Total (III)     net</t>
  </si>
  <si>
    <t>CM</t>
  </si>
  <si>
    <t>Total général (V)    net</t>
  </si>
  <si>
    <t>1A</t>
  </si>
  <si>
    <t>BILAN  PASSIF</t>
  </si>
  <si>
    <t>Capital social</t>
  </si>
  <si>
    <t>DA</t>
  </si>
  <si>
    <t>Primes d'émission, de fusion, d'apport</t>
  </si>
  <si>
    <t>DB</t>
  </si>
  <si>
    <t>Ecarts de réévaluation</t>
  </si>
  <si>
    <t>DC</t>
  </si>
  <si>
    <t>Réserves statutaires ou contractuelles</t>
  </si>
  <si>
    <t>DE</t>
  </si>
  <si>
    <t>Réserves réglementées</t>
  </si>
  <si>
    <t>DF</t>
  </si>
  <si>
    <t>Autres réserves</t>
  </si>
  <si>
    <t>DG</t>
  </si>
  <si>
    <t>Report à nouveau</t>
  </si>
  <si>
    <t>DH</t>
  </si>
  <si>
    <t>RESULTAT DE L'EXERCICE (bénéfice ou perte)</t>
  </si>
  <si>
    <t>DI</t>
  </si>
  <si>
    <t>Subventions d'investissement</t>
  </si>
  <si>
    <t>DJ</t>
  </si>
  <si>
    <t>Provisions règlementées</t>
  </si>
  <si>
    <t>DK</t>
  </si>
  <si>
    <t>Total (I)</t>
  </si>
  <si>
    <t>DL</t>
  </si>
  <si>
    <t>Provisions pour risques</t>
  </si>
  <si>
    <t>DM</t>
  </si>
  <si>
    <t>Provisions pour charges</t>
  </si>
  <si>
    <t>DN</t>
  </si>
  <si>
    <t>Total (II)</t>
  </si>
  <si>
    <t>DO</t>
  </si>
  <si>
    <t>Emprunts et dettes auprès des établissements de crédit</t>
  </si>
  <si>
    <t>DP</t>
  </si>
  <si>
    <t>Emprunts fonciers</t>
  </si>
  <si>
    <t>EE</t>
  </si>
  <si>
    <t>Concours bancaires courants et découverts bancaires</t>
  </si>
  <si>
    <t>DQ</t>
  </si>
  <si>
    <t>Autres dettes financières</t>
  </si>
  <si>
    <t>DR</t>
  </si>
  <si>
    <t>Avances et acomptes reçus sur commandes en cours</t>
  </si>
  <si>
    <t>DS</t>
  </si>
  <si>
    <t>Dettes fournisseurs et comptes rattachés</t>
  </si>
  <si>
    <t>DT</t>
  </si>
  <si>
    <t>Dettes autres fournisseurs et comptes rattachés</t>
  </si>
  <si>
    <t>DU</t>
  </si>
  <si>
    <t>Dettes fiscales et sociales</t>
  </si>
  <si>
    <t>DV</t>
  </si>
  <si>
    <t>Dettes sur immobilisations et comptes rattachés</t>
  </si>
  <si>
    <t>DW</t>
  </si>
  <si>
    <t>DX</t>
  </si>
  <si>
    <t>Produits constatés d'avance</t>
  </si>
  <si>
    <t>DY</t>
  </si>
  <si>
    <t>Total (III)</t>
  </si>
  <si>
    <t>DZ</t>
  </si>
  <si>
    <t>Ecarts de conversion passif</t>
  </si>
  <si>
    <t>EA</t>
  </si>
  <si>
    <t>Total général (I à IV)</t>
  </si>
  <si>
    <t>EB</t>
  </si>
  <si>
    <t>Solde Créditeur 455</t>
  </si>
  <si>
    <t>Balance</t>
  </si>
  <si>
    <t>Solde Débiteur 455</t>
  </si>
  <si>
    <t>Montant créditeur 13_</t>
  </si>
  <si>
    <t>Montant créditeur 164_</t>
  </si>
  <si>
    <t>Solde Créditeur 164_</t>
  </si>
  <si>
    <t>Intéret découvert</t>
  </si>
  <si>
    <t>Solde Créditeur 1688</t>
  </si>
  <si>
    <t>Intéret</t>
  </si>
  <si>
    <t>Solde Créditeur 168_</t>
  </si>
  <si>
    <t>Solde Créditeur 512_</t>
  </si>
  <si>
    <t>Solde Créditeur 519_</t>
  </si>
  <si>
    <t>Solde Créditeur 777</t>
  </si>
  <si>
    <t>Reprise aux ammatissement et prov</t>
  </si>
  <si>
    <t>TQ</t>
  </si>
  <si>
    <t>Reprise aux ammatissement et prov 2</t>
  </si>
  <si>
    <t>TT</t>
  </si>
  <si>
    <t>Cadre B immo OK</t>
  </si>
  <si>
    <t>OK</t>
  </si>
  <si>
    <t>Cadre A immo OJ</t>
  </si>
  <si>
    <t>OJ</t>
  </si>
  <si>
    <t xml:space="preserve">CALCUL BESOIN EN FOND DE ROULEMENT </t>
  </si>
  <si>
    <t>A_Variation fds de R</t>
  </si>
  <si>
    <t>164+168+512+519</t>
  </si>
  <si>
    <t>Emprunts Balance</t>
  </si>
  <si>
    <t>Dettes Liasse</t>
  </si>
  <si>
    <t>DP+EE+DQ+DR</t>
  </si>
  <si>
    <t>Année N</t>
  </si>
  <si>
    <t>Année N-1</t>
  </si>
  <si>
    <t>CC 455 créditeur</t>
  </si>
  <si>
    <t xml:space="preserve">- augmentation des autres dettes </t>
  </si>
  <si>
    <t xml:space="preserve">- diminution des autres dettes </t>
  </si>
  <si>
    <t>Surface liasse</t>
  </si>
  <si>
    <t>Surface total DG</t>
  </si>
  <si>
    <t>Surface exploité DG</t>
  </si>
  <si>
    <t>Nombre d'associé</t>
  </si>
  <si>
    <t>Effectif moyen du personnel</t>
  </si>
  <si>
    <t>Effectif de l'exploitation</t>
  </si>
  <si>
    <t>N_1</t>
  </si>
  <si>
    <t>Contôlre Resultat courant</t>
  </si>
  <si>
    <t>Resultat liasse</t>
  </si>
  <si>
    <t>Resultat SIG</t>
  </si>
  <si>
    <t>Resultat Evolution Chges</t>
  </si>
  <si>
    <t xml:space="preserve">Tresorerie début Ex </t>
  </si>
  <si>
    <t>Tresorerie début Ex Liasse</t>
  </si>
  <si>
    <t xml:space="preserve">Tresorerie Fin Ex </t>
  </si>
  <si>
    <t>Tresorerie Fin Ex Liasse</t>
  </si>
  <si>
    <t>BILAN  ACTIF BRUT</t>
  </si>
  <si>
    <t>Client et compte rattachés Brut</t>
  </si>
  <si>
    <t>BZ</t>
  </si>
  <si>
    <t>Autres Client et compte rattachés Brut</t>
  </si>
  <si>
    <t>CB</t>
  </si>
  <si>
    <t>Caractéristique de votre exploitation</t>
  </si>
  <si>
    <t>SIG &amp; Evolution des Charges</t>
  </si>
  <si>
    <t>N1</t>
  </si>
  <si>
    <t>N2</t>
  </si>
  <si>
    <t>Variation du fond de roulement</t>
  </si>
  <si>
    <t>Determination FDR variation</t>
  </si>
  <si>
    <t xml:space="preserve">Variation fond de roulement </t>
  </si>
  <si>
    <t>Tresorerie N-1</t>
  </si>
  <si>
    <t>Tresorerie N</t>
  </si>
  <si>
    <t xml:space="preserve">Total Actif </t>
  </si>
  <si>
    <t>Total Actif liasse</t>
  </si>
  <si>
    <t>Total Passif</t>
  </si>
  <si>
    <t>Total Passif liasse</t>
  </si>
  <si>
    <t>Contrôle difference</t>
  </si>
  <si>
    <t>Contrôle du dossier de gestion</t>
  </si>
  <si>
    <t>Choix des info complémentaire 1=RESULTATS STOCKS  0= BALANCE OG</t>
  </si>
  <si>
    <t>Valeurs utilisées</t>
  </si>
  <si>
    <t>Valeurs Res Stocks</t>
  </si>
  <si>
    <t>Valeurs balance OG</t>
  </si>
  <si>
    <t>Verification des stocks</t>
  </si>
  <si>
    <t>Total Stocks</t>
  </si>
  <si>
    <t>Assurance</t>
  </si>
  <si>
    <t>Marge globale   / hectare</t>
  </si>
  <si>
    <t>AMORTISSEMENTS</t>
  </si>
  <si>
    <t>Total général I II III</t>
  </si>
  <si>
    <t>QT</t>
  </si>
  <si>
    <t>Terrain</t>
  </si>
  <si>
    <t>PL</t>
  </si>
  <si>
    <t>Animaux Reproducteur</t>
  </si>
  <si>
    <t>QG</t>
  </si>
  <si>
    <t>Animaux de service</t>
  </si>
  <si>
    <t>QK</t>
  </si>
  <si>
    <t>Plantation perennes</t>
  </si>
  <si>
    <t>QO</t>
  </si>
  <si>
    <t>AMORTISSEMENTS 2147</t>
  </si>
  <si>
    <t>Vb Amenagement fonciers</t>
  </si>
  <si>
    <t>MQ</t>
  </si>
  <si>
    <t>Vb Construction</t>
  </si>
  <si>
    <t>MW</t>
  </si>
  <si>
    <t>Vb Instalation Technique Mat</t>
  </si>
  <si>
    <t>MZ</t>
  </si>
  <si>
    <t>Vb Autres immo corporelle</t>
  </si>
  <si>
    <t>NC</t>
  </si>
  <si>
    <t>ETAT ECHEANCES, CREANCES ET DETTES FIN EXERC. 2150</t>
  </si>
  <si>
    <t>Creance Groupe, communauté d'exploitation et associés</t>
  </si>
  <si>
    <t>6Q</t>
  </si>
  <si>
    <t>Dette Groupe, communauté d'exploitation et associés</t>
  </si>
  <si>
    <t>VM</t>
  </si>
  <si>
    <t xml:space="preserve">Statistiques  </t>
  </si>
  <si>
    <t xml:space="preserve">Le compte de résultat analysé page 14, met en évidence les produits générés et les charges </t>
  </si>
  <si>
    <r>
      <t>Celle-ci est analysée page</t>
    </r>
    <r>
      <rPr>
        <sz val="18"/>
        <color rgb="FFFF0000"/>
        <rFont val="Tahoma"/>
        <family val="2"/>
      </rPr>
      <t xml:space="preserve"> </t>
    </r>
    <r>
      <rPr>
        <sz val="11"/>
        <rFont val="Tahoma"/>
        <family val="2"/>
      </rPr>
      <t>16 de ce document.</t>
    </r>
  </si>
  <si>
    <t>A l'actif, figure les biens affectés à l'exploitation ainsi que les créances.</t>
  </si>
  <si>
    <t xml:space="preserve">  Autres comptes</t>
  </si>
  <si>
    <t>Surface autre du tableau caract</t>
  </si>
  <si>
    <t>PRELEVEMENT</t>
  </si>
  <si>
    <t>RESULTAT NET</t>
  </si>
  <si>
    <t>TOTAL RESSOURCES</t>
  </si>
  <si>
    <t>TOTAL EMPLOI</t>
  </si>
  <si>
    <t>APPORT</t>
  </si>
  <si>
    <t>TRESORERIE FIN</t>
  </si>
  <si>
    <t>01</t>
  </si>
  <si>
    <t>02</t>
  </si>
  <si>
    <t>03</t>
  </si>
  <si>
    <t>08</t>
  </si>
  <si>
    <t>10</t>
  </si>
  <si>
    <t>13</t>
  </si>
  <si>
    <t>14</t>
  </si>
  <si>
    <t>17</t>
  </si>
  <si>
    <t>18</t>
  </si>
  <si>
    <t>21</t>
  </si>
  <si>
    <t>22</t>
  </si>
  <si>
    <t>23</t>
  </si>
  <si>
    <t>25</t>
  </si>
  <si>
    <t>27</t>
  </si>
  <si>
    <t>28</t>
  </si>
  <si>
    <t>29</t>
  </si>
  <si>
    <t>33</t>
  </si>
  <si>
    <t>34</t>
  </si>
  <si>
    <t>37</t>
  </si>
  <si>
    <t>38</t>
  </si>
  <si>
    <t>39</t>
  </si>
  <si>
    <t>40</t>
  </si>
  <si>
    <t>41</t>
  </si>
  <si>
    <t>42</t>
  </si>
  <si>
    <t>44</t>
  </si>
  <si>
    <t>45</t>
  </si>
  <si>
    <t>50</t>
  </si>
  <si>
    <t>51</t>
  </si>
  <si>
    <t>52</t>
  </si>
  <si>
    <t>53</t>
  </si>
  <si>
    <t>54</t>
  </si>
  <si>
    <t>55</t>
  </si>
  <si>
    <t>56</t>
  </si>
  <si>
    <t>58</t>
  </si>
  <si>
    <t>59</t>
  </si>
  <si>
    <t>60</t>
  </si>
  <si>
    <t>62</t>
  </si>
  <si>
    <t>63</t>
  </si>
  <si>
    <t>64</t>
  </si>
  <si>
    <t>65</t>
  </si>
  <si>
    <t>69</t>
  </si>
  <si>
    <t>72</t>
  </si>
  <si>
    <t>74</t>
  </si>
  <si>
    <t>75</t>
  </si>
  <si>
    <t>76</t>
  </si>
  <si>
    <t>77</t>
  </si>
  <si>
    <t>78</t>
  </si>
  <si>
    <t>79</t>
  </si>
  <si>
    <t>80</t>
  </si>
  <si>
    <t>84</t>
  </si>
  <si>
    <t>86</t>
  </si>
  <si>
    <t>89</t>
  </si>
  <si>
    <t>91</t>
  </si>
  <si>
    <t>92</t>
  </si>
  <si>
    <t>93</t>
  </si>
  <si>
    <t>94</t>
  </si>
  <si>
    <t>95</t>
  </si>
  <si>
    <t>Num departement</t>
  </si>
  <si>
    <t>Ain</t>
  </si>
  <si>
    <t>=CPAdht</t>
  </si>
  <si>
    <t>Ardenne</t>
  </si>
  <si>
    <t>/Ha</t>
  </si>
  <si>
    <t>N Compte</t>
  </si>
  <si>
    <t>Solde Debit N1</t>
  </si>
  <si>
    <t>Solde Debit N</t>
  </si>
  <si>
    <t>Spécifiqiue pour cab 65</t>
  </si>
  <si>
    <t>Produits de défense Veg</t>
  </si>
  <si>
    <t>Carburants et lubrifiants</t>
  </si>
  <si>
    <t>Choix CAB</t>
  </si>
  <si>
    <t>Solde Debit N2</t>
  </si>
  <si>
    <t>Si presence d'une balance sans montant credit et débit</t>
  </si>
  <si>
    <t>Dans ce cas on calcule les montant credit des comptes 164 et 13 à partir dans données de la liasse, Par comcequent on ne saisie plus les montants</t>
  </si>
  <si>
    <t>Si balance non saisie</t>
  </si>
  <si>
    <t>Calcul du Montant Créditeur 164</t>
  </si>
  <si>
    <t>Calcul du Montant Créditeur 13</t>
  </si>
  <si>
    <t>VT</t>
  </si>
  <si>
    <t>Valeurs MONTANT BAL</t>
  </si>
  <si>
    <t>Valeurs Calculée</t>
  </si>
  <si>
    <t>Je ne souhaite pas saisir les montants je tappe 1 sinon 0</t>
  </si>
  <si>
    <t>VS</t>
  </si>
  <si>
    <t>Emprunts souscrits</t>
  </si>
  <si>
    <t>Emprunts remboursés</t>
  </si>
  <si>
    <t>Valeurs BALANCE OG</t>
  </si>
  <si>
    <t>Solde Créditeur 5186</t>
  </si>
  <si>
    <t>Solde Débiteur 164</t>
  </si>
  <si>
    <t>0 0</t>
  </si>
  <si>
    <t>Dette  Emprumt souscrits en cours d ex</t>
  </si>
  <si>
    <t>Emprumt remboursés en cours d ex</t>
  </si>
  <si>
    <t>Blé</t>
  </si>
  <si>
    <t>tne</t>
  </si>
  <si>
    <t>Pois protéagineux</t>
  </si>
  <si>
    <t>Colza</t>
  </si>
  <si>
    <t>Orge d'hiver (Escourgeon)</t>
  </si>
  <si>
    <t>JACHERES</t>
  </si>
  <si>
    <t>Rubrique 21</t>
  </si>
  <si>
    <t>Rubrique 74</t>
  </si>
  <si>
    <t>Rubrique 89</t>
  </si>
  <si>
    <t>Rubrique 98</t>
  </si>
  <si>
    <t>Rubrique 208</t>
  </si>
  <si>
    <t>Rubrique 212</t>
  </si>
  <si>
    <t>Rubrique 214</t>
  </si>
  <si>
    <t>Rubrique 218</t>
  </si>
  <si>
    <t>Rubrique 220</t>
  </si>
  <si>
    <t>Rubrique 235</t>
  </si>
  <si>
    <t>Rubrique 237</t>
  </si>
  <si>
    <t>Rubrique 239</t>
  </si>
  <si>
    <t>Rubrique 256</t>
  </si>
  <si>
    <t>Rubrique 257</t>
  </si>
  <si>
    <t>Rubrique 258</t>
  </si>
  <si>
    <t>Rubrique 266</t>
  </si>
  <si>
    <t>Rubrique 288</t>
  </si>
  <si>
    <t>Rubrique 300</t>
  </si>
  <si>
    <t>Rubrique 302</t>
  </si>
  <si>
    <t>Rubrique 308</t>
  </si>
  <si>
    <t>Rubrique 334</t>
  </si>
  <si>
    <t>Rubrique 339</t>
  </si>
  <si>
    <t>Rubrique 342</t>
  </si>
  <si>
    <t>Rubrique 374</t>
  </si>
  <si>
    <t>Rubrique 390</t>
  </si>
  <si>
    <t>Rubrique 391</t>
  </si>
  <si>
    <t>Rubrique 398</t>
  </si>
  <si>
    <t>Rubrique 403</t>
  </si>
  <si>
    <t>Rubrique 407</t>
  </si>
  <si>
    <t>Rubrique 408</t>
  </si>
  <si>
    <t>Rubrique 409</t>
  </si>
  <si>
    <t>Rubrique 410</t>
  </si>
  <si>
    <t>Rubrique 411</t>
  </si>
  <si>
    <t>Rubrique 413</t>
  </si>
  <si>
    <t>Rubrique 416</t>
  </si>
  <si>
    <t>Rubrique 423</t>
  </si>
  <si>
    <t>Rubrique 426</t>
  </si>
  <si>
    <t>Rubrique 429</t>
  </si>
  <si>
    <t>Rubrique 430</t>
  </si>
  <si>
    <t>Rubrique 431</t>
  </si>
  <si>
    <t>Rubrique 432</t>
  </si>
  <si>
    <t>Rubrique 433</t>
  </si>
  <si>
    <t>Rubrique 434</t>
  </si>
  <si>
    <t>Rubrique 436</t>
  </si>
  <si>
    <t>Rubrique 437</t>
  </si>
  <si>
    <t>Rubrique 438</t>
  </si>
  <si>
    <t>Rubrique 554</t>
  </si>
  <si>
    <t>Rubrique 578</t>
  </si>
  <si>
    <t>Rubrique 584</t>
  </si>
  <si>
    <t>Rubrique 585</t>
  </si>
  <si>
    <t>Rubrique 587</t>
  </si>
  <si>
    <t>Rubrique 602</t>
  </si>
  <si>
    <t>Rubrique 608</t>
  </si>
  <si>
    <t>Rubrique 612</t>
  </si>
  <si>
    <t>Rubrique 625</t>
  </si>
  <si>
    <t>Rubrique 640</t>
  </si>
  <si>
    <t>Rubrique 646</t>
  </si>
  <si>
    <t>Rubrique 652</t>
  </si>
  <si>
    <t>Rubrique 658</t>
  </si>
  <si>
    <t>Rubrique 662</t>
  </si>
  <si>
    <t>Rubrique 663</t>
  </si>
  <si>
    <t>Rubrique 664</t>
  </si>
  <si>
    <t>Rubrique 668</t>
  </si>
  <si>
    <t>Rubrique 672</t>
  </si>
  <si>
    <t>Rubrique 678</t>
  </si>
  <si>
    <t>Rubrique 702</t>
  </si>
  <si>
    <t>Rubrique 709</t>
  </si>
  <si>
    <t>Rubrique 722</t>
  </si>
  <si>
    <t>Rubrique 723</t>
  </si>
  <si>
    <t>Rubrique 728</t>
  </si>
  <si>
    <t>Rubrique 750</t>
  </si>
  <si>
    <t>Rubrique 752</t>
  </si>
  <si>
    <t>Rubrique 774</t>
  </si>
  <si>
    <t>Rubrique 778</t>
  </si>
  <si>
    <t>Rubrique 820</t>
  </si>
  <si>
    <t>Rubrique 822</t>
  </si>
  <si>
    <t>Rubrique 824</t>
  </si>
  <si>
    <t>Rubrique 826</t>
  </si>
  <si>
    <t>Rubrique 835</t>
  </si>
  <si>
    <t>Rubrique 836</t>
  </si>
  <si>
    <t>Rubrique 847</t>
  </si>
  <si>
    <t>Rubrique 851</t>
  </si>
  <si>
    <t>Rubrique 1073</t>
  </si>
  <si>
    <t>Rubrique 1075</t>
  </si>
  <si>
    <t>Rubrique 1077</t>
  </si>
  <si>
    <t>Rubrique 1079</t>
  </si>
  <si>
    <t>Rubrique 1088</t>
  </si>
  <si>
    <t>Rubrique 1095</t>
  </si>
  <si>
    <t>Rubrique 1096</t>
  </si>
  <si>
    <t>Rubrique 1097</t>
  </si>
  <si>
    <t>Rubrique 1098</t>
  </si>
  <si>
    <t>Rubrique 1099</t>
  </si>
  <si>
    <t>Rubrique 1137</t>
  </si>
  <si>
    <t>Rubrique 1156</t>
  </si>
  <si>
    <t>Rubrique 1166</t>
  </si>
  <si>
    <t>Rubrique 1167</t>
  </si>
  <si>
    <t>Rubrique 1172</t>
  </si>
  <si>
    <t>Rubrique 1173</t>
  </si>
  <si>
    <t>Rubrique 1174</t>
  </si>
  <si>
    <t>Rubrique 1175</t>
  </si>
  <si>
    <t>Rubrique 1200</t>
  </si>
  <si>
    <t>Rubrique 1201</t>
  </si>
  <si>
    <t>Rubrique 1206</t>
  </si>
  <si>
    <t>Rubrique 1256</t>
  </si>
  <si>
    <t>Rubrique 1257</t>
  </si>
  <si>
    <t>Rubrique 1259</t>
  </si>
  <si>
    <t>Rubrique 1260</t>
  </si>
  <si>
    <t>Rubrique 1261</t>
  </si>
  <si>
    <t>Rubrique 1262</t>
  </si>
  <si>
    <t>Rubrique 1263</t>
  </si>
  <si>
    <t>Rubrique 1266</t>
  </si>
  <si>
    <t>Rubrique 1268</t>
  </si>
  <si>
    <t>Rubrique 1269</t>
  </si>
  <si>
    <t>Rubrique 1271</t>
  </si>
  <si>
    <t>Rubrique 1272</t>
  </si>
  <si>
    <t>Rubrique 1273</t>
  </si>
  <si>
    <t>Rubrique 1274</t>
  </si>
  <si>
    <t>Rubrique 1275</t>
  </si>
  <si>
    <t>Rubrique 1278</t>
  </si>
  <si>
    <t>Rubrique 1280</t>
  </si>
  <si>
    <t>Rubrique 1295</t>
  </si>
  <si>
    <t>Rubrique 1296</t>
  </si>
  <si>
    <t>Rubrique 1298</t>
  </si>
  <si>
    <t>Rubrique 1299</t>
  </si>
  <si>
    <t>Rubrique 1300</t>
  </si>
  <si>
    <t>Rubrique 1302</t>
  </si>
  <si>
    <t>Rubrique 1306</t>
  </si>
  <si>
    <t>Rubrique 1321</t>
  </si>
  <si>
    <t>Rubrique 1322</t>
  </si>
  <si>
    <t>Rubrique 1324</t>
  </si>
  <si>
    <t>Rubrique 1368</t>
  </si>
  <si>
    <t>Rubrique 1369</t>
  </si>
  <si>
    <t>Rubrique 1370</t>
  </si>
  <si>
    <t>Rubrique 1372</t>
  </si>
  <si>
    <t>Rubrique 1373</t>
  </si>
  <si>
    <t>Rubrique 1483</t>
  </si>
  <si>
    <t>Rubrique 1512</t>
  </si>
  <si>
    <t>Rubrique 1513</t>
  </si>
  <si>
    <t>Rubrique 1514</t>
  </si>
  <si>
    <t>Rubrique 1516</t>
  </si>
  <si>
    <t>Rubrique 1517</t>
  </si>
  <si>
    <t>Rubrique 1518</t>
  </si>
  <si>
    <t>Rubrique 1658</t>
  </si>
  <si>
    <t>Rubrique 1670</t>
  </si>
  <si>
    <t>Rubrique 1682</t>
  </si>
  <si>
    <t>Rubrique 1878</t>
  </si>
  <si>
    <t>Rubrique 2082</t>
  </si>
  <si>
    <t>Rubrique 2097</t>
  </si>
  <si>
    <t>Rubrique 2098</t>
  </si>
  <si>
    <t>Rubrique 2109</t>
  </si>
  <si>
    <t>Rubrique 2111</t>
  </si>
  <si>
    <t>Rubrique 2113</t>
  </si>
  <si>
    <t>Rubrique 2119</t>
  </si>
  <si>
    <t>Rubrique 2122</t>
  </si>
  <si>
    <t>Rubrique 3028</t>
  </si>
  <si>
    <t>Rubrique 3032</t>
  </si>
  <si>
    <t>Rubrique 5501</t>
  </si>
  <si>
    <t>Rubrique 5503</t>
  </si>
  <si>
    <t>Rubrique 5965</t>
  </si>
  <si>
    <t>Rubrique 7208</t>
  </si>
  <si>
    <t>Rubrique 7209</t>
  </si>
  <si>
    <t>Rubrique 7210</t>
  </si>
  <si>
    <t>Rubrique 7211</t>
  </si>
  <si>
    <t>Rubrique 7212</t>
  </si>
  <si>
    <t>Rubrique 9807</t>
  </si>
  <si>
    <t>Rubrique 9809</t>
  </si>
  <si>
    <t>Rubrique 9813</t>
  </si>
  <si>
    <t>Rubrique 9814</t>
  </si>
  <si>
    <t>Rubrique 9815</t>
  </si>
  <si>
    <t>Rubrique 9816</t>
  </si>
  <si>
    <t>Rubrique 9822</t>
  </si>
  <si>
    <t>Rubrique 9823</t>
  </si>
  <si>
    <t>Rubrique 9832</t>
  </si>
  <si>
    <t>Rubrique 9833</t>
  </si>
  <si>
    <t>Rubrique 9873</t>
  </si>
  <si>
    <t>Rubrique 11000</t>
  </si>
  <si>
    <t>Rubrique 11004</t>
  </si>
  <si>
    <t>Rubrique 11006</t>
  </si>
  <si>
    <t>Rubrique 11007</t>
  </si>
  <si>
    <t>Rubrique 11008</t>
  </si>
  <si>
    <t>Rubrique 11011</t>
  </si>
  <si>
    <t>Rubrique 11014</t>
  </si>
  <si>
    <t>Rubrique 11015</t>
  </si>
  <si>
    <t>Rubrique 11016</t>
  </si>
  <si>
    <t>Rubrique 11017</t>
  </si>
  <si>
    <t>Rubrique 11018</t>
  </si>
  <si>
    <t>Rubrique 11019</t>
  </si>
  <si>
    <t>Rubrique 11020</t>
  </si>
  <si>
    <t>Rubrique 11021</t>
  </si>
  <si>
    <t>Rubrique 11106</t>
  </si>
  <si>
    <t>Rubrique 11107</t>
  </si>
  <si>
    <t>Rubrique 11108</t>
  </si>
  <si>
    <t>Rubrique 17036</t>
  </si>
  <si>
    <t>Rubrique 17037</t>
  </si>
  <si>
    <t>Rubrique 17038</t>
  </si>
  <si>
    <t>Rubrique 17039</t>
  </si>
  <si>
    <t>Rubrique 17040</t>
  </si>
  <si>
    <t>Rubrique 17041</t>
  </si>
  <si>
    <t>Rubrique 17045</t>
  </si>
  <si>
    <t>Rubrique 17049</t>
  </si>
  <si>
    <t>Rubrique 17053</t>
  </si>
  <si>
    <t>Rubrique 17166</t>
  </si>
  <si>
    <t>Rubrique 17168</t>
  </si>
  <si>
    <t>Rubrique 17202</t>
  </si>
  <si>
    <t>Rubrique 17930</t>
  </si>
  <si>
    <t>Rubrique 17931</t>
  </si>
  <si>
    <t>Rubrique 17980</t>
  </si>
  <si>
    <t>Rubrique 18011</t>
  </si>
  <si>
    <t>Rubrique 18012</t>
  </si>
  <si>
    <t>Rubrique 18013</t>
  </si>
  <si>
    <t>Rubrique 18014</t>
  </si>
  <si>
    <t>Rubrique 18015</t>
  </si>
  <si>
    <t>Rubrique 18017</t>
  </si>
  <si>
    <t>Calcul DG37322</t>
  </si>
  <si>
    <t>Calcul DG37035</t>
  </si>
  <si>
    <t>Calcul DG37036</t>
  </si>
  <si>
    <t>Calcul DG37037</t>
  </si>
  <si>
    <t>Calcul DG37038</t>
  </si>
  <si>
    <t>Calcul DG37039</t>
  </si>
  <si>
    <t>Calcul DG37040</t>
  </si>
  <si>
    <t>Calcul DG37041</t>
  </si>
  <si>
    <t>Calcul DG37044</t>
  </si>
  <si>
    <t>Calcul DG37047</t>
  </si>
  <si>
    <t>Calcul DG37048</t>
  </si>
  <si>
    <t>Calcul DG37051</t>
  </si>
  <si>
    <t>Calcul DG37052</t>
  </si>
  <si>
    <t>Calcul DG37053</t>
  </si>
  <si>
    <t>Calcul DG37054</t>
  </si>
  <si>
    <t>Calcul DG37055</t>
  </si>
  <si>
    <t>Calcul DG37056</t>
  </si>
  <si>
    <t>Calcul DG37057</t>
  </si>
  <si>
    <t>Calcul DG37061</t>
  </si>
  <si>
    <t>Calcul DG37069</t>
  </si>
  <si>
    <t>Calcul DG37070</t>
  </si>
  <si>
    <t>Calcul DG37071</t>
  </si>
  <si>
    <t>Calcul DG37072</t>
  </si>
  <si>
    <t>Calcul DG37073</t>
  </si>
  <si>
    <t>Calcul DG37074</t>
  </si>
  <si>
    <t>Calcul DG37076</t>
  </si>
  <si>
    <t>Calcul DG37077</t>
  </si>
  <si>
    <t>Calcul DG37078</t>
  </si>
  <si>
    <t>Calcul DG37080</t>
  </si>
  <si>
    <t>Calcul DG37124</t>
  </si>
  <si>
    <t>Calcul DG37125</t>
  </si>
  <si>
    <t>Calcul DG37131</t>
  </si>
  <si>
    <t>Calcul DG37135</t>
  </si>
  <si>
    <t>Calcul DG37136</t>
  </si>
  <si>
    <t>Calcul DG37137</t>
  </si>
  <si>
    <t>Calcul DG37140</t>
  </si>
  <si>
    <t>Calcul DG37144</t>
  </si>
  <si>
    <t>Calcul DG37145</t>
  </si>
  <si>
    <t>Calcul DG37146</t>
  </si>
  <si>
    <t>Calcul DG37150</t>
  </si>
  <si>
    <t>Calcul DG37151</t>
  </si>
  <si>
    <t>Calcul DG37154</t>
  </si>
  <si>
    <t>Calcul DG37155</t>
  </si>
  <si>
    <t>Calcul DG37156</t>
  </si>
  <si>
    <t>Calcul DG37157</t>
  </si>
  <si>
    <t>Calcul DG37158</t>
  </si>
  <si>
    <t>Calcul DG37159</t>
  </si>
  <si>
    <t>Calcul DG37166</t>
  </si>
  <si>
    <t>Calcul DG37167</t>
  </si>
  <si>
    <t>Calcul DG37168</t>
  </si>
  <si>
    <t>Calcul DG37169</t>
  </si>
  <si>
    <t>Calcul DG37170</t>
  </si>
  <si>
    <t>Calcul DG37171</t>
  </si>
  <si>
    <t>A1</t>
  </si>
  <si>
    <t>Calcul DG37172</t>
  </si>
  <si>
    <t>Calcul DG37175</t>
  </si>
  <si>
    <t>Calcul DG37176</t>
  </si>
  <si>
    <t>Calcul DG37180</t>
  </si>
  <si>
    <t>Calcul DG37185</t>
  </si>
  <si>
    <t>Calcul DG37193</t>
  </si>
  <si>
    <t>Calcul DG37196</t>
  </si>
  <si>
    <t>Calcul DG37106</t>
  </si>
  <si>
    <t>Calcul DG37126</t>
  </si>
  <si>
    <t>Calcul DG37127</t>
  </si>
  <si>
    <t>Calcul DG37178</t>
  </si>
  <si>
    <t>Calcul DG37010</t>
  </si>
  <si>
    <t>Calcul DG37199</t>
  </si>
  <si>
    <t>Calcul DG37067</t>
  </si>
  <si>
    <t>Calcul DG37068</t>
  </si>
  <si>
    <t>Calcul DG37062</t>
  </si>
  <si>
    <t>Calcul DG37063</t>
  </si>
  <si>
    <t>Calcul DG37064</t>
  </si>
  <si>
    <t>Calcul DG37065</t>
  </si>
  <si>
    <t>Calcul DG37107</t>
  </si>
  <si>
    <t>Calcul DG37108</t>
  </si>
  <si>
    <t>Calcul DG37109</t>
  </si>
  <si>
    <t>Calcul DG37110</t>
  </si>
  <si>
    <t>Calcul DG37111</t>
  </si>
  <si>
    <t>Calcul DG37118</t>
  </si>
  <si>
    <t>Calcul DG37119</t>
  </si>
  <si>
    <t>Calcul DG37120</t>
  </si>
  <si>
    <t>Calcul DG37121</t>
  </si>
  <si>
    <t>Calcul DG37132</t>
  </si>
  <si>
    <t>Calcul DG37112</t>
  </si>
  <si>
    <t>Calcul DG37113</t>
  </si>
  <si>
    <t>Calcul DG37134</t>
  </si>
  <si>
    <t>Calcul DG37116</t>
  </si>
  <si>
    <t>Calcul DG37117</t>
  </si>
  <si>
    <t>Calcul DG37007</t>
  </si>
  <si>
    <t>Calcul DG37023</t>
  </si>
  <si>
    <t>Calcul DG37079</t>
  </si>
  <si>
    <t>Calcul DG37075</t>
  </si>
  <si>
    <t>Calcul DG30470</t>
  </si>
  <si>
    <t>Calcul DG37008</t>
  </si>
  <si>
    <t>Calcul DG37024</t>
  </si>
  <si>
    <t>Calcul DG37202</t>
  </si>
  <si>
    <t>Calcul DG37186</t>
  </si>
  <si>
    <t>Calcul DG37066</t>
  </si>
  <si>
    <t>Calcul DG37088</t>
  </si>
  <si>
    <t>Calcul DG37089</t>
  </si>
  <si>
    <t>Calcul DG37090</t>
  </si>
  <si>
    <t>Calcul DG37000</t>
  </si>
  <si>
    <t>Calcul DG37002</t>
  </si>
  <si>
    <t>Calcul DG37004</t>
  </si>
  <si>
    <t>Calcul DG37016</t>
  </si>
  <si>
    <t>Calcul DG37018</t>
  </si>
  <si>
    <t>Calcul DG37152</t>
  </si>
  <si>
    <t>Calcul DG37153</t>
  </si>
  <si>
    <t>Calcul DG37164</t>
  </si>
  <si>
    <t>Calcul DG37195</t>
  </si>
  <si>
    <t>Calcul DG37204</t>
  </si>
  <si>
    <t>Calcul DG37187</t>
  </si>
  <si>
    <t>Calcul DG37188</t>
  </si>
  <si>
    <t>Calcul DG37020</t>
  </si>
  <si>
    <t>Calcul DG37046</t>
  </si>
  <si>
    <t>Calcul DG37049</t>
  </si>
  <si>
    <t>Calcul DG37177</t>
  </si>
  <si>
    <t>Calcul DG37058</t>
  </si>
  <si>
    <t>Calcul DG37001</t>
  </si>
  <si>
    <t>Calcul DG37003</t>
  </si>
  <si>
    <t>Calcul DG37017</t>
  </si>
  <si>
    <t>Calcul DG37019</t>
  </si>
  <si>
    <t>Calcul DG37205</t>
  </si>
  <si>
    <t>Calcul DG37206</t>
  </si>
  <si>
    <t>Calcul DG37207</t>
  </si>
  <si>
    <t>Calcul DG37208</t>
  </si>
  <si>
    <t>Calcul DG37197</t>
  </si>
  <si>
    <t>Calcul DG37198</t>
  </si>
  <si>
    <t>Calcul DG37179</t>
  </si>
  <si>
    <t>Calcul DG37191</t>
  </si>
  <si>
    <t>Calcul DG37200</t>
  </si>
  <si>
    <t>Calcul DG37133</t>
  </si>
  <si>
    <t>Calcul DG37114</t>
  </si>
  <si>
    <t>Calcul DG37115</t>
  </si>
  <si>
    <t>Calcul DG37123</t>
  </si>
  <si>
    <t>Calcul DG37128</t>
  </si>
  <si>
    <t>Calcul DG37147</t>
  </si>
  <si>
    <t>Calcul DG37148</t>
  </si>
  <si>
    <t>Calcul DG37149</t>
  </si>
  <si>
    <t>Calcul DG37160</t>
  </si>
  <si>
    <t>Calcul DG37161</t>
  </si>
  <si>
    <t>Calcul DG37162</t>
  </si>
  <si>
    <t>Calcul DG37163</t>
  </si>
  <si>
    <t>Calcul DG37165</t>
  </si>
  <si>
    <t>Calcul DG37081</t>
  </si>
  <si>
    <t>Calcul DG37005</t>
  </si>
  <si>
    <t>Calcul DG37021</t>
  </si>
  <si>
    <t>Calcul DG37050</t>
  </si>
  <si>
    <t>Calcul DG37042</t>
  </si>
  <si>
    <t>Calcul DG37122</t>
  </si>
  <si>
    <t>Calcul DG37103</t>
  </si>
  <si>
    <t>Calcul DG37043</t>
  </si>
  <si>
    <t>Calcul DG37045</t>
  </si>
  <si>
    <t>Calcul DG37181</t>
  </si>
  <si>
    <t>Calcul DG37183</t>
  </si>
  <si>
    <t>Calcul DG37060</t>
  </si>
  <si>
    <t>Calcul DG37082</t>
  </si>
  <si>
    <t>Calcul DG37084</t>
  </si>
  <si>
    <t>Calcul DG37085</t>
  </si>
  <si>
    <t>Calcul DG37086</t>
  </si>
  <si>
    <t>Calcul DG37087</t>
  </si>
  <si>
    <t>Calcul DG37194</t>
  </si>
  <si>
    <t>Calcul DG37301</t>
  </si>
  <si>
    <t>Calcul DG37302</t>
  </si>
  <si>
    <t>Calcul DG37006</t>
  </si>
  <si>
    <t>Calcul DG37303</t>
  </si>
  <si>
    <t>Calcul DG37009</t>
  </si>
  <si>
    <t>Calcul DG37011</t>
  </si>
  <si>
    <t>Calcul DG37184</t>
  </si>
  <si>
    <t>Calcul DG37014</t>
  </si>
  <si>
    <t>Calcul DG37015</t>
  </si>
  <si>
    <t>Calcul DG37105</t>
  </si>
  <si>
    <t>Calcul DG37104</t>
  </si>
  <si>
    <t>Calcul DG37129</t>
  </si>
  <si>
    <t>Calcul DG37130</t>
  </si>
  <si>
    <t>Calcul DG37189</t>
  </si>
  <si>
    <t>Calcul DG37190</t>
  </si>
  <si>
    <t>Calcul DG37192</t>
  </si>
  <si>
    <t>Calcul DG37022</t>
  </si>
  <si>
    <t>Calcul DG37142</t>
  </si>
  <si>
    <t>Calcul DG37143</t>
  </si>
  <si>
    <t>Calcul DG37025</t>
  </si>
  <si>
    <t>Calcul DG37306</t>
  </si>
  <si>
    <t>Calcul DG37141</t>
  </si>
  <si>
    <t>Calcul DG37027</t>
  </si>
  <si>
    <t>Calcul DG31050</t>
  </si>
  <si>
    <t>Calcul DG31051</t>
  </si>
  <si>
    <t>Calcul DG37026</t>
  </si>
  <si>
    <t>Calcul DG30525</t>
  </si>
  <si>
    <t>Calcul DG30526</t>
  </si>
  <si>
    <t>Calcul DG31053</t>
  </si>
  <si>
    <t>Calcul DG31054</t>
  </si>
  <si>
    <t>Calcul DG37028</t>
  </si>
  <si>
    <t>Calcul DG37029</t>
  </si>
  <si>
    <t>Calcul DG31055</t>
  </si>
  <si>
    <t>Calcul DG31056</t>
  </si>
  <si>
    <t>Calcul DG37030</t>
  </si>
  <si>
    <t>Calcul DG37091</t>
  </si>
  <si>
    <t>Calcul DG37092</t>
  </si>
  <si>
    <t>Calcul DG37093</t>
  </si>
  <si>
    <t>Calcul DG37094</t>
  </si>
  <si>
    <t>Calcul DG37095</t>
  </si>
  <si>
    <t>Calcul DG31047</t>
  </si>
  <si>
    <t>Calcul DG37097</t>
  </si>
  <si>
    <t>Calcul DG37098</t>
  </si>
  <si>
    <t>Calcul DG37099</t>
  </si>
  <si>
    <t>Calcul DG37101</t>
  </si>
  <si>
    <t>Calcul DG37102</t>
  </si>
  <si>
    <t>Calcul DG37083</t>
  </si>
  <si>
    <t>Calcul DG37096</t>
  </si>
  <si>
    <t>Calcul DG37100</t>
  </si>
  <si>
    <t>Calcul DG37182</t>
  </si>
  <si>
    <t>Calcul DG30426</t>
  </si>
  <si>
    <t>Calcul DG37500</t>
  </si>
  <si>
    <t>Calcul DG37501</t>
  </si>
  <si>
    <t>Calcul DG37502</t>
  </si>
  <si>
    <t>Calcul DG38121</t>
  </si>
  <si>
    <t>Calcul DG38120</t>
  </si>
  <si>
    <t>Calcul DG37503</t>
  </si>
  <si>
    <t>Calcul DG37504</t>
  </si>
  <si>
    <t>Calcul DG37505</t>
  </si>
  <si>
    <t>Calcul DG37506</t>
  </si>
  <si>
    <t>Calcul DG37507</t>
  </si>
  <si>
    <t>Calcul DG37512</t>
  </si>
  <si>
    <t>Calcul DG37514</t>
  </si>
  <si>
    <t>Calcul DG37515</t>
  </si>
  <si>
    <t>Calcul DG37516</t>
  </si>
  <si>
    <t>Calcul DG38124</t>
  </si>
  <si>
    <t>Calcul DG38125</t>
  </si>
  <si>
    <t>Calcul DG38126</t>
  </si>
  <si>
    <t>Calcul DG38127</t>
  </si>
  <si>
    <t>Calcul DG38129</t>
  </si>
  <si>
    <t>Calcul DG38130</t>
  </si>
  <si>
    <t>Calcul DG38143</t>
  </si>
  <si>
    <t>Calcul DG38128</t>
  </si>
  <si>
    <t>Calcul DG37508</t>
  </si>
  <si>
    <t>Calcul DG37509</t>
  </si>
  <si>
    <t>Calcul DG38137</t>
  </si>
  <si>
    <t>Calcul DG38138</t>
  </si>
  <si>
    <t>Calcul DG38140</t>
  </si>
  <si>
    <t>Calcul DG38141</t>
  </si>
  <si>
    <t>Calcul DG38142</t>
  </si>
  <si>
    <t>Calcul DG38144</t>
  </si>
  <si>
    <t>Calcul DG38136</t>
  </si>
  <si>
    <t>Calcul DG37519</t>
  </si>
  <si>
    <t>Calcul DG37517</t>
  </si>
  <si>
    <t>Calcul DG38132</t>
  </si>
  <si>
    <t>Calcul DG38133</t>
  </si>
  <si>
    <t>Calcul DG38134</t>
  </si>
  <si>
    <t>Calcul DG38135</t>
  </si>
  <si>
    <t>Calcul DG38106</t>
  </si>
  <si>
    <t>Calcul DG38107</t>
  </si>
  <si>
    <t>Calcul DG38108</t>
  </si>
  <si>
    <t>Calcul DG38109</t>
  </si>
  <si>
    <t>Calcul DG38110</t>
  </si>
  <si>
    <t>Calcul DG38111</t>
  </si>
  <si>
    <t>Calcul DG38112</t>
  </si>
  <si>
    <t>Calcul DG38113</t>
  </si>
  <si>
    <t>Calcul DG38105</t>
  </si>
  <si>
    <t>Calcul DG37510</t>
  </si>
  <si>
    <t>Calcul DG37511</t>
  </si>
  <si>
    <t>Calcul DG37520</t>
  </si>
  <si>
    <t>Calcul DG37521</t>
  </si>
  <si>
    <t>Calcul DG37522</t>
  </si>
  <si>
    <t>Calcul DG37523</t>
  </si>
  <si>
    <t>Calcul DG37524</t>
  </si>
  <si>
    <t>Calcul DG37530</t>
  </si>
  <si>
    <t>Calcul DG37531</t>
  </si>
  <si>
    <t>Calcul DG37532</t>
  </si>
  <si>
    <t>Calcul DG37537</t>
  </si>
  <si>
    <t>Calcul DG37534</t>
  </si>
  <si>
    <t>Calcul DG37539</t>
  </si>
  <si>
    <t>Calcul DG37540</t>
  </si>
  <si>
    <t>Calcul DG37518</t>
  </si>
  <si>
    <t>Calcul DG37513</t>
  </si>
  <si>
    <t>Calcul DG37535</t>
  </si>
  <si>
    <t>Calcul DG37536</t>
  </si>
  <si>
    <t>Calcul R208</t>
  </si>
  <si>
    <t>Calcul R237</t>
  </si>
  <si>
    <t>Calcul R239</t>
  </si>
  <si>
    <t>Calcul R256</t>
  </si>
  <si>
    <t>Calcul R257</t>
  </si>
  <si>
    <t>Calcul R258</t>
  </si>
  <si>
    <t>Calcul R300</t>
  </si>
  <si>
    <t>Calcul R308</t>
  </si>
  <si>
    <t>Calcul R342</t>
  </si>
  <si>
    <t>Calcul R374</t>
  </si>
  <si>
    <t>Calcul R398</t>
  </si>
  <si>
    <t>Calcul R438</t>
  </si>
  <si>
    <t>Calcul R554</t>
  </si>
  <si>
    <t>Calcul R578</t>
  </si>
  <si>
    <t>Calcul R602</t>
  </si>
  <si>
    <t>Calcul R608</t>
  </si>
  <si>
    <t>Calcul R612</t>
  </si>
  <si>
    <t>Calcul R640</t>
  </si>
  <si>
    <t>Calcul R646</t>
  </si>
  <si>
    <t>Calcul R652</t>
  </si>
  <si>
    <t>Calcul R678</t>
  </si>
  <si>
    <t>Calcul R702</t>
  </si>
  <si>
    <t>Calcul R722</t>
  </si>
  <si>
    <t>Calcul R723</t>
  </si>
  <si>
    <t>Calcul R835</t>
  </si>
  <si>
    <t>Calcul R1073</t>
  </si>
  <si>
    <t>Calcul R1075</t>
  </si>
  <si>
    <t>Calcul R1077</t>
  </si>
  <si>
    <t>Calcul R1079</t>
  </si>
  <si>
    <t>Calcul R1324</t>
  </si>
  <si>
    <t>Calcul R2109</t>
  </si>
  <si>
    <t>Calcul R2122</t>
  </si>
  <si>
    <t>Calcul R7208</t>
  </si>
  <si>
    <t>Calcul R7209</t>
  </si>
  <si>
    <t>Calcul R7210</t>
  </si>
  <si>
    <t>Calcul R7211</t>
  </si>
  <si>
    <t>Calcul R7212</t>
  </si>
  <si>
    <t>Calcul R17036</t>
  </si>
  <si>
    <t>Calcul R17037</t>
  </si>
  <si>
    <t>Calcul R17038</t>
  </si>
  <si>
    <t>Calcul R17039</t>
  </si>
  <si>
    <t>Calcul R17040</t>
  </si>
  <si>
    <t>Calcul R17041</t>
  </si>
  <si>
    <t>Calcul R17045</t>
  </si>
  <si>
    <t>Calcul R17049</t>
  </si>
  <si>
    <t>Calcul R17053</t>
  </si>
  <si>
    <t>Calcul R17166</t>
  </si>
  <si>
    <t>Calcul R17168</t>
  </si>
  <si>
    <t>Calcul R17202</t>
  </si>
  <si>
    <t>Calcul R17930</t>
  </si>
  <si>
    <t>Calcul R17931</t>
  </si>
  <si>
    <t>Calcul R17980</t>
  </si>
  <si>
    <t>Calcul R18011</t>
  </si>
  <si>
    <t>Calcul R18012</t>
  </si>
  <si>
    <t>Calcul R18013</t>
  </si>
  <si>
    <t>Calcul R18014</t>
  </si>
  <si>
    <t>Calcul R18015</t>
  </si>
  <si>
    <t>Calcul R18017</t>
  </si>
  <si>
    <t>MonnaieDG</t>
  </si>
  <si>
    <t>euro</t>
  </si>
  <si>
    <t>NbreMoisN</t>
  </si>
  <si>
    <t>NbreMoisN1</t>
  </si>
  <si>
    <t>NbreMoisN2</t>
  </si>
  <si>
    <t>NomCabinet</t>
  </si>
  <si>
    <t>NumAdht</t>
  </si>
  <si>
    <t>CivilAdht</t>
  </si>
  <si>
    <t>NomAdht</t>
  </si>
  <si>
    <t>Raisonsoc</t>
  </si>
  <si>
    <t>AdresAdht1</t>
  </si>
  <si>
    <t>AdresAdht2</t>
  </si>
  <si>
    <t>CPAdht</t>
  </si>
  <si>
    <t>VilleAdht</t>
  </si>
  <si>
    <t>ProfessAdht</t>
  </si>
  <si>
    <t>CodeActAdht</t>
  </si>
  <si>
    <t>Statut juridique</t>
  </si>
  <si>
    <t>Résultat stocké ZR11035</t>
  </si>
  <si>
    <t>Résultat stocké ZR11066</t>
  </si>
  <si>
    <t>Résultat stocké ZR11067</t>
  </si>
  <si>
    <t>Résultat stocké ZR11022</t>
  </si>
  <si>
    <t>Résultat stocké ZR11068</t>
  </si>
  <si>
    <t>Résultat stocké ZR11069</t>
  </si>
  <si>
    <t>Résultat stocké ZR11054</t>
  </si>
  <si>
    <t>Résultat stocké ZR11053</t>
  </si>
  <si>
    <t>Résultat stocké ZR11052</t>
  </si>
  <si>
    <t>R11131</t>
  </si>
  <si>
    <t>R11031</t>
  </si>
  <si>
    <t>R11028</t>
  </si>
  <si>
    <t>R11035</t>
  </si>
  <si>
    <t>R11043</t>
  </si>
  <si>
    <t>R11059</t>
  </si>
  <si>
    <t>R11122</t>
  </si>
  <si>
    <t>R11125</t>
  </si>
  <si>
    <t>R11127</t>
  </si>
  <si>
    <t>R11129</t>
  </si>
  <si>
    <t>R11145</t>
  </si>
  <si>
    <t>R11146</t>
  </si>
  <si>
    <t>R11147</t>
  </si>
  <si>
    <t>Resultat ZR9903</t>
  </si>
  <si>
    <t>ZR9904</t>
  </si>
  <si>
    <t>R11121</t>
  </si>
  <si>
    <t>R11133</t>
  </si>
  <si>
    <t>ZR9905</t>
  </si>
  <si>
    <t>ZR9906</t>
  </si>
  <si>
    <t>Calcul ZDG30500</t>
  </si>
  <si>
    <t>Calcul ZDG37012</t>
  </si>
  <si>
    <t>Calcul ZDG37013</t>
  </si>
  <si>
    <t>Calcul ZDG30550</t>
  </si>
  <si>
    <t>Calcul ZDG30560</t>
  </si>
  <si>
    <t>Calcul ZDG30530</t>
  </si>
  <si>
    <t>Calcul ZDG31047</t>
  </si>
  <si>
    <t>Calcul ZDG31050</t>
  </si>
  <si>
    <t>Calcul ZDG31053</t>
  </si>
  <si>
    <t>Calcul ZDG31055</t>
  </si>
  <si>
    <t>Calcul ZDG31056</t>
  </si>
  <si>
    <t>ZDG37201</t>
  </si>
  <si>
    <t>30 juin 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</si>
</sst>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 #,##0.00\ &quot;€&quot;_-;\-* #,##0.00\ &quot;€&quot;_-;_-* &quot;-&quot;??\ &quot;€&quot;_-;_-@_-"/>
    <numFmt numFmtId="43" formatCode="_-* #,##0.00\ _€_-;\-* #,##0.00\ _€_-;_-* &quot;-&quot;??\ _€_-;_-@_-"/>
    <numFmt numFmtId="164" formatCode="d\ mmmm\ yyyy"/>
    <numFmt numFmtId="165" formatCode="#,##0\ &quot;F&quot;"/>
    <numFmt numFmtId="166" formatCode="0.00;[Red]0.00"/>
    <numFmt numFmtId="167" formatCode="0;[Red]0"/>
    <numFmt numFmtId="168" formatCode="#,##0.00__"/>
    <numFmt numFmtId="169" formatCode="0.00%__"/>
    <numFmt numFmtId="170" formatCode="0.0000"/>
    <numFmt numFmtId="171" formatCode="0.0"/>
    <numFmt numFmtId="172" formatCode="#,##0.0"/>
  </numFmts>
  <fonts count="22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family val="2"/>
    </font>
    <font>
      <b/>
      <i/>
      <sz val="16"/>
      <name val="Arial"/>
      <family val="2"/>
    </font>
    <font>
      <b/>
      <u/>
      <sz val="12"/>
      <name val="Arial"/>
      <family val="2"/>
    </font>
    <font>
      <sz val="12"/>
      <name val="Arial"/>
      <family val="2"/>
    </font>
    <font>
      <b/>
      <i/>
      <sz val="12"/>
      <name val="Arial"/>
      <family val="2"/>
    </font>
    <font>
      <b/>
      <sz val="10"/>
      <name val="Arial"/>
      <family val="2"/>
    </font>
    <font>
      <b/>
      <sz val="12"/>
      <name val="Arial"/>
      <family val="2"/>
    </font>
    <font>
      <sz val="10"/>
      <name val="Arial"/>
      <family val="2"/>
    </font>
    <font>
      <sz val="8"/>
      <name val="Arial"/>
      <family val="2"/>
    </font>
    <font>
      <sz val="9"/>
      <name val="Arial"/>
      <family val="2"/>
    </font>
    <font>
      <sz val="11"/>
      <name val="Arial"/>
      <family val="2"/>
    </font>
    <font>
      <b/>
      <sz val="24"/>
      <name val="Arial"/>
      <family val="2"/>
    </font>
    <font>
      <b/>
      <sz val="10"/>
      <color indexed="10"/>
      <name val="Arial"/>
      <family val="2"/>
    </font>
    <font>
      <b/>
      <sz val="48"/>
      <color indexed="21"/>
      <name val="Times New Roman"/>
      <family val="1"/>
    </font>
    <font>
      <sz val="10"/>
      <color indexed="21"/>
      <name val="Arial"/>
      <family val="2"/>
    </font>
    <font>
      <sz val="10"/>
      <color indexed="63"/>
      <name val="Tahoma"/>
      <family val="2"/>
    </font>
    <font>
      <sz val="11"/>
      <color indexed="63"/>
      <name val="Arial"/>
      <family val="2"/>
    </font>
    <font>
      <b/>
      <i/>
      <u/>
      <sz val="12"/>
      <color indexed="56"/>
      <name val="Tahoma"/>
      <family val="2"/>
    </font>
    <font>
      <b/>
      <i/>
      <sz val="12"/>
      <color indexed="56"/>
      <name val="Tahoma"/>
      <family val="2"/>
    </font>
    <font>
      <sz val="10"/>
      <name val="Tahoma"/>
      <family val="2"/>
    </font>
    <font>
      <sz val="12"/>
      <name val="Tahoma"/>
      <family val="2"/>
    </font>
    <font>
      <b/>
      <i/>
      <sz val="12"/>
      <color indexed="21"/>
      <name val="Tahoma"/>
      <family val="2"/>
    </font>
    <font>
      <sz val="11"/>
      <name val="Tahoma"/>
      <family val="2"/>
    </font>
    <font>
      <b/>
      <i/>
      <sz val="11"/>
      <color indexed="21"/>
      <name val="Tahoma"/>
      <family val="2"/>
    </font>
    <font>
      <b/>
      <sz val="11"/>
      <name val="Tahoma"/>
      <family val="2"/>
    </font>
    <font>
      <b/>
      <sz val="11"/>
      <color indexed="43"/>
      <name val="Tahoma"/>
      <family val="2"/>
    </font>
    <font>
      <b/>
      <sz val="10"/>
      <color indexed="57"/>
      <name val="Arial"/>
      <family val="2"/>
    </font>
    <font>
      <sz val="12"/>
      <color indexed="60"/>
      <name val="Arial"/>
      <family val="2"/>
    </font>
    <font>
      <sz val="10"/>
      <color indexed="60"/>
      <name val="Arial"/>
      <family val="2"/>
    </font>
    <font>
      <b/>
      <u/>
      <sz val="11"/>
      <color indexed="12"/>
      <name val="Tahoma"/>
      <family val="2"/>
    </font>
    <font>
      <sz val="10"/>
      <color indexed="17"/>
      <name val="Arial"/>
      <family val="2"/>
    </font>
    <font>
      <b/>
      <sz val="10"/>
      <color indexed="17"/>
      <name val="Arial"/>
      <family val="2"/>
    </font>
    <font>
      <b/>
      <sz val="11"/>
      <color indexed="60"/>
      <name val="Arial"/>
      <family val="2"/>
    </font>
    <font>
      <i/>
      <sz val="10"/>
      <name val="Arial"/>
      <family val="2"/>
    </font>
    <font>
      <sz val="10"/>
      <color indexed="10"/>
      <name val="Arial"/>
      <family val="2"/>
    </font>
    <font>
      <b/>
      <sz val="11"/>
      <color indexed="56"/>
      <name val="Arial"/>
      <family val="2"/>
    </font>
    <font>
      <b/>
      <i/>
      <sz val="10"/>
      <color indexed="53"/>
      <name val="Tahoma"/>
      <family val="2"/>
    </font>
    <font>
      <sz val="20"/>
      <color indexed="21"/>
      <name val="Wingdings"/>
      <charset val="2"/>
    </font>
    <font>
      <b/>
      <sz val="36"/>
      <color indexed="21"/>
      <name val="Wingdings"/>
      <charset val="2"/>
    </font>
    <font>
      <b/>
      <sz val="48"/>
      <color indexed="21"/>
      <name val="Wingdings"/>
      <charset val="2"/>
    </font>
    <font>
      <b/>
      <i/>
      <u/>
      <sz val="11"/>
      <color indexed="53"/>
      <name val="Tahoma"/>
      <family val="2"/>
    </font>
    <font>
      <b/>
      <sz val="10"/>
      <color indexed="21"/>
      <name val="Wingdings"/>
      <charset val="2"/>
    </font>
    <font>
      <sz val="10"/>
      <color indexed="21"/>
      <name val="Wingdings"/>
      <charset val="2"/>
    </font>
    <font>
      <b/>
      <i/>
      <sz val="16"/>
      <color indexed="21"/>
      <name val="Wingdings"/>
      <charset val="2"/>
    </font>
    <font>
      <b/>
      <sz val="11"/>
      <color indexed="21"/>
      <name val="Wingdings"/>
      <charset val="2"/>
    </font>
    <font>
      <sz val="9"/>
      <color indexed="21"/>
      <name val="Arial"/>
      <family val="2"/>
    </font>
    <font>
      <b/>
      <sz val="10"/>
      <name val="Tahoma"/>
      <family val="2"/>
    </font>
    <font>
      <sz val="10"/>
      <color indexed="21"/>
      <name val="Tahoma"/>
      <family val="2"/>
    </font>
    <font>
      <b/>
      <u/>
      <sz val="12"/>
      <color indexed="63"/>
      <name val="Tahoma"/>
      <family val="2"/>
    </font>
    <font>
      <b/>
      <sz val="10"/>
      <color indexed="63"/>
      <name val="Tahoma"/>
      <family val="2"/>
    </font>
    <font>
      <sz val="12"/>
      <color indexed="63"/>
      <name val="Tahoma"/>
      <family val="2"/>
    </font>
    <font>
      <b/>
      <i/>
      <sz val="12"/>
      <name val="Tahoma"/>
      <family val="2"/>
    </font>
    <font>
      <b/>
      <sz val="12"/>
      <color indexed="63"/>
      <name val="Tahoma"/>
      <family val="2"/>
    </font>
    <font>
      <sz val="11"/>
      <color indexed="63"/>
      <name val="Tahoma"/>
      <family val="2"/>
    </font>
    <font>
      <b/>
      <i/>
      <sz val="11"/>
      <name val="Tahoma"/>
      <family val="2"/>
    </font>
    <font>
      <b/>
      <i/>
      <sz val="12"/>
      <color indexed="63"/>
      <name val="Tahoma"/>
      <family val="2"/>
    </font>
    <font>
      <sz val="9"/>
      <name val="Tahoma"/>
      <family val="2"/>
    </font>
    <font>
      <b/>
      <u/>
      <sz val="11"/>
      <color indexed="56"/>
      <name val="Tahoma"/>
      <family val="2"/>
    </font>
    <font>
      <sz val="11"/>
      <color indexed="56"/>
      <name val="Tahoma"/>
      <family val="2"/>
    </font>
    <font>
      <b/>
      <sz val="11"/>
      <color indexed="56"/>
      <name val="Tahoma"/>
      <family val="2"/>
    </font>
    <font>
      <b/>
      <sz val="12"/>
      <color indexed="21"/>
      <name val="Tahoma"/>
      <family val="2"/>
    </font>
    <font>
      <b/>
      <sz val="11"/>
      <color indexed="21"/>
      <name val="Tahoma"/>
      <family val="2"/>
    </font>
    <font>
      <sz val="11"/>
      <color indexed="21"/>
      <name val="Tahoma"/>
      <family val="2"/>
    </font>
    <font>
      <b/>
      <sz val="11"/>
      <color indexed="63"/>
      <name val="Tahoma"/>
      <family val="2"/>
    </font>
    <font>
      <b/>
      <u/>
      <sz val="12"/>
      <color indexed="60"/>
      <name val="Tahoma"/>
      <family val="2"/>
    </font>
    <font>
      <sz val="10"/>
      <color indexed="60"/>
      <name val="Tahoma"/>
      <family val="2"/>
    </font>
    <font>
      <b/>
      <u/>
      <sz val="10"/>
      <color indexed="21"/>
      <name val="Tahoma"/>
      <family val="2"/>
    </font>
    <font>
      <b/>
      <sz val="12"/>
      <name val="Tahoma"/>
      <family val="2"/>
    </font>
    <font>
      <b/>
      <sz val="12"/>
      <color indexed="60"/>
      <name val="Tahoma"/>
      <family val="2"/>
    </font>
    <font>
      <i/>
      <sz val="11"/>
      <color indexed="63"/>
      <name val="Tahoma"/>
      <family val="2"/>
    </font>
    <font>
      <b/>
      <i/>
      <u/>
      <sz val="11"/>
      <name val="Tahoma"/>
      <family val="2"/>
    </font>
    <font>
      <i/>
      <sz val="11"/>
      <name val="Tahoma"/>
      <family val="2"/>
    </font>
    <font>
      <b/>
      <sz val="10"/>
      <color indexed="57"/>
      <name val="Tahoma"/>
      <family val="2"/>
    </font>
    <font>
      <b/>
      <sz val="10"/>
      <color indexed="21"/>
      <name val="Tahoma"/>
      <family val="2"/>
    </font>
    <font>
      <i/>
      <sz val="8"/>
      <name val="Tahoma"/>
      <family val="2"/>
    </font>
    <font>
      <b/>
      <i/>
      <sz val="16"/>
      <name val="Tahoma"/>
      <family val="2"/>
    </font>
    <font>
      <b/>
      <u/>
      <sz val="12"/>
      <name val="Tahoma"/>
      <family val="2"/>
    </font>
    <font>
      <sz val="8"/>
      <name val="Tahoma"/>
      <family val="2"/>
    </font>
    <font>
      <i/>
      <sz val="12"/>
      <name val="Tahoma"/>
      <family val="2"/>
    </font>
    <font>
      <b/>
      <sz val="12"/>
      <color indexed="43"/>
      <name val="Tahoma"/>
      <family val="2"/>
    </font>
    <font>
      <sz val="10"/>
      <color indexed="57"/>
      <name val="Tahoma"/>
      <family val="2"/>
    </font>
    <font>
      <i/>
      <sz val="10"/>
      <name val="Tahoma"/>
      <family val="2"/>
    </font>
    <font>
      <b/>
      <sz val="8"/>
      <color indexed="43"/>
      <name val="Tahoma"/>
      <family val="2"/>
    </font>
    <font>
      <sz val="8"/>
      <color indexed="21"/>
      <name val="Tahoma"/>
      <family val="2"/>
    </font>
    <font>
      <b/>
      <sz val="11"/>
      <color indexed="60"/>
      <name val="Tahoma"/>
      <family val="2"/>
    </font>
    <font>
      <b/>
      <sz val="10"/>
      <color indexed="17"/>
      <name val="Tahoma"/>
      <family val="2"/>
    </font>
    <font>
      <sz val="10"/>
      <color indexed="17"/>
      <name val="Tahoma"/>
      <family val="2"/>
    </font>
    <font>
      <b/>
      <i/>
      <sz val="12"/>
      <color indexed="60"/>
      <name val="Tahoma"/>
      <family val="2"/>
    </font>
    <font>
      <b/>
      <i/>
      <sz val="10"/>
      <color indexed="21"/>
      <name val="Tahoma"/>
      <family val="2"/>
    </font>
    <font>
      <sz val="12"/>
      <color indexed="60"/>
      <name val="Tahoma"/>
      <family val="2"/>
    </font>
    <font>
      <b/>
      <sz val="10"/>
      <color indexed="43"/>
      <name val="Tahoma"/>
      <family val="2"/>
    </font>
    <font>
      <i/>
      <sz val="10"/>
      <color indexed="21"/>
      <name val="Tahoma"/>
      <family val="2"/>
    </font>
    <font>
      <b/>
      <i/>
      <sz val="10"/>
      <name val="Tahoma"/>
      <family val="2"/>
    </font>
    <font>
      <i/>
      <u/>
      <sz val="10"/>
      <name val="Tahoma"/>
      <family val="2"/>
    </font>
    <font>
      <sz val="10"/>
      <color indexed="8"/>
      <name val="Tahoma"/>
      <family val="2"/>
    </font>
    <font>
      <b/>
      <i/>
      <sz val="12"/>
      <color indexed="57"/>
      <name val="Tahoma"/>
      <family val="2"/>
    </font>
    <font>
      <b/>
      <sz val="8"/>
      <color indexed="21"/>
      <name val="Tahoma"/>
      <family val="2"/>
    </font>
    <font>
      <sz val="12"/>
      <color indexed="21"/>
      <name val="Arial"/>
      <family val="2"/>
    </font>
    <font>
      <b/>
      <sz val="12"/>
      <name val="Times New Roman"/>
      <family val="1"/>
    </font>
    <font>
      <b/>
      <i/>
      <u/>
      <sz val="11"/>
      <color indexed="56"/>
      <name val="Tahoma"/>
      <family val="2"/>
    </font>
    <font>
      <b/>
      <sz val="24"/>
      <name val="AvantGarde"/>
      <family val="2"/>
    </font>
    <font>
      <sz val="10"/>
      <color indexed="8"/>
      <name val="Arial"/>
      <family val="2"/>
    </font>
    <font>
      <sz val="10"/>
      <color indexed="8"/>
      <name val="Bookman"/>
      <family val="1"/>
    </font>
    <font>
      <b/>
      <i/>
      <sz val="10"/>
      <color indexed="8"/>
      <name val="Bookman"/>
    </font>
    <font>
      <b/>
      <i/>
      <sz val="10"/>
      <color indexed="8"/>
      <name val="Helvetica"/>
      <family val="2"/>
    </font>
    <font>
      <b/>
      <i/>
      <sz val="9"/>
      <color indexed="8"/>
      <name val="Bookman"/>
    </font>
    <font>
      <sz val="9"/>
      <name val="Bookman"/>
      <family val="1"/>
    </font>
    <font>
      <sz val="9"/>
      <name val="Helvetica"/>
      <family val="2"/>
    </font>
    <font>
      <b/>
      <sz val="9"/>
      <color indexed="8"/>
      <name val="Bookman"/>
    </font>
    <font>
      <b/>
      <sz val="8"/>
      <color indexed="8"/>
      <name val="Helvetica"/>
      <family val="2"/>
    </font>
    <font>
      <b/>
      <sz val="9"/>
      <color indexed="8"/>
      <name val="Helvetica"/>
      <family val="2"/>
    </font>
    <font>
      <sz val="9"/>
      <name val="Bookman"/>
    </font>
    <font>
      <sz val="8"/>
      <name val="Helvetica"/>
      <family val="2"/>
    </font>
    <font>
      <b/>
      <sz val="9"/>
      <color indexed="8"/>
      <name val="Bookman"/>
      <family val="1"/>
    </font>
    <font>
      <sz val="9"/>
      <color indexed="8"/>
      <name val="Bookman"/>
      <family val="1"/>
    </font>
    <font>
      <sz val="9"/>
      <color indexed="8"/>
      <name val="Bookman"/>
    </font>
    <font>
      <sz val="8"/>
      <color indexed="8"/>
      <name val="Helvetica"/>
      <family val="2"/>
    </font>
    <font>
      <sz val="9"/>
      <color indexed="8"/>
      <name val="Helvetica"/>
      <family val="2"/>
    </font>
    <font>
      <sz val="10"/>
      <name val="Bookman"/>
      <family val="1"/>
    </font>
    <font>
      <i/>
      <sz val="8"/>
      <color indexed="8"/>
      <name val="AvantGarde"/>
    </font>
    <font>
      <sz val="10"/>
      <name val="Arial Unicode MS"/>
      <family val="2"/>
    </font>
    <font>
      <sz val="18"/>
      <name val="Arial Unicode MS"/>
      <family val="2"/>
    </font>
    <font>
      <sz val="10"/>
      <color indexed="63"/>
      <name val="Arial Unicode MS"/>
      <family val="2"/>
    </font>
    <font>
      <b/>
      <sz val="48"/>
      <name val="Arial Unicode MS"/>
      <family val="2"/>
    </font>
    <font>
      <b/>
      <sz val="14"/>
      <color indexed="63"/>
      <name val="Arial Unicode MS"/>
      <family val="2"/>
    </font>
    <font>
      <i/>
      <sz val="14"/>
      <color indexed="63"/>
      <name val="Arial Unicode MS"/>
      <family val="2"/>
    </font>
    <font>
      <b/>
      <sz val="10"/>
      <color indexed="62"/>
      <name val="Arial"/>
      <family val="2"/>
    </font>
    <font>
      <b/>
      <sz val="10"/>
      <color indexed="12"/>
      <name val="Tahoma"/>
      <family val="2"/>
    </font>
    <font>
      <sz val="8"/>
      <color indexed="10"/>
      <name val="Arial"/>
      <family val="2"/>
    </font>
    <font>
      <sz val="8"/>
      <color indexed="17"/>
      <name val="Arial"/>
      <family val="2"/>
    </font>
    <font>
      <i/>
      <sz val="9"/>
      <color indexed="17"/>
      <name val="Arial"/>
      <family val="2"/>
    </font>
    <font>
      <sz val="8"/>
      <color indexed="18"/>
      <name val="Arial"/>
      <family val="2"/>
    </font>
    <font>
      <sz val="10"/>
      <name val="Wingdings"/>
      <charset val="2"/>
    </font>
    <font>
      <sz val="10"/>
      <name val="Wingdings 3"/>
      <family val="1"/>
      <charset val="2"/>
    </font>
    <font>
      <b/>
      <u/>
      <sz val="10"/>
      <color indexed="60"/>
      <name val="Arial"/>
      <family val="2"/>
    </font>
    <font>
      <sz val="8"/>
      <color indexed="62"/>
      <name val="Arial"/>
      <family val="2"/>
    </font>
    <font>
      <sz val="8"/>
      <color indexed="60"/>
      <name val="Arial"/>
      <family val="2"/>
    </font>
    <font>
      <sz val="10"/>
      <color indexed="62"/>
      <name val="Wingdings 3"/>
      <family val="1"/>
      <charset val="2"/>
    </font>
    <font>
      <sz val="14"/>
      <name val="Arial"/>
      <family val="2"/>
    </font>
    <font>
      <sz val="10"/>
      <color indexed="60"/>
      <name val="Arial"/>
      <family val="2"/>
    </font>
    <font>
      <b/>
      <sz val="9"/>
      <color indexed="9"/>
      <name val="Arial"/>
      <family val="2"/>
    </font>
    <font>
      <b/>
      <sz val="9"/>
      <color indexed="60"/>
      <name val="Arial"/>
      <family val="2"/>
    </font>
    <font>
      <b/>
      <sz val="10"/>
      <color indexed="62"/>
      <name val="Arial"/>
      <family val="2"/>
    </font>
    <font>
      <b/>
      <sz val="14"/>
      <color indexed="17"/>
      <name val="Wingdings"/>
      <charset val="2"/>
    </font>
    <font>
      <b/>
      <sz val="9"/>
      <color indexed="62"/>
      <name val="Arial"/>
      <family val="2"/>
    </font>
    <font>
      <b/>
      <sz val="10"/>
      <color indexed="9"/>
      <name val="Arial"/>
      <family val="2"/>
    </font>
    <font>
      <b/>
      <sz val="10"/>
      <name val="Wingdings 3"/>
      <family val="1"/>
      <charset val="2"/>
    </font>
    <font>
      <sz val="10"/>
      <color indexed="62"/>
      <name val="Arial"/>
      <family val="2"/>
    </font>
    <font>
      <b/>
      <sz val="10"/>
      <color indexed="60"/>
      <name val="Arial"/>
      <family val="2"/>
    </font>
    <font>
      <b/>
      <sz val="10"/>
      <name val="Wingdings"/>
      <charset val="2"/>
    </font>
    <font>
      <sz val="10"/>
      <color indexed="9"/>
      <name val="Arial"/>
      <family val="2"/>
    </font>
    <font>
      <sz val="10"/>
      <color indexed="10"/>
      <name val="Arial"/>
      <family val="2"/>
    </font>
    <font>
      <sz val="10"/>
      <color indexed="17"/>
      <name val="Arial"/>
      <family val="2"/>
    </font>
    <font>
      <b/>
      <i/>
      <sz val="10"/>
      <color indexed="10"/>
      <name val="Tahoma"/>
      <family val="2"/>
    </font>
    <font>
      <b/>
      <i/>
      <sz val="10"/>
      <color indexed="17"/>
      <name val="Tahoma"/>
      <family val="2"/>
    </font>
    <font>
      <sz val="10"/>
      <color indexed="56"/>
      <name val="Arial"/>
      <family val="2"/>
    </font>
    <font>
      <sz val="11"/>
      <color indexed="56"/>
      <name val="Arial"/>
      <family val="2"/>
    </font>
    <font>
      <sz val="11"/>
      <color indexed="12"/>
      <name val="Arial"/>
      <family val="2"/>
    </font>
    <font>
      <sz val="10"/>
      <color indexed="12"/>
      <name val="Arial"/>
      <family val="2"/>
    </font>
    <font>
      <sz val="9"/>
      <color indexed="56"/>
      <name val="Arial"/>
      <family val="2"/>
    </font>
    <font>
      <sz val="10"/>
      <color indexed="56"/>
      <name val="Arial"/>
      <family val="2"/>
    </font>
    <font>
      <b/>
      <i/>
      <u/>
      <sz val="10"/>
      <name val="Arial"/>
      <family val="2"/>
    </font>
    <font>
      <b/>
      <sz val="11"/>
      <color indexed="17"/>
      <name val="Tahoma"/>
      <family val="2"/>
    </font>
    <font>
      <sz val="11"/>
      <color indexed="17"/>
      <name val="Arial"/>
      <family val="2"/>
    </font>
    <font>
      <sz val="10"/>
      <name val="Arial"/>
      <family val="2"/>
    </font>
    <font>
      <b/>
      <i/>
      <sz val="9"/>
      <color indexed="17"/>
      <name val="Arial"/>
      <family val="2"/>
    </font>
    <font>
      <b/>
      <sz val="10"/>
      <color indexed="50"/>
      <name val="Tahoma"/>
      <family val="2"/>
    </font>
    <font>
      <i/>
      <sz val="9"/>
      <name val="Tahoma"/>
      <family val="2"/>
    </font>
    <font>
      <b/>
      <sz val="12"/>
      <color rgb="FF008080"/>
      <name val="Tahoma"/>
      <family val="2"/>
    </font>
    <font>
      <b/>
      <sz val="12"/>
      <color theme="5"/>
      <name val="Tahoma"/>
      <family val="2"/>
    </font>
    <font>
      <sz val="11"/>
      <color theme="0"/>
      <name val="Calibri"/>
      <family val="2"/>
      <scheme val="minor"/>
    </font>
    <font>
      <sz val="11"/>
      <color rgb="FF0070C0"/>
      <name val="Calibri"/>
      <family val="2"/>
      <scheme val="minor"/>
    </font>
    <font>
      <sz val="22"/>
      <color rgb="FF0070C0"/>
      <name val="Calibri"/>
      <family val="2"/>
      <scheme val="minor"/>
    </font>
    <font>
      <u/>
      <sz val="20"/>
      <color rgb="FF0070C0"/>
      <name val="Calibri"/>
      <family val="2"/>
      <scheme val="minor"/>
    </font>
    <font>
      <sz val="20"/>
      <color rgb="FF0070C0"/>
      <name val="Calibri"/>
      <family val="2"/>
      <scheme val="minor"/>
    </font>
    <font>
      <b/>
      <sz val="16"/>
      <color rgb="FFFF0000"/>
      <name val="Calibri"/>
      <family val="2"/>
      <scheme val="minor"/>
    </font>
    <font>
      <b/>
      <sz val="11"/>
      <color rgb="FFFF0000"/>
      <name val="Arial"/>
      <family val="2"/>
    </font>
    <font>
      <b/>
      <sz val="12"/>
      <color rgb="FF0070C0"/>
      <name val="Calibri"/>
      <family val="2"/>
      <scheme val="minor"/>
    </font>
    <font>
      <sz val="8"/>
      <color indexed="8"/>
      <name val="Arial"/>
      <family val="2"/>
    </font>
    <font>
      <sz val="8"/>
      <name val="Arial"/>
      <family val="2"/>
    </font>
    <font>
      <b/>
      <sz val="14"/>
      <color rgb="FF0070C0"/>
      <name val="Calibri"/>
      <family val="2"/>
      <scheme val="minor"/>
    </font>
    <font>
      <sz val="9"/>
      <color rgb="FF0070C0"/>
      <name val="Calibri"/>
      <family val="2"/>
      <scheme val="minor"/>
    </font>
    <font>
      <sz val="8"/>
      <color rgb="FF0070C0"/>
      <name val="Arial"/>
      <family val="2"/>
    </font>
    <font>
      <sz val="10"/>
      <color rgb="FF0070C0"/>
      <name val="Calibri"/>
      <family val="2"/>
      <scheme val="minor"/>
    </font>
    <font>
      <b/>
      <sz val="16"/>
      <color theme="9" tint="-0.249977111117893"/>
      <name val="Wingdings"/>
      <charset val="2"/>
    </font>
    <font>
      <b/>
      <sz val="12"/>
      <color theme="1"/>
      <name val="Arial"/>
      <family val="2"/>
    </font>
    <font>
      <b/>
      <sz val="16"/>
      <color theme="1"/>
      <name val="Wingdings"/>
      <charset val="2"/>
    </font>
    <font>
      <sz val="8"/>
      <color theme="1"/>
      <name val="Arial"/>
      <family val="2"/>
    </font>
    <font>
      <sz val="12"/>
      <color theme="1"/>
      <name val="Calibri"/>
      <family val="2"/>
      <scheme val="minor"/>
    </font>
    <font>
      <sz val="9"/>
      <color theme="1"/>
      <name val="Calibri"/>
      <family val="2"/>
      <scheme val="minor"/>
    </font>
    <font>
      <sz val="8"/>
      <color indexed="17"/>
      <name val="Arial"/>
      <family val="2"/>
    </font>
    <font>
      <sz val="8"/>
      <color indexed="18"/>
      <name val="Arial"/>
      <family val="2"/>
    </font>
    <font>
      <b/>
      <i/>
      <u/>
      <sz val="14"/>
      <name val="Calibri"/>
      <family val="2"/>
    </font>
    <font>
      <b/>
      <i/>
      <u/>
      <sz val="14"/>
      <name val="Calibri"/>
      <family val="2"/>
      <scheme val="minor"/>
    </font>
    <font>
      <b/>
      <u/>
      <sz val="14"/>
      <name val="Wingdings 3"/>
      <family val="1"/>
      <charset val="2"/>
    </font>
    <font>
      <sz val="10"/>
      <color theme="0"/>
      <name val="Arial"/>
      <family val="2"/>
    </font>
    <font>
      <sz val="10"/>
      <name val="Arial"/>
    </font>
    <font>
      <b/>
      <sz val="10"/>
      <color indexed="8"/>
      <name val="Bookman"/>
    </font>
    <font>
      <sz val="10"/>
      <color theme="0" tint="-0.34998626667073579"/>
      <name val="Arial"/>
      <family val="2"/>
    </font>
    <font>
      <sz val="10"/>
      <color theme="0" tint="-0.34998626667073579"/>
      <name val="Bookman"/>
      <family val="1"/>
    </font>
    <font>
      <b/>
      <i/>
      <sz val="10"/>
      <color theme="0" tint="-0.34998626667073579"/>
      <name val="Bookman"/>
    </font>
    <font>
      <b/>
      <i/>
      <sz val="10"/>
      <name val="Bookman"/>
    </font>
    <font>
      <b/>
      <sz val="18"/>
      <name val="AvantGarde"/>
    </font>
    <font>
      <b/>
      <i/>
      <sz val="9"/>
      <color theme="0" tint="-0.34998626667073579"/>
      <name val="Bookman"/>
    </font>
    <font>
      <b/>
      <i/>
      <sz val="10"/>
      <name val="Arial"/>
      <family val="2"/>
    </font>
    <font>
      <sz val="8"/>
      <name val="Bookman"/>
      <family val="1"/>
    </font>
    <font>
      <b/>
      <sz val="10"/>
      <color rgb="FFFF0000"/>
      <name val="Arial"/>
      <family val="2"/>
    </font>
    <font>
      <sz val="10"/>
      <color rgb="FF000000"/>
      <name val="Tahoma"/>
      <family val="2"/>
    </font>
    <font>
      <b/>
      <u/>
      <sz val="10"/>
      <name val="Arial"/>
      <family val="2"/>
    </font>
    <font>
      <b/>
      <sz val="16"/>
      <color rgb="FFFF0000"/>
      <name val="Arial"/>
      <family val="2"/>
    </font>
    <font>
      <sz val="28"/>
      <name val="Arial"/>
      <family val="2"/>
    </font>
    <font>
      <sz val="10"/>
      <color rgb="FFFF0000"/>
      <name val="Arial"/>
      <family val="2"/>
    </font>
    <font>
      <b/>
      <sz val="10"/>
      <color theme="4"/>
      <name val="Arial"/>
      <family val="2"/>
    </font>
    <font>
      <sz val="18"/>
      <color rgb="FFFF0000"/>
      <name val="Tahoma"/>
      <family val="2"/>
    </font>
    <font>
      <i/>
      <sz val="11"/>
      <color theme="1" tint="0.249977111117893"/>
      <name val="Tahoma"/>
      <family val="2"/>
    </font>
    <font>
      <sz val="10"/>
      <color theme="1" tint="0.249977111117893"/>
      <name val="Tahoma"/>
      <family val="2"/>
    </font>
    <font>
      <sz val="10"/>
      <color theme="0"/>
      <name val="Tahoma"/>
      <family val="2"/>
    </font>
    <font>
      <b/>
      <sz val="10"/>
      <color rgb="FF008080"/>
      <name val="Tahoma"/>
      <family val="2"/>
    </font>
    <font>
      <sz val="10"/>
      <color rgb="FF008080"/>
      <name val="Tahoma"/>
      <family val="2"/>
    </font>
    <font>
      <b/>
      <sz val="11"/>
      <name val="Arial"/>
      <family val="2"/>
    </font>
  </fonts>
  <fills count="1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47"/>
        <bgColor indexed="64"/>
      </patternFill>
    </fill>
    <fill>
      <patternFill patternType="solid">
        <fgColor indexed="55"/>
        <bgColor indexed="64"/>
      </patternFill>
    </fill>
    <fill>
      <patternFill patternType="solid">
        <fgColor indexed="57"/>
        <bgColor indexed="64"/>
      </patternFill>
    </fill>
    <fill>
      <patternFill patternType="solid">
        <fgColor theme="0" tint="-0.34998626667073579"/>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8" tint="0.59999389629810485"/>
        <bgColor indexed="64"/>
      </patternFill>
    </fill>
  </fills>
  <borders count="100">
    <border>
      <left/>
      <right/>
      <top/>
      <bottom/>
      <diagonal/>
    </border>
    <border>
      <left/>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3"/>
      </left>
      <right style="medium">
        <color indexed="63"/>
      </right>
      <top style="medium">
        <color indexed="63"/>
      </top>
      <bottom/>
      <diagonal/>
    </border>
    <border>
      <left style="medium">
        <color indexed="63"/>
      </left>
      <right style="medium">
        <color indexed="63"/>
      </right>
      <top/>
      <bottom/>
      <diagonal/>
    </border>
    <border>
      <left style="medium">
        <color indexed="63"/>
      </left>
      <right style="medium">
        <color indexed="63"/>
      </right>
      <top/>
      <bottom style="medium">
        <color indexed="63"/>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3"/>
      </left>
      <right/>
      <top/>
      <bottom/>
      <diagonal/>
    </border>
    <border>
      <left style="medium">
        <color indexed="63"/>
      </left>
      <right/>
      <top style="medium">
        <color indexed="63"/>
      </top>
      <bottom/>
      <diagonal/>
    </border>
    <border>
      <left style="medium">
        <color indexed="63"/>
      </left>
      <right/>
      <top/>
      <bottom style="medium">
        <color indexed="63"/>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right style="medium">
        <color indexed="64"/>
      </right>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medium">
        <color indexed="64"/>
      </right>
      <top style="thin">
        <color indexed="64"/>
      </top>
      <bottom style="thin">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double">
        <color indexed="22"/>
      </left>
      <right style="double">
        <color indexed="22"/>
      </right>
      <top style="double">
        <color indexed="22"/>
      </top>
      <bottom style="double">
        <color indexed="22"/>
      </bottom>
      <diagonal/>
    </border>
    <border>
      <left/>
      <right/>
      <top style="thick">
        <color indexed="22"/>
      </top>
      <bottom style="thick">
        <color indexed="22"/>
      </bottom>
      <diagonal/>
    </border>
    <border>
      <left style="double">
        <color indexed="30"/>
      </left>
      <right/>
      <top style="double">
        <color indexed="30"/>
      </top>
      <bottom style="double">
        <color indexed="30"/>
      </bottom>
      <diagonal/>
    </border>
    <border>
      <left/>
      <right/>
      <top style="double">
        <color indexed="30"/>
      </top>
      <bottom style="double">
        <color indexed="30"/>
      </bottom>
      <diagonal/>
    </border>
    <border>
      <left/>
      <right style="double">
        <color indexed="30"/>
      </right>
      <top style="double">
        <color indexed="30"/>
      </top>
      <bottom style="double">
        <color indexed="30"/>
      </bottom>
      <diagonal/>
    </border>
    <border>
      <left style="medium">
        <color indexed="64"/>
      </left>
      <right style="thin">
        <color indexed="64"/>
      </right>
      <top style="thin">
        <color indexed="64"/>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3"/>
      </left>
      <right style="thin">
        <color theme="3"/>
      </right>
      <top style="thin">
        <color theme="3"/>
      </top>
      <bottom style="thin">
        <color theme="3"/>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medium">
        <color indexed="64"/>
      </right>
      <top style="medium">
        <color indexed="64"/>
      </top>
      <bottom style="medium">
        <color indexed="64"/>
      </bottom>
      <diagonal/>
    </border>
  </borders>
  <cellStyleXfs count="175">
    <xf numFmtId="0" fontId="0" fillId="0" borderId="0"/>
    <xf numFmtId="43" fontId="172" fillId="0" borderId="0" applyFont="0" applyFill="0" applyBorder="0" applyAlignment="0" applyProtection="0"/>
    <xf numFmtId="43" fontId="186" fillId="0" borderId="0" applyFont="0" applyFill="0" applyBorder="0" applyAlignment="0" applyProtection="0"/>
    <xf numFmtId="0" fontId="172" fillId="0" borderId="0"/>
    <xf numFmtId="9" fontId="186" fillId="0" borderId="0" applyFont="0" applyFill="0" applyBorder="0" applyAlignment="0" applyProtection="0"/>
    <xf numFmtId="0" fontId="15" fillId="0" borderId="0"/>
    <xf numFmtId="9" fontId="204" fillId="0" borderId="0" applyFont="0" applyFill="0" applyBorder="0" applyAlignment="0" applyProtection="0"/>
    <xf numFmtId="43" fontId="15" fillId="0" borderId="0" applyFont="0" applyFill="0" applyBorder="0" applyAlignment="0" applyProtection="0"/>
    <xf numFmtId="0" fontId="15" fillId="0" borderId="0"/>
    <xf numFmtId="0" fontId="7" fillId="0" borderId="0"/>
    <xf numFmtId="0" fontId="204" fillId="0" borderId="0"/>
    <xf numFmtId="43" fontId="15" fillId="0" borderId="0" applyFont="0" applyFill="0" applyBorder="0" applyAlignment="0" applyProtection="0"/>
    <xf numFmtId="9" fontId="204" fillId="0" borderId="0" applyFont="0" applyFill="0" applyBorder="0" applyAlignment="0" applyProtection="0"/>
    <xf numFmtId="0" fontId="6" fillId="0" borderId="0"/>
    <xf numFmtId="44" fontId="6" fillId="0" borderId="0" applyFont="0" applyFill="0" applyBorder="0" applyAlignment="0" applyProtection="0"/>
    <xf numFmtId="0" fontId="204" fillId="0" borderId="0"/>
    <xf numFmtId="43" fontId="15" fillId="0" borderId="0" applyFont="0" applyFill="0" applyBorder="0" applyAlignment="0" applyProtection="0"/>
    <xf numFmtId="9" fontId="204" fillId="0" borderId="0" applyFont="0" applyFill="0" applyBorder="0" applyAlignment="0" applyProtection="0"/>
    <xf numFmtId="0" fontId="6" fillId="0" borderId="0"/>
    <xf numFmtId="0" fontId="5" fillId="0" borderId="0"/>
    <xf numFmtId="44" fontId="5"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0" fontId="5" fillId="0" borderId="0"/>
    <xf numFmtId="0" fontId="4" fillId="0" borderId="0"/>
    <xf numFmtId="0" fontId="4" fillId="0" borderId="0"/>
    <xf numFmtId="44" fontId="4" fillId="0" borderId="0" applyFont="0" applyFill="0" applyBorder="0" applyAlignment="0" applyProtection="0"/>
    <xf numFmtId="0" fontId="4" fillId="0" borderId="0"/>
    <xf numFmtId="0" fontId="4" fillId="0" borderId="0"/>
    <xf numFmtId="44" fontId="4" fillId="0" borderId="0" applyFont="0" applyFill="0" applyBorder="0" applyAlignment="0" applyProtection="0"/>
    <xf numFmtId="0" fontId="4" fillId="0" borderId="0"/>
    <xf numFmtId="0" fontId="4" fillId="0" borderId="0"/>
    <xf numFmtId="44" fontId="4" fillId="0" borderId="0" applyFont="0" applyFill="0" applyBorder="0" applyAlignment="0" applyProtection="0"/>
    <xf numFmtId="0" fontId="4" fillId="0" borderId="0"/>
    <xf numFmtId="0" fontId="3" fillId="0" borderId="0"/>
    <xf numFmtId="0" fontId="3" fillId="0" borderId="0"/>
    <xf numFmtId="44" fontId="3" fillId="0" borderId="0" applyFont="0" applyFill="0" applyBorder="0" applyAlignment="0" applyProtection="0"/>
    <xf numFmtId="0" fontId="3" fillId="0" borderId="0"/>
    <xf numFmtId="0" fontId="3" fillId="0" borderId="0"/>
    <xf numFmtId="44" fontId="3" fillId="0" borderId="0" applyFont="0" applyFill="0" applyBorder="0" applyAlignment="0" applyProtection="0"/>
    <xf numFmtId="0" fontId="3" fillId="0" borderId="0"/>
    <xf numFmtId="0" fontId="3" fillId="0" borderId="0"/>
    <xf numFmtId="44" fontId="3" fillId="0" borderId="0" applyFont="0" applyFill="0" applyBorder="0" applyAlignment="0" applyProtection="0"/>
    <xf numFmtId="0" fontId="3" fillId="0" borderId="0"/>
    <xf numFmtId="0" fontId="3" fillId="0" borderId="0"/>
    <xf numFmtId="0" fontId="3" fillId="0" borderId="0"/>
    <xf numFmtId="44" fontId="3" fillId="0" borderId="0" applyFont="0" applyFill="0" applyBorder="0" applyAlignment="0" applyProtection="0"/>
    <xf numFmtId="0" fontId="3" fillId="0" borderId="0"/>
    <xf numFmtId="0" fontId="3" fillId="0" borderId="0"/>
    <xf numFmtId="44" fontId="3" fillId="0" borderId="0" applyFont="0" applyFill="0" applyBorder="0" applyAlignment="0" applyProtection="0"/>
    <xf numFmtId="0" fontId="3" fillId="0" borderId="0"/>
    <xf numFmtId="0" fontId="3" fillId="0" borderId="0"/>
    <xf numFmtId="44" fontId="3" fillId="0" borderId="0" applyFont="0" applyFill="0" applyBorder="0" applyAlignment="0" applyProtection="0"/>
    <xf numFmtId="0" fontId="3"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cellStyleXfs>
  <cellXfs count="1087">
    <xf numFmtId="0" fontId="0" fillId="0" borderId="0" xfId="0"/>
    <xf numFmtId="0" fontId="0" fillId="0" borderId="0" xfId="0" applyBorder="1" applyAlignment="1"/>
    <xf numFmtId="0" fontId="11" fillId="0" borderId="0" xfId="0" applyFont="1"/>
    <xf numFmtId="0" fontId="0" fillId="0" borderId="1" xfId="0" applyBorder="1"/>
    <xf numFmtId="0" fontId="0" fillId="0" borderId="0" xfId="0" applyBorder="1"/>
    <xf numFmtId="0" fontId="10" fillId="0" borderId="0" xfId="0" applyFont="1" applyBorder="1"/>
    <xf numFmtId="0" fontId="8" fillId="0" borderId="0" xfId="0" applyFont="1" applyBorder="1"/>
    <xf numFmtId="0" fontId="11" fillId="0" borderId="0" xfId="0" applyFont="1" applyBorder="1"/>
    <xf numFmtId="0" fontId="12" fillId="0" borderId="0" xfId="0" applyFont="1" applyBorder="1" applyAlignment="1">
      <alignment horizontal="center"/>
    </xf>
    <xf numFmtId="0" fontId="0" fillId="0" borderId="0" xfId="0" applyAlignment="1">
      <alignment vertical="center"/>
    </xf>
    <xf numFmtId="0" fontId="0" fillId="0" borderId="0" xfId="0" applyBorder="1" applyAlignment="1">
      <alignment vertical="center"/>
    </xf>
    <xf numFmtId="0" fontId="15" fillId="0" borderId="0" xfId="0" applyFont="1"/>
    <xf numFmtId="0" fontId="0" fillId="0" borderId="3" xfId="0" applyBorder="1"/>
    <xf numFmtId="0" fontId="14" fillId="0" borderId="0" xfId="0" applyFont="1" applyBorder="1"/>
    <xf numFmtId="0" fontId="0" fillId="0" borderId="0" xfId="0" applyBorder="1" applyAlignment="1">
      <alignment horizontal="right"/>
    </xf>
    <xf numFmtId="0" fontId="17" fillId="0" borderId="0" xfId="0" applyFont="1"/>
    <xf numFmtId="0" fontId="17" fillId="0" borderId="0" xfId="0" applyFont="1" applyBorder="1"/>
    <xf numFmtId="0" fontId="0" fillId="0" borderId="0" xfId="0" applyBorder="1" applyAlignment="1">
      <alignment horizontal="center"/>
    </xf>
    <xf numFmtId="0" fontId="0" fillId="0" borderId="0" xfId="0" applyAlignment="1">
      <alignment horizontal="center"/>
    </xf>
    <xf numFmtId="0" fontId="11" fillId="0" borderId="0" xfId="0" applyFont="1" applyBorder="1" applyAlignment="1">
      <alignment horizontal="center"/>
    </xf>
    <xf numFmtId="14" fontId="0" fillId="0" borderId="3" xfId="0" applyNumberFormat="1" applyBorder="1"/>
    <xf numFmtId="0" fontId="0" fillId="0" borderId="4" xfId="0" applyBorder="1"/>
    <xf numFmtId="14" fontId="0" fillId="0" borderId="0" xfId="0" applyNumberFormat="1"/>
    <xf numFmtId="0" fontId="14" fillId="0" borderId="0" xfId="0" applyFont="1"/>
    <xf numFmtId="0" fontId="14" fillId="0" borderId="0" xfId="0" applyFont="1" applyBorder="1" applyAlignment="1">
      <alignment horizontal="left"/>
    </xf>
    <xf numFmtId="0" fontId="10" fillId="0" borderId="0" xfId="0" applyFont="1" applyBorder="1" applyAlignment="1">
      <alignment horizontal="center"/>
    </xf>
    <xf numFmtId="0" fontId="11" fillId="0" borderId="0" xfId="0" applyFont="1" applyAlignment="1">
      <alignment horizontal="center"/>
    </xf>
    <xf numFmtId="0" fontId="19" fillId="0" borderId="0" xfId="0" applyFont="1" applyBorder="1" applyAlignment="1">
      <alignment horizontal="center"/>
    </xf>
    <xf numFmtId="0" fontId="0" fillId="0" borderId="0" xfId="0" applyAlignment="1">
      <alignment vertical="top"/>
    </xf>
    <xf numFmtId="0" fontId="18" fillId="0" borderId="0" xfId="0" applyFont="1"/>
    <xf numFmtId="0" fontId="22" fillId="0" borderId="0" xfId="0" applyFont="1" applyBorder="1"/>
    <xf numFmtId="0" fontId="0" fillId="2" borderId="0" xfId="0" applyFill="1" applyProtection="1">
      <protection locked="0" hidden="1"/>
    </xf>
    <xf numFmtId="0" fontId="19" fillId="0" borderId="0" xfId="0" applyFont="1" applyAlignment="1">
      <alignment horizontal="center"/>
    </xf>
    <xf numFmtId="0" fontId="23" fillId="0" borderId="5" xfId="0" applyFont="1" applyBorder="1" applyAlignment="1">
      <alignment horizontal="center"/>
    </xf>
    <xf numFmtId="10" fontId="23" fillId="0" borderId="5" xfId="0" applyNumberFormat="1" applyFont="1" applyBorder="1" applyAlignment="1">
      <alignment horizontal="center"/>
    </xf>
    <xf numFmtId="10" fontId="23" fillId="0" borderId="6" xfId="0" applyNumberFormat="1" applyFont="1" applyBorder="1" applyAlignment="1">
      <alignment horizontal="center"/>
    </xf>
    <xf numFmtId="3" fontId="23" fillId="0" borderId="7" xfId="0" applyNumberFormat="1" applyFont="1" applyBorder="1" applyAlignment="1">
      <alignment horizontal="center"/>
    </xf>
    <xf numFmtId="3" fontId="23" fillId="0" borderId="0" xfId="0" applyNumberFormat="1" applyFont="1" applyBorder="1" applyAlignment="1">
      <alignment horizontal="center"/>
    </xf>
    <xf numFmtId="0" fontId="13" fillId="0" borderId="0" xfId="0" applyFont="1"/>
    <xf numFmtId="0" fontId="24" fillId="0" borderId="0" xfId="0" applyFont="1"/>
    <xf numFmtId="0" fontId="25" fillId="0" borderId="0" xfId="0" applyFont="1"/>
    <xf numFmtId="0" fontId="26" fillId="0" borderId="0" xfId="0" applyFont="1"/>
    <xf numFmtId="0" fontId="27" fillId="0" borderId="0" xfId="0" applyFont="1"/>
    <xf numFmtId="0" fontId="28" fillId="0" borderId="0" xfId="0" applyFont="1"/>
    <xf numFmtId="0" fontId="29" fillId="0" borderId="0" xfId="0" applyFont="1"/>
    <xf numFmtId="0" fontId="23" fillId="0" borderId="0" xfId="0" applyFont="1"/>
    <xf numFmtId="0" fontId="31" fillId="0" borderId="0" xfId="0" applyFont="1"/>
    <xf numFmtId="0" fontId="30" fillId="0" borderId="0" xfId="0" applyFont="1" applyAlignment="1">
      <alignment vertical="center"/>
    </xf>
    <xf numFmtId="0" fontId="32" fillId="0" borderId="0" xfId="0" applyFont="1"/>
    <xf numFmtId="0" fontId="28" fillId="0" borderId="0" xfId="0" applyFont="1" applyBorder="1"/>
    <xf numFmtId="0" fontId="9" fillId="0" borderId="0" xfId="0" applyFont="1" applyBorder="1" applyAlignment="1">
      <alignment horizontal="centerContinuous" vertical="center"/>
    </xf>
    <xf numFmtId="0" fontId="0" fillId="0" borderId="0" xfId="0" applyBorder="1" applyAlignment="1">
      <alignment horizontal="centerContinuous" vertical="center"/>
    </xf>
    <xf numFmtId="0" fontId="37" fillId="0" borderId="0" xfId="0" applyFont="1" applyAlignment="1">
      <alignment horizontal="center"/>
    </xf>
    <xf numFmtId="0" fontId="34" fillId="0" borderId="0" xfId="0" applyFont="1" applyAlignment="1">
      <alignment vertical="center"/>
    </xf>
    <xf numFmtId="0" fontId="39" fillId="0" borderId="0" xfId="0" applyFont="1"/>
    <xf numFmtId="0" fontId="35" fillId="0" borderId="0" xfId="0" applyFont="1"/>
    <xf numFmtId="0" fontId="36" fillId="0" borderId="0" xfId="0" applyFont="1" applyAlignment="1">
      <alignment vertical="center"/>
    </xf>
    <xf numFmtId="0" fontId="40" fillId="0" borderId="0" xfId="0" applyFont="1" applyAlignment="1">
      <alignment vertical="center"/>
    </xf>
    <xf numFmtId="0" fontId="38" fillId="0" borderId="0" xfId="0" applyFont="1" applyAlignment="1">
      <alignment vertical="center"/>
    </xf>
    <xf numFmtId="0" fontId="39" fillId="0" borderId="0" xfId="0" applyFont="1" applyAlignment="1">
      <alignment vertical="top"/>
    </xf>
    <xf numFmtId="0" fontId="25" fillId="0" borderId="0" xfId="0" applyFont="1" applyAlignment="1">
      <alignment vertical="center"/>
    </xf>
    <xf numFmtId="0" fontId="41" fillId="0" borderId="0" xfId="0" applyFont="1"/>
    <xf numFmtId="0" fontId="17" fillId="0" borderId="0" xfId="0" applyFont="1" applyBorder="1" applyAlignment="1">
      <alignment horizontal="center"/>
    </xf>
    <xf numFmtId="0" fontId="17" fillId="0" borderId="0" xfId="0" applyFont="1" applyAlignment="1">
      <alignment horizontal="left"/>
    </xf>
    <xf numFmtId="0" fontId="0" fillId="0" borderId="3" xfId="0" applyFill="1" applyBorder="1"/>
    <xf numFmtId="0" fontId="0" fillId="0" borderId="8" xfId="0" applyBorder="1"/>
    <xf numFmtId="0" fontId="15" fillId="0" borderId="3" xfId="0" applyFont="1" applyBorder="1" applyAlignment="1">
      <alignment horizontal="left"/>
    </xf>
    <xf numFmtId="0" fontId="20" fillId="0" borderId="0" xfId="0" applyFont="1" applyAlignment="1">
      <alignment horizontal="center"/>
    </xf>
    <xf numFmtId="0" fontId="42" fillId="0" borderId="0" xfId="0" applyFont="1"/>
    <xf numFmtId="0" fontId="15" fillId="0" borderId="3" xfId="0" applyFont="1" applyBorder="1"/>
    <xf numFmtId="0" fontId="15" fillId="0" borderId="9" xfId="0" applyFont="1" applyBorder="1"/>
    <xf numFmtId="3" fontId="18" fillId="0" borderId="0" xfId="0" applyNumberFormat="1" applyFont="1"/>
    <xf numFmtId="2" fontId="23" fillId="0" borderId="6" xfId="0" applyNumberFormat="1" applyFont="1" applyBorder="1" applyAlignment="1">
      <alignment horizontal="center"/>
    </xf>
    <xf numFmtId="10" fontId="27" fillId="0" borderId="0" xfId="0" applyNumberFormat="1" applyFont="1"/>
    <xf numFmtId="10" fontId="29" fillId="0" borderId="0" xfId="0" applyNumberFormat="1" applyFont="1"/>
    <xf numFmtId="166" fontId="18" fillId="0" borderId="0" xfId="0" applyNumberFormat="1" applyFont="1"/>
    <xf numFmtId="0" fontId="43" fillId="0" borderId="0" xfId="0" applyFont="1" applyBorder="1" applyAlignment="1">
      <alignment horizontal="center"/>
    </xf>
    <xf numFmtId="0" fontId="17" fillId="0" borderId="0" xfId="0" applyFont="1" applyAlignment="1">
      <alignment horizontal="left" vertical="top"/>
    </xf>
    <xf numFmtId="4" fontId="0" fillId="0" borderId="0" xfId="0" applyNumberFormat="1" applyAlignment="1">
      <alignment horizontal="center"/>
    </xf>
    <xf numFmtId="2" fontId="0" fillId="0" borderId="0" xfId="0" applyNumberFormat="1"/>
    <xf numFmtId="2" fontId="0" fillId="0" borderId="3" xfId="0" applyNumberFormat="1" applyBorder="1" applyAlignment="1">
      <alignment horizontal="center"/>
    </xf>
    <xf numFmtId="2" fontId="0" fillId="0" borderId="0" xfId="0" applyNumberFormat="1" applyAlignment="1">
      <alignment horizontal="center"/>
    </xf>
    <xf numFmtId="2" fontId="15" fillId="0" borderId="3" xfId="0" applyNumberFormat="1" applyFont="1" applyBorder="1" applyAlignment="1">
      <alignment horizontal="center"/>
    </xf>
    <xf numFmtId="2" fontId="18" fillId="0" borderId="0" xfId="0" applyNumberFormat="1" applyFont="1" applyAlignment="1">
      <alignment horizontal="center"/>
    </xf>
    <xf numFmtId="4" fontId="0" fillId="0" borderId="0" xfId="0" applyNumberFormat="1"/>
    <xf numFmtId="3" fontId="28" fillId="0" borderId="0" xfId="0" applyNumberFormat="1" applyFont="1"/>
    <xf numFmtId="3" fontId="27" fillId="0" borderId="0" xfId="0" applyNumberFormat="1" applyFont="1"/>
    <xf numFmtId="4" fontId="0" fillId="0" borderId="0" xfId="0" applyNumberFormat="1" applyBorder="1" applyAlignment="1">
      <alignment horizontal="center"/>
    </xf>
    <xf numFmtId="4" fontId="0" fillId="0" borderId="0" xfId="0" applyNumberFormat="1" applyBorder="1"/>
    <xf numFmtId="4" fontId="9" fillId="0" borderId="0" xfId="0" applyNumberFormat="1" applyFont="1" applyBorder="1" applyAlignment="1">
      <alignment horizontal="centerContinuous" vertical="center"/>
    </xf>
    <xf numFmtId="4" fontId="17" fillId="0" borderId="0" xfId="0" applyNumberFormat="1" applyFont="1" applyBorder="1"/>
    <xf numFmtId="4" fontId="23" fillId="0" borderId="5" xfId="0" applyNumberFormat="1" applyFont="1" applyBorder="1" applyAlignment="1">
      <alignment horizontal="center"/>
    </xf>
    <xf numFmtId="4" fontId="23" fillId="0" borderId="6" xfId="0" applyNumberFormat="1" applyFont="1" applyBorder="1" applyAlignment="1">
      <alignment horizontal="center"/>
    </xf>
    <xf numFmtId="4" fontId="44" fillId="0" borderId="6" xfId="0" applyNumberFormat="1" applyFont="1" applyBorder="1" applyAlignment="1">
      <alignment horizontal="center"/>
    </xf>
    <xf numFmtId="3" fontId="42" fillId="0" borderId="0" xfId="0" applyNumberFormat="1" applyFont="1"/>
    <xf numFmtId="3" fontId="20" fillId="0" borderId="3" xfId="0" applyNumberFormat="1" applyFont="1" applyBorder="1"/>
    <xf numFmtId="0" fontId="28" fillId="0" borderId="0" xfId="0" applyFont="1" applyAlignment="1">
      <alignment horizontal="right"/>
    </xf>
    <xf numFmtId="0" fontId="45" fillId="0" borderId="0" xfId="0" applyFont="1"/>
    <xf numFmtId="0" fontId="45" fillId="0" borderId="0" xfId="0" applyFont="1" applyFill="1"/>
    <xf numFmtId="3" fontId="46" fillId="0" borderId="0" xfId="0" applyNumberFormat="1" applyFont="1" applyBorder="1" applyAlignment="1">
      <alignment vertical="center"/>
    </xf>
    <xf numFmtId="0" fontId="46" fillId="0" borderId="0" xfId="0" applyFont="1" applyBorder="1" applyAlignment="1">
      <alignment horizontal="center" vertical="center"/>
    </xf>
    <xf numFmtId="0" fontId="48" fillId="0" borderId="0" xfId="0" applyFont="1"/>
    <xf numFmtId="164" fontId="49" fillId="0" borderId="0" xfId="0" applyNumberFormat="1" applyFont="1" applyBorder="1" applyAlignment="1">
      <alignment horizontal="right"/>
    </xf>
    <xf numFmtId="0" fontId="50" fillId="0" borderId="0" xfId="0" applyFont="1"/>
    <xf numFmtId="0" fontId="51" fillId="0" borderId="0" xfId="0" applyFont="1" applyBorder="1" applyAlignment="1">
      <alignment horizontal="centerContinuous" vertical="center"/>
    </xf>
    <xf numFmtId="0" fontId="50" fillId="0" borderId="0" xfId="0" applyFont="1" applyBorder="1"/>
    <xf numFmtId="3" fontId="52" fillId="0" borderId="0" xfId="0" applyNumberFormat="1" applyFont="1" applyBorder="1" applyAlignment="1">
      <alignment vertical="center"/>
    </xf>
    <xf numFmtId="0" fontId="53" fillId="0" borderId="0" xfId="0" applyFont="1"/>
    <xf numFmtId="2" fontId="18" fillId="0" borderId="3" xfId="0" applyNumberFormat="1" applyFont="1" applyBorder="1" applyAlignment="1">
      <alignment horizontal="center"/>
    </xf>
    <xf numFmtId="3" fontId="42" fillId="0" borderId="2" xfId="0" applyNumberFormat="1" applyFont="1" applyBorder="1"/>
    <xf numFmtId="0" fontId="54" fillId="0" borderId="0" xfId="0" applyFont="1"/>
    <xf numFmtId="0" fontId="54" fillId="0" borderId="0" xfId="0" applyFont="1" applyBorder="1" applyAlignment="1">
      <alignment horizontal="left"/>
    </xf>
    <xf numFmtId="0" fontId="54" fillId="0" borderId="0" xfId="0" applyFont="1" applyAlignment="1">
      <alignment horizontal="left"/>
    </xf>
    <xf numFmtId="0" fontId="55" fillId="0" borderId="0" xfId="0" applyFont="1" applyBorder="1"/>
    <xf numFmtId="0" fontId="56" fillId="0" borderId="0" xfId="0" applyFont="1" applyBorder="1" applyAlignment="1">
      <alignment horizontal="center"/>
    </xf>
    <xf numFmtId="0" fontId="57" fillId="0" borderId="0" xfId="0" applyFont="1" applyBorder="1" applyAlignment="1">
      <alignment horizontal="center" vertical="top"/>
    </xf>
    <xf numFmtId="0" fontId="57" fillId="0" borderId="0" xfId="0" applyFont="1" applyBorder="1" applyAlignment="1">
      <alignment horizontal="center"/>
    </xf>
    <xf numFmtId="0" fontId="27" fillId="0" borderId="0" xfId="0" applyFont="1" applyBorder="1" applyAlignment="1">
      <alignment horizontal="center"/>
    </xf>
    <xf numFmtId="0" fontId="28" fillId="0" borderId="0" xfId="0" applyFont="1" applyBorder="1" applyAlignment="1">
      <alignment horizontal="center"/>
    </xf>
    <xf numFmtId="0" fontId="29" fillId="0" borderId="0" xfId="0" applyFont="1" applyBorder="1"/>
    <xf numFmtId="0" fontId="28" fillId="0" borderId="0" xfId="0" applyFont="1" applyBorder="1" applyAlignment="1"/>
    <xf numFmtId="0" fontId="58" fillId="0" borderId="0" xfId="0" applyFont="1" applyBorder="1" applyAlignment="1">
      <alignment horizontal="center"/>
    </xf>
    <xf numFmtId="0" fontId="59" fillId="0" borderId="0" xfId="0" applyFont="1"/>
    <xf numFmtId="0" fontId="60" fillId="0" borderId="0" xfId="0" applyFont="1" applyBorder="1" applyAlignment="1">
      <alignment horizontal="center" vertical="top"/>
    </xf>
    <xf numFmtId="0" fontId="60" fillId="0" borderId="0" xfId="0" applyFont="1" applyBorder="1" applyAlignment="1">
      <alignment horizontal="center"/>
    </xf>
    <xf numFmtId="0" fontId="27" fillId="0" borderId="0" xfId="0" applyFont="1" applyBorder="1"/>
    <xf numFmtId="0" fontId="23" fillId="0" borderId="0" xfId="0" applyFont="1" applyBorder="1"/>
    <xf numFmtId="0" fontId="23" fillId="0" borderId="0" xfId="0" applyFont="1" applyAlignment="1">
      <alignment vertical="center"/>
    </xf>
    <xf numFmtId="0" fontId="27" fillId="0" borderId="0" xfId="0" applyFont="1" applyAlignment="1">
      <alignment vertical="center"/>
    </xf>
    <xf numFmtId="2" fontId="61" fillId="0" borderId="6" xfId="0" applyNumberFormat="1" applyFont="1" applyBorder="1" applyAlignment="1">
      <alignment horizontal="center" vertical="center"/>
    </xf>
    <xf numFmtId="0" fontId="62" fillId="0" borderId="0" xfId="0" applyFont="1" applyAlignment="1">
      <alignment vertical="center"/>
    </xf>
    <xf numFmtId="2" fontId="63" fillId="0" borderId="6" xfId="0" applyNumberFormat="1" applyFont="1" applyBorder="1" applyAlignment="1">
      <alignment horizontal="center" vertical="center"/>
    </xf>
    <xf numFmtId="0" fontId="28" fillId="0" borderId="0" xfId="0" applyFont="1" applyAlignment="1">
      <alignment vertical="center"/>
    </xf>
    <xf numFmtId="0" fontId="61" fillId="0" borderId="0" xfId="0" applyFont="1" applyAlignment="1">
      <alignment vertical="center"/>
    </xf>
    <xf numFmtId="0" fontId="64" fillId="0" borderId="0" xfId="0" applyFont="1"/>
    <xf numFmtId="0" fontId="64" fillId="0" borderId="0" xfId="0" applyFont="1" applyBorder="1"/>
    <xf numFmtId="0" fontId="64" fillId="0" borderId="0" xfId="0" applyFont="1" applyBorder="1" applyAlignment="1">
      <alignment horizontal="center"/>
    </xf>
    <xf numFmtId="0" fontId="65" fillId="0" borderId="0" xfId="0" applyFont="1" applyBorder="1" applyAlignment="1">
      <alignment horizontal="center"/>
    </xf>
    <xf numFmtId="0" fontId="66" fillId="0" borderId="0" xfId="0" applyFont="1"/>
    <xf numFmtId="0" fontId="67" fillId="0" borderId="0" xfId="0" applyFont="1" applyBorder="1" applyAlignment="1">
      <alignment horizontal="center"/>
    </xf>
    <xf numFmtId="0" fontId="30" fillId="0" borderId="0" xfId="0" applyFont="1"/>
    <xf numFmtId="0" fontId="30" fillId="0" borderId="0" xfId="0" applyFont="1" applyBorder="1"/>
    <xf numFmtId="4" fontId="27" fillId="0" borderId="0" xfId="0" applyNumberFormat="1" applyFont="1"/>
    <xf numFmtId="4" fontId="48" fillId="0" borderId="0" xfId="0" applyNumberFormat="1" applyFont="1"/>
    <xf numFmtId="0" fontId="70" fillId="0" borderId="0" xfId="0" applyFont="1"/>
    <xf numFmtId="4" fontId="30" fillId="0" borderId="0" xfId="0" applyNumberFormat="1" applyFont="1" applyFill="1"/>
    <xf numFmtId="4" fontId="71" fillId="0" borderId="6" xfId="0" applyNumberFormat="1" applyFont="1" applyBorder="1" applyAlignment="1">
      <alignment horizontal="center"/>
    </xf>
    <xf numFmtId="4" fontId="61" fillId="0" borderId="6" xfId="0" applyNumberFormat="1" applyFont="1" applyBorder="1" applyAlignment="1">
      <alignment horizontal="center"/>
    </xf>
    <xf numFmtId="3" fontId="30" fillId="0" borderId="0" xfId="0" applyNumberFormat="1" applyFont="1"/>
    <xf numFmtId="4" fontId="30" fillId="0" borderId="0" xfId="0" applyNumberFormat="1" applyFont="1"/>
    <xf numFmtId="4" fontId="71" fillId="0" borderId="13" xfId="0" applyNumberFormat="1" applyFont="1" applyBorder="1" applyAlignment="1">
      <alignment horizontal="center"/>
    </xf>
    <xf numFmtId="4" fontId="30" fillId="0" borderId="14" xfId="0" applyNumberFormat="1" applyFont="1" applyBorder="1"/>
    <xf numFmtId="4" fontId="61" fillId="0" borderId="13" xfId="0" applyNumberFormat="1" applyFont="1" applyBorder="1" applyAlignment="1">
      <alignment horizontal="center"/>
    </xf>
    <xf numFmtId="4" fontId="27" fillId="0" borderId="15" xfId="0" applyNumberFormat="1" applyFont="1" applyBorder="1"/>
    <xf numFmtId="4" fontId="27" fillId="0" borderId="7" xfId="0" applyNumberFormat="1" applyFont="1" applyBorder="1"/>
    <xf numFmtId="0" fontId="64" fillId="0" borderId="0" xfId="0" applyFont="1" applyAlignment="1">
      <alignment horizontal="left"/>
    </xf>
    <xf numFmtId="4" fontId="64" fillId="0" borderId="0" xfId="0" applyNumberFormat="1" applyFont="1" applyAlignment="1">
      <alignment horizontal="right"/>
    </xf>
    <xf numFmtId="4" fontId="64" fillId="0" borderId="0" xfId="0" applyNumberFormat="1" applyFont="1" applyBorder="1" applyAlignment="1">
      <alignment horizontal="center"/>
    </xf>
    <xf numFmtId="4" fontId="27" fillId="0" borderId="0" xfId="0" applyNumberFormat="1" applyFont="1" applyAlignment="1">
      <alignment horizontal="right"/>
    </xf>
    <xf numFmtId="0" fontId="73" fillId="0" borderId="0" xfId="0" applyFont="1" applyBorder="1" applyAlignment="1">
      <alignment horizontal="center"/>
    </xf>
    <xf numFmtId="0" fontId="74" fillId="0" borderId="0" xfId="0" applyFont="1" applyBorder="1" applyAlignment="1">
      <alignment horizontal="center" vertical="center"/>
    </xf>
    <xf numFmtId="0" fontId="75" fillId="0" borderId="0" xfId="0" applyFont="1" applyBorder="1" applyAlignment="1">
      <alignment horizontal="right" vertical="center"/>
    </xf>
    <xf numFmtId="0" fontId="27" fillId="0" borderId="0" xfId="0" applyFont="1" applyBorder="1" applyAlignment="1">
      <alignment vertical="center"/>
    </xf>
    <xf numFmtId="4" fontId="30" fillId="0" borderId="9" xfId="0" applyNumberFormat="1" applyFont="1" applyBorder="1" applyAlignment="1">
      <alignment horizontal="center" vertical="center"/>
    </xf>
    <xf numFmtId="0" fontId="30" fillId="0" borderId="4" xfId="0" applyFont="1" applyBorder="1" applyAlignment="1">
      <alignment horizontal="center" vertical="center"/>
    </xf>
    <xf numFmtId="0" fontId="30" fillId="0" borderId="0" xfId="0" applyFont="1" applyBorder="1" applyAlignment="1">
      <alignment horizontal="center" vertical="center"/>
    </xf>
    <xf numFmtId="0" fontId="28" fillId="0" borderId="0" xfId="0" applyFont="1" applyBorder="1" applyAlignment="1">
      <alignment horizontal="right" vertical="center"/>
    </xf>
    <xf numFmtId="4" fontId="27" fillId="0" borderId="0" xfId="0" applyNumberFormat="1" applyFont="1" applyBorder="1" applyAlignment="1">
      <alignment vertical="center"/>
    </xf>
    <xf numFmtId="3" fontId="27" fillId="0" borderId="0" xfId="0" applyNumberFormat="1" applyFont="1" applyBorder="1" applyAlignment="1">
      <alignment horizontal="center" vertical="center"/>
    </xf>
    <xf numFmtId="4" fontId="27" fillId="0" borderId="0" xfId="0" applyNumberFormat="1" applyFont="1" applyBorder="1" applyAlignment="1">
      <alignment horizontal="center" vertical="center"/>
    </xf>
    <xf numFmtId="0" fontId="32" fillId="0" borderId="0" xfId="0" applyFont="1" applyBorder="1" applyAlignment="1">
      <alignment horizontal="right"/>
    </xf>
    <xf numFmtId="4" fontId="30" fillId="0" borderId="16" xfId="0" applyNumberFormat="1" applyFont="1" applyBorder="1" applyAlignment="1">
      <alignment horizontal="center"/>
    </xf>
    <xf numFmtId="0" fontId="30" fillId="0" borderId="17" xfId="0" applyFont="1" applyBorder="1" applyAlignment="1">
      <alignment horizontal="center"/>
    </xf>
    <xf numFmtId="0" fontId="30" fillId="0" borderId="0" xfId="0" applyFont="1" applyBorder="1" applyAlignment="1">
      <alignment horizontal="center"/>
    </xf>
    <xf numFmtId="0" fontId="32" fillId="0" borderId="0" xfId="0" applyFont="1" applyBorder="1" applyAlignment="1">
      <alignment horizontal="right" vertical="center"/>
    </xf>
    <xf numFmtId="4" fontId="28" fillId="0" borderId="18" xfId="0" applyNumberFormat="1" applyFont="1" applyBorder="1" applyAlignment="1">
      <alignment vertical="center"/>
    </xf>
    <xf numFmtId="0" fontId="28" fillId="0" borderId="19" xfId="0" applyFont="1" applyBorder="1" applyAlignment="1">
      <alignment horizontal="center" vertical="center"/>
    </xf>
    <xf numFmtId="0" fontId="28" fillId="0" borderId="0" xfId="0" applyFont="1" applyBorder="1" applyAlignment="1">
      <alignment horizontal="center" vertical="center"/>
    </xf>
    <xf numFmtId="4" fontId="28" fillId="0" borderId="18" xfId="0" applyNumberFormat="1" applyFont="1" applyBorder="1" applyAlignment="1">
      <alignment horizontal="center" vertical="center"/>
    </xf>
    <xf numFmtId="3" fontId="28" fillId="0" borderId="0" xfId="0" applyNumberFormat="1" applyFont="1" applyBorder="1" applyAlignment="1">
      <alignment horizontal="right" vertical="center"/>
    </xf>
    <xf numFmtId="4" fontId="28" fillId="0" borderId="18" xfId="0" applyNumberFormat="1" applyFont="1" applyBorder="1" applyAlignment="1"/>
    <xf numFmtId="0" fontId="28" fillId="0" borderId="19" xfId="0" applyFont="1" applyBorder="1" applyAlignment="1">
      <alignment horizontal="center"/>
    </xf>
    <xf numFmtId="4" fontId="28" fillId="0" borderId="18" xfId="0" applyNumberFormat="1" applyFont="1" applyBorder="1" applyAlignment="1">
      <alignment horizontal="center"/>
    </xf>
    <xf numFmtId="0" fontId="27" fillId="0" borderId="0" xfId="0" applyFont="1" applyBorder="1" applyAlignment="1">
      <alignment horizontal="right"/>
    </xf>
    <xf numFmtId="4" fontId="27" fillId="0" borderId="0" xfId="0" applyNumberFormat="1" applyFont="1" applyBorder="1"/>
    <xf numFmtId="4" fontId="27" fillId="0" borderId="0" xfId="0" applyNumberFormat="1" applyFont="1" applyBorder="1" applyAlignment="1">
      <alignment horizontal="center"/>
    </xf>
    <xf numFmtId="0" fontId="76" fillId="0" borderId="0" xfId="0" applyFont="1" applyAlignment="1">
      <alignment horizontal="center"/>
    </xf>
    <xf numFmtId="0" fontId="61" fillId="0" borderId="0" xfId="0" applyFont="1"/>
    <xf numFmtId="0" fontId="68" fillId="0" borderId="0" xfId="0" applyFont="1"/>
    <xf numFmtId="0" fontId="30" fillId="0" borderId="0" xfId="0" applyFont="1" applyAlignment="1">
      <alignment horizontal="left"/>
    </xf>
    <xf numFmtId="0" fontId="77" fillId="0" borderId="0" xfId="0" applyFont="1" applyAlignment="1">
      <alignment horizontal="left"/>
    </xf>
    <xf numFmtId="0" fontId="78" fillId="0" borderId="0" xfId="0" applyFont="1"/>
    <xf numFmtId="0" fontId="77" fillId="0" borderId="0" xfId="0" applyFont="1"/>
    <xf numFmtId="0" fontId="30" fillId="0" borderId="0" xfId="0" quotePrefix="1" applyFont="1"/>
    <xf numFmtId="3" fontId="77" fillId="0" borderId="0" xfId="0" applyNumberFormat="1" applyFont="1" applyAlignment="1">
      <alignment horizontal="left"/>
    </xf>
    <xf numFmtId="0" fontId="79" fillId="0" borderId="0" xfId="0" applyFont="1"/>
    <xf numFmtId="3" fontId="79" fillId="0" borderId="0" xfId="0" applyNumberFormat="1" applyFont="1"/>
    <xf numFmtId="0" fontId="32" fillId="0" borderId="0" xfId="0" applyFont="1" applyAlignment="1">
      <alignment vertical="center"/>
    </xf>
    <xf numFmtId="0" fontId="27" fillId="0" borderId="0" xfId="0" applyFont="1" applyAlignment="1">
      <alignment horizontal="left"/>
    </xf>
    <xf numFmtId="0" fontId="27" fillId="0" borderId="0" xfId="0" applyFont="1" applyAlignment="1">
      <alignment vertical="top"/>
    </xf>
    <xf numFmtId="0" fontId="64" fillId="0" borderId="0" xfId="0" applyFont="1" applyAlignment="1">
      <alignment horizontal="left" vertical="top"/>
    </xf>
    <xf numFmtId="0" fontId="64" fillId="0" borderId="0" xfId="0" applyFont="1" applyAlignment="1">
      <alignment horizontal="center" vertical="top"/>
    </xf>
    <xf numFmtId="0" fontId="27" fillId="0" borderId="0" xfId="0" applyFont="1" applyAlignment="1">
      <alignment horizontal="center"/>
    </xf>
    <xf numFmtId="4" fontId="27" fillId="0" borderId="0" xfId="0" applyNumberFormat="1" applyFont="1" applyAlignment="1">
      <alignment horizontal="center"/>
    </xf>
    <xf numFmtId="0" fontId="27" fillId="0" borderId="20" xfId="0" applyFont="1" applyBorder="1"/>
    <xf numFmtId="0" fontId="27" fillId="0" borderId="0" xfId="0" applyFont="1" applyFill="1" applyBorder="1" applyAlignment="1">
      <alignment horizontal="center" vertical="center"/>
    </xf>
    <xf numFmtId="0" fontId="27" fillId="0" borderId="21" xfId="0" applyFont="1" applyBorder="1"/>
    <xf numFmtId="0" fontId="80" fillId="0" borderId="0" xfId="0" applyFont="1" applyAlignment="1">
      <alignment vertical="center"/>
    </xf>
    <xf numFmtId="0" fontId="80" fillId="0" borderId="0" xfId="0" applyFont="1" applyFill="1" applyBorder="1" applyAlignment="1">
      <alignment vertical="center"/>
    </xf>
    <xf numFmtId="3" fontId="27" fillId="0" borderId="22" xfId="0" applyNumberFormat="1" applyFont="1" applyBorder="1"/>
    <xf numFmtId="4" fontId="27" fillId="0" borderId="22" xfId="0" applyNumberFormat="1" applyFont="1" applyBorder="1" applyAlignment="1">
      <alignment horizontal="center"/>
    </xf>
    <xf numFmtId="4" fontId="27" fillId="0" borderId="23" xfId="0" applyNumberFormat="1" applyFont="1" applyBorder="1" applyAlignment="1">
      <alignment horizontal="center"/>
    </xf>
    <xf numFmtId="0" fontId="27" fillId="0" borderId="0" xfId="0" applyFont="1" applyFill="1" applyBorder="1"/>
    <xf numFmtId="0" fontId="81" fillId="0" borderId="21" xfId="0" applyFont="1" applyFill="1" applyBorder="1" applyAlignment="1">
      <alignment vertical="center"/>
    </xf>
    <xf numFmtId="3" fontId="81" fillId="0" borderId="24" xfId="0" applyNumberFormat="1" applyFont="1" applyFill="1" applyBorder="1" applyAlignment="1">
      <alignment vertical="center"/>
    </xf>
    <xf numFmtId="4" fontId="81" fillId="0" borderId="24" xfId="0" applyNumberFormat="1" applyFont="1" applyFill="1" applyBorder="1" applyAlignment="1">
      <alignment horizontal="center" vertical="center"/>
    </xf>
    <xf numFmtId="3" fontId="81" fillId="0" borderId="2" xfId="0" applyNumberFormat="1" applyFont="1" applyFill="1" applyBorder="1" applyAlignment="1">
      <alignment vertical="center"/>
    </xf>
    <xf numFmtId="4" fontId="81" fillId="0" borderId="22" xfId="0" applyNumberFormat="1" applyFont="1" applyFill="1" applyBorder="1" applyAlignment="1">
      <alignment horizontal="center" vertical="center"/>
    </xf>
    <xf numFmtId="4" fontId="81" fillId="0" borderId="25" xfId="0" applyNumberFormat="1" applyFont="1" applyFill="1" applyBorder="1" applyAlignment="1">
      <alignment horizontal="center" vertical="center"/>
    </xf>
    <xf numFmtId="0" fontId="54" fillId="0" borderId="0" xfId="0" applyFont="1" applyBorder="1"/>
    <xf numFmtId="0" fontId="82" fillId="0" borderId="0" xfId="0" applyFont="1" applyBorder="1" applyAlignment="1">
      <alignment horizontal="center"/>
    </xf>
    <xf numFmtId="4" fontId="64" fillId="0" borderId="0" xfId="0" applyNumberFormat="1" applyFont="1" applyAlignment="1">
      <alignment horizontal="center"/>
    </xf>
    <xf numFmtId="0" fontId="54" fillId="0" borderId="0" xfId="0" applyFont="1" applyBorder="1" applyAlignment="1">
      <alignment horizontal="right"/>
    </xf>
    <xf numFmtId="0" fontId="27" fillId="0" borderId="0" xfId="0" applyFont="1" applyBorder="1" applyAlignment="1">
      <alignment horizontal="center" wrapText="1"/>
    </xf>
    <xf numFmtId="0" fontId="83" fillId="0" borderId="0" xfId="0" applyFont="1" applyBorder="1" applyAlignment="1">
      <alignment horizontal="centerContinuous"/>
    </xf>
    <xf numFmtId="0" fontId="27" fillId="0" borderId="0" xfId="0" applyFont="1" applyBorder="1" applyAlignment="1">
      <alignment horizontal="centerContinuous"/>
    </xf>
    <xf numFmtId="0" fontId="27" fillId="0" borderId="0" xfId="0" applyFont="1" applyBorder="1" applyAlignment="1"/>
    <xf numFmtId="0" fontId="64" fillId="0" borderId="0" xfId="0" applyFont="1" applyAlignment="1">
      <alignment horizontal="center"/>
    </xf>
    <xf numFmtId="0" fontId="27" fillId="0" borderId="26" xfId="0" applyFont="1" applyBorder="1"/>
    <xf numFmtId="0" fontId="27" fillId="0" borderId="2" xfId="0" applyFont="1" applyBorder="1"/>
    <xf numFmtId="0" fontId="84" fillId="0" borderId="0" xfId="0" applyFont="1" applyBorder="1"/>
    <xf numFmtId="0" fontId="28" fillId="0" borderId="0" xfId="0" applyFont="1" applyBorder="1" applyAlignment="1">
      <alignment horizontal="left"/>
    </xf>
    <xf numFmtId="9" fontId="28" fillId="0" borderId="0" xfId="0" applyNumberFormat="1" applyFont="1" applyBorder="1"/>
    <xf numFmtId="0" fontId="28" fillId="0" borderId="20" xfId="0" applyFont="1" applyBorder="1"/>
    <xf numFmtId="0" fontId="28" fillId="0" borderId="21" xfId="0" applyFont="1" applyBorder="1"/>
    <xf numFmtId="0" fontId="86" fillId="0" borderId="28" xfId="0" applyFont="1" applyBorder="1" applyAlignment="1">
      <alignment horizontal="center"/>
    </xf>
    <xf numFmtId="0" fontId="86" fillId="0" borderId="29" xfId="0" applyFont="1" applyBorder="1" applyAlignment="1">
      <alignment horizontal="center"/>
    </xf>
    <xf numFmtId="0" fontId="75" fillId="0" borderId="0" xfId="0" applyFont="1" applyBorder="1"/>
    <xf numFmtId="0" fontId="28" fillId="0" borderId="22" xfId="0" applyFont="1" applyBorder="1"/>
    <xf numFmtId="0" fontId="28" fillId="0" borderId="23" xfId="0" applyFont="1" applyBorder="1"/>
    <xf numFmtId="3" fontId="27" fillId="0" borderId="23" xfId="0" applyNumberFormat="1" applyFont="1" applyBorder="1" applyAlignment="1">
      <alignment horizontal="center"/>
    </xf>
    <xf numFmtId="4" fontId="27" fillId="0" borderId="30" xfId="0" applyNumberFormat="1" applyFont="1" applyBorder="1" applyAlignment="1">
      <alignment horizontal="center"/>
    </xf>
    <xf numFmtId="0" fontId="54" fillId="0" borderId="21" xfId="0" applyFont="1" applyBorder="1"/>
    <xf numFmtId="0" fontId="27" fillId="0" borderId="21" xfId="0" applyFont="1" applyFill="1" applyBorder="1"/>
    <xf numFmtId="3" fontId="27" fillId="0" borderId="22" xfId="0" applyNumberFormat="1" applyFont="1" applyFill="1" applyBorder="1"/>
    <xf numFmtId="0" fontId="28" fillId="0" borderId="31" xfId="0" applyFont="1" applyBorder="1"/>
    <xf numFmtId="0" fontId="28" fillId="0" borderId="32" xfId="0" applyFont="1" applyBorder="1"/>
    <xf numFmtId="0" fontId="28" fillId="0" borderId="4" xfId="0" applyFont="1" applyBorder="1" applyAlignment="1">
      <alignment horizontal="center"/>
    </xf>
    <xf numFmtId="0" fontId="27" fillId="0" borderId="32" xfId="0" applyFont="1" applyBorder="1"/>
    <xf numFmtId="3" fontId="27" fillId="0" borderId="2" xfId="0" applyNumberFormat="1" applyFont="1" applyBorder="1"/>
    <xf numFmtId="2" fontId="27" fillId="0" borderId="23" xfId="0" applyNumberFormat="1" applyFont="1" applyBorder="1" applyAlignment="1">
      <alignment horizontal="center"/>
    </xf>
    <xf numFmtId="2" fontId="27" fillId="0" borderId="30" xfId="0" applyNumberFormat="1" applyFont="1" applyBorder="1" applyAlignment="1">
      <alignment horizontal="center"/>
    </xf>
    <xf numFmtId="2" fontId="27" fillId="0" borderId="30" xfId="0" applyNumberFormat="1" applyFont="1" applyBorder="1"/>
    <xf numFmtId="0" fontId="54" fillId="0" borderId="32" xfId="0" applyFont="1" applyBorder="1"/>
    <xf numFmtId="0" fontId="27" fillId="0" borderId="32" xfId="0" applyFont="1" applyFill="1" applyBorder="1"/>
    <xf numFmtId="3" fontId="27" fillId="0" borderId="2" xfId="0" applyNumberFormat="1" applyFont="1" applyFill="1" applyBorder="1"/>
    <xf numFmtId="2" fontId="27" fillId="0" borderId="23" xfId="0" applyNumberFormat="1" applyFont="1" applyFill="1" applyBorder="1" applyAlignment="1">
      <alignment horizontal="center"/>
    </xf>
    <xf numFmtId="0" fontId="64" fillId="0" borderId="0" xfId="0" applyFont="1" applyAlignment="1">
      <alignment horizontal="right"/>
    </xf>
    <xf numFmtId="2" fontId="27" fillId="0" borderId="0" xfId="0" applyNumberFormat="1" applyFont="1" applyBorder="1" applyAlignment="1">
      <alignment horizontal="right"/>
    </xf>
    <xf numFmtId="0" fontId="83" fillId="0" borderId="0" xfId="0" applyFont="1" applyBorder="1" applyAlignment="1">
      <alignment horizontal="right"/>
    </xf>
    <xf numFmtId="2" fontId="83" fillId="0" borderId="0" xfId="0" applyNumberFormat="1" applyFont="1" applyBorder="1" applyAlignment="1">
      <alignment horizontal="right"/>
    </xf>
    <xf numFmtId="0" fontId="28" fillId="0" borderId="3" xfId="0" applyFont="1" applyBorder="1" applyAlignment="1">
      <alignment horizontal="center"/>
    </xf>
    <xf numFmtId="2" fontId="28" fillId="0" borderId="33" xfId="0" applyNumberFormat="1" applyFont="1" applyBorder="1" applyAlignment="1">
      <alignment horizontal="center"/>
    </xf>
    <xf numFmtId="2" fontId="85" fillId="0" borderId="23" xfId="0" applyNumberFormat="1" applyFont="1" applyBorder="1" applyAlignment="1">
      <alignment horizontal="right"/>
    </xf>
    <xf numFmtId="2" fontId="85" fillId="0" borderId="23" xfId="0" applyNumberFormat="1" applyFont="1" applyFill="1" applyBorder="1" applyAlignment="1">
      <alignment horizontal="right"/>
    </xf>
    <xf numFmtId="2" fontId="27" fillId="0" borderId="0" xfId="0" applyNumberFormat="1" applyFont="1" applyAlignment="1">
      <alignment horizontal="right"/>
    </xf>
    <xf numFmtId="0" fontId="27" fillId="0" borderId="0" xfId="0" applyFont="1" applyAlignment="1">
      <alignment horizontal="right"/>
    </xf>
    <xf numFmtId="2" fontId="28" fillId="0" borderId="0" xfId="0" applyNumberFormat="1" applyFont="1" applyAlignment="1">
      <alignment horizontal="right"/>
    </xf>
    <xf numFmtId="0" fontId="92" fillId="0" borderId="0" xfId="0" applyFont="1" applyAlignment="1">
      <alignment vertical="center"/>
    </xf>
    <xf numFmtId="0" fontId="92" fillId="0" borderId="34" xfId="0" applyFont="1" applyBorder="1" applyAlignment="1">
      <alignment horizontal="center" vertical="center"/>
    </xf>
    <xf numFmtId="3" fontId="92" fillId="0" borderId="35" xfId="0" applyNumberFormat="1" applyFont="1" applyBorder="1" applyAlignment="1">
      <alignment vertical="center"/>
    </xf>
    <xf numFmtId="0" fontId="81" fillId="0" borderId="0" xfId="0" applyFont="1"/>
    <xf numFmtId="0" fontId="27" fillId="0" borderId="0" xfId="0" quotePrefix="1" applyFont="1"/>
    <xf numFmtId="3" fontId="92" fillId="0" borderId="1" xfId="0" applyNumberFormat="1" applyFont="1" applyBorder="1"/>
    <xf numFmtId="3" fontId="27" fillId="0" borderId="0" xfId="0" applyNumberFormat="1" applyFont="1" applyAlignment="1">
      <alignment vertical="center"/>
    </xf>
    <xf numFmtId="0" fontId="27" fillId="0" borderId="24" xfId="0" applyFont="1" applyBorder="1" applyAlignment="1">
      <alignment vertical="center"/>
    </xf>
    <xf numFmtId="3" fontId="27" fillId="0" borderId="22" xfId="0" applyNumberFormat="1" applyFont="1" applyBorder="1" applyAlignment="1">
      <alignment vertical="center"/>
    </xf>
    <xf numFmtId="3" fontId="27" fillId="0" borderId="2" xfId="0" applyNumberFormat="1" applyFont="1" applyBorder="1" applyAlignment="1">
      <alignment vertical="center"/>
    </xf>
    <xf numFmtId="0" fontId="27" fillId="0" borderId="26" xfId="0" quotePrefix="1" applyFont="1" applyBorder="1"/>
    <xf numFmtId="0" fontId="93" fillId="0" borderId="0" xfId="0" applyFont="1"/>
    <xf numFmtId="3" fontId="93" fillId="0" borderId="0" xfId="0" applyNumberFormat="1" applyFont="1"/>
    <xf numFmtId="0" fontId="93" fillId="0" borderId="0" xfId="0" applyFont="1" applyAlignment="1">
      <alignment vertical="top"/>
    </xf>
    <xf numFmtId="3" fontId="93" fillId="0" borderId="0" xfId="0" applyNumberFormat="1" applyFont="1" applyAlignment="1">
      <alignment vertical="top"/>
    </xf>
    <xf numFmtId="0" fontId="27" fillId="0" borderId="16" xfId="0" applyFont="1" applyBorder="1" applyAlignment="1"/>
    <xf numFmtId="3" fontId="27" fillId="0" borderId="16" xfId="0" applyNumberFormat="1" applyFont="1" applyBorder="1" applyAlignment="1"/>
    <xf numFmtId="3" fontId="27" fillId="0" borderId="24" xfId="0" applyNumberFormat="1" applyFont="1" applyBorder="1" applyAlignment="1"/>
    <xf numFmtId="3" fontId="27" fillId="0" borderId="17" xfId="0" applyNumberFormat="1" applyFont="1" applyBorder="1" applyAlignment="1"/>
    <xf numFmtId="3" fontId="27" fillId="0" borderId="26" xfId="0" applyNumberFormat="1" applyFont="1" applyBorder="1"/>
    <xf numFmtId="3" fontId="23" fillId="0" borderId="22" xfId="0" applyNumberFormat="1" applyFont="1" applyBorder="1"/>
    <xf numFmtId="0" fontId="94" fillId="0" borderId="0" xfId="0" applyFont="1" applyAlignment="1">
      <alignment vertical="center"/>
    </xf>
    <xf numFmtId="0" fontId="94" fillId="0" borderId="26" xfId="0" quotePrefix="1" applyFont="1" applyBorder="1"/>
    <xf numFmtId="3" fontId="94" fillId="0" borderId="26" xfId="0" applyNumberFormat="1" applyFont="1" applyBorder="1"/>
    <xf numFmtId="3" fontId="94" fillId="0" borderId="28" xfId="0" applyNumberFormat="1" applyFont="1" applyBorder="1"/>
    <xf numFmtId="3" fontId="94" fillId="0" borderId="2" xfId="0" applyNumberFormat="1" applyFont="1" applyBorder="1"/>
    <xf numFmtId="3" fontId="64" fillId="0" borderId="0" xfId="0" applyNumberFormat="1" applyFont="1" applyBorder="1"/>
    <xf numFmtId="3" fontId="64" fillId="0" borderId="0" xfId="0" applyNumberFormat="1" applyFont="1" applyAlignment="1">
      <alignment horizontal="left" vertical="top"/>
    </xf>
    <xf numFmtId="0" fontId="95" fillId="0" borderId="2" xfId="0" applyFont="1" applyBorder="1" applyAlignment="1">
      <alignment horizontal="center" vertical="center"/>
    </xf>
    <xf numFmtId="0" fontId="27" fillId="0" borderId="0" xfId="0" applyFont="1" applyFill="1" applyBorder="1" applyAlignment="1">
      <alignment vertical="center"/>
    </xf>
    <xf numFmtId="0" fontId="96" fillId="0" borderId="2" xfId="0" applyFont="1" applyBorder="1"/>
    <xf numFmtId="3" fontId="96" fillId="0" borderId="22" xfId="0" applyNumberFormat="1" applyFont="1" applyBorder="1" applyAlignment="1">
      <alignment horizontal="right"/>
    </xf>
    <xf numFmtId="0" fontId="93" fillId="0" borderId="0" xfId="0" applyFont="1" applyBorder="1"/>
    <xf numFmtId="3" fontId="27" fillId="0" borderId="22" xfId="0" applyNumberFormat="1" applyFont="1" applyBorder="1" applyAlignment="1">
      <alignment horizontal="right"/>
    </xf>
    <xf numFmtId="0" fontId="97" fillId="0" borderId="0" xfId="0" applyFont="1"/>
    <xf numFmtId="0" fontId="97" fillId="0" borderId="0" xfId="0" applyFont="1" applyFill="1" applyBorder="1"/>
    <xf numFmtId="0" fontId="27" fillId="0" borderId="0" xfId="0" applyFont="1" applyFill="1"/>
    <xf numFmtId="0" fontId="73" fillId="0" borderId="0" xfId="0" applyFont="1" applyAlignment="1">
      <alignment vertical="center"/>
    </xf>
    <xf numFmtId="0" fontId="95" fillId="0" borderId="0" xfId="0" applyFont="1" applyAlignment="1">
      <alignment horizontal="center" vertical="center"/>
    </xf>
    <xf numFmtId="0" fontId="73" fillId="0" borderId="0" xfId="0" applyFont="1" applyFill="1" applyBorder="1" applyAlignment="1">
      <alignment vertical="center"/>
    </xf>
    <xf numFmtId="0" fontId="96" fillId="0" borderId="0" xfId="0" applyFont="1"/>
    <xf numFmtId="0" fontId="93" fillId="0" borderId="0" xfId="0" applyFont="1" applyFill="1" applyBorder="1"/>
    <xf numFmtId="0" fontId="98" fillId="0" borderId="0" xfId="0" applyFont="1" applyFill="1" applyBorder="1"/>
    <xf numFmtId="0" fontId="76" fillId="0" borderId="0" xfId="0" applyFont="1" applyFill="1" applyBorder="1"/>
    <xf numFmtId="3" fontId="64" fillId="0" borderId="0" xfId="0" applyNumberFormat="1" applyFont="1" applyAlignment="1">
      <alignment horizontal="right"/>
    </xf>
    <xf numFmtId="3" fontId="96" fillId="0" borderId="0" xfId="0" applyNumberFormat="1" applyFont="1" applyAlignment="1">
      <alignment horizontal="right"/>
    </xf>
    <xf numFmtId="3" fontId="96" fillId="0" borderId="22" xfId="0" applyNumberFormat="1" applyFont="1" applyBorder="1"/>
    <xf numFmtId="3" fontId="27" fillId="0" borderId="0" xfId="0" applyNumberFormat="1" applyFont="1" applyAlignment="1">
      <alignment horizontal="right"/>
    </xf>
    <xf numFmtId="3" fontId="99" fillId="0" borderId="22" xfId="0" applyNumberFormat="1" applyFont="1" applyBorder="1" applyAlignment="1">
      <alignment horizontal="right"/>
    </xf>
    <xf numFmtId="0" fontId="89" fillId="0" borderId="0" xfId="0" applyFont="1"/>
    <xf numFmtId="0" fontId="100" fillId="0" borderId="0" xfId="0" applyFont="1" applyBorder="1"/>
    <xf numFmtId="3" fontId="64" fillId="0" borderId="0" xfId="0" applyNumberFormat="1" applyFont="1" applyAlignment="1">
      <alignment horizontal="center"/>
    </xf>
    <xf numFmtId="3" fontId="27" fillId="0" borderId="24" xfId="0" applyNumberFormat="1" applyFont="1" applyBorder="1"/>
    <xf numFmtId="3" fontId="81" fillId="0" borderId="0" xfId="0" applyNumberFormat="1" applyFont="1" applyAlignment="1">
      <alignment horizontal="right"/>
    </xf>
    <xf numFmtId="3" fontId="81" fillId="0" borderId="22" xfId="0" applyNumberFormat="1" applyFont="1" applyBorder="1"/>
    <xf numFmtId="3" fontId="81" fillId="0" borderId="22" xfId="0" applyNumberFormat="1" applyFont="1" applyBorder="1" applyAlignment="1">
      <alignment horizontal="right"/>
    </xf>
    <xf numFmtId="3" fontId="55" fillId="0" borderId="22" xfId="0" applyNumberFormat="1" applyFont="1" applyBorder="1" applyAlignment="1">
      <alignment horizontal="right"/>
    </xf>
    <xf numFmtId="3" fontId="64" fillId="0" borderId="0" xfId="0" applyNumberFormat="1" applyFont="1" applyBorder="1" applyAlignment="1">
      <alignment vertical="top"/>
    </xf>
    <xf numFmtId="3" fontId="64" fillId="0" borderId="0" xfId="0" applyNumberFormat="1" applyFont="1" applyAlignment="1">
      <alignment horizontal="right" vertical="top"/>
    </xf>
    <xf numFmtId="0" fontId="83" fillId="0" borderId="0" xfId="0" applyFont="1" applyBorder="1" applyAlignment="1">
      <alignment horizontal="centerContinuous" vertical="center"/>
    </xf>
    <xf numFmtId="0" fontId="27" fillId="0" borderId="0" xfId="0" applyFont="1" applyBorder="1" applyAlignment="1">
      <alignment horizontal="centerContinuous" vertical="center"/>
    </xf>
    <xf numFmtId="0" fontId="54" fillId="0" borderId="0" xfId="0" applyFont="1" applyBorder="1" applyAlignment="1">
      <alignment horizontal="center"/>
    </xf>
    <xf numFmtId="0" fontId="29" fillId="0" borderId="0" xfId="0" applyFont="1" applyBorder="1" applyAlignment="1">
      <alignment horizontal="center"/>
    </xf>
    <xf numFmtId="0" fontId="27" fillId="0" borderId="11" xfId="0" applyFont="1" applyBorder="1"/>
    <xf numFmtId="0" fontId="27" fillId="0" borderId="12" xfId="0" applyFont="1" applyBorder="1"/>
    <xf numFmtId="0" fontId="101" fillId="0" borderId="0" xfId="0" applyFont="1" applyBorder="1" applyAlignment="1">
      <alignment horizontal="center"/>
    </xf>
    <xf numFmtId="10" fontId="27" fillId="0" borderId="12" xfId="0" applyNumberFormat="1" applyFont="1" applyBorder="1" applyAlignment="1">
      <alignment horizontal="center"/>
    </xf>
    <xf numFmtId="0" fontId="89" fillId="0" borderId="0" xfId="0" applyFont="1" applyBorder="1" applyAlignment="1">
      <alignment horizontal="center"/>
    </xf>
    <xf numFmtId="9" fontId="27" fillId="0" borderId="12" xfId="0" quotePrefix="1" applyNumberFormat="1" applyFont="1" applyBorder="1"/>
    <xf numFmtId="9" fontId="27" fillId="0" borderId="12" xfId="0" applyNumberFormat="1" applyFont="1" applyBorder="1"/>
    <xf numFmtId="9" fontId="102" fillId="0" borderId="12" xfId="0" applyNumberFormat="1" applyFont="1" applyBorder="1"/>
    <xf numFmtId="0" fontId="28" fillId="0" borderId="0" xfId="0" applyFont="1" applyBorder="1" applyAlignment="1">
      <alignment horizontal="justify"/>
    </xf>
    <xf numFmtId="165" fontId="27" fillId="0" borderId="10" xfId="0" applyNumberFormat="1" applyFont="1" applyBorder="1" applyAlignment="1">
      <alignment horizontal="center"/>
    </xf>
    <xf numFmtId="165" fontId="27" fillId="0" borderId="0" xfId="0" applyNumberFormat="1" applyFont="1" applyBorder="1" applyAlignment="1">
      <alignment horizontal="center"/>
    </xf>
    <xf numFmtId="0" fontId="27" fillId="0" borderId="36" xfId="0" applyFont="1" applyBorder="1"/>
    <xf numFmtId="0" fontId="27" fillId="0" borderId="37" xfId="0" applyFont="1" applyBorder="1"/>
    <xf numFmtId="0" fontId="27" fillId="0" borderId="30" xfId="0" applyFont="1" applyBorder="1"/>
    <xf numFmtId="0" fontId="54" fillId="0" borderId="30" xfId="0" applyFont="1" applyBorder="1"/>
    <xf numFmtId="10" fontId="27" fillId="0" borderId="21" xfId="0" applyNumberFormat="1" applyFont="1" applyBorder="1" applyAlignment="1">
      <alignment horizontal="center"/>
    </xf>
    <xf numFmtId="10" fontId="27" fillId="0" borderId="30" xfId="0" applyNumberFormat="1" applyFont="1" applyBorder="1" applyAlignment="1">
      <alignment horizontal="center"/>
    </xf>
    <xf numFmtId="9" fontId="27" fillId="0" borderId="21" xfId="0" quotePrefix="1" applyNumberFormat="1" applyFont="1" applyBorder="1"/>
    <xf numFmtId="9" fontId="27" fillId="0" borderId="30" xfId="0" quotePrefix="1" applyNumberFormat="1" applyFont="1" applyBorder="1"/>
    <xf numFmtId="9" fontId="27" fillId="0" borderId="21" xfId="0" applyNumberFormat="1" applyFont="1" applyBorder="1"/>
    <xf numFmtId="9" fontId="27" fillId="0" borderId="30" xfId="0" applyNumberFormat="1" applyFont="1" applyBorder="1"/>
    <xf numFmtId="9" fontId="102" fillId="0" borderId="21" xfId="0" applyNumberFormat="1" applyFont="1" applyBorder="1"/>
    <xf numFmtId="9" fontId="102" fillId="0" borderId="30" xfId="0" applyNumberFormat="1" applyFont="1" applyBorder="1"/>
    <xf numFmtId="10" fontId="27" fillId="0" borderId="32" xfId="0" applyNumberFormat="1" applyFont="1" applyBorder="1" applyAlignment="1">
      <alignment horizontal="center"/>
    </xf>
    <xf numFmtId="165" fontId="27" fillId="0" borderId="30" xfId="0" applyNumberFormat="1" applyFont="1" applyBorder="1" applyAlignment="1">
      <alignment horizontal="center"/>
    </xf>
    <xf numFmtId="165" fontId="27" fillId="0" borderId="21" xfId="0" applyNumberFormat="1" applyFont="1" applyBorder="1" applyAlignment="1">
      <alignment horizontal="center"/>
    </xf>
    <xf numFmtId="0" fontId="27" fillId="0" borderId="38" xfId="0" applyFont="1" applyBorder="1" applyAlignment="1">
      <alignment horizontal="center"/>
    </xf>
    <xf numFmtId="0" fontId="27" fillId="0" borderId="39" xfId="0" applyFont="1" applyBorder="1" applyAlignment="1">
      <alignment horizontal="center"/>
    </xf>
    <xf numFmtId="0" fontId="27" fillId="0" borderId="24" xfId="0" applyFont="1" applyBorder="1"/>
    <xf numFmtId="0" fontId="27" fillId="0" borderId="25" xfId="0" applyFont="1" applyBorder="1"/>
    <xf numFmtId="0" fontId="103" fillId="0" borderId="0" xfId="0" applyFont="1" applyBorder="1" applyAlignment="1">
      <alignment horizontal="center"/>
    </xf>
    <xf numFmtId="0" fontId="27" fillId="0" borderId="22" xfId="0" applyFont="1" applyBorder="1"/>
    <xf numFmtId="0" fontId="27" fillId="0" borderId="23" xfId="0" applyFont="1" applyBorder="1"/>
    <xf numFmtId="0" fontId="54" fillId="0" borderId="22" xfId="0" applyFont="1" applyBorder="1"/>
    <xf numFmtId="1" fontId="27" fillId="0" borderId="22" xfId="0" applyNumberFormat="1" applyFont="1" applyBorder="1" applyAlignment="1">
      <alignment horizontal="center"/>
    </xf>
    <xf numFmtId="1" fontId="27" fillId="0" borderId="23" xfId="0" applyNumberFormat="1" applyFont="1" applyBorder="1" applyAlignment="1">
      <alignment horizontal="center"/>
    </xf>
    <xf numFmtId="9" fontId="27" fillId="0" borderId="22" xfId="0" quotePrefix="1" applyNumberFormat="1" applyFont="1" applyBorder="1"/>
    <xf numFmtId="9" fontId="27" fillId="0" borderId="23" xfId="0" quotePrefix="1" applyNumberFormat="1" applyFont="1" applyBorder="1"/>
    <xf numFmtId="9" fontId="27" fillId="0" borderId="22" xfId="0" applyNumberFormat="1" applyFont="1" applyBorder="1"/>
    <xf numFmtId="9" fontId="27" fillId="0" borderId="23" xfId="0" applyNumberFormat="1" applyFont="1" applyBorder="1"/>
    <xf numFmtId="9" fontId="102" fillId="0" borderId="22" xfId="0" applyNumberFormat="1" applyFont="1" applyBorder="1"/>
    <xf numFmtId="9" fontId="102" fillId="0" borderId="23" xfId="0" applyNumberFormat="1" applyFont="1" applyBorder="1"/>
    <xf numFmtId="1" fontId="27" fillId="0" borderId="32" xfId="0" applyNumberFormat="1" applyFont="1" applyBorder="1" applyAlignment="1">
      <alignment horizontal="center"/>
    </xf>
    <xf numFmtId="0" fontId="27" fillId="0" borderId="23" xfId="0" applyNumberFormat="1" applyFont="1" applyBorder="1"/>
    <xf numFmtId="1" fontId="27" fillId="0" borderId="21" xfId="0" applyNumberFormat="1" applyFont="1" applyBorder="1" applyAlignment="1">
      <alignment horizontal="center"/>
    </xf>
    <xf numFmtId="3" fontId="27" fillId="0" borderId="22" xfId="0" applyNumberFormat="1" applyFont="1" applyBorder="1" applyAlignment="1">
      <alignment horizontal="center"/>
    </xf>
    <xf numFmtId="3" fontId="27" fillId="0" borderId="21" xfId="0" applyNumberFormat="1" applyFont="1" applyBorder="1"/>
    <xf numFmtId="165" fontId="27" fillId="0" borderId="22" xfId="0" applyNumberFormat="1" applyFont="1" applyBorder="1" applyAlignment="1">
      <alignment horizontal="center"/>
    </xf>
    <xf numFmtId="165" fontId="27" fillId="0" borderId="23" xfId="0" applyNumberFormat="1" applyFont="1" applyBorder="1" applyAlignment="1">
      <alignment horizontal="center"/>
    </xf>
    <xf numFmtId="3" fontId="27" fillId="0" borderId="38" xfId="0" applyNumberFormat="1" applyFont="1" applyBorder="1" applyAlignment="1">
      <alignment horizontal="center"/>
    </xf>
    <xf numFmtId="3" fontId="27" fillId="0" borderId="40" xfId="0" applyNumberFormat="1" applyFont="1" applyBorder="1" applyAlignment="1">
      <alignment horizontal="center"/>
    </xf>
    <xf numFmtId="3" fontId="27" fillId="0" borderId="41" xfId="0" applyNumberFormat="1" applyFont="1" applyBorder="1" applyAlignment="1">
      <alignment horizontal="center"/>
    </xf>
    <xf numFmtId="0" fontId="64" fillId="0" borderId="0" xfId="0" applyFont="1" applyBorder="1" applyAlignment="1">
      <alignment vertical="top"/>
    </xf>
    <xf numFmtId="0" fontId="64" fillId="0" borderId="0" xfId="0" applyFont="1" applyAlignment="1">
      <alignment horizontal="right" vertical="top"/>
    </xf>
    <xf numFmtId="0" fontId="28" fillId="0" borderId="0" xfId="0" applyFont="1" applyBorder="1" applyAlignment="1">
      <alignment vertical="center"/>
    </xf>
    <xf numFmtId="0" fontId="11" fillId="0" borderId="0" xfId="0" applyFont="1" applyAlignment="1">
      <alignment vertical="center"/>
    </xf>
    <xf numFmtId="0" fontId="92" fillId="0" borderId="0" xfId="0" applyFont="1" applyBorder="1" applyAlignment="1">
      <alignment horizontal="center" vertical="center"/>
    </xf>
    <xf numFmtId="3" fontId="92" fillId="0" borderId="0" xfId="0" applyNumberFormat="1" applyFont="1" applyBorder="1" applyAlignment="1">
      <alignment vertical="center"/>
    </xf>
    <xf numFmtId="0" fontId="70" fillId="0" borderId="0" xfId="0" applyFont="1" applyAlignment="1">
      <alignment vertical="center"/>
    </xf>
    <xf numFmtId="0" fontId="76" fillId="3" borderId="0" xfId="0" applyFont="1" applyFill="1" applyAlignment="1">
      <alignment horizontal="center"/>
    </xf>
    <xf numFmtId="3" fontId="76" fillId="3" borderId="3" xfId="0" applyNumberFormat="1" applyFont="1" applyFill="1" applyBorder="1" applyAlignment="1">
      <alignment horizontal="right"/>
    </xf>
    <xf numFmtId="3" fontId="76" fillId="3" borderId="3" xfId="0" applyNumberFormat="1" applyFont="1" applyFill="1" applyBorder="1"/>
    <xf numFmtId="0" fontId="98" fillId="3" borderId="0" xfId="0" applyFont="1" applyFill="1"/>
    <xf numFmtId="3" fontId="98" fillId="3" borderId="22" xfId="0" applyNumberFormat="1" applyFont="1" applyFill="1" applyBorder="1" applyAlignment="1">
      <alignment horizontal="right"/>
    </xf>
    <xf numFmtId="3" fontId="98" fillId="3" borderId="22" xfId="0" applyNumberFormat="1" applyFont="1" applyFill="1" applyBorder="1"/>
    <xf numFmtId="3" fontId="27" fillId="3" borderId="3" xfId="0" applyNumberFormat="1" applyFont="1" applyFill="1" applyBorder="1" applyAlignment="1">
      <alignment horizontal="center" vertical="center"/>
    </xf>
    <xf numFmtId="0" fontId="76" fillId="3" borderId="2" xfId="0" applyFont="1" applyFill="1" applyBorder="1" applyAlignment="1">
      <alignment horizontal="center"/>
    </xf>
    <xf numFmtId="0" fontId="33" fillId="3" borderId="18" xfId="0" applyFont="1" applyFill="1" applyBorder="1" applyAlignment="1">
      <alignment horizontal="center" vertical="center"/>
    </xf>
    <xf numFmtId="3" fontId="33" fillId="3" borderId="28" xfId="0" applyNumberFormat="1" applyFont="1" applyFill="1" applyBorder="1" applyAlignment="1">
      <alignment vertical="center"/>
    </xf>
    <xf numFmtId="0" fontId="69" fillId="4" borderId="9" xfId="0" applyFont="1" applyFill="1" applyBorder="1" applyAlignment="1">
      <alignment horizontal="center" vertical="center"/>
    </xf>
    <xf numFmtId="3" fontId="69" fillId="4" borderId="9" xfId="0" applyNumberFormat="1" applyFont="1" applyFill="1" applyBorder="1" applyAlignment="1">
      <alignment vertical="center"/>
    </xf>
    <xf numFmtId="3" fontId="69" fillId="4" borderId="3" xfId="0" applyNumberFormat="1" applyFont="1" applyFill="1" applyBorder="1" applyAlignment="1">
      <alignment vertical="center"/>
    </xf>
    <xf numFmtId="3" fontId="27" fillId="3" borderId="9" xfId="0" applyNumberFormat="1" applyFont="1" applyFill="1" applyBorder="1" applyAlignment="1">
      <alignment horizontal="center" vertical="center"/>
    </xf>
    <xf numFmtId="3" fontId="85" fillId="3" borderId="3" xfId="0" applyNumberFormat="1" applyFont="1" applyFill="1" applyBorder="1" applyAlignment="1">
      <alignment horizontal="center" vertical="center"/>
    </xf>
    <xf numFmtId="3" fontId="85" fillId="3" borderId="4" xfId="0" applyNumberFormat="1" applyFont="1" applyFill="1" applyBorder="1" applyAlignment="1">
      <alignment horizontal="center" vertical="center"/>
    </xf>
    <xf numFmtId="0" fontId="69" fillId="3" borderId="9" xfId="0" applyFont="1" applyFill="1" applyBorder="1" applyAlignment="1">
      <alignment horizontal="center" vertical="top"/>
    </xf>
    <xf numFmtId="3" fontId="81" fillId="3" borderId="3" xfId="0" applyNumberFormat="1" applyFont="1" applyFill="1" applyBorder="1" applyAlignment="1">
      <alignment vertical="top"/>
    </xf>
    <xf numFmtId="0" fontId="69" fillId="4" borderId="9" xfId="0" applyFont="1" applyFill="1" applyBorder="1" applyAlignment="1">
      <alignment horizontal="center"/>
    </xf>
    <xf numFmtId="3" fontId="81" fillId="4" borderId="3" xfId="0" applyNumberFormat="1" applyFont="1" applyFill="1" applyBorder="1"/>
    <xf numFmtId="3" fontId="81" fillId="4" borderId="4" xfId="0" applyNumberFormat="1" applyFont="1" applyFill="1" applyBorder="1"/>
    <xf numFmtId="3" fontId="27" fillId="3" borderId="4" xfId="0" applyNumberFormat="1" applyFont="1" applyFill="1" applyBorder="1" applyAlignment="1">
      <alignment horizontal="center" vertical="center"/>
    </xf>
    <xf numFmtId="14" fontId="28" fillId="3" borderId="42" xfId="0" applyNumberFormat="1" applyFont="1" applyFill="1" applyBorder="1" applyAlignment="1">
      <alignment horizontal="centerContinuous"/>
    </xf>
    <xf numFmtId="0" fontId="28" fillId="3" borderId="43" xfId="0" applyFont="1" applyFill="1" applyBorder="1" applyAlignment="1">
      <alignment horizontal="right"/>
    </xf>
    <xf numFmtId="2" fontId="28" fillId="3" borderId="44" xfId="0" applyNumberFormat="1" applyFont="1" applyFill="1" applyBorder="1" applyAlignment="1">
      <alignment horizontal="right"/>
    </xf>
    <xf numFmtId="2" fontId="90" fillId="4" borderId="23" xfId="0" applyNumberFormat="1" applyFont="1" applyFill="1" applyBorder="1" applyAlignment="1">
      <alignment horizontal="right"/>
    </xf>
    <xf numFmtId="0" fontId="81" fillId="4" borderId="32" xfId="0" applyFont="1" applyFill="1" applyBorder="1"/>
    <xf numFmtId="3" fontId="81" fillId="4" borderId="2" xfId="0" applyNumberFormat="1" applyFont="1" applyFill="1" applyBorder="1"/>
    <xf numFmtId="3" fontId="55" fillId="4" borderId="2" xfId="0" applyNumberFormat="1" applyFont="1" applyFill="1" applyBorder="1"/>
    <xf numFmtId="2" fontId="91" fillId="4" borderId="23" xfId="0" applyNumberFormat="1" applyFont="1" applyFill="1" applyBorder="1" applyAlignment="1">
      <alignment horizontal="right"/>
    </xf>
    <xf numFmtId="0" fontId="81" fillId="3" borderId="45" xfId="0" applyFont="1" applyFill="1" applyBorder="1" applyAlignment="1">
      <alignment vertical="center"/>
    </xf>
    <xf numFmtId="3" fontId="81" fillId="3" borderId="4" xfId="0" applyNumberFormat="1" applyFont="1" applyFill="1" applyBorder="1" applyAlignment="1">
      <alignment vertical="center"/>
    </xf>
    <xf numFmtId="3" fontId="55" fillId="3" borderId="4" xfId="0" applyNumberFormat="1" applyFont="1" applyFill="1" applyBorder="1" applyAlignment="1">
      <alignment vertical="center"/>
    </xf>
    <xf numFmtId="2" fontId="91" fillId="3" borderId="33" xfId="0" applyNumberFormat="1" applyFont="1" applyFill="1" applyBorder="1" applyAlignment="1">
      <alignment horizontal="right" vertical="center"/>
    </xf>
    <xf numFmtId="0" fontId="81" fillId="3" borderId="46" xfId="0" applyFont="1" applyFill="1" applyBorder="1" applyAlignment="1">
      <alignment vertical="center"/>
    </xf>
    <xf numFmtId="3" fontId="81" fillId="3" borderId="47" xfId="0" applyNumberFormat="1" applyFont="1" applyFill="1" applyBorder="1" applyAlignment="1">
      <alignment vertical="center"/>
    </xf>
    <xf numFmtId="2" fontId="91" fillId="3" borderId="48" xfId="0" applyNumberFormat="1" applyFont="1" applyFill="1" applyBorder="1" applyAlignment="1">
      <alignment horizontal="right" vertical="center"/>
    </xf>
    <xf numFmtId="2" fontId="55" fillId="4" borderId="23" xfId="0" applyNumberFormat="1" applyFont="1" applyFill="1" applyBorder="1" applyAlignment="1">
      <alignment horizontal="center"/>
    </xf>
    <xf numFmtId="2" fontId="55" fillId="3" borderId="33" xfId="0" applyNumberFormat="1" applyFont="1" applyFill="1" applyBorder="1" applyAlignment="1">
      <alignment horizontal="center" vertical="center"/>
    </xf>
    <xf numFmtId="2" fontId="55" fillId="3" borderId="48" xfId="0" applyNumberFormat="1" applyFont="1" applyFill="1" applyBorder="1" applyAlignment="1">
      <alignment horizontal="center" vertical="center"/>
    </xf>
    <xf numFmtId="0" fontId="81" fillId="3" borderId="49" xfId="0" applyFont="1" applyFill="1" applyBorder="1" applyAlignment="1">
      <alignment vertical="center"/>
    </xf>
    <xf numFmtId="3" fontId="81" fillId="3" borderId="50" xfId="0" applyNumberFormat="1" applyFont="1" applyFill="1" applyBorder="1" applyAlignment="1">
      <alignment vertical="center"/>
    </xf>
    <xf numFmtId="0" fontId="81" fillId="3" borderId="51" xfId="0" applyFont="1" applyFill="1" applyBorder="1" applyAlignment="1">
      <alignment vertical="center"/>
    </xf>
    <xf numFmtId="3" fontId="55" fillId="3" borderId="3" xfId="0" applyNumberFormat="1" applyFont="1" applyFill="1" applyBorder="1" applyAlignment="1">
      <alignment vertical="center"/>
    </xf>
    <xf numFmtId="0" fontId="81" fillId="4" borderId="21" xfId="0" applyFont="1" applyFill="1" applyBorder="1"/>
    <xf numFmtId="3" fontId="55" fillId="4" borderId="22" xfId="0" applyNumberFormat="1" applyFont="1" applyFill="1" applyBorder="1"/>
    <xf numFmtId="0" fontId="87" fillId="4" borderId="23" xfId="0" applyFont="1" applyFill="1" applyBorder="1" applyAlignment="1">
      <alignment horizontal="center"/>
    </xf>
    <xf numFmtId="14" fontId="28" fillId="5" borderId="52" xfId="0" applyNumberFormat="1" applyFont="1" applyFill="1" applyBorder="1" applyAlignment="1">
      <alignment horizontal="centerContinuous"/>
    </xf>
    <xf numFmtId="0" fontId="28" fillId="5" borderId="53" xfId="0" applyFont="1" applyFill="1" applyBorder="1" applyAlignment="1">
      <alignment horizontal="centerContinuous"/>
    </xf>
    <xf numFmtId="0" fontId="27" fillId="3" borderId="54" xfId="0" applyFont="1" applyFill="1" applyBorder="1" applyAlignment="1">
      <alignment horizontal="center" vertical="center"/>
    </xf>
    <xf numFmtId="4" fontId="27" fillId="3" borderId="55" xfId="0" applyNumberFormat="1" applyFont="1" applyFill="1" applyBorder="1" applyAlignment="1">
      <alignment horizontal="center" vertical="center"/>
    </xf>
    <xf numFmtId="0" fontId="27" fillId="3" borderId="22" xfId="0" applyFont="1" applyFill="1" applyBorder="1" applyAlignment="1">
      <alignment horizontal="center" vertical="center"/>
    </xf>
    <xf numFmtId="4" fontId="27" fillId="3" borderId="23" xfId="0" applyNumberFormat="1" applyFont="1" applyFill="1" applyBorder="1" applyAlignment="1">
      <alignment horizontal="center" vertical="center"/>
    </xf>
    <xf numFmtId="3" fontId="81" fillId="3" borderId="3" xfId="0" applyNumberFormat="1" applyFont="1" applyFill="1" applyBorder="1" applyAlignment="1">
      <alignment vertical="center"/>
    </xf>
    <xf numFmtId="4" fontId="81" fillId="3" borderId="3" xfId="0" applyNumberFormat="1" applyFont="1" applyFill="1" applyBorder="1" applyAlignment="1">
      <alignment horizontal="center" vertical="center"/>
    </xf>
    <xf numFmtId="4" fontId="81" fillId="3" borderId="33" xfId="0" applyNumberFormat="1" applyFont="1" applyFill="1" applyBorder="1" applyAlignment="1">
      <alignment horizontal="center" vertical="center"/>
    </xf>
    <xf numFmtId="4" fontId="81" fillId="3" borderId="50" xfId="0" applyNumberFormat="1" applyFont="1" applyFill="1" applyBorder="1" applyAlignment="1">
      <alignment horizontal="center" vertical="center"/>
    </xf>
    <xf numFmtId="2" fontId="91" fillId="4" borderId="2" xfId="0" applyNumberFormat="1" applyFont="1" applyFill="1" applyBorder="1" applyAlignment="1">
      <alignment horizontal="right"/>
    </xf>
    <xf numFmtId="167" fontId="18" fillId="0" borderId="0" xfId="0" applyNumberFormat="1" applyFont="1"/>
    <xf numFmtId="0" fontId="27" fillId="0" borderId="12" xfId="0" applyNumberFormat="1" applyFont="1" applyBorder="1" applyAlignment="1">
      <alignment horizontal="center"/>
    </xf>
    <xf numFmtId="0" fontId="27" fillId="0" borderId="12" xfId="0" applyNumberFormat="1" applyFont="1" applyBorder="1"/>
    <xf numFmtId="2" fontId="85" fillId="0" borderId="2" xfId="0" applyNumberFormat="1" applyFont="1" applyBorder="1" applyAlignment="1">
      <alignment horizontal="right"/>
    </xf>
    <xf numFmtId="2" fontId="91" fillId="3" borderId="4" xfId="0" applyNumberFormat="1" applyFont="1" applyFill="1" applyBorder="1" applyAlignment="1">
      <alignment horizontal="right" vertical="center"/>
    </xf>
    <xf numFmtId="2" fontId="85" fillId="0" borderId="2" xfId="0" applyNumberFormat="1" applyFont="1" applyFill="1" applyBorder="1" applyAlignment="1">
      <alignment horizontal="right"/>
    </xf>
    <xf numFmtId="2" fontId="91" fillId="3" borderId="47" xfId="0" applyNumberFormat="1" applyFont="1" applyFill="1" applyBorder="1" applyAlignment="1">
      <alignment horizontal="right" vertical="center"/>
    </xf>
    <xf numFmtId="4" fontId="55" fillId="4" borderId="23" xfId="0" applyNumberFormat="1" applyFont="1" applyFill="1" applyBorder="1" applyAlignment="1">
      <alignment horizontal="center"/>
    </xf>
    <xf numFmtId="4" fontId="27" fillId="0" borderId="30" xfId="0" applyNumberFormat="1" applyFont="1" applyBorder="1"/>
    <xf numFmtId="4" fontId="55" fillId="3" borderId="33" xfId="0" applyNumberFormat="1" applyFont="1" applyFill="1" applyBorder="1" applyAlignment="1">
      <alignment horizontal="center" vertical="center"/>
    </xf>
    <xf numFmtId="4" fontId="27" fillId="0" borderId="23" xfId="0" applyNumberFormat="1" applyFont="1" applyFill="1" applyBorder="1" applyAlignment="1">
      <alignment horizontal="center"/>
    </xf>
    <xf numFmtId="4" fontId="88" fillId="3" borderId="33" xfId="0" applyNumberFormat="1" applyFont="1" applyFill="1" applyBorder="1" applyAlignment="1">
      <alignment horizontal="center" vertical="center"/>
    </xf>
    <xf numFmtId="4" fontId="55" fillId="3" borderId="48" xfId="0" applyNumberFormat="1" applyFont="1" applyFill="1" applyBorder="1" applyAlignment="1">
      <alignment horizontal="center" vertical="center"/>
    </xf>
    <xf numFmtId="2" fontId="27" fillId="0" borderId="0" xfId="0" applyNumberFormat="1" applyFont="1" applyBorder="1"/>
    <xf numFmtId="2" fontId="27" fillId="0" borderId="0" xfId="0" applyNumberFormat="1" applyFont="1" applyBorder="1" applyAlignment="1">
      <alignment horizontal="centerContinuous"/>
    </xf>
    <xf numFmtId="2" fontId="83" fillId="0" borderId="0" xfId="0" applyNumberFormat="1" applyFont="1" applyBorder="1" applyAlignment="1">
      <alignment horizontal="centerContinuous"/>
    </xf>
    <xf numFmtId="2" fontId="28" fillId="3" borderId="43" xfId="0" applyNumberFormat="1" applyFont="1" applyFill="1" applyBorder="1" applyAlignment="1">
      <alignment horizontal="centerContinuous"/>
    </xf>
    <xf numFmtId="2" fontId="28" fillId="0" borderId="4" xfId="0" applyNumberFormat="1" applyFont="1" applyBorder="1" applyAlignment="1">
      <alignment horizontal="center"/>
    </xf>
    <xf numFmtId="2" fontId="27" fillId="0" borderId="2" xfId="0" applyNumberFormat="1" applyFont="1" applyBorder="1" applyAlignment="1">
      <alignment horizontal="center"/>
    </xf>
    <xf numFmtId="2" fontId="55" fillId="4" borderId="2" xfId="0" applyNumberFormat="1" applyFont="1" applyFill="1" applyBorder="1" applyAlignment="1">
      <alignment horizontal="center"/>
    </xf>
    <xf numFmtId="2" fontId="27" fillId="0" borderId="2" xfId="0" applyNumberFormat="1" applyFont="1" applyBorder="1"/>
    <xf numFmtId="2" fontId="55" fillId="3" borderId="4" xfId="0" applyNumberFormat="1" applyFont="1" applyFill="1" applyBorder="1" applyAlignment="1">
      <alignment horizontal="center" vertical="center"/>
    </xf>
    <xf numFmtId="2" fontId="27" fillId="0" borderId="2" xfId="0" applyNumberFormat="1" applyFont="1" applyFill="1" applyBorder="1" applyAlignment="1">
      <alignment horizontal="center"/>
    </xf>
    <xf numFmtId="2" fontId="55" fillId="3" borderId="47" xfId="0" applyNumberFormat="1" applyFont="1" applyFill="1" applyBorder="1" applyAlignment="1">
      <alignment horizontal="center" vertical="center"/>
    </xf>
    <xf numFmtId="2" fontId="28" fillId="0" borderId="0" xfId="0" applyNumberFormat="1" applyFont="1"/>
    <xf numFmtId="2" fontId="27" fillId="0" borderId="0" xfId="0" applyNumberFormat="1" applyFont="1"/>
    <xf numFmtId="2" fontId="28" fillId="3" borderId="44" xfId="0" applyNumberFormat="1" applyFont="1" applyFill="1" applyBorder="1" applyAlignment="1">
      <alignment horizontal="centerContinuous"/>
    </xf>
    <xf numFmtId="2" fontId="33" fillId="4" borderId="23" xfId="0" applyNumberFormat="1" applyFont="1" applyFill="1" applyBorder="1"/>
    <xf numFmtId="2" fontId="27" fillId="0" borderId="0" xfId="0" applyNumberFormat="1" applyFont="1" applyAlignment="1">
      <alignment horizontal="left"/>
    </xf>
    <xf numFmtId="4" fontId="27" fillId="0" borderId="21" xfId="0" applyNumberFormat="1" applyFont="1" applyBorder="1" applyAlignment="1">
      <alignment horizontal="center"/>
    </xf>
    <xf numFmtId="4" fontId="27" fillId="0" borderId="21" xfId="0" applyNumberFormat="1" applyFont="1" applyBorder="1"/>
    <xf numFmtId="0" fontId="62" fillId="0" borderId="0" xfId="0" applyFont="1"/>
    <xf numFmtId="49" fontId="89" fillId="0" borderId="0" xfId="0" applyNumberFormat="1" applyFont="1" applyAlignment="1">
      <alignment horizontal="left"/>
    </xf>
    <xf numFmtId="0" fontId="69" fillId="0" borderId="0" xfId="0" applyFont="1" applyAlignment="1"/>
    <xf numFmtId="1" fontId="18" fillId="0" borderId="0" xfId="0" applyNumberFormat="1" applyFont="1"/>
    <xf numFmtId="0" fontId="89" fillId="0" borderId="0" xfId="0" quotePrefix="1" applyFont="1"/>
    <xf numFmtId="2" fontId="18" fillId="0" borderId="0" xfId="0" applyNumberFormat="1" applyFont="1"/>
    <xf numFmtId="0" fontId="68" fillId="4" borderId="32" xfId="0" applyFont="1" applyFill="1" applyBorder="1"/>
    <xf numFmtId="2" fontId="69" fillId="4" borderId="2" xfId="0" applyNumberFormat="1" applyFont="1" applyFill="1" applyBorder="1"/>
    <xf numFmtId="0" fontId="104" fillId="4" borderId="2" xfId="0" applyFont="1" applyFill="1" applyBorder="1" applyAlignment="1">
      <alignment horizontal="right"/>
    </xf>
    <xf numFmtId="4" fontId="69" fillId="4" borderId="2" xfId="0" applyNumberFormat="1" applyFont="1" applyFill="1" applyBorder="1"/>
    <xf numFmtId="0" fontId="69" fillId="4" borderId="32" xfId="0" applyFont="1" applyFill="1" applyBorder="1"/>
    <xf numFmtId="0" fontId="105" fillId="0" borderId="0" xfId="0" applyFont="1"/>
    <xf numFmtId="0" fontId="68" fillId="4" borderId="21" xfId="0" applyFont="1" applyFill="1" applyBorder="1"/>
    <xf numFmtId="4" fontId="69" fillId="4" borderId="24" xfId="0" applyNumberFormat="1" applyFont="1" applyFill="1" applyBorder="1"/>
    <xf numFmtId="0" fontId="32" fillId="0" borderId="0" xfId="0" applyFont="1" applyBorder="1" applyAlignment="1">
      <alignment horizontal="center" vertical="center"/>
    </xf>
    <xf numFmtId="3" fontId="81" fillId="0" borderId="0" xfId="0" applyNumberFormat="1" applyFont="1" applyFill="1" applyBorder="1" applyAlignment="1">
      <alignment vertical="center"/>
    </xf>
    <xf numFmtId="0" fontId="11" fillId="0" borderId="0" xfId="0" applyFont="1" applyFill="1" applyBorder="1"/>
    <xf numFmtId="3" fontId="27" fillId="0" borderId="0" xfId="0" applyNumberFormat="1" applyFont="1" applyFill="1" applyBorder="1"/>
    <xf numFmtId="3" fontId="27" fillId="4" borderId="2" xfId="0" applyNumberFormat="1" applyFont="1" applyFill="1" applyBorder="1"/>
    <xf numFmtId="2" fontId="85" fillId="4" borderId="2" xfId="0" applyNumberFormat="1" applyFont="1" applyFill="1" applyBorder="1" applyAlignment="1">
      <alignment horizontal="right"/>
    </xf>
    <xf numFmtId="2" fontId="55" fillId="0" borderId="0" xfId="0" applyNumberFormat="1" applyFont="1" applyFill="1" applyBorder="1" applyAlignment="1">
      <alignment horizontal="center" vertical="center"/>
    </xf>
    <xf numFmtId="2" fontId="91" fillId="0" borderId="0" xfId="0" applyNumberFormat="1" applyFont="1" applyFill="1" applyBorder="1" applyAlignment="1">
      <alignment horizontal="right" vertical="center"/>
    </xf>
    <xf numFmtId="3" fontId="27" fillId="0" borderId="42" xfId="0" applyNumberFormat="1" applyFont="1" applyBorder="1"/>
    <xf numFmtId="0" fontId="81" fillId="3" borderId="9" xfId="0" applyFont="1" applyFill="1" applyBorder="1"/>
    <xf numFmtId="0" fontId="81" fillId="3" borderId="36" xfId="0" applyFont="1" applyFill="1" applyBorder="1" applyAlignment="1">
      <alignment vertical="center"/>
    </xf>
    <xf numFmtId="0" fontId="81" fillId="3" borderId="56" xfId="0" applyFont="1" applyFill="1" applyBorder="1" applyAlignment="1">
      <alignment vertical="center"/>
    </xf>
    <xf numFmtId="0" fontId="81" fillId="0" borderId="0" xfId="0" applyFont="1" applyFill="1" applyBorder="1" applyAlignment="1">
      <alignment vertical="center"/>
    </xf>
    <xf numFmtId="4" fontId="81" fillId="0" borderId="0" xfId="0" applyNumberFormat="1" applyFont="1" applyFill="1" applyBorder="1" applyAlignment="1">
      <alignment horizontal="center" vertical="center"/>
    </xf>
    <xf numFmtId="0" fontId="54" fillId="0" borderId="0" xfId="0" applyFont="1" applyFill="1" applyAlignment="1">
      <alignment vertical="center"/>
    </xf>
    <xf numFmtId="0" fontId="54" fillId="0" borderId="0" xfId="0" applyFont="1" applyFill="1" applyBorder="1" applyAlignment="1">
      <alignment vertical="center"/>
    </xf>
    <xf numFmtId="0" fontId="13" fillId="0" borderId="0" xfId="0" applyFont="1" applyFill="1" applyAlignment="1">
      <alignment vertical="center"/>
    </xf>
    <xf numFmtId="4" fontId="81" fillId="3" borderId="48" xfId="0" applyNumberFormat="1" applyFont="1" applyFill="1" applyBorder="1" applyAlignment="1">
      <alignment horizontal="center" vertical="center"/>
    </xf>
    <xf numFmtId="0" fontId="81" fillId="3" borderId="57" xfId="0" applyFont="1" applyFill="1" applyBorder="1" applyAlignment="1">
      <alignment vertical="center"/>
    </xf>
    <xf numFmtId="3" fontId="81" fillId="3" borderId="58" xfId="0" applyNumberFormat="1" applyFont="1" applyFill="1" applyBorder="1" applyAlignment="1">
      <alignment vertical="center"/>
    </xf>
    <xf numFmtId="4" fontId="81" fillId="3" borderId="58" xfId="0" applyNumberFormat="1" applyFont="1" applyFill="1" applyBorder="1" applyAlignment="1">
      <alignment horizontal="center" vertical="center"/>
    </xf>
    <xf numFmtId="4" fontId="81" fillId="3" borderId="59" xfId="0" applyNumberFormat="1" applyFont="1" applyFill="1" applyBorder="1" applyAlignment="1">
      <alignment horizontal="center" vertical="center"/>
    </xf>
    <xf numFmtId="0" fontId="76" fillId="0" borderId="0" xfId="0" applyFont="1" applyFill="1" applyAlignment="1">
      <alignment horizontal="center"/>
    </xf>
    <xf numFmtId="3" fontId="76" fillId="0" borderId="0" xfId="0" applyNumberFormat="1" applyFont="1" applyFill="1" applyBorder="1" applyAlignment="1">
      <alignment horizontal="right"/>
    </xf>
    <xf numFmtId="3" fontId="76" fillId="0" borderId="0" xfId="0" applyNumberFormat="1" applyFont="1" applyFill="1" applyBorder="1"/>
    <xf numFmtId="0" fontId="107" fillId="0" borderId="0" xfId="0" applyFont="1" applyBorder="1" applyAlignment="1">
      <alignment horizontal="center"/>
    </xf>
    <xf numFmtId="3" fontId="20" fillId="0" borderId="0" xfId="0" applyNumberFormat="1" applyFont="1" applyBorder="1"/>
    <xf numFmtId="0" fontId="109" fillId="5" borderId="31" xfId="0" applyFont="1" applyFill="1" applyBorder="1" applyAlignment="1">
      <alignment vertical="center"/>
    </xf>
    <xf numFmtId="0" fontId="110" fillId="5" borderId="42" xfId="0" applyFont="1" applyFill="1" applyBorder="1"/>
    <xf numFmtId="0" fontId="111" fillId="5" borderId="60" xfId="0" applyFont="1" applyFill="1" applyBorder="1"/>
    <xf numFmtId="0" fontId="111" fillId="5" borderId="54" xfId="0" applyFont="1" applyFill="1" applyBorder="1"/>
    <xf numFmtId="0" fontId="111" fillId="5" borderId="42" xfId="0" applyFont="1" applyFill="1" applyBorder="1"/>
    <xf numFmtId="0" fontId="111" fillId="5" borderId="55" xfId="0" applyFont="1" applyFill="1" applyBorder="1"/>
    <xf numFmtId="0" fontId="112" fillId="5" borderId="32" xfId="0" applyFont="1" applyFill="1" applyBorder="1" applyAlignment="1">
      <alignment horizontal="center" vertical="center"/>
    </xf>
    <xf numFmtId="0" fontId="112" fillId="5" borderId="0" xfId="0" applyFont="1" applyFill="1" applyBorder="1" applyAlignment="1">
      <alignment horizontal="center"/>
    </xf>
    <xf numFmtId="0" fontId="112" fillId="5" borderId="26" xfId="0" applyFont="1" applyFill="1" applyBorder="1" applyAlignment="1">
      <alignment horizontal="center"/>
    </xf>
    <xf numFmtId="0" fontId="112" fillId="5" borderId="22" xfId="0" applyFont="1" applyFill="1" applyBorder="1" applyAlignment="1">
      <alignment horizontal="center"/>
    </xf>
    <xf numFmtId="0" fontId="112" fillId="5" borderId="30" xfId="0" applyFont="1" applyFill="1" applyBorder="1" applyAlignment="1">
      <alignment horizontal="center"/>
    </xf>
    <xf numFmtId="0" fontId="109" fillId="5" borderId="32" xfId="0" applyFont="1" applyFill="1" applyBorder="1" applyAlignment="1">
      <alignment vertical="center"/>
    </xf>
    <xf numFmtId="0" fontId="110" fillId="5" borderId="0" xfId="0" applyFont="1" applyFill="1" applyBorder="1"/>
    <xf numFmtId="0" fontId="113" fillId="5" borderId="26" xfId="0" applyFont="1" applyFill="1" applyBorder="1" applyAlignment="1">
      <alignment horizontal="center"/>
    </xf>
    <xf numFmtId="0" fontId="109" fillId="5" borderId="61" xfId="0" applyFont="1" applyFill="1" applyBorder="1" applyAlignment="1">
      <alignment vertical="center"/>
    </xf>
    <xf numFmtId="0" fontId="110" fillId="5" borderId="62" xfId="0" applyFont="1" applyFill="1" applyBorder="1"/>
    <xf numFmtId="0" fontId="111" fillId="5" borderId="63" xfId="0" applyFont="1" applyFill="1" applyBorder="1"/>
    <xf numFmtId="0" fontId="111" fillId="5" borderId="40" xfId="0" applyFont="1" applyFill="1" applyBorder="1"/>
    <xf numFmtId="0" fontId="111" fillId="5" borderId="62" xfId="0" applyFont="1" applyFill="1" applyBorder="1"/>
    <xf numFmtId="0" fontId="111" fillId="5" borderId="39" xfId="0" applyFont="1" applyFill="1" applyBorder="1" applyAlignment="1">
      <alignment horizontal="center"/>
    </xf>
    <xf numFmtId="0" fontId="114" fillId="0" borderId="32" xfId="0" applyFont="1" applyBorder="1"/>
    <xf numFmtId="0" fontId="115" fillId="0" borderId="0" xfId="0" applyFont="1" applyBorder="1"/>
    <xf numFmtId="168" fontId="115" fillId="0" borderId="26" xfId="0" applyNumberFormat="1" applyFont="1" applyBorder="1"/>
    <xf numFmtId="168" fontId="115" fillId="0" borderId="22" xfId="0" applyNumberFormat="1" applyFont="1" applyBorder="1"/>
    <xf numFmtId="168" fontId="115" fillId="0" borderId="0" xfId="0" applyNumberFormat="1" applyFont="1" applyBorder="1"/>
    <xf numFmtId="168" fontId="115" fillId="0" borderId="30" xfId="0" applyNumberFormat="1" applyFont="1" applyBorder="1"/>
    <xf numFmtId="17" fontId="116" fillId="3" borderId="32" xfId="0" applyNumberFormat="1" applyFont="1" applyFill="1" applyBorder="1" applyAlignment="1">
      <alignment horizontal="center"/>
    </xf>
    <xf numFmtId="0" fontId="117" fillId="3" borderId="0" xfId="0" applyFont="1" applyFill="1" applyBorder="1" applyAlignment="1">
      <alignment horizontal="left"/>
    </xf>
    <xf numFmtId="168" fontId="118" fillId="3" borderId="26" xfId="0" applyNumberFormat="1" applyFont="1" applyFill="1" applyBorder="1"/>
    <xf numFmtId="169" fontId="118" fillId="3" borderId="22" xfId="0" applyNumberFormat="1" applyFont="1" applyFill="1" applyBorder="1"/>
    <xf numFmtId="168" fontId="118" fillId="3" borderId="0" xfId="0" applyNumberFormat="1" applyFont="1" applyFill="1" applyBorder="1"/>
    <xf numFmtId="168" fontId="118" fillId="3" borderId="22" xfId="0" applyNumberFormat="1" applyFont="1" applyFill="1" applyBorder="1"/>
    <xf numFmtId="168" fontId="118" fillId="3" borderId="30" xfId="0" applyNumberFormat="1" applyFont="1" applyFill="1" applyBorder="1"/>
    <xf numFmtId="17" fontId="119" fillId="0" borderId="32" xfId="0" applyNumberFormat="1" applyFont="1" applyBorder="1" applyAlignment="1">
      <alignment horizontal="center"/>
    </xf>
    <xf numFmtId="0" fontId="120" fillId="0" borderId="0" xfId="0" applyFont="1" applyBorder="1" applyAlignment="1">
      <alignment horizontal="left"/>
    </xf>
    <xf numFmtId="169" fontId="115" fillId="0" borderId="22" xfId="0" applyNumberFormat="1" applyFont="1" applyBorder="1"/>
    <xf numFmtId="0" fontId="114" fillId="0" borderId="64" xfId="0" applyFont="1" applyBorder="1" applyAlignment="1">
      <alignment horizontal="center"/>
    </xf>
    <xf numFmtId="0" fontId="115" fillId="0" borderId="27" xfId="0" applyFont="1" applyBorder="1"/>
    <xf numFmtId="168" fontId="115" fillId="0" borderId="18" xfId="0" applyNumberFormat="1" applyFont="1" applyBorder="1"/>
    <xf numFmtId="169" fontId="115" fillId="0" borderId="28" xfId="0" applyNumberFormat="1" applyFont="1" applyBorder="1"/>
    <xf numFmtId="168" fontId="115" fillId="0" borderId="27" xfId="0" applyNumberFormat="1" applyFont="1" applyBorder="1"/>
    <xf numFmtId="168" fontId="115" fillId="0" borderId="28" xfId="0" applyNumberFormat="1" applyFont="1" applyBorder="1"/>
    <xf numFmtId="168" fontId="115" fillId="0" borderId="65" xfId="0" applyNumberFormat="1" applyFont="1" applyBorder="1"/>
    <xf numFmtId="0" fontId="114" fillId="0" borderId="32" xfId="0" applyFont="1" applyBorder="1" applyAlignment="1">
      <alignment horizontal="center"/>
    </xf>
    <xf numFmtId="0" fontId="115" fillId="0" borderId="0" xfId="0" applyFont="1" applyBorder="1" applyAlignment="1">
      <alignment horizontal="center"/>
    </xf>
    <xf numFmtId="17" fontId="121" fillId="3" borderId="32" xfId="0" applyNumberFormat="1" applyFont="1" applyFill="1" applyBorder="1" applyAlignment="1">
      <alignment horizontal="center"/>
    </xf>
    <xf numFmtId="17" fontId="122" fillId="0" borderId="32" xfId="0" applyNumberFormat="1" applyFont="1" applyBorder="1" applyAlignment="1">
      <alignment horizontal="center"/>
    </xf>
    <xf numFmtId="0" fontId="115" fillId="0" borderId="27" xfId="0" applyFont="1" applyBorder="1" applyAlignment="1">
      <alignment horizontal="center"/>
    </xf>
    <xf numFmtId="17" fontId="123" fillId="0" borderId="32" xfId="0" applyNumberFormat="1" applyFont="1" applyBorder="1" applyAlignment="1">
      <alignment horizontal="center"/>
    </xf>
    <xf numFmtId="0" fontId="124" fillId="0" borderId="0" xfId="0" applyFont="1" applyBorder="1" applyAlignment="1">
      <alignment horizontal="left"/>
    </xf>
    <xf numFmtId="168" fontId="125" fillId="0" borderId="26" xfId="0" applyNumberFormat="1" applyFont="1" applyBorder="1"/>
    <xf numFmtId="169" fontId="125" fillId="0" borderId="22" xfId="0" applyNumberFormat="1" applyFont="1" applyBorder="1"/>
    <xf numFmtId="168" fontId="125" fillId="0" borderId="0" xfId="0" applyNumberFormat="1" applyFont="1" applyBorder="1"/>
    <xf numFmtId="168" fontId="125" fillId="0" borderId="22" xfId="0" applyNumberFormat="1" applyFont="1" applyBorder="1"/>
    <xf numFmtId="168" fontId="125" fillId="0" borderId="30" xfId="0" applyNumberFormat="1" applyFont="1" applyBorder="1"/>
    <xf numFmtId="17" fontId="123" fillId="0" borderId="32" xfId="0" applyNumberFormat="1" applyFont="1" applyFill="1" applyBorder="1" applyAlignment="1">
      <alignment horizontal="center"/>
    </xf>
    <xf numFmtId="0" fontId="124" fillId="0" borderId="0" xfId="0" applyFont="1" applyFill="1" applyBorder="1" applyAlignment="1">
      <alignment horizontal="left"/>
    </xf>
    <xf numFmtId="168" fontId="125" fillId="0" borderId="26" xfId="0" applyNumberFormat="1" applyFont="1" applyFill="1" applyBorder="1"/>
    <xf numFmtId="169" fontId="125" fillId="0" borderId="22" xfId="0" applyNumberFormat="1" applyFont="1" applyFill="1" applyBorder="1"/>
    <xf numFmtId="168" fontId="125" fillId="0" borderId="0" xfId="0" applyNumberFormat="1" applyFont="1" applyFill="1" applyBorder="1"/>
    <xf numFmtId="168" fontId="125" fillId="0" borderId="22" xfId="0" applyNumberFormat="1" applyFont="1" applyFill="1" applyBorder="1"/>
    <xf numFmtId="168" fontId="125" fillId="0" borderId="30" xfId="0" applyNumberFormat="1" applyFont="1" applyFill="1" applyBorder="1"/>
    <xf numFmtId="17" fontId="123" fillId="0" borderId="64" xfId="0" applyNumberFormat="1" applyFont="1" applyBorder="1" applyAlignment="1">
      <alignment horizontal="center"/>
    </xf>
    <xf numFmtId="0" fontId="125" fillId="0" borderId="27" xfId="0" applyFont="1" applyBorder="1" applyAlignment="1">
      <alignment horizontal="center"/>
    </xf>
    <xf numFmtId="168" fontId="125" fillId="0" borderId="18" xfId="0" applyNumberFormat="1" applyFont="1" applyBorder="1"/>
    <xf numFmtId="169" fontId="125" fillId="0" borderId="28" xfId="0" applyNumberFormat="1" applyFont="1" applyBorder="1"/>
    <xf numFmtId="168" fontId="125" fillId="0" borderId="27" xfId="0" applyNumberFormat="1" applyFont="1" applyBorder="1"/>
    <xf numFmtId="168" fontId="125" fillId="0" borderId="28" xfId="0" applyNumberFormat="1" applyFont="1" applyBorder="1"/>
    <xf numFmtId="168" fontId="125" fillId="0" borderId="65" xfId="0" applyNumberFormat="1" applyFont="1" applyBorder="1"/>
    <xf numFmtId="0" fontId="122" fillId="0" borderId="32" xfId="0" applyFont="1" applyBorder="1" applyAlignment="1">
      <alignment horizontal="center"/>
    </xf>
    <xf numFmtId="0" fontId="125" fillId="0" borderId="0" xfId="0" applyFont="1" applyBorder="1" applyAlignment="1">
      <alignment horizontal="center"/>
    </xf>
    <xf numFmtId="0" fontId="122" fillId="0" borderId="64" xfId="0" applyFont="1" applyBorder="1" applyAlignment="1">
      <alignment horizontal="center"/>
    </xf>
    <xf numFmtId="0" fontId="122" fillId="0" borderId="61" xfId="0" applyFont="1" applyBorder="1" applyAlignment="1">
      <alignment horizontal="center"/>
    </xf>
    <xf numFmtId="0" fontId="125" fillId="0" borderId="62" xfId="0" applyFont="1" applyBorder="1" applyAlignment="1">
      <alignment horizontal="center"/>
    </xf>
    <xf numFmtId="168" fontId="125" fillId="0" borderId="63" xfId="0" applyNumberFormat="1" applyFont="1" applyBorder="1"/>
    <xf numFmtId="169" fontId="125" fillId="0" borderId="40" xfId="0" applyNumberFormat="1" applyFont="1" applyBorder="1"/>
    <xf numFmtId="168" fontId="125" fillId="0" borderId="62" xfId="0" applyNumberFormat="1" applyFont="1" applyBorder="1"/>
    <xf numFmtId="168" fontId="125" fillId="0" borderId="40" xfId="0" applyNumberFormat="1" applyFont="1" applyBorder="1"/>
    <xf numFmtId="168" fontId="125" fillId="0" borderId="39" xfId="0" applyNumberFormat="1" applyFont="1" applyBorder="1"/>
    <xf numFmtId="0" fontId="122" fillId="0" borderId="0" xfId="0" applyFont="1"/>
    <xf numFmtId="0" fontId="121" fillId="0" borderId="0" xfId="0" applyFont="1"/>
    <xf numFmtId="168" fontId="121" fillId="0" borderId="0" xfId="0" applyNumberFormat="1" applyFont="1"/>
    <xf numFmtId="0" fontId="126" fillId="0" borderId="0" xfId="0" applyFont="1"/>
    <xf numFmtId="0" fontId="127" fillId="0" borderId="0" xfId="0" applyFont="1" applyAlignment="1">
      <alignment horizontal="centerContinuous"/>
    </xf>
    <xf numFmtId="0" fontId="121" fillId="0" borderId="0" xfId="0" applyFont="1" applyAlignment="1">
      <alignment horizontal="centerContinuous"/>
    </xf>
    <xf numFmtId="168" fontId="121" fillId="0" borderId="0" xfId="0" applyNumberFormat="1" applyFont="1" applyAlignment="1">
      <alignment horizontal="centerContinuous"/>
    </xf>
    <xf numFmtId="0" fontId="27" fillId="0" borderId="0" xfId="0" applyFont="1" applyAlignment="1">
      <alignment horizontal="center" vertical="center"/>
    </xf>
    <xf numFmtId="0" fontId="85" fillId="0" borderId="0" xfId="0" applyFont="1" applyAlignment="1">
      <alignment horizontal="center"/>
    </xf>
    <xf numFmtId="2" fontId="61" fillId="0" borderId="0" xfId="0" applyNumberFormat="1" applyFont="1" applyBorder="1" applyAlignment="1">
      <alignment horizontal="center" vertical="center"/>
    </xf>
    <xf numFmtId="2" fontId="0" fillId="0" borderId="0" xfId="0" applyNumberFormat="1" applyAlignment="1">
      <alignment vertical="center"/>
    </xf>
    <xf numFmtId="2" fontId="27" fillId="0" borderId="30" xfId="0" applyNumberFormat="1" applyFont="1" applyFill="1" applyBorder="1" applyAlignment="1">
      <alignment horizontal="center"/>
    </xf>
    <xf numFmtId="0" fontId="128" fillId="0" borderId="0" xfId="0" applyFont="1"/>
    <xf numFmtId="0" fontId="129" fillId="0" borderId="0" xfId="0" applyFont="1" applyBorder="1" applyAlignment="1">
      <alignment vertical="center"/>
    </xf>
    <xf numFmtId="0" fontId="128" fillId="0" borderId="0" xfId="0" applyFont="1" applyBorder="1" applyAlignment="1">
      <alignment vertical="center"/>
    </xf>
    <xf numFmtId="0" fontId="130" fillId="0" borderId="0" xfId="0" applyFont="1" applyBorder="1" applyAlignment="1">
      <alignment vertical="center"/>
    </xf>
    <xf numFmtId="0" fontId="128" fillId="0" borderId="0" xfId="0" applyFont="1" applyBorder="1"/>
    <xf numFmtId="0" fontId="132" fillId="0" borderId="0" xfId="0" applyFont="1" applyBorder="1"/>
    <xf numFmtId="0" fontId="133" fillId="0" borderId="0" xfId="0" applyFont="1" applyBorder="1" applyAlignment="1">
      <alignment horizontal="left"/>
    </xf>
    <xf numFmtId="0" fontId="130" fillId="0" borderId="0" xfId="0" applyFont="1"/>
    <xf numFmtId="2" fontId="134" fillId="0" borderId="0" xfId="0" applyNumberFormat="1" applyFont="1" applyBorder="1"/>
    <xf numFmtId="0" fontId="135" fillId="0" borderId="0" xfId="0" applyFont="1" applyAlignment="1">
      <alignment horizontal="left"/>
    </xf>
    <xf numFmtId="0" fontId="0" fillId="0" borderId="3" xfId="0" applyBorder="1" applyAlignment="1">
      <alignment horizontal="center" vertical="center"/>
    </xf>
    <xf numFmtId="0" fontId="138" fillId="0" borderId="0" xfId="0" applyFont="1" applyAlignment="1">
      <alignment vertical="center"/>
    </xf>
    <xf numFmtId="0" fontId="94" fillId="0" borderId="0" xfId="0" applyFont="1" applyAlignment="1">
      <alignment horizontal="left" vertical="center"/>
    </xf>
    <xf numFmtId="0" fontId="140" fillId="0" borderId="0" xfId="0" applyFont="1"/>
    <xf numFmtId="0" fontId="141" fillId="0" borderId="0" xfId="0" applyFont="1"/>
    <xf numFmtId="0" fontId="142" fillId="0" borderId="0" xfId="0" applyFont="1"/>
    <xf numFmtId="0" fontId="143" fillId="0" borderId="66" xfId="0" applyFont="1" applyBorder="1" applyAlignment="1">
      <alignment horizontal="center" vertical="center" wrapText="1"/>
    </xf>
    <xf numFmtId="0" fontId="144" fillId="0" borderId="66" xfId="0" applyFont="1" applyBorder="1" applyAlignment="1">
      <alignment horizontal="center" vertical="center" wrapText="1"/>
    </xf>
    <xf numFmtId="0" fontId="145" fillId="0" borderId="66" xfId="0" applyFont="1" applyBorder="1" applyAlignment="1">
      <alignment horizontal="center" vertical="center"/>
    </xf>
    <xf numFmtId="0" fontId="146" fillId="0" borderId="0" xfId="0" applyFont="1"/>
    <xf numFmtId="0" fontId="141" fillId="0" borderId="0" xfId="0" applyFont="1" applyBorder="1"/>
    <xf numFmtId="0" fontId="147" fillId="0" borderId="0" xfId="0" applyFont="1" applyAlignment="1">
      <alignment horizontal="center"/>
    </xf>
    <xf numFmtId="0" fontId="134" fillId="0" borderId="66" xfId="0" applyFont="1" applyBorder="1"/>
    <xf numFmtId="0" fontId="148" fillId="6" borderId="66" xfId="0" applyFont="1" applyFill="1" applyBorder="1" applyAlignment="1">
      <alignment horizontal="center"/>
    </xf>
    <xf numFmtId="1" fontId="149" fillId="0" borderId="66" xfId="0" applyNumberFormat="1" applyFont="1" applyFill="1" applyBorder="1" applyAlignment="1">
      <alignment horizontal="center"/>
    </xf>
    <xf numFmtId="3" fontId="150" fillId="0" borderId="66" xfId="0" applyNumberFormat="1" applyFont="1" applyBorder="1" applyAlignment="1">
      <alignment horizontal="center"/>
    </xf>
    <xf numFmtId="10" fontId="151" fillId="0" borderId="66" xfId="0" applyNumberFormat="1" applyFont="1" applyBorder="1" applyAlignment="1">
      <alignment horizontal="center"/>
    </xf>
    <xf numFmtId="0" fontId="141" fillId="0" borderId="3" xfId="0" applyFont="1" applyBorder="1"/>
    <xf numFmtId="0" fontId="0" fillId="0" borderId="3" xfId="0" applyBorder="1" applyAlignment="1">
      <alignment horizontal="center"/>
    </xf>
    <xf numFmtId="1" fontId="149" fillId="0" borderId="66" xfId="0" applyNumberFormat="1" applyFont="1" applyBorder="1" applyAlignment="1">
      <alignment horizontal="center"/>
    </xf>
    <xf numFmtId="0" fontId="13" fillId="0" borderId="9" xfId="0" applyFont="1" applyBorder="1"/>
    <xf numFmtId="3" fontId="150" fillId="0" borderId="3" xfId="0" applyNumberFormat="1" applyFont="1" applyBorder="1"/>
    <xf numFmtId="10" fontId="0" fillId="0" borderId="3" xfId="0" applyNumberFormat="1" applyBorder="1"/>
    <xf numFmtId="170" fontId="0" fillId="0" borderId="3" xfId="0" applyNumberFormat="1" applyBorder="1"/>
    <xf numFmtId="0" fontId="134" fillId="0" borderId="0" xfId="0" applyFont="1"/>
    <xf numFmtId="1" fontId="149" fillId="0" borderId="0" xfId="0" applyNumberFormat="1" applyFont="1" applyAlignment="1">
      <alignment horizontal="center"/>
    </xf>
    <xf numFmtId="0" fontId="152" fillId="0" borderId="0" xfId="0" applyFont="1" applyBorder="1" applyAlignment="1">
      <alignment horizontal="center"/>
    </xf>
    <xf numFmtId="10" fontId="151" fillId="0" borderId="0" xfId="0" applyNumberFormat="1" applyFont="1" applyBorder="1" applyAlignment="1">
      <alignment horizontal="center"/>
    </xf>
    <xf numFmtId="0" fontId="153" fillId="6" borderId="66" xfId="0" applyFont="1" applyFill="1" applyBorder="1" applyAlignment="1">
      <alignment horizontal="center"/>
    </xf>
    <xf numFmtId="0" fontId="154" fillId="0" borderId="0" xfId="0" applyFont="1" applyBorder="1"/>
    <xf numFmtId="1" fontId="147" fillId="0" borderId="0" xfId="0" applyNumberFormat="1" applyFont="1" applyBorder="1" applyAlignment="1">
      <alignment horizontal="center"/>
    </xf>
    <xf numFmtId="1" fontId="147" fillId="0" borderId="0" xfId="0" applyNumberFormat="1" applyFont="1" applyAlignment="1">
      <alignment horizontal="center"/>
    </xf>
    <xf numFmtId="0" fontId="13" fillId="0" borderId="0" xfId="0" applyFont="1" applyFill="1" applyBorder="1"/>
    <xf numFmtId="170" fontId="0" fillId="0" borderId="0" xfId="0" applyNumberFormat="1"/>
    <xf numFmtId="0" fontId="13" fillId="0" borderId="0" xfId="0" applyFont="1" applyFill="1" applyBorder="1" applyAlignment="1">
      <alignment horizontal="right"/>
    </xf>
    <xf numFmtId="0" fontId="134" fillId="0" borderId="3" xfId="0" applyFont="1" applyBorder="1"/>
    <xf numFmtId="170" fontId="134" fillId="0" borderId="3" xfId="0" applyNumberFormat="1" applyFont="1" applyBorder="1"/>
    <xf numFmtId="1" fontId="144" fillId="0" borderId="66" xfId="0" applyNumberFormat="1" applyFont="1" applyBorder="1" applyAlignment="1">
      <alignment horizontal="center" vertical="center" wrapText="1"/>
    </xf>
    <xf numFmtId="0" fontId="39" fillId="0" borderId="3" xfId="0" applyFont="1" applyBorder="1"/>
    <xf numFmtId="170" fontId="39" fillId="0" borderId="3" xfId="0" applyNumberFormat="1" applyFont="1" applyBorder="1"/>
    <xf numFmtId="0" fontId="20" fillId="0" borderId="3" xfId="0" applyFont="1" applyBorder="1"/>
    <xf numFmtId="170" fontId="20" fillId="0" borderId="3" xfId="0" applyNumberFormat="1" applyFont="1" applyBorder="1"/>
    <xf numFmtId="0" fontId="134" fillId="0" borderId="66" xfId="0" applyFont="1" applyBorder="1" applyAlignment="1">
      <alignment horizontal="left" vertical="center"/>
    </xf>
    <xf numFmtId="0" fontId="155" fillId="0" borderId="0" xfId="0" applyFont="1"/>
    <xf numFmtId="0" fontId="153" fillId="0" borderId="0" xfId="0" applyFont="1" applyFill="1" applyAlignment="1">
      <alignment horizontal="center"/>
    </xf>
    <xf numFmtId="1" fontId="156" fillId="0" borderId="0" xfId="0" applyNumberFormat="1" applyFont="1" applyAlignment="1">
      <alignment horizontal="center"/>
    </xf>
    <xf numFmtId="0" fontId="150" fillId="0" borderId="0" xfId="0" applyFont="1" applyBorder="1" applyAlignment="1">
      <alignment horizontal="center"/>
    </xf>
    <xf numFmtId="10" fontId="11" fillId="0" borderId="0" xfId="0" applyNumberFormat="1" applyFont="1" applyBorder="1" applyAlignment="1">
      <alignment horizontal="center"/>
    </xf>
    <xf numFmtId="0" fontId="13" fillId="0" borderId="9" xfId="0" applyFont="1" applyBorder="1" applyAlignment="1">
      <alignment horizontal="left" vertical="center"/>
    </xf>
    <xf numFmtId="10" fontId="0" fillId="0" borderId="4" xfId="0" applyNumberFormat="1" applyBorder="1"/>
    <xf numFmtId="0" fontId="0" fillId="0" borderId="22" xfId="0" applyBorder="1"/>
    <xf numFmtId="0" fontId="0" fillId="0" borderId="28" xfId="0" applyBorder="1"/>
    <xf numFmtId="0" fontId="13" fillId="0" borderId="0" xfId="0" applyFont="1" applyBorder="1" applyAlignment="1">
      <alignment horizontal="left" vertical="center"/>
    </xf>
    <xf numFmtId="3" fontId="150" fillId="0" borderId="24" xfId="0" applyNumberFormat="1" applyFont="1" applyBorder="1"/>
    <xf numFmtId="0" fontId="15" fillId="0" borderId="0" xfId="0" applyFont="1" applyBorder="1"/>
    <xf numFmtId="3" fontId="150" fillId="0" borderId="9" xfId="0" applyNumberFormat="1" applyFont="1" applyBorder="1"/>
    <xf numFmtId="0" fontId="13" fillId="0" borderId="0" xfId="0" applyFont="1" applyAlignment="1">
      <alignment horizontal="left" vertical="center"/>
    </xf>
    <xf numFmtId="0" fontId="16" fillId="0" borderId="0" xfId="0" applyFont="1"/>
    <xf numFmtId="1" fontId="0" fillId="0" borderId="0" xfId="0" applyNumberFormat="1"/>
    <xf numFmtId="0" fontId="13" fillId="0" borderId="3" xfId="0" applyFont="1" applyBorder="1"/>
    <xf numFmtId="0" fontId="157" fillId="0" borderId="0" xfId="0" applyFont="1" applyAlignment="1">
      <alignment horizontal="center"/>
    </xf>
    <xf numFmtId="0" fontId="158" fillId="0" borderId="0" xfId="0" applyFont="1"/>
    <xf numFmtId="0" fontId="150" fillId="0" borderId="0" xfId="0" applyFont="1" applyBorder="1" applyAlignment="1">
      <alignment horizontal="left"/>
    </xf>
    <xf numFmtId="0" fontId="160" fillId="0" borderId="0" xfId="0" applyFont="1"/>
    <xf numFmtId="4" fontId="161" fillId="0" borderId="0" xfId="0" applyNumberFormat="1" applyFont="1" applyBorder="1" applyAlignment="1">
      <alignment horizontal="center"/>
    </xf>
    <xf numFmtId="4" fontId="162" fillId="0" borderId="0" xfId="0" applyNumberFormat="1" applyFont="1" applyBorder="1" applyAlignment="1">
      <alignment horizontal="center"/>
    </xf>
    <xf numFmtId="0" fontId="159" fillId="0" borderId="0" xfId="0" applyFont="1"/>
    <xf numFmtId="0" fontId="163" fillId="0" borderId="0" xfId="0" applyFont="1"/>
    <xf numFmtId="0" fontId="164" fillId="0" borderId="0" xfId="0" applyFont="1"/>
    <xf numFmtId="167" fontId="165" fillId="0" borderId="0" xfId="0" applyNumberFormat="1" applyFont="1"/>
    <xf numFmtId="0" fontId="166" fillId="0" borderId="0" xfId="0" applyFont="1"/>
    <xf numFmtId="0" fontId="167" fillId="0" borderId="0" xfId="0" applyFont="1" applyBorder="1"/>
    <xf numFmtId="4" fontId="66" fillId="0" borderId="0" xfId="0" applyNumberFormat="1" applyFont="1" applyBorder="1" applyAlignment="1">
      <alignment horizontal="center"/>
    </xf>
    <xf numFmtId="0" fontId="168" fillId="0" borderId="0" xfId="0" applyFont="1" applyBorder="1"/>
    <xf numFmtId="0" fontId="159" fillId="0" borderId="12" xfId="0" applyFont="1" applyBorder="1"/>
    <xf numFmtId="0" fontId="169" fillId="0" borderId="16" xfId="0" applyFont="1" applyBorder="1"/>
    <xf numFmtId="166" fontId="18" fillId="0" borderId="1" xfId="0" applyNumberFormat="1" applyFont="1" applyBorder="1"/>
    <xf numFmtId="166" fontId="18" fillId="0" borderId="17" xfId="0" applyNumberFormat="1" applyFont="1" applyBorder="1"/>
    <xf numFmtId="0" fontId="39" fillId="4" borderId="26" xfId="0" applyFont="1" applyFill="1" applyBorder="1"/>
    <xf numFmtId="2" fontId="170" fillId="4" borderId="0" xfId="0" applyNumberFormat="1" applyFont="1" applyFill="1" applyBorder="1"/>
    <xf numFmtId="166" fontId="18" fillId="0" borderId="2" xfId="0" applyNumberFormat="1" applyFont="1" applyBorder="1"/>
    <xf numFmtId="0" fontId="15" fillId="0" borderId="26" xfId="0" applyFont="1" applyBorder="1"/>
    <xf numFmtId="166" fontId="18" fillId="0" borderId="0" xfId="0" applyNumberFormat="1" applyFont="1" applyBorder="1"/>
    <xf numFmtId="0" fontId="38" fillId="4" borderId="18" xfId="0" applyFont="1" applyFill="1" applyBorder="1"/>
    <xf numFmtId="166" fontId="171" fillId="4" borderId="27" xfId="0" applyNumberFormat="1" applyFont="1" applyFill="1" applyBorder="1"/>
    <xf numFmtId="166" fontId="18" fillId="0" borderId="19" xfId="0" applyNumberFormat="1" applyFont="1" applyBorder="1"/>
    <xf numFmtId="0" fontId="13" fillId="0" borderId="12" xfId="0" applyFont="1" applyBorder="1"/>
    <xf numFmtId="0" fontId="13" fillId="0" borderId="0" xfId="0" applyFont="1" applyAlignment="1">
      <alignment horizontal="center"/>
    </xf>
    <xf numFmtId="0" fontId="148" fillId="2" borderId="66" xfId="0" applyFont="1" applyFill="1" applyBorder="1" applyAlignment="1">
      <alignment horizontal="center"/>
    </xf>
    <xf numFmtId="0" fontId="172" fillId="0" borderId="0" xfId="0" applyFont="1"/>
    <xf numFmtId="4" fontId="57" fillId="0" borderId="6" xfId="0" applyNumberFormat="1" applyFont="1" applyBorder="1" applyAlignment="1">
      <alignment horizontal="center"/>
    </xf>
    <xf numFmtId="4" fontId="27" fillId="0" borderId="6" xfId="0" applyNumberFormat="1" applyFont="1" applyBorder="1" applyAlignment="1">
      <alignment horizontal="center"/>
    </xf>
    <xf numFmtId="4" fontId="57" fillId="0" borderId="12" xfId="0" applyNumberFormat="1" applyFont="1" applyBorder="1" applyAlignment="1">
      <alignment horizontal="center"/>
    </xf>
    <xf numFmtId="4" fontId="27" fillId="0" borderId="12" xfId="0" applyNumberFormat="1" applyFont="1" applyBorder="1" applyAlignment="1">
      <alignment horizontal="center"/>
    </xf>
    <xf numFmtId="4" fontId="23" fillId="0" borderId="12" xfId="0" applyNumberFormat="1" applyFont="1" applyBorder="1" applyAlignment="1">
      <alignment horizontal="center"/>
    </xf>
    <xf numFmtId="0" fontId="172" fillId="0" borderId="12" xfId="0" applyFont="1" applyBorder="1"/>
    <xf numFmtId="3" fontId="54" fillId="0" borderId="12" xfId="0" applyNumberFormat="1" applyFont="1" applyBorder="1"/>
    <xf numFmtId="3" fontId="27" fillId="0" borderId="12" xfId="0" applyNumberFormat="1" applyFont="1" applyBorder="1"/>
    <xf numFmtId="0" fontId="173" fillId="0" borderId="0" xfId="0" applyFont="1" applyAlignment="1">
      <alignment vertical="center"/>
    </xf>
    <xf numFmtId="0" fontId="174" fillId="0" borderId="0" xfId="0" applyFont="1" applyAlignment="1">
      <alignment vertical="center"/>
    </xf>
    <xf numFmtId="2" fontId="85" fillId="0" borderId="30" xfId="0" applyNumberFormat="1" applyFont="1" applyFill="1" applyBorder="1" applyAlignment="1">
      <alignment horizontal="right"/>
    </xf>
    <xf numFmtId="2" fontId="85" fillId="4" borderId="23" xfId="0" applyNumberFormat="1" applyFont="1" applyFill="1" applyBorder="1" applyAlignment="1">
      <alignment horizontal="right"/>
    </xf>
    <xf numFmtId="3" fontId="27" fillId="0" borderId="42" xfId="0" applyNumberFormat="1" applyFont="1" applyBorder="1" applyAlignment="1">
      <alignment vertical="center"/>
    </xf>
    <xf numFmtId="0" fontId="175" fillId="0" borderId="0" xfId="0" applyFont="1"/>
    <xf numFmtId="0" fontId="0" fillId="0" borderId="0" xfId="0" applyAlignment="1">
      <alignment horizontal="right"/>
    </xf>
    <xf numFmtId="4" fontId="23" fillId="0" borderId="0" xfId="0" applyNumberFormat="1" applyFont="1" applyBorder="1" applyAlignment="1">
      <alignment horizontal="center"/>
    </xf>
    <xf numFmtId="4" fontId="44" fillId="0" borderId="0" xfId="0" applyNumberFormat="1" applyFont="1" applyBorder="1" applyAlignment="1">
      <alignment horizontal="center"/>
    </xf>
    <xf numFmtId="4" fontId="30" fillId="0" borderId="0" xfId="0" applyNumberFormat="1" applyFont="1" applyBorder="1" applyAlignment="1">
      <alignment horizontal="center"/>
    </xf>
    <xf numFmtId="4" fontId="71" fillId="0" borderId="0" xfId="0" applyNumberFormat="1" applyFont="1" applyBorder="1" applyAlignment="1">
      <alignment horizontal="center"/>
    </xf>
    <xf numFmtId="4" fontId="30" fillId="0" borderId="0" xfId="0" applyNumberFormat="1" applyFont="1" applyBorder="1"/>
    <xf numFmtId="0" fontId="64" fillId="0" borderId="0" xfId="0" applyFont="1" applyAlignment="1">
      <alignment horizontal="left" vertical="center"/>
    </xf>
    <xf numFmtId="2" fontId="0" fillId="0" borderId="6" xfId="0" applyNumberFormat="1" applyBorder="1" applyAlignment="1">
      <alignment horizontal="center"/>
    </xf>
    <xf numFmtId="0" fontId="100" fillId="0" borderId="0" xfId="0" applyFont="1"/>
    <xf numFmtId="0" fontId="75" fillId="0" borderId="0" xfId="0" applyFont="1"/>
    <xf numFmtId="0" fontId="62" fillId="0" borderId="0" xfId="0" applyFont="1" applyBorder="1" applyAlignment="1">
      <alignment horizontal="right" vertical="center"/>
    </xf>
    <xf numFmtId="0" fontId="176" fillId="0" borderId="0" xfId="0" applyFont="1"/>
    <xf numFmtId="0" fontId="27" fillId="0" borderId="71" xfId="0" applyFont="1" applyBorder="1"/>
    <xf numFmtId="0" fontId="177" fillId="0" borderId="0" xfId="0" applyFont="1" applyBorder="1" applyAlignment="1">
      <alignment horizontal="center"/>
    </xf>
    <xf numFmtId="0" fontId="32" fillId="0" borderId="0" xfId="0" applyFont="1" applyAlignment="1">
      <alignment vertical="center" wrapText="1"/>
    </xf>
    <xf numFmtId="0" fontId="27" fillId="0" borderId="71" xfId="0" quotePrefix="1" applyFont="1" applyBorder="1"/>
    <xf numFmtId="171" fontId="179" fillId="0" borderId="72" xfId="0" applyNumberFormat="1" applyFont="1" applyBorder="1"/>
    <xf numFmtId="0" fontId="180" fillId="0" borderId="0" xfId="0" applyFont="1" applyAlignment="1">
      <alignment horizontal="center"/>
    </xf>
    <xf numFmtId="0" fontId="181" fillId="0" borderId="0" xfId="0" applyFont="1" applyAlignment="1">
      <alignment horizontal="center"/>
    </xf>
    <xf numFmtId="0" fontId="182" fillId="0" borderId="0" xfId="0" applyFont="1" applyAlignment="1">
      <alignment horizontal="center"/>
    </xf>
    <xf numFmtId="0" fontId="184" fillId="0" borderId="0" xfId="0" applyFont="1" applyAlignment="1">
      <alignment horizontal="center" vertical="center"/>
    </xf>
    <xf numFmtId="0" fontId="185" fillId="0" borderId="73" xfId="0" applyFont="1" applyBorder="1" applyAlignment="1">
      <alignment horizontal="right"/>
    </xf>
    <xf numFmtId="0" fontId="0" fillId="0" borderId="74" xfId="0" applyBorder="1"/>
    <xf numFmtId="0" fontId="0" fillId="0" borderId="57" xfId="0" applyBorder="1"/>
    <xf numFmtId="0" fontId="179" fillId="0" borderId="0" xfId="0" applyFont="1"/>
    <xf numFmtId="0" fontId="179" fillId="0" borderId="0" xfId="0" applyFont="1" applyAlignment="1">
      <alignment horizontal="right"/>
    </xf>
    <xf numFmtId="0" fontId="179" fillId="0" borderId="0" xfId="0" applyFont="1" applyBorder="1"/>
    <xf numFmtId="0" fontId="188" fillId="0" borderId="0" xfId="0" applyFont="1"/>
    <xf numFmtId="0" fontId="179" fillId="0" borderId="78" xfId="0" applyFont="1" applyBorder="1"/>
    <xf numFmtId="0" fontId="179" fillId="0" borderId="79" xfId="0" applyFont="1" applyBorder="1" applyAlignment="1">
      <alignment horizontal="center"/>
    </xf>
    <xf numFmtId="0" fontId="179" fillId="0" borderId="80" xfId="0" applyFont="1" applyBorder="1" applyAlignment="1">
      <alignment horizontal="center"/>
    </xf>
    <xf numFmtId="0" fontId="179" fillId="0" borderId="72" xfId="0" applyFont="1" applyBorder="1" applyAlignment="1">
      <alignment horizontal="center"/>
    </xf>
    <xf numFmtId="0" fontId="179" fillId="0" borderId="81" xfId="0" applyFont="1" applyBorder="1" applyAlignment="1">
      <alignment horizontal="center"/>
    </xf>
    <xf numFmtId="0" fontId="179" fillId="0" borderId="82" xfId="0" applyFont="1" applyBorder="1"/>
    <xf numFmtId="0" fontId="172" fillId="0" borderId="3" xfId="3" applyBorder="1" applyAlignment="1">
      <alignment horizontal="center"/>
    </xf>
    <xf numFmtId="0" fontId="141" fillId="0" borderId="4" xfId="3" applyFont="1" applyBorder="1"/>
    <xf numFmtId="0" fontId="141" fillId="0" borderId="3" xfId="3" applyFont="1" applyBorder="1"/>
    <xf numFmtId="0" fontId="15" fillId="0" borderId="3" xfId="3" applyFont="1" applyBorder="1"/>
    <xf numFmtId="0" fontId="15" fillId="0" borderId="3" xfId="3" applyFont="1" applyBorder="1" applyAlignment="1">
      <alignment horizontal="center"/>
    </xf>
    <xf numFmtId="0" fontId="179" fillId="0" borderId="3" xfId="0" applyFont="1" applyBorder="1"/>
    <xf numFmtId="0" fontId="0" fillId="0" borderId="83" xfId="0" applyBorder="1"/>
    <xf numFmtId="1" fontId="190" fillId="0" borderId="72" xfId="4" applyNumberFormat="1" applyFont="1" applyBorder="1"/>
    <xf numFmtId="0" fontId="190" fillId="0" borderId="0" xfId="0" applyFont="1"/>
    <xf numFmtId="171" fontId="190" fillId="0" borderId="0" xfId="0" applyNumberFormat="1" applyFont="1"/>
    <xf numFmtId="0" fontId="191" fillId="0" borderId="0" xfId="0" applyFont="1"/>
    <xf numFmtId="0" fontId="192" fillId="0" borderId="72" xfId="0" applyFont="1" applyBorder="1" applyAlignment="1">
      <alignment horizontal="center" vertical="center"/>
    </xf>
    <xf numFmtId="10" fontId="39" fillId="0" borderId="66" xfId="3" applyNumberFormat="1" applyFont="1" applyBorder="1" applyAlignment="1">
      <alignment horizontal="center" vertical="center"/>
    </xf>
    <xf numFmtId="0" fontId="172" fillId="0" borderId="4" xfId="3" applyBorder="1"/>
    <xf numFmtId="0" fontId="172" fillId="0" borderId="3" xfId="3" applyBorder="1"/>
    <xf numFmtId="43" fontId="172" fillId="0" borderId="3" xfId="2" applyFont="1" applyBorder="1"/>
    <xf numFmtId="10" fontId="172" fillId="0" borderId="3" xfId="3" applyNumberFormat="1" applyBorder="1"/>
    <xf numFmtId="0" fontId="172" fillId="0" borderId="83" xfId="3" applyNumberFormat="1" applyBorder="1"/>
    <xf numFmtId="0" fontId="193" fillId="0" borderId="83" xfId="0" applyFont="1" applyBorder="1" applyAlignment="1">
      <alignment horizontal="center"/>
    </xf>
    <xf numFmtId="171" fontId="179" fillId="0" borderId="0" xfId="0" applyNumberFormat="1" applyFont="1"/>
    <xf numFmtId="0" fontId="194" fillId="0" borderId="0" xfId="0" applyFont="1" applyAlignment="1">
      <alignment horizontal="center"/>
    </xf>
    <xf numFmtId="43" fontId="195" fillId="0" borderId="0" xfId="2" applyFont="1" applyBorder="1"/>
    <xf numFmtId="0" fontId="0" fillId="0" borderId="0" xfId="0" applyNumberFormat="1" applyBorder="1"/>
    <xf numFmtId="0" fontId="193" fillId="0" borderId="22" xfId="0" applyFont="1" applyBorder="1" applyAlignment="1">
      <alignment horizontal="center"/>
    </xf>
    <xf numFmtId="0" fontId="193" fillId="0" borderId="0" xfId="0" applyFont="1" applyBorder="1" applyAlignment="1">
      <alignment horizontal="center"/>
    </xf>
    <xf numFmtId="171" fontId="179" fillId="0" borderId="72" xfId="1" applyNumberFormat="1" applyFont="1" applyBorder="1"/>
    <xf numFmtId="171" fontId="190" fillId="0" borderId="0" xfId="4" applyNumberFormat="1" applyFont="1"/>
    <xf numFmtId="0" fontId="194" fillId="0" borderId="0" xfId="0" applyFont="1" applyAlignment="1">
      <alignment horizontal="center" vertical="center"/>
    </xf>
    <xf numFmtId="0" fontId="196" fillId="0" borderId="0" xfId="0" applyFont="1"/>
    <xf numFmtId="171" fontId="0" fillId="0" borderId="0" xfId="0" applyNumberFormat="1"/>
    <xf numFmtId="171" fontId="195" fillId="0" borderId="0" xfId="4" applyNumberFormat="1" applyFont="1"/>
    <xf numFmtId="10" fontId="172" fillId="0" borderId="9" xfId="3" applyNumberFormat="1" applyBorder="1"/>
    <xf numFmtId="172" fontId="190" fillId="0" borderId="0" xfId="0" applyNumberFormat="1" applyFont="1"/>
    <xf numFmtId="1" fontId="193" fillId="0" borderId="0" xfId="0" applyNumberFormat="1" applyFont="1" applyFill="1" applyBorder="1" applyAlignment="1">
      <alignment horizontal="center"/>
    </xf>
    <xf numFmtId="0" fontId="193" fillId="0" borderId="28" xfId="0" applyFont="1" applyBorder="1" applyAlignment="1">
      <alignment horizontal="center"/>
    </xf>
    <xf numFmtId="0" fontId="197" fillId="0" borderId="0" xfId="0" applyFont="1" applyAlignment="1">
      <alignment horizontal="left"/>
    </xf>
    <xf numFmtId="0" fontId="13" fillId="0" borderId="0" xfId="3" applyFont="1" applyFill="1" applyBorder="1"/>
    <xf numFmtId="0" fontId="172" fillId="0" borderId="0" xfId="3"/>
    <xf numFmtId="0" fontId="187" fillId="0" borderId="9" xfId="0" applyFont="1" applyBorder="1" applyAlignment="1">
      <alignment wrapText="1"/>
    </xf>
    <xf numFmtId="0" fontId="16" fillId="0" borderId="8" xfId="0" applyFont="1" applyBorder="1" applyAlignment="1"/>
    <xf numFmtId="0" fontId="16" fillId="0" borderId="4" xfId="0" applyFont="1" applyBorder="1" applyAlignment="1"/>
    <xf numFmtId="0" fontId="198" fillId="0" borderId="9" xfId="0" applyFont="1" applyBorder="1" applyAlignment="1">
      <alignment wrapText="1"/>
    </xf>
    <xf numFmtId="0" fontId="137" fillId="0" borderId="8" xfId="0" applyFont="1" applyBorder="1" applyAlignment="1">
      <alignment wrapText="1"/>
    </xf>
    <xf numFmtId="0" fontId="137" fillId="0" borderId="4" xfId="0" applyFont="1" applyBorder="1" applyAlignment="1">
      <alignment wrapText="1"/>
    </xf>
    <xf numFmtId="0" fontId="199" fillId="0" borderId="9" xfId="0" applyFont="1" applyBorder="1" applyAlignment="1">
      <alignment wrapText="1"/>
    </xf>
    <xf numFmtId="0" fontId="16" fillId="0" borderId="8" xfId="0" applyFont="1" applyBorder="1" applyAlignment="1">
      <alignment wrapText="1"/>
    </xf>
    <xf numFmtId="0" fontId="16" fillId="0" borderId="4" xfId="0" applyFont="1" applyBorder="1" applyAlignment="1">
      <alignment wrapText="1"/>
    </xf>
    <xf numFmtId="0" fontId="0" fillId="0" borderId="0" xfId="0" applyFill="1" applyBorder="1"/>
    <xf numFmtId="0" fontId="187" fillId="0" borderId="9" xfId="0" applyFont="1" applyBorder="1" applyAlignment="1"/>
    <xf numFmtId="0" fontId="0" fillId="0" borderId="22" xfId="0" applyFill="1" applyBorder="1" applyAlignment="1">
      <alignment horizontal="center" vertical="center"/>
    </xf>
    <xf numFmtId="0" fontId="0" fillId="0" borderId="0" xfId="0" applyAlignment="1"/>
    <xf numFmtId="0" fontId="200" fillId="0" borderId="0" xfId="0" applyFont="1"/>
    <xf numFmtId="1" fontId="190" fillId="0" borderId="80" xfId="4" applyNumberFormat="1" applyFont="1" applyBorder="1"/>
    <xf numFmtId="0" fontId="201" fillId="0" borderId="0" xfId="0" applyFont="1"/>
    <xf numFmtId="3" fontId="61" fillId="0" borderId="0" xfId="0" applyNumberFormat="1" applyFont="1" applyBorder="1" applyAlignment="1">
      <alignment vertical="center"/>
    </xf>
    <xf numFmtId="4" fontId="30" fillId="0" borderId="6" xfId="0" applyNumberFormat="1" applyFont="1" applyBorder="1" applyAlignment="1">
      <alignment horizontal="center"/>
    </xf>
    <xf numFmtId="4" fontId="30" fillId="0" borderId="5" xfId="0" applyNumberFormat="1" applyFont="1" applyBorder="1"/>
    <xf numFmtId="4" fontId="172" fillId="0" borderId="4" xfId="3" applyNumberFormat="1" applyBorder="1"/>
    <xf numFmtId="0" fontId="15" fillId="0" borderId="0" xfId="0" applyFont="1" applyFill="1" applyBorder="1"/>
    <xf numFmtId="0" fontId="203" fillId="0" borderId="0" xfId="0" applyFont="1"/>
    <xf numFmtId="0" fontId="108" fillId="2" borderId="0" xfId="0" applyFont="1" applyFill="1" applyBorder="1" applyAlignment="1">
      <alignment horizontal="center"/>
    </xf>
    <xf numFmtId="0" fontId="115" fillId="0" borderId="3" xfId="0" applyFont="1" applyFill="1" applyBorder="1" applyAlignment="1">
      <alignment vertical="center"/>
    </xf>
    <xf numFmtId="43" fontId="115" fillId="0" borderId="3" xfId="1" applyFont="1" applyFill="1" applyBorder="1" applyAlignment="1">
      <alignment horizontal="left" vertical="center"/>
    </xf>
    <xf numFmtId="9" fontId="115" fillId="0" borderId="3" xfId="6" applyFont="1" applyFill="1" applyBorder="1" applyAlignment="1">
      <alignment horizontal="center" vertical="center"/>
    </xf>
    <xf numFmtId="168" fontId="115" fillId="0" borderId="3" xfId="0" applyNumberFormat="1" applyFont="1" applyFill="1" applyBorder="1" applyAlignment="1">
      <alignment vertical="center"/>
    </xf>
    <xf numFmtId="0" fontId="112" fillId="7" borderId="0" xfId="0" applyFont="1" applyFill="1" applyBorder="1" applyAlignment="1">
      <alignment horizontal="center"/>
    </xf>
    <xf numFmtId="0" fontId="112" fillId="7" borderId="26" xfId="0" applyFont="1" applyFill="1" applyBorder="1" applyAlignment="1">
      <alignment horizontal="center"/>
    </xf>
    <xf numFmtId="0" fontId="112" fillId="7" borderId="22" xfId="0" applyFont="1" applyFill="1" applyBorder="1" applyAlignment="1">
      <alignment horizontal="center"/>
    </xf>
    <xf numFmtId="0" fontId="110" fillId="7" borderId="0" xfId="0" applyFont="1" applyFill="1" applyBorder="1"/>
    <xf numFmtId="0" fontId="115" fillId="0" borderId="24" xfId="0" applyFont="1" applyFill="1" applyBorder="1" applyAlignment="1">
      <alignment vertical="center"/>
    </xf>
    <xf numFmtId="0" fontId="0" fillId="7" borderId="9" xfId="0" applyFill="1" applyBorder="1"/>
    <xf numFmtId="0" fontId="8" fillId="7" borderId="4" xfId="0" applyFont="1" applyFill="1" applyBorder="1" applyAlignment="1">
      <alignment horizontal="right" vertical="center"/>
    </xf>
    <xf numFmtId="0" fontId="211" fillId="7" borderId="26" xfId="0" applyFont="1" applyFill="1" applyBorder="1" applyAlignment="1">
      <alignment horizontal="center"/>
    </xf>
    <xf numFmtId="43" fontId="212" fillId="7" borderId="4" xfId="0" applyNumberFormat="1" applyFont="1" applyFill="1" applyBorder="1" applyAlignment="1">
      <alignment horizontal="right" vertical="center"/>
    </xf>
    <xf numFmtId="9" fontId="212" fillId="7" borderId="3" xfId="6" applyFont="1" applyFill="1" applyBorder="1" applyAlignment="1">
      <alignment horizontal="center" vertical="center"/>
    </xf>
    <xf numFmtId="0" fontId="213" fillId="0" borderId="3" xfId="0" applyFont="1" applyFill="1" applyBorder="1" applyAlignment="1">
      <alignment vertical="center"/>
    </xf>
    <xf numFmtId="0" fontId="213" fillId="0" borderId="24" xfId="0" applyFont="1" applyFill="1" applyBorder="1" applyAlignment="1">
      <alignment vertical="center"/>
    </xf>
    <xf numFmtId="0" fontId="109" fillId="7" borderId="24" xfId="0" applyFont="1" applyFill="1" applyBorder="1" applyAlignment="1">
      <alignment vertical="center"/>
    </xf>
    <xf numFmtId="0" fontId="110" fillId="7" borderId="1" xfId="0" applyFont="1" applyFill="1" applyBorder="1"/>
    <xf numFmtId="0" fontId="111" fillId="7" borderId="16" xfId="0" applyFont="1" applyFill="1" applyBorder="1"/>
    <xf numFmtId="0" fontId="111" fillId="7" borderId="24" xfId="0" applyFont="1" applyFill="1" applyBorder="1"/>
    <xf numFmtId="0" fontId="111" fillId="7" borderId="1" xfId="0" applyFont="1" applyFill="1" applyBorder="1"/>
    <xf numFmtId="0" fontId="111" fillId="7" borderId="17" xfId="0" applyFont="1" applyFill="1" applyBorder="1"/>
    <xf numFmtId="0" fontId="112" fillId="7" borderId="22" xfId="0" applyFont="1" applyFill="1" applyBorder="1" applyAlignment="1">
      <alignment horizontal="center" vertical="center"/>
    </xf>
    <xf numFmtId="0" fontId="112" fillId="7" borderId="2" xfId="0" applyFont="1" applyFill="1" applyBorder="1" applyAlignment="1">
      <alignment horizontal="center"/>
    </xf>
    <xf numFmtId="0" fontId="109" fillId="7" borderId="22" xfId="0" applyFont="1" applyFill="1" applyBorder="1" applyAlignment="1">
      <alignment vertical="center"/>
    </xf>
    <xf numFmtId="0" fontId="206" fillId="7" borderId="28" xfId="0" applyFont="1" applyFill="1" applyBorder="1" applyAlignment="1">
      <alignment vertical="center"/>
    </xf>
    <xf numFmtId="0" fontId="207" fillId="7" borderId="27" xfId="0" applyFont="1" applyFill="1" applyBorder="1"/>
    <xf numFmtId="0" fontId="209" fillId="7" borderId="18" xfId="0" applyFont="1" applyFill="1" applyBorder="1" applyAlignment="1">
      <alignment horizontal="center" vertical="center"/>
    </xf>
    <xf numFmtId="0" fontId="208" fillId="7" borderId="28" xfId="0" applyFont="1" applyFill="1" applyBorder="1"/>
    <xf numFmtId="0" fontId="205" fillId="7" borderId="27" xfId="0" applyFont="1" applyFill="1" applyBorder="1" applyAlignment="1">
      <alignment horizontal="center" vertical="center"/>
    </xf>
    <xf numFmtId="0" fontId="111" fillId="7" borderId="28" xfId="0" applyFont="1" applyFill="1" applyBorder="1" applyAlignment="1">
      <alignment horizontal="center" vertical="center"/>
    </xf>
    <xf numFmtId="0" fontId="205" fillId="7" borderId="19" xfId="0" applyFont="1" applyFill="1" applyBorder="1" applyAlignment="1">
      <alignment horizontal="center" vertical="center"/>
    </xf>
    <xf numFmtId="0" fontId="11" fillId="0" borderId="0" xfId="0" applyFont="1"/>
    <xf numFmtId="0" fontId="28" fillId="0" borderId="0" xfId="0" applyFont="1" applyBorder="1"/>
    <xf numFmtId="0" fontId="27" fillId="0" borderId="32" xfId="0" applyFont="1" applyBorder="1"/>
    <xf numFmtId="3" fontId="27" fillId="0" borderId="2" xfId="0" applyNumberFormat="1" applyFont="1" applyBorder="1"/>
    <xf numFmtId="2" fontId="85" fillId="0" borderId="2" xfId="0" applyNumberFormat="1" applyFont="1" applyBorder="1" applyAlignment="1">
      <alignment horizontal="right"/>
    </xf>
    <xf numFmtId="2" fontId="69" fillId="4" borderId="2" xfId="0" applyNumberFormat="1" applyFont="1" applyFill="1" applyBorder="1"/>
    <xf numFmtId="3" fontId="27" fillId="0" borderId="0" xfId="0" applyNumberFormat="1" applyFont="1" applyFill="1" applyBorder="1"/>
    <xf numFmtId="3" fontId="11" fillId="0" borderId="0" xfId="0" applyNumberFormat="1" applyFont="1"/>
    <xf numFmtId="0" fontId="204" fillId="0" borderId="0" xfId="10"/>
    <xf numFmtId="3" fontId="13" fillId="0" borderId="0" xfId="0" applyNumberFormat="1" applyFont="1" applyFill="1" applyAlignment="1">
      <alignment vertical="center"/>
    </xf>
    <xf numFmtId="3" fontId="0" fillId="0" borderId="3" xfId="0" applyNumberFormat="1" applyBorder="1"/>
    <xf numFmtId="3" fontId="0" fillId="0" borderId="4" xfId="0" applyNumberFormat="1" applyBorder="1"/>
    <xf numFmtId="0" fontId="0" fillId="0" borderId="0" xfId="0" applyAlignment="1"/>
    <xf numFmtId="0" fontId="0" fillId="0" borderId="24" xfId="0" applyBorder="1"/>
    <xf numFmtId="0" fontId="0" fillId="0" borderId="3" xfId="0" applyBorder="1" applyAlignment="1"/>
    <xf numFmtId="0" fontId="214" fillId="0" borderId="0" xfId="0" applyFont="1"/>
    <xf numFmtId="0" fontId="15" fillId="0" borderId="9" xfId="0" applyFont="1" applyFill="1" applyBorder="1"/>
    <xf numFmtId="3" fontId="27" fillId="0" borderId="0" xfId="0" applyNumberFormat="1" applyFont="1" applyFill="1"/>
    <xf numFmtId="3" fontId="0" fillId="0" borderId="0" xfId="0" applyNumberFormat="1"/>
    <xf numFmtId="3" fontId="27" fillId="0" borderId="0" xfId="0" applyNumberFormat="1" applyFont="1" applyBorder="1"/>
    <xf numFmtId="3" fontId="0" fillId="0" borderId="0" xfId="0" applyNumberFormat="1" applyBorder="1"/>
    <xf numFmtId="3" fontId="92" fillId="0" borderId="35" xfId="0" applyNumberFormat="1" applyFont="1" applyFill="1" applyBorder="1" applyAlignment="1">
      <alignment vertical="center"/>
    </xf>
    <xf numFmtId="10" fontId="29" fillId="0" borderId="11" xfId="0" applyNumberFormat="1" applyFont="1" applyBorder="1"/>
    <xf numFmtId="10" fontId="27" fillId="0" borderId="10" xfId="0" applyNumberFormat="1" applyFont="1" applyBorder="1"/>
    <xf numFmtId="0" fontId="215" fillId="0" borderId="0" xfId="0" applyFont="1" applyAlignment="1">
      <alignment horizontal="center" readingOrder="1"/>
    </xf>
    <xf numFmtId="0" fontId="0" fillId="0" borderId="0" xfId="0"/>
    <xf numFmtId="0" fontId="214" fillId="0" borderId="88" xfId="0" applyFont="1" applyBorder="1" applyAlignment="1">
      <alignment vertical="center"/>
    </xf>
    <xf numFmtId="0" fontId="214" fillId="0" borderId="46" xfId="0" applyFont="1" applyBorder="1" applyAlignment="1">
      <alignment vertical="center"/>
    </xf>
    <xf numFmtId="0" fontId="0" fillId="0" borderId="91" xfId="0" applyBorder="1"/>
    <xf numFmtId="0" fontId="0" fillId="0" borderId="92" xfId="0" applyBorder="1"/>
    <xf numFmtId="0" fontId="0" fillId="0" borderId="93" xfId="0" applyBorder="1"/>
    <xf numFmtId="0" fontId="0" fillId="0" borderId="94" xfId="0" applyBorder="1"/>
    <xf numFmtId="0" fontId="216" fillId="0" borderId="0" xfId="0" applyFont="1" applyBorder="1"/>
    <xf numFmtId="0" fontId="0" fillId="0" borderId="95" xfId="0" applyBorder="1"/>
    <xf numFmtId="0" fontId="15" fillId="0" borderId="0" xfId="0" applyFont="1" applyBorder="1" applyAlignment="1">
      <alignment horizontal="center"/>
    </xf>
    <xf numFmtId="0" fontId="0" fillId="0" borderId="96" xfId="0" applyBorder="1"/>
    <xf numFmtId="0" fontId="0" fillId="0" borderId="97" xfId="0" applyBorder="1"/>
    <xf numFmtId="0" fontId="0" fillId="0" borderId="98" xfId="0" applyBorder="1"/>
    <xf numFmtId="0" fontId="0" fillId="0" borderId="0" xfId="0" applyBorder="1" applyAlignment="1">
      <alignment horizontal="center"/>
    </xf>
    <xf numFmtId="0" fontId="0" fillId="0" borderId="0" xfId="0" applyAlignment="1"/>
    <xf numFmtId="0" fontId="8" fillId="0" borderId="0" xfId="0" applyFont="1"/>
    <xf numFmtId="0" fontId="0" fillId="0" borderId="0" xfId="0" applyBorder="1"/>
    <xf numFmtId="0" fontId="0" fillId="9" borderId="0" xfId="0" applyFill="1"/>
    <xf numFmtId="0" fontId="0" fillId="8" borderId="3" xfId="0" applyFill="1" applyBorder="1"/>
    <xf numFmtId="0" fontId="0" fillId="9" borderId="3" xfId="0" applyFill="1" applyBorder="1"/>
    <xf numFmtId="0" fontId="0" fillId="8" borderId="0" xfId="0" applyFill="1"/>
    <xf numFmtId="0" fontId="0" fillId="0" borderId="3" xfId="0" applyBorder="1"/>
    <xf numFmtId="0" fontId="0" fillId="0" borderId="0" xfId="0"/>
    <xf numFmtId="0" fontId="15" fillId="0" borderId="3" xfId="0" applyFont="1" applyBorder="1" applyAlignment="1">
      <alignment horizontal="right"/>
    </xf>
    <xf numFmtId="2" fontId="220" fillId="0" borderId="3" xfId="0" applyNumberFormat="1" applyFont="1" applyBorder="1"/>
    <xf numFmtId="0" fontId="220" fillId="0" borderId="3" xfId="0" applyFont="1" applyBorder="1"/>
    <xf numFmtId="0" fontId="30" fillId="0" borderId="0" xfId="0" quotePrefix="1" applyFont="1" applyFill="1"/>
    <xf numFmtId="0" fontId="30" fillId="0" borderId="0" xfId="0" applyFont="1" applyFill="1"/>
    <xf numFmtId="0" fontId="77" fillId="0" borderId="0" xfId="0" applyFont="1" applyFill="1" applyAlignment="1">
      <alignment horizontal="left"/>
    </xf>
    <xf numFmtId="0" fontId="77" fillId="0" borderId="0" xfId="0" applyFont="1" applyFill="1"/>
    <xf numFmtId="0" fontId="222" fillId="0" borderId="0" xfId="0" applyFont="1"/>
    <xf numFmtId="0" fontId="223" fillId="0" borderId="0" xfId="0" applyFont="1"/>
    <xf numFmtId="3" fontId="222" fillId="0" borderId="0" xfId="0" applyNumberFormat="1" applyFont="1" applyAlignment="1">
      <alignment horizontal="left"/>
    </xf>
    <xf numFmtId="0" fontId="222" fillId="0" borderId="0" xfId="0" applyFont="1" applyAlignment="1">
      <alignment horizontal="left"/>
    </xf>
    <xf numFmtId="0" fontId="79" fillId="0" borderId="0" xfId="0" applyFont="1" applyFill="1"/>
    <xf numFmtId="3" fontId="79" fillId="0" borderId="0" xfId="0" applyNumberFormat="1" applyFont="1" applyFill="1"/>
    <xf numFmtId="0" fontId="30" fillId="0" borderId="0" xfId="0" applyFont="1" applyFill="1" applyAlignment="1">
      <alignment horizontal="left"/>
    </xf>
    <xf numFmtId="4" fontId="34" fillId="0" borderId="0" xfId="0" applyNumberFormat="1" applyFont="1" applyAlignment="1">
      <alignment vertical="center"/>
    </xf>
    <xf numFmtId="4" fontId="13" fillId="0" borderId="0" xfId="0" applyNumberFormat="1" applyFont="1"/>
    <xf numFmtId="3" fontId="34" fillId="0" borderId="0" xfId="0" applyNumberFormat="1" applyFont="1" applyAlignment="1">
      <alignment vertical="center"/>
    </xf>
    <xf numFmtId="2" fontId="11" fillId="0" borderId="0" xfId="0" applyNumberFormat="1" applyFont="1" applyAlignment="1">
      <alignment vertical="center"/>
    </xf>
    <xf numFmtId="2" fontId="11" fillId="0" borderId="0" xfId="0" applyNumberFormat="1" applyFont="1"/>
    <xf numFmtId="1" fontId="27" fillId="0" borderId="0" xfId="0" applyNumberFormat="1" applyFont="1" applyBorder="1" applyAlignment="1">
      <alignment horizontal="center"/>
    </xf>
    <xf numFmtId="171" fontId="179" fillId="0" borderId="72" xfId="0" applyNumberFormat="1" applyFont="1" applyBorder="1" applyAlignment="1">
      <alignment horizontal="center" vertical="center"/>
    </xf>
    <xf numFmtId="171" fontId="190" fillId="0" borderId="0" xfId="4" applyNumberFormat="1" applyFont="1" applyAlignment="1">
      <alignment horizontal="center" vertical="center"/>
    </xf>
    <xf numFmtId="171" fontId="195" fillId="0" borderId="0" xfId="4" applyNumberFormat="1" applyFont="1" applyAlignment="1">
      <alignment horizontal="center" vertical="center"/>
    </xf>
    <xf numFmtId="171" fontId="190" fillId="0" borderId="0" xfId="0" applyNumberFormat="1" applyFont="1" applyAlignment="1">
      <alignment horizontal="center" vertical="center"/>
    </xf>
    <xf numFmtId="0" fontId="191" fillId="0" borderId="79" xfId="0" applyFont="1" applyBorder="1" applyAlignment="1">
      <alignment horizontal="center"/>
    </xf>
    <xf numFmtId="0" fontId="27" fillId="10" borderId="0" xfId="0" applyFont="1" applyFill="1"/>
    <xf numFmtId="0" fontId="30" fillId="10" borderId="0" xfId="0" applyFont="1" applyFill="1"/>
    <xf numFmtId="3" fontId="27" fillId="0" borderId="0" xfId="0" applyNumberFormat="1" applyFont="1" applyBorder="1" applyAlignment="1">
      <alignment vertical="center"/>
    </xf>
    <xf numFmtId="3" fontId="27" fillId="0" borderId="28" xfId="0" applyNumberFormat="1" applyFont="1" applyBorder="1" applyAlignment="1">
      <alignment horizontal="right"/>
    </xf>
    <xf numFmtId="3" fontId="27" fillId="0" borderId="1" xfId="0" applyNumberFormat="1" applyFont="1" applyBorder="1"/>
    <xf numFmtId="3" fontId="27" fillId="0" borderId="28" xfId="0" applyNumberFormat="1" applyFont="1" applyBorder="1"/>
    <xf numFmtId="9" fontId="27" fillId="0" borderId="32" xfId="0" quotePrefix="1" applyNumberFormat="1" applyFont="1" applyBorder="1"/>
    <xf numFmtId="9" fontId="27" fillId="0" borderId="32" xfId="0" applyNumberFormat="1" applyFont="1" applyBorder="1"/>
    <xf numFmtId="9" fontId="102" fillId="0" borderId="32" xfId="0" applyNumberFormat="1" applyFont="1" applyBorder="1"/>
    <xf numFmtId="3" fontId="27" fillId="0" borderId="32" xfId="0" applyNumberFormat="1" applyFont="1" applyBorder="1"/>
    <xf numFmtId="165" fontId="27" fillId="0" borderId="32" xfId="0" applyNumberFormat="1" applyFont="1" applyBorder="1" applyAlignment="1">
      <alignment horizontal="center"/>
    </xf>
    <xf numFmtId="3" fontId="27" fillId="0" borderId="61" xfId="0" applyNumberFormat="1" applyFont="1" applyBorder="1" applyAlignment="1">
      <alignment horizontal="center"/>
    </xf>
    <xf numFmtId="10" fontId="27" fillId="0" borderId="22" xfId="0" applyNumberFormat="1" applyFont="1" applyBorder="1" applyAlignment="1">
      <alignment horizontal="center"/>
    </xf>
    <xf numFmtId="1" fontId="27" fillId="0" borderId="30" xfId="0" applyNumberFormat="1" applyFont="1" applyBorder="1" applyAlignment="1">
      <alignment horizontal="center"/>
    </xf>
    <xf numFmtId="0" fontId="27" fillId="0" borderId="30" xfId="0" applyNumberFormat="1" applyFont="1" applyBorder="1"/>
    <xf numFmtId="3" fontId="27" fillId="0" borderId="30" xfId="0" applyNumberFormat="1" applyFont="1" applyBorder="1" applyAlignment="1">
      <alignment horizontal="center"/>
    </xf>
    <xf numFmtId="1" fontId="224" fillId="10" borderId="30" xfId="0" applyNumberFormat="1" applyFont="1" applyFill="1" applyBorder="1" applyAlignment="1">
      <alignment horizontal="center"/>
    </xf>
    <xf numFmtId="3" fontId="27" fillId="0" borderId="39" xfId="0" applyNumberFormat="1" applyFont="1" applyBorder="1" applyAlignment="1">
      <alignment horizontal="center"/>
    </xf>
    <xf numFmtId="1" fontId="27" fillId="10" borderId="32" xfId="0" applyNumberFormat="1" applyFont="1" applyFill="1" applyBorder="1" applyAlignment="1">
      <alignment horizontal="center"/>
    </xf>
    <xf numFmtId="1" fontId="27" fillId="10" borderId="22" xfId="0" applyNumberFormat="1" applyFont="1" applyFill="1" applyBorder="1" applyAlignment="1">
      <alignment horizontal="center"/>
    </xf>
    <xf numFmtId="1" fontId="27" fillId="10" borderId="30" xfId="0" applyNumberFormat="1" applyFont="1" applyFill="1" applyBorder="1" applyAlignment="1">
      <alignment horizontal="center"/>
    </xf>
    <xf numFmtId="0" fontId="225" fillId="3" borderId="0" xfId="0" applyFont="1" applyFill="1"/>
    <xf numFmtId="3" fontId="225" fillId="3" borderId="22" xfId="0" applyNumberFormat="1" applyFont="1" applyFill="1" applyBorder="1" applyAlignment="1">
      <alignment horizontal="right"/>
    </xf>
    <xf numFmtId="0" fontId="81" fillId="10" borderId="51" xfId="0" applyFont="1" applyFill="1" applyBorder="1" applyAlignment="1">
      <alignment vertical="center"/>
    </xf>
    <xf numFmtId="3" fontId="81" fillId="10" borderId="3" xfId="0" applyNumberFormat="1" applyFont="1" applyFill="1" applyBorder="1" applyAlignment="1">
      <alignment vertical="center"/>
    </xf>
    <xf numFmtId="4" fontId="81" fillId="10" borderId="3" xfId="0" applyNumberFormat="1" applyFont="1" applyFill="1" applyBorder="1" applyAlignment="1">
      <alignment horizontal="center" vertical="center"/>
    </xf>
    <xf numFmtId="4" fontId="81" fillId="10" borderId="33" xfId="0" applyNumberFormat="1" applyFont="1" applyFill="1" applyBorder="1" applyAlignment="1">
      <alignment horizontal="center" vertical="center"/>
    </xf>
    <xf numFmtId="0" fontId="81" fillId="11" borderId="21" xfId="0" applyFont="1" applyFill="1" applyBorder="1" applyAlignment="1">
      <alignment vertical="center"/>
    </xf>
    <xf numFmtId="3" fontId="81" fillId="11" borderId="24" xfId="0" applyNumberFormat="1" applyFont="1" applyFill="1" applyBorder="1" applyAlignment="1">
      <alignment vertical="center"/>
    </xf>
    <xf numFmtId="4" fontId="81" fillId="11" borderId="24" xfId="0" applyNumberFormat="1" applyFont="1" applyFill="1" applyBorder="1" applyAlignment="1">
      <alignment horizontal="center" vertical="center"/>
    </xf>
    <xf numFmtId="3" fontId="81" fillId="11" borderId="2" xfId="0" applyNumberFormat="1" applyFont="1" applyFill="1" applyBorder="1" applyAlignment="1">
      <alignment vertical="center"/>
    </xf>
    <xf numFmtId="4" fontId="81" fillId="11" borderId="22" xfId="0" applyNumberFormat="1" applyFont="1" applyFill="1" applyBorder="1" applyAlignment="1">
      <alignment horizontal="center" vertical="center"/>
    </xf>
    <xf numFmtId="4" fontId="81" fillId="11" borderId="25" xfId="0" applyNumberFormat="1" applyFont="1" applyFill="1" applyBorder="1" applyAlignment="1">
      <alignment horizontal="center" vertical="center"/>
    </xf>
    <xf numFmtId="0" fontId="225" fillId="11" borderId="51" xfId="0" applyFont="1" applyFill="1" applyBorder="1" applyAlignment="1">
      <alignment vertical="center"/>
    </xf>
    <xf numFmtId="3" fontId="225" fillId="11" borderId="3" xfId="0" applyNumberFormat="1" applyFont="1" applyFill="1" applyBorder="1" applyAlignment="1">
      <alignment vertical="center"/>
    </xf>
    <xf numFmtId="4" fontId="225" fillId="11" borderId="3" xfId="0" applyNumberFormat="1" applyFont="1" applyFill="1" applyBorder="1" applyAlignment="1">
      <alignment horizontal="center" vertical="center"/>
    </xf>
    <xf numFmtId="4" fontId="225" fillId="11" borderId="33" xfId="0" applyNumberFormat="1" applyFont="1" applyFill="1" applyBorder="1" applyAlignment="1">
      <alignment horizontal="center" vertical="center"/>
    </xf>
    <xf numFmtId="0" fontId="27" fillId="10" borderId="36" xfId="0" applyFont="1" applyFill="1" applyBorder="1"/>
    <xf numFmtId="3" fontId="27" fillId="10" borderId="24" xfId="0" applyNumberFormat="1" applyFont="1" applyFill="1" applyBorder="1" applyAlignment="1">
      <alignment vertical="center"/>
    </xf>
    <xf numFmtId="4" fontId="27" fillId="10" borderId="24" xfId="0" applyNumberFormat="1" applyFont="1" applyFill="1" applyBorder="1" applyAlignment="1">
      <alignment horizontal="center" vertical="center"/>
    </xf>
    <xf numFmtId="4" fontId="27" fillId="10" borderId="37" xfId="0" applyNumberFormat="1" applyFont="1" applyFill="1" applyBorder="1" applyAlignment="1">
      <alignment horizontal="center" vertical="center"/>
    </xf>
    <xf numFmtId="0" fontId="225" fillId="11" borderId="51" xfId="0" applyFont="1" applyFill="1" applyBorder="1"/>
    <xf numFmtId="3" fontId="225" fillId="11" borderId="3" xfId="0" applyNumberFormat="1" applyFont="1" applyFill="1" applyBorder="1"/>
    <xf numFmtId="4" fontId="225" fillId="11" borderId="3" xfId="0" applyNumberFormat="1" applyFont="1" applyFill="1" applyBorder="1" applyAlignment="1">
      <alignment horizontal="center"/>
    </xf>
    <xf numFmtId="4" fontId="225" fillId="11" borderId="33" xfId="0" applyNumberFormat="1" applyFont="1" applyFill="1" applyBorder="1" applyAlignment="1">
      <alignment horizontal="center"/>
    </xf>
    <xf numFmtId="3" fontId="226" fillId="11" borderId="22" xfId="0" applyNumberFormat="1" applyFont="1" applyFill="1" applyBorder="1"/>
    <xf numFmtId="4" fontId="226" fillId="11" borderId="22" xfId="0" applyNumberFormat="1" applyFont="1" applyFill="1" applyBorder="1" applyAlignment="1">
      <alignment horizontal="center"/>
    </xf>
    <xf numFmtId="4" fontId="226" fillId="11" borderId="23" xfId="0" applyNumberFormat="1" applyFont="1" applyFill="1" applyBorder="1" applyAlignment="1">
      <alignment horizontal="center"/>
    </xf>
    <xf numFmtId="0" fontId="226" fillId="11" borderId="21" xfId="0" applyFont="1" applyFill="1" applyBorder="1" applyAlignment="1"/>
    <xf numFmtId="2" fontId="227" fillId="0" borderId="0" xfId="0" applyNumberFormat="1" applyFont="1" applyBorder="1"/>
    <xf numFmtId="3" fontId="18" fillId="0" borderId="0" xfId="0" applyNumberFormat="1" applyFont="1" applyAlignment="1">
      <alignment horizontal="left"/>
    </xf>
    <xf numFmtId="49" fontId="15" fillId="0" borderId="0" xfId="0" applyNumberFormat="1" applyFont="1"/>
    <xf numFmtId="0" fontId="0" fillId="0" borderId="0" xfId="0"/>
    <xf numFmtId="0" fontId="0" fillId="0" borderId="3" xfId="0" applyBorder="1"/>
    <xf numFmtId="0" fontId="0" fillId="12" borderId="3" xfId="0" applyFill="1" applyBorder="1"/>
    <xf numFmtId="0" fontId="0" fillId="12" borderId="0" xfId="0" applyFill="1"/>
    <xf numFmtId="0" fontId="0" fillId="0" borderId="99" xfId="0" applyBorder="1"/>
    <xf numFmtId="0" fontId="15" fillId="0" borderId="3" xfId="10" applyFont="1" applyBorder="1"/>
    <xf numFmtId="0" fontId="204" fillId="0" borderId="4" xfId="10" applyBorder="1"/>
    <xf numFmtId="0" fontId="15" fillId="0" borderId="16" xfId="10" applyFont="1" applyFill="1" applyBorder="1"/>
    <xf numFmtId="0" fontId="0" fillId="0" borderId="17" xfId="0" applyBorder="1"/>
    <xf numFmtId="0" fontId="15" fillId="0" borderId="9" xfId="10" applyFont="1" applyBorder="1"/>
    <xf numFmtId="0" fontId="204" fillId="0" borderId="8" xfId="10" applyBorder="1"/>
    <xf numFmtId="0" fontId="15" fillId="13" borderId="3" xfId="0" applyFont="1" applyFill="1" applyBorder="1"/>
    <xf numFmtId="0" fontId="0" fillId="13" borderId="3" xfId="0" applyFill="1" applyBorder="1"/>
    <xf numFmtId="0" fontId="15" fillId="14" borderId="3" xfId="0" applyFont="1" applyFill="1" applyBorder="1"/>
    <xf numFmtId="0" fontId="0" fillId="14" borderId="3" xfId="0" applyFill="1" applyBorder="1"/>
    <xf numFmtId="0" fontId="8" fillId="0" borderId="91" xfId="0" applyFont="1" applyBorder="1"/>
    <xf numFmtId="0" fontId="8" fillId="0" borderId="94" xfId="0" applyFont="1" applyBorder="1"/>
    <xf numFmtId="0" fontId="214" fillId="0" borderId="3" xfId="0" applyFont="1" applyBorder="1"/>
    <xf numFmtId="0" fontId="8" fillId="0" borderId="3" xfId="0" applyFont="1" applyBorder="1" applyAlignment="1">
      <alignment horizontal="center" wrapText="1"/>
    </xf>
    <xf numFmtId="0" fontId="0" fillId="0" borderId="3" xfId="0" applyBorder="1" applyAlignment="1">
      <alignment horizontal="center"/>
    </xf>
    <xf numFmtId="0" fontId="15" fillId="0" borderId="3" xfId="0" applyFont="1" applyBorder="1" applyAlignment="1">
      <alignment horizontal="center"/>
    </xf>
    <xf numFmtId="0" fontId="219" fillId="0" borderId="1" xfId="0" applyFont="1" applyBorder="1" applyAlignment="1">
      <alignment horizontal="center"/>
    </xf>
    <xf numFmtId="0" fontId="217" fillId="0" borderId="92" xfId="0" applyFont="1" applyBorder="1" applyAlignment="1">
      <alignment horizontal="center" vertical="center"/>
    </xf>
    <xf numFmtId="0" fontId="217" fillId="0" borderId="0" xfId="0" applyFont="1" applyBorder="1" applyAlignment="1">
      <alignment horizontal="center" vertical="center"/>
    </xf>
    <xf numFmtId="0" fontId="8" fillId="0" borderId="3" xfId="0" applyFont="1" applyBorder="1" applyAlignment="1">
      <alignment horizontal="center"/>
    </xf>
    <xf numFmtId="3" fontId="214" fillId="0" borderId="3" xfId="0" applyNumberFormat="1" applyFont="1" applyBorder="1" applyAlignment="1">
      <alignment horizontal="center" vertical="center"/>
    </xf>
    <xf numFmtId="0" fontId="214" fillId="0" borderId="3" xfId="0" applyFont="1" applyBorder="1" applyAlignment="1">
      <alignment horizontal="center" vertical="center"/>
    </xf>
    <xf numFmtId="4" fontId="214" fillId="0" borderId="3" xfId="0" applyNumberFormat="1" applyFont="1" applyBorder="1" applyAlignment="1">
      <alignment horizontal="center" vertical="center"/>
    </xf>
    <xf numFmtId="2" fontId="214" fillId="0" borderId="3" xfId="0" applyNumberFormat="1" applyFont="1" applyBorder="1" applyAlignment="1">
      <alignment horizontal="center" vertical="center"/>
    </xf>
    <xf numFmtId="0" fontId="218" fillId="0" borderId="16" xfId="0" applyFont="1" applyBorder="1" applyAlignment="1">
      <alignment horizontal="center" vertical="center"/>
    </xf>
    <xf numFmtId="0" fontId="218" fillId="0" borderId="17" xfId="0" applyFont="1" applyBorder="1" applyAlignment="1">
      <alignment horizontal="center" vertical="center"/>
    </xf>
    <xf numFmtId="0" fontId="218" fillId="0" borderId="26" xfId="0" applyFont="1" applyBorder="1" applyAlignment="1">
      <alignment horizontal="center" vertical="center"/>
    </xf>
    <xf numFmtId="0" fontId="218" fillId="0" borderId="2" xfId="0" applyFont="1" applyBorder="1" applyAlignment="1">
      <alignment horizontal="center" vertical="center"/>
    </xf>
    <xf numFmtId="0" fontId="218" fillId="0" borderId="18" xfId="0" applyFont="1" applyBorder="1" applyAlignment="1">
      <alignment horizontal="center" vertical="center"/>
    </xf>
    <xf numFmtId="0" fontId="218" fillId="0" borderId="19" xfId="0" applyFont="1" applyBorder="1" applyAlignment="1">
      <alignment horizontal="center" vertical="center"/>
    </xf>
    <xf numFmtId="0" fontId="8" fillId="0" borderId="16"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0"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19" xfId="0" applyFont="1" applyBorder="1" applyAlignment="1">
      <alignment horizontal="center" vertical="center" wrapText="1"/>
    </xf>
    <xf numFmtId="0" fontId="15" fillId="0" borderId="94" xfId="0" applyFont="1" applyBorder="1" applyAlignment="1">
      <alignment horizontal="center" wrapText="1"/>
    </xf>
    <xf numFmtId="0" fontId="0" fillId="0" borderId="0" xfId="0" applyBorder="1" applyAlignment="1">
      <alignment horizontal="center" wrapText="1"/>
    </xf>
    <xf numFmtId="0" fontId="0" fillId="0" borderId="94" xfId="0" applyBorder="1" applyAlignment="1">
      <alignment horizontal="center" wrapText="1"/>
    </xf>
    <xf numFmtId="0" fontId="15" fillId="0" borderId="0" xfId="0" applyFont="1" applyBorder="1" applyAlignment="1">
      <alignment horizontal="center"/>
    </xf>
    <xf numFmtId="0" fontId="0" fillId="0" borderId="0" xfId="0" applyBorder="1" applyAlignment="1">
      <alignment horizontal="center"/>
    </xf>
    <xf numFmtId="3" fontId="214" fillId="0" borderId="87" xfId="0" applyNumberFormat="1" applyFont="1" applyBorder="1" applyAlignment="1">
      <alignment horizontal="center" vertical="center"/>
    </xf>
    <xf numFmtId="0" fontId="214" fillId="0" borderId="45" xfId="0" applyFont="1" applyBorder="1" applyAlignment="1">
      <alignment horizontal="center" vertical="center"/>
    </xf>
    <xf numFmtId="3" fontId="214" fillId="0" borderId="89" xfId="0" applyNumberFormat="1" applyFont="1" applyBorder="1" applyAlignment="1">
      <alignment horizontal="center" vertical="center"/>
    </xf>
    <xf numFmtId="0" fontId="214" fillId="0" borderId="90" xfId="0" applyFont="1" applyBorder="1" applyAlignment="1">
      <alignment horizontal="center" vertical="center"/>
    </xf>
    <xf numFmtId="0" fontId="214" fillId="0" borderId="89" xfId="0" applyFont="1" applyBorder="1" applyAlignment="1">
      <alignment horizontal="center" vertical="center"/>
    </xf>
    <xf numFmtId="0" fontId="15" fillId="8" borderId="3" xfId="0" applyFont="1" applyFill="1" applyBorder="1" applyAlignment="1">
      <alignment horizontal="center"/>
    </xf>
    <xf numFmtId="0" fontId="0" fillId="8" borderId="3" xfId="0" applyFill="1" applyBorder="1" applyAlignment="1">
      <alignment horizontal="center"/>
    </xf>
    <xf numFmtId="0" fontId="15" fillId="9" borderId="3" xfId="0" applyFont="1" applyFill="1" applyBorder="1" applyAlignment="1">
      <alignment horizontal="center"/>
    </xf>
    <xf numFmtId="0" fontId="0" fillId="9" borderId="3" xfId="0" applyFill="1" applyBorder="1" applyAlignment="1">
      <alignment horizontal="center"/>
    </xf>
    <xf numFmtId="0" fontId="15" fillId="12" borderId="3" xfId="0" applyFont="1" applyFill="1" applyBorder="1" applyAlignment="1">
      <alignment horizontal="center"/>
    </xf>
    <xf numFmtId="0" fontId="0" fillId="12" borderId="3" xfId="0" applyFill="1" applyBorder="1" applyAlignment="1">
      <alignment horizontal="center"/>
    </xf>
    <xf numFmtId="0" fontId="15" fillId="13" borderId="3" xfId="0" applyFont="1" applyFill="1" applyBorder="1" applyAlignment="1">
      <alignment horizontal="center" wrapText="1"/>
    </xf>
    <xf numFmtId="0" fontId="0" fillId="13" borderId="3" xfId="0" applyFill="1" applyBorder="1" applyAlignment="1">
      <alignment horizontal="center" wrapText="1"/>
    </xf>
    <xf numFmtId="0" fontId="15" fillId="14" borderId="3" xfId="0" applyFont="1" applyFill="1" applyBorder="1" applyAlignment="1">
      <alignment horizontal="center" wrapText="1"/>
    </xf>
    <xf numFmtId="0" fontId="0" fillId="14" borderId="3" xfId="0" applyFill="1" applyBorder="1" applyAlignment="1">
      <alignment horizontal="center" wrapText="1"/>
    </xf>
    <xf numFmtId="0" fontId="21" fillId="0" borderId="0" xfId="0" applyFont="1" applyBorder="1" applyAlignment="1">
      <alignment horizontal="center"/>
    </xf>
    <xf numFmtId="0" fontId="23" fillId="0" borderId="0" xfId="0" applyFont="1" applyAlignment="1">
      <alignment horizontal="left"/>
    </xf>
    <xf numFmtId="0" fontId="47" fillId="0" borderId="0" xfId="0" applyFont="1" applyBorder="1" applyAlignment="1">
      <alignment horizontal="center" vertical="center"/>
    </xf>
    <xf numFmtId="4" fontId="72" fillId="0" borderId="0" xfId="0" applyNumberFormat="1" applyFont="1" applyBorder="1" applyAlignment="1">
      <alignment horizontal="center" vertical="center"/>
    </xf>
    <xf numFmtId="0" fontId="30" fillId="0" borderId="17" xfId="0" applyFont="1" applyBorder="1" applyAlignment="1">
      <alignment horizontal="center" vertical="center"/>
    </xf>
    <xf numFmtId="0" fontId="30" fillId="0" borderId="19" xfId="0" applyFont="1" applyBorder="1" applyAlignment="1">
      <alignment horizontal="center" vertical="center"/>
    </xf>
    <xf numFmtId="0" fontId="210" fillId="2" borderId="67" xfId="0" applyFont="1" applyFill="1" applyBorder="1" applyAlignment="1">
      <alignment horizontal="center"/>
    </xf>
    <xf numFmtId="0" fontId="0" fillId="0" borderId="67" xfId="0" applyBorder="1" applyAlignment="1">
      <alignment horizontal="center"/>
    </xf>
    <xf numFmtId="3" fontId="69" fillId="4" borderId="9" xfId="0" applyNumberFormat="1" applyFont="1" applyFill="1" applyBorder="1" applyAlignment="1">
      <alignment horizontal="center" vertical="center"/>
    </xf>
    <xf numFmtId="3" fontId="69" fillId="4" borderId="4" xfId="0" applyNumberFormat="1" applyFont="1" applyFill="1" applyBorder="1" applyAlignment="1">
      <alignment horizontal="center" vertical="center"/>
    </xf>
    <xf numFmtId="3" fontId="33" fillId="3" borderId="18" xfId="0" applyNumberFormat="1" applyFont="1" applyFill="1" applyBorder="1" applyAlignment="1">
      <alignment horizontal="center" vertical="center"/>
    </xf>
    <xf numFmtId="3" fontId="33" fillId="3" borderId="19" xfId="0" applyNumberFormat="1" applyFont="1" applyFill="1" applyBorder="1" applyAlignment="1">
      <alignment horizontal="center" vertical="center"/>
    </xf>
    <xf numFmtId="0" fontId="179" fillId="0" borderId="0" xfId="0" applyFont="1" applyBorder="1" applyAlignment="1">
      <alignment horizontal="center"/>
    </xf>
    <xf numFmtId="1" fontId="178" fillId="0" borderId="84" xfId="0" applyNumberFormat="1" applyFont="1" applyBorder="1" applyAlignment="1">
      <alignment horizontal="center"/>
    </xf>
    <xf numFmtId="0" fontId="178" fillId="0" borderId="85" xfId="0" applyFont="1" applyBorder="1" applyAlignment="1">
      <alignment horizontal="center"/>
    </xf>
    <xf numFmtId="0" fontId="178" fillId="0" borderId="86" xfId="0" applyFont="1" applyBorder="1" applyAlignment="1">
      <alignment horizontal="center"/>
    </xf>
    <xf numFmtId="0" fontId="178" fillId="0" borderId="84" xfId="0" applyFont="1" applyBorder="1" applyAlignment="1">
      <alignment horizontal="center"/>
    </xf>
    <xf numFmtId="0" fontId="0" fillId="0" borderId="16" xfId="0" applyFont="1" applyBorder="1" applyAlignment="1">
      <alignment horizontal="center" vertical="center" wrapText="1"/>
    </xf>
    <xf numFmtId="0" fontId="0" fillId="0" borderId="1" xfId="0" applyFont="1" applyBorder="1" applyAlignment="1">
      <alignment horizontal="center" vertical="center" wrapText="1"/>
    </xf>
    <xf numFmtId="0" fontId="0" fillId="0" borderId="17" xfId="0" applyFont="1" applyBorder="1" applyAlignment="1">
      <alignment horizontal="center" vertical="center" wrapText="1"/>
    </xf>
    <xf numFmtId="0" fontId="0" fillId="0" borderId="26" xfId="0" applyFont="1" applyBorder="1" applyAlignment="1">
      <alignment horizontal="center" vertical="center" wrapText="1"/>
    </xf>
    <xf numFmtId="0" fontId="0" fillId="0" borderId="0" xfId="0" applyFont="1" applyBorder="1" applyAlignment="1">
      <alignment horizontal="center" vertical="center" wrapText="1"/>
    </xf>
    <xf numFmtId="0" fontId="0" fillId="0" borderId="2" xfId="0" applyFont="1" applyBorder="1" applyAlignment="1">
      <alignment horizontal="center" vertical="center" wrapText="1"/>
    </xf>
    <xf numFmtId="0" fontId="0" fillId="0" borderId="18" xfId="0" applyFont="1" applyBorder="1" applyAlignment="1">
      <alignment horizontal="center" vertical="center" wrapText="1"/>
    </xf>
    <xf numFmtId="0" fontId="0" fillId="0" borderId="27" xfId="0" applyFont="1" applyBorder="1" applyAlignment="1">
      <alignment horizontal="center" vertical="center" wrapText="1"/>
    </xf>
    <xf numFmtId="0" fontId="0" fillId="0" borderId="19" xfId="0" applyFont="1" applyBorder="1" applyAlignment="1">
      <alignment horizontal="center" vertical="center" wrapText="1"/>
    </xf>
    <xf numFmtId="0" fontId="0" fillId="0" borderId="0" xfId="0" applyAlignment="1"/>
    <xf numFmtId="0" fontId="183" fillId="0" borderId="0" xfId="0" applyFont="1" applyAlignment="1"/>
    <xf numFmtId="0" fontId="179" fillId="0" borderId="24" xfId="0" applyFont="1" applyBorder="1" applyAlignment="1">
      <alignment horizontal="center" wrapText="1"/>
    </xf>
    <xf numFmtId="0" fontId="179" fillId="0" borderId="28" xfId="0" applyFont="1" applyBorder="1" applyAlignment="1">
      <alignment horizontal="center" wrapText="1"/>
    </xf>
    <xf numFmtId="0" fontId="179" fillId="0" borderId="75" xfId="0" applyFont="1" applyBorder="1" applyAlignment="1">
      <alignment horizontal="center"/>
    </xf>
    <xf numFmtId="0" fontId="179" fillId="0" borderId="76" xfId="0" applyFont="1" applyBorder="1" applyAlignment="1">
      <alignment horizontal="center"/>
    </xf>
    <xf numFmtId="0" fontId="179" fillId="0" borderId="77" xfId="0" applyFont="1" applyBorder="1" applyAlignment="1">
      <alignment horizontal="center"/>
    </xf>
    <xf numFmtId="0" fontId="189" fillId="0" borderId="78" xfId="0" applyFont="1" applyBorder="1" applyAlignment="1">
      <alignment horizontal="center" wrapText="1"/>
    </xf>
    <xf numFmtId="0" fontId="189" fillId="0" borderId="82" xfId="0" applyFont="1" applyBorder="1" applyAlignment="1">
      <alignment horizontal="center" wrapText="1"/>
    </xf>
    <xf numFmtId="0" fontId="106" fillId="0" borderId="0" xfId="0" applyFont="1" applyAlignment="1">
      <alignment horizontal="center"/>
    </xf>
    <xf numFmtId="0" fontId="108" fillId="2" borderId="67" xfId="0" applyFont="1" applyFill="1" applyBorder="1" applyAlignment="1">
      <alignment horizontal="center"/>
    </xf>
    <xf numFmtId="0" fontId="131" fillId="0" borderId="0" xfId="0" applyFont="1" applyBorder="1" applyAlignment="1">
      <alignment horizontal="center"/>
    </xf>
    <xf numFmtId="0" fontId="136" fillId="0" borderId="3" xfId="0" applyFont="1" applyBorder="1" applyAlignment="1">
      <alignment wrapText="1"/>
    </xf>
    <xf numFmtId="0" fontId="16" fillId="0" borderId="3" xfId="0" applyFont="1" applyBorder="1" applyAlignment="1">
      <alignment wrapText="1"/>
    </xf>
    <xf numFmtId="0" fontId="137" fillId="0" borderId="3" xfId="0" applyFont="1" applyBorder="1" applyAlignment="1">
      <alignment wrapText="1"/>
    </xf>
    <xf numFmtId="0" fontId="139" fillId="0" borderId="3" xfId="0" applyFont="1" applyBorder="1" applyAlignment="1">
      <alignment wrapText="1"/>
    </xf>
    <xf numFmtId="0" fontId="134" fillId="0" borderId="68" xfId="0" applyFont="1" applyBorder="1" applyAlignment="1">
      <alignment horizontal="center" vertical="center" wrapText="1"/>
    </xf>
    <xf numFmtId="0" fontId="134" fillId="0" borderId="69" xfId="0" applyFont="1" applyBorder="1" applyAlignment="1">
      <alignment horizontal="center" vertical="center" wrapText="1"/>
    </xf>
    <xf numFmtId="0" fontId="134" fillId="0" borderId="70" xfId="0" applyFont="1" applyBorder="1" applyAlignment="1">
      <alignment horizontal="center" vertical="center" wrapText="1"/>
    </xf>
    <xf numFmtId="0" fontId="159" fillId="0" borderId="0" xfId="0" applyFont="1" applyAlignment="1">
      <alignment horizontal="center"/>
    </xf>
  </cellXfs>
  <cellStyles count="175">
    <cellStyle name="Milliers" xfId="1" builtinId="3"/>
    <cellStyle name="Milliers 2" xfId="7"/>
    <cellStyle name="Milliers 3" xfId="11"/>
    <cellStyle name="Milliers 4" xfId="2"/>
    <cellStyle name="Milliers 5" xfId="16"/>
    <cellStyle name="Monétaire 2" xfId="14"/>
    <cellStyle name="Monétaire 2 2" xfId="23"/>
    <cellStyle name="Monétaire 2 2 2" xfId="33"/>
    <cellStyle name="Monétaire 2 2 2 2" xfId="53"/>
    <cellStyle name="Monétaire 2 2 2 2 2" xfId="93"/>
    <cellStyle name="Monétaire 2 2 2 2 2 2" xfId="173"/>
    <cellStyle name="Monétaire 2 2 2 2 3" xfId="133"/>
    <cellStyle name="Monétaire 2 2 2 3" xfId="73"/>
    <cellStyle name="Monétaire 2 2 2 3 2" xfId="153"/>
    <cellStyle name="Monétaire 2 2 2 4" xfId="113"/>
    <cellStyle name="Monétaire 2 2 3" xfId="43"/>
    <cellStyle name="Monétaire 2 2 3 2" xfId="83"/>
    <cellStyle name="Monétaire 2 2 3 2 2" xfId="163"/>
    <cellStyle name="Monétaire 2 2 3 3" xfId="123"/>
    <cellStyle name="Monétaire 2 2 4" xfId="63"/>
    <cellStyle name="Monétaire 2 2 4 2" xfId="143"/>
    <cellStyle name="Monétaire 2 2 5" xfId="103"/>
    <cellStyle name="Monétaire 2 3" xfId="27"/>
    <cellStyle name="Monétaire 2 3 2" xfId="47"/>
    <cellStyle name="Monétaire 2 3 2 2" xfId="87"/>
    <cellStyle name="Monétaire 2 3 2 2 2" xfId="167"/>
    <cellStyle name="Monétaire 2 3 2 3" xfId="127"/>
    <cellStyle name="Monétaire 2 3 3" xfId="67"/>
    <cellStyle name="Monétaire 2 3 3 2" xfId="147"/>
    <cellStyle name="Monétaire 2 3 4" xfId="107"/>
    <cellStyle name="Monétaire 2 4" xfId="37"/>
    <cellStyle name="Monétaire 2 4 2" xfId="77"/>
    <cellStyle name="Monétaire 2 4 2 2" xfId="157"/>
    <cellStyle name="Monétaire 2 4 3" xfId="117"/>
    <cellStyle name="Monétaire 2 5" xfId="57"/>
    <cellStyle name="Monétaire 2 5 2" xfId="137"/>
    <cellStyle name="Monétaire 2 6" xfId="97"/>
    <cellStyle name="Monétaire 3" xfId="20"/>
    <cellStyle name="Monétaire 3 2" xfId="30"/>
    <cellStyle name="Monétaire 3 2 2" xfId="50"/>
    <cellStyle name="Monétaire 3 2 2 2" xfId="90"/>
    <cellStyle name="Monétaire 3 2 2 2 2" xfId="170"/>
    <cellStyle name="Monétaire 3 2 2 3" xfId="130"/>
    <cellStyle name="Monétaire 3 2 3" xfId="70"/>
    <cellStyle name="Monétaire 3 2 3 2" xfId="150"/>
    <cellStyle name="Monétaire 3 2 4" xfId="110"/>
    <cellStyle name="Monétaire 3 3" xfId="40"/>
    <cellStyle name="Monétaire 3 3 2" xfId="80"/>
    <cellStyle name="Monétaire 3 3 2 2" xfId="160"/>
    <cellStyle name="Monétaire 3 3 3" xfId="120"/>
    <cellStyle name="Monétaire 3 4" xfId="60"/>
    <cellStyle name="Monétaire 3 4 2" xfId="140"/>
    <cellStyle name="Monétaire 3 5" xfId="100"/>
    <cellStyle name="Normal" xfId="0" builtinId="0"/>
    <cellStyle name="Normal 2" xfId="10"/>
    <cellStyle name="Normal 2 2" xfId="3"/>
    <cellStyle name="Normal 2 2 2" xfId="8"/>
    <cellStyle name="Normal 3" xfId="5"/>
    <cellStyle name="Normal 4" xfId="9"/>
    <cellStyle name="Normal 4 2" xfId="18"/>
    <cellStyle name="Normal 4 2 2" xfId="24"/>
    <cellStyle name="Normal 4 2 2 2" xfId="34"/>
    <cellStyle name="Normal 4 2 2 2 2" xfId="54"/>
    <cellStyle name="Normal 4 2 2 2 2 2" xfId="94"/>
    <cellStyle name="Normal 4 2 2 2 2 2 2" xfId="174"/>
    <cellStyle name="Normal 4 2 2 2 2 3" xfId="134"/>
    <cellStyle name="Normal 4 2 2 2 3" xfId="74"/>
    <cellStyle name="Normal 4 2 2 2 3 2" xfId="154"/>
    <cellStyle name="Normal 4 2 2 2 4" xfId="114"/>
    <cellStyle name="Normal 4 2 2 3" xfId="44"/>
    <cellStyle name="Normal 4 2 2 3 2" xfId="84"/>
    <cellStyle name="Normal 4 2 2 3 2 2" xfId="164"/>
    <cellStyle name="Normal 4 2 2 3 3" xfId="124"/>
    <cellStyle name="Normal 4 2 2 4" xfId="64"/>
    <cellStyle name="Normal 4 2 2 4 2" xfId="144"/>
    <cellStyle name="Normal 4 2 2 5" xfId="104"/>
    <cellStyle name="Normal 4 2 3" xfId="28"/>
    <cellStyle name="Normal 4 2 3 2" xfId="48"/>
    <cellStyle name="Normal 4 2 3 2 2" xfId="88"/>
    <cellStyle name="Normal 4 2 3 2 2 2" xfId="168"/>
    <cellStyle name="Normal 4 2 3 2 3" xfId="128"/>
    <cellStyle name="Normal 4 2 3 3" xfId="68"/>
    <cellStyle name="Normal 4 2 3 3 2" xfId="148"/>
    <cellStyle name="Normal 4 2 3 4" xfId="108"/>
    <cellStyle name="Normal 4 2 4" xfId="38"/>
    <cellStyle name="Normal 4 2 4 2" xfId="78"/>
    <cellStyle name="Normal 4 2 4 2 2" xfId="158"/>
    <cellStyle name="Normal 4 2 4 3" xfId="118"/>
    <cellStyle name="Normal 4 2 5" xfId="58"/>
    <cellStyle name="Normal 4 2 5 2" xfId="138"/>
    <cellStyle name="Normal 4 2 6" xfId="98"/>
    <cellStyle name="Normal 4 3" xfId="21"/>
    <cellStyle name="Normal 4 3 2" xfId="31"/>
    <cellStyle name="Normal 4 3 2 2" xfId="51"/>
    <cellStyle name="Normal 4 3 2 2 2" xfId="91"/>
    <cellStyle name="Normal 4 3 2 2 2 2" xfId="171"/>
    <cellStyle name="Normal 4 3 2 2 3" xfId="131"/>
    <cellStyle name="Normal 4 3 2 3" xfId="71"/>
    <cellStyle name="Normal 4 3 2 3 2" xfId="151"/>
    <cellStyle name="Normal 4 3 2 4" xfId="111"/>
    <cellStyle name="Normal 4 3 3" xfId="41"/>
    <cellStyle name="Normal 4 3 3 2" xfId="81"/>
    <cellStyle name="Normal 4 3 3 2 2" xfId="161"/>
    <cellStyle name="Normal 4 3 3 3" xfId="121"/>
    <cellStyle name="Normal 4 3 4" xfId="61"/>
    <cellStyle name="Normal 4 3 4 2" xfId="141"/>
    <cellStyle name="Normal 4 3 5" xfId="101"/>
    <cellStyle name="Normal 4 4" xfId="25"/>
    <cellStyle name="Normal 4 4 2" xfId="45"/>
    <cellStyle name="Normal 4 4 2 2" xfId="85"/>
    <cellStyle name="Normal 4 4 2 2 2" xfId="165"/>
    <cellStyle name="Normal 4 4 2 3" xfId="125"/>
    <cellStyle name="Normal 4 4 3" xfId="65"/>
    <cellStyle name="Normal 4 4 3 2" xfId="145"/>
    <cellStyle name="Normal 4 4 4" xfId="105"/>
    <cellStyle name="Normal 4 5" xfId="35"/>
    <cellStyle name="Normal 4 5 2" xfId="75"/>
    <cellStyle name="Normal 4 5 2 2" xfId="155"/>
    <cellStyle name="Normal 4 5 3" xfId="115"/>
    <cellStyle name="Normal 4 6" xfId="55"/>
    <cellStyle name="Normal 4 6 2" xfId="135"/>
    <cellStyle name="Normal 4 7" xfId="95"/>
    <cellStyle name="Normal 5" xfId="15"/>
    <cellStyle name="Normal 6" xfId="13"/>
    <cellStyle name="Normal 6 2" xfId="22"/>
    <cellStyle name="Normal 6 2 2" xfId="32"/>
    <cellStyle name="Normal 6 2 2 2" xfId="52"/>
    <cellStyle name="Normal 6 2 2 2 2" xfId="92"/>
    <cellStyle name="Normal 6 2 2 2 2 2" xfId="172"/>
    <cellStyle name="Normal 6 2 2 2 3" xfId="132"/>
    <cellStyle name="Normal 6 2 2 3" xfId="72"/>
    <cellStyle name="Normal 6 2 2 3 2" xfId="152"/>
    <cellStyle name="Normal 6 2 2 4" xfId="112"/>
    <cellStyle name="Normal 6 2 3" xfId="42"/>
    <cellStyle name="Normal 6 2 3 2" xfId="82"/>
    <cellStyle name="Normal 6 2 3 2 2" xfId="162"/>
    <cellStyle name="Normal 6 2 3 3" xfId="122"/>
    <cellStyle name="Normal 6 2 4" xfId="62"/>
    <cellStyle name="Normal 6 2 4 2" xfId="142"/>
    <cellStyle name="Normal 6 2 5" xfId="102"/>
    <cellStyle name="Normal 6 3" xfId="26"/>
    <cellStyle name="Normal 6 3 2" xfId="46"/>
    <cellStyle name="Normal 6 3 2 2" xfId="86"/>
    <cellStyle name="Normal 6 3 2 2 2" xfId="166"/>
    <cellStyle name="Normal 6 3 2 3" xfId="126"/>
    <cellStyle name="Normal 6 3 3" xfId="66"/>
    <cellStyle name="Normal 6 3 3 2" xfId="146"/>
    <cellStyle name="Normal 6 3 4" xfId="106"/>
    <cellStyle name="Normal 6 4" xfId="36"/>
    <cellStyle name="Normal 6 4 2" xfId="76"/>
    <cellStyle name="Normal 6 4 2 2" xfId="156"/>
    <cellStyle name="Normal 6 4 3" xfId="116"/>
    <cellStyle name="Normal 6 5" xfId="56"/>
    <cellStyle name="Normal 6 5 2" xfId="136"/>
    <cellStyle name="Normal 6 6" xfId="96"/>
    <cellStyle name="Normal 7" xfId="19"/>
    <cellStyle name="Normal 7 2" xfId="29"/>
    <cellStyle name="Normal 7 2 2" xfId="49"/>
    <cellStyle name="Normal 7 2 2 2" xfId="89"/>
    <cellStyle name="Normal 7 2 2 2 2" xfId="169"/>
    <cellStyle name="Normal 7 2 2 3" xfId="129"/>
    <cellStyle name="Normal 7 2 3" xfId="69"/>
    <cellStyle name="Normal 7 2 3 2" xfId="149"/>
    <cellStyle name="Normal 7 2 4" xfId="109"/>
    <cellStyle name="Normal 7 3" xfId="39"/>
    <cellStyle name="Normal 7 3 2" xfId="79"/>
    <cellStyle name="Normal 7 3 2 2" xfId="159"/>
    <cellStyle name="Normal 7 3 3" xfId="119"/>
    <cellStyle name="Normal 7 4" xfId="59"/>
    <cellStyle name="Normal 7 4 2" xfId="139"/>
    <cellStyle name="Normal 7 5" xfId="99"/>
    <cellStyle name="Pourcentage" xfId="6" builtinId="5"/>
    <cellStyle name="Pourcentage 2" xfId="12"/>
    <cellStyle name="Pourcentage 3" xfId="17"/>
    <cellStyle name="Pourcentage 4" xfId="4"/>
  </cellStyles>
  <dxfs count="37">
    <dxf>
      <font>
        <b/>
        <i val="0"/>
        <condense val="0"/>
        <extend val="0"/>
        <color indexed="9"/>
      </font>
      <fill>
        <patternFill>
          <bgColor indexed="12"/>
        </patternFill>
      </fill>
    </dxf>
    <dxf>
      <font>
        <b/>
        <i val="0"/>
        <condense val="0"/>
        <extend val="0"/>
        <color indexed="9"/>
      </font>
      <fill>
        <patternFill>
          <bgColor indexed="10"/>
        </patternFill>
      </fill>
    </dxf>
    <dxf>
      <font>
        <b/>
        <i val="0"/>
        <condense val="0"/>
        <extend val="0"/>
        <color indexed="39"/>
      </font>
      <fill>
        <patternFill>
          <bgColor indexed="9"/>
        </patternFill>
      </fill>
    </dxf>
    <dxf>
      <font>
        <b/>
        <i val="0"/>
        <condense val="0"/>
        <extend val="0"/>
        <color indexed="10"/>
      </font>
      <fill>
        <patternFill>
          <bgColor indexed="9"/>
        </patternFill>
      </fill>
    </dxf>
    <dxf>
      <font>
        <b/>
        <i val="0"/>
        <condense val="0"/>
        <extend val="0"/>
        <color indexed="9"/>
      </font>
      <fill>
        <patternFill>
          <bgColor indexed="12"/>
        </patternFill>
      </fill>
    </dxf>
    <dxf>
      <font>
        <b/>
        <i val="0"/>
        <condense val="0"/>
        <extend val="0"/>
        <color indexed="9"/>
      </font>
      <fill>
        <patternFill>
          <bgColor indexed="53"/>
        </patternFill>
      </fill>
    </dxf>
    <dxf>
      <font>
        <b/>
        <i val="0"/>
        <condense val="0"/>
        <extend val="0"/>
        <color indexed="9"/>
      </font>
      <fill>
        <patternFill>
          <bgColor indexed="10"/>
        </patternFill>
      </fill>
    </dxf>
    <dxf>
      <font>
        <b/>
        <i val="0"/>
        <condense val="0"/>
        <extend val="0"/>
        <color indexed="9"/>
      </font>
      <fill>
        <patternFill>
          <bgColor indexed="10"/>
        </patternFill>
      </fill>
    </dxf>
    <dxf>
      <font>
        <b/>
        <i val="0"/>
        <condense val="0"/>
        <extend val="0"/>
        <color indexed="9"/>
      </font>
      <fill>
        <patternFill>
          <bgColor indexed="39"/>
        </patternFill>
      </fill>
    </dxf>
    <dxf>
      <font>
        <b/>
        <i val="0"/>
        <condense val="0"/>
        <extend val="0"/>
        <color indexed="12"/>
      </font>
    </dxf>
    <dxf>
      <font>
        <b/>
        <i val="0"/>
        <condense val="0"/>
        <extend val="0"/>
        <color indexed="10"/>
      </font>
    </dxf>
    <dxf>
      <font>
        <b/>
        <i val="0"/>
        <condense val="0"/>
        <extend val="0"/>
        <color indexed="10"/>
      </font>
    </dxf>
    <dxf>
      <font>
        <b/>
        <i val="0"/>
        <condense val="0"/>
        <extend val="0"/>
        <color indexed="12"/>
      </font>
    </dxf>
    <dxf>
      <font>
        <b/>
        <i val="0"/>
        <condense val="0"/>
        <extend val="0"/>
        <color indexed="9"/>
      </font>
      <fill>
        <patternFill>
          <bgColor indexed="12"/>
        </patternFill>
      </fill>
    </dxf>
    <dxf>
      <font>
        <b/>
        <i val="0"/>
        <condense val="0"/>
        <extend val="0"/>
        <color indexed="9"/>
      </font>
      <fill>
        <patternFill>
          <bgColor indexed="10"/>
        </patternFill>
      </fill>
    </dxf>
    <dxf>
      <font>
        <b/>
        <i val="0"/>
        <condense val="0"/>
        <extend val="0"/>
        <color indexed="9"/>
      </font>
      <fill>
        <patternFill>
          <bgColor indexed="12"/>
        </patternFill>
      </fill>
    </dxf>
    <dxf>
      <font>
        <b/>
        <i val="0"/>
        <condense val="0"/>
        <extend val="0"/>
        <color indexed="9"/>
      </font>
      <fill>
        <patternFill>
          <bgColor indexed="53"/>
        </patternFill>
      </fill>
    </dxf>
    <dxf>
      <font>
        <b/>
        <i val="0"/>
        <condense val="0"/>
        <extend val="0"/>
        <color indexed="9"/>
      </font>
      <fill>
        <patternFill>
          <bgColor indexed="10"/>
        </patternFill>
      </fill>
    </dxf>
    <dxf>
      <font>
        <condense val="0"/>
        <extend val="0"/>
        <color indexed="62"/>
      </font>
    </dxf>
    <dxf>
      <font>
        <condense val="0"/>
        <extend val="0"/>
        <color indexed="57"/>
      </font>
    </dxf>
    <dxf>
      <font>
        <condense val="0"/>
        <extend val="0"/>
        <color indexed="10"/>
      </font>
    </dxf>
    <dxf>
      <font>
        <color theme="0"/>
      </font>
    </dxf>
    <dxf>
      <font>
        <color theme="0"/>
      </font>
    </dxf>
    <dxf>
      <font>
        <color theme="0"/>
      </font>
    </dxf>
    <dxf>
      <font>
        <color theme="0"/>
      </font>
    </dxf>
    <dxf>
      <font>
        <color theme="0"/>
      </font>
    </dxf>
    <dxf>
      <font>
        <b/>
        <i val="0"/>
        <color theme="0"/>
      </font>
      <fill>
        <patternFill>
          <bgColor rgb="FFFF0000"/>
        </patternFill>
      </fill>
    </dxf>
    <dxf>
      <font>
        <color theme="0"/>
      </font>
      <fill>
        <patternFill>
          <bgColor rgb="FF0070C0"/>
        </patternFill>
      </fill>
    </dxf>
    <dxf>
      <font>
        <b/>
        <i val="0"/>
        <color theme="0"/>
      </font>
      <fill>
        <patternFill>
          <bgColor rgb="FFFF0000"/>
        </patternFill>
      </fill>
    </dxf>
    <dxf>
      <font>
        <color theme="0"/>
      </font>
      <fill>
        <patternFill>
          <bgColor rgb="FF0070C0"/>
        </patternFill>
      </fill>
    </dxf>
    <dxf>
      <font>
        <b/>
        <i val="0"/>
        <color theme="0"/>
      </font>
      <fill>
        <patternFill>
          <bgColor rgb="FFFF0000"/>
        </patternFill>
      </fill>
    </dxf>
    <dxf>
      <font>
        <color theme="0"/>
      </font>
      <fill>
        <patternFill>
          <bgColor rgb="FF0070C0"/>
        </patternFill>
      </fill>
    </dxf>
    <dxf>
      <font>
        <color theme="0"/>
      </font>
      <fill>
        <patternFill>
          <bgColor rgb="FFFF0000"/>
        </patternFill>
      </fill>
    </dxf>
    <dxf>
      <font>
        <color theme="0"/>
      </font>
      <fill>
        <patternFill>
          <bgColor rgb="FF0070C0"/>
        </patternFill>
      </fill>
    </dxf>
    <dxf>
      <font>
        <b/>
        <i val="0"/>
        <color theme="0"/>
      </font>
      <fill>
        <patternFill>
          <bgColor rgb="FFFF0000"/>
        </patternFill>
      </fill>
    </dxf>
    <dxf>
      <font>
        <color theme="0"/>
      </font>
    </dxf>
    <dxf>
      <font>
        <color theme="1"/>
      </font>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808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0406584105983934E-2"/>
          <c:y val="0.18100916434238662"/>
          <c:w val="0.85203387327533264"/>
          <c:h val="0.66468939037203989"/>
        </c:manualLayout>
      </c:layout>
      <c:barChart>
        <c:barDir val="col"/>
        <c:grouping val="clustered"/>
        <c:varyColors val="0"/>
        <c:ser>
          <c:idx val="0"/>
          <c:order val="0"/>
          <c:tx>
            <c:strRef>
              <c:f>'A_Donnees_Analyse des Charges'!$D$6</c:f>
              <c:strCache>
                <c:ptCount val="1"/>
                <c:pt idx="0">
                  <c:v>30/06/2017</c:v>
                </c:pt>
              </c:strCache>
            </c:strRef>
          </c:tx>
          <c:spPr>
            <a:solidFill>
              <a:srgbClr val="008080"/>
            </a:solidFill>
            <a:ln w="12700">
              <a:solidFill>
                <a:srgbClr val="000000"/>
              </a:solidFill>
              <a:prstDash val="solid"/>
            </a:ln>
          </c:spPr>
          <c:invertIfNegative val="0"/>
          <c:cat>
            <c:strRef>
              <c:f>'A_Donnees_Analyse des Charges'!$C$7:$C$12</c:f>
              <c:strCache>
                <c:ptCount val="6"/>
                <c:pt idx="0">
                  <c:v>Intrants</c:v>
                </c:pt>
                <c:pt idx="1">
                  <c:v>Ressources humaines</c:v>
                </c:pt>
                <c:pt idx="2">
                  <c:v>Mécanisation</c:v>
                </c:pt>
                <c:pt idx="3">
                  <c:v>Fermages</c:v>
                </c:pt>
                <c:pt idx="4">
                  <c:v>Cotis sociales exploitant</c:v>
                </c:pt>
                <c:pt idx="5">
                  <c:v>Frais financiers</c:v>
                </c:pt>
              </c:strCache>
            </c:strRef>
          </c:cat>
          <c:val>
            <c:numRef>
              <c:f>'A_Donnees_Analyse des Charges'!$D$7:$D$12</c:f>
              <c:numCache>
                <c:formatCode>#,##0</c:formatCode>
                <c:ptCount val="6"/>
                <c:pt idx="0">
                  <c:v>93169</c:v>
                </c:pt>
                <c:pt idx="1">
                  <c:v>0</c:v>
                </c:pt>
                <c:pt idx="2">
                  <c:v>47503.86</c:v>
                </c:pt>
                <c:pt idx="3">
                  <c:v>12397</c:v>
                </c:pt>
                <c:pt idx="4">
                  <c:v>10766</c:v>
                </c:pt>
                <c:pt idx="5" formatCode="General">
                  <c:v>3722</c:v>
                </c:pt>
              </c:numCache>
            </c:numRef>
          </c:val>
        </c:ser>
        <c:ser>
          <c:idx val="1"/>
          <c:order val="1"/>
          <c:tx>
            <c:strRef>
              <c:f>'A_Donnees_Analyse des Charges'!$E$6</c:f>
              <c:strCache>
                <c:ptCount val="1"/>
                <c:pt idx="0">
                  <c:v>30/06/2016</c:v>
                </c:pt>
              </c:strCache>
            </c:strRef>
          </c:tx>
          <c:spPr>
            <a:solidFill>
              <a:srgbClr val="FFFF99"/>
            </a:solidFill>
            <a:ln w="12700">
              <a:solidFill>
                <a:srgbClr val="000000"/>
              </a:solidFill>
              <a:prstDash val="solid"/>
            </a:ln>
          </c:spPr>
          <c:invertIfNegative val="0"/>
          <c:cat>
            <c:strRef>
              <c:f>'A_Donnees_Analyse des Charges'!$C$7:$C$12</c:f>
              <c:strCache>
                <c:ptCount val="6"/>
                <c:pt idx="0">
                  <c:v>Intrants</c:v>
                </c:pt>
                <c:pt idx="1">
                  <c:v>Ressources humaines</c:v>
                </c:pt>
                <c:pt idx="2">
                  <c:v>Mécanisation</c:v>
                </c:pt>
                <c:pt idx="3">
                  <c:v>Fermages</c:v>
                </c:pt>
                <c:pt idx="4">
                  <c:v>Cotis sociales exploitant</c:v>
                </c:pt>
                <c:pt idx="5">
                  <c:v>Frais financiers</c:v>
                </c:pt>
              </c:strCache>
            </c:strRef>
          </c:cat>
          <c:val>
            <c:numRef>
              <c:f>'A_Donnees_Analyse des Charges'!$E$7:$E$12</c:f>
              <c:numCache>
                <c:formatCode>#,##0</c:formatCode>
                <c:ptCount val="6"/>
                <c:pt idx="0">
                  <c:v>85651</c:v>
                </c:pt>
                <c:pt idx="1">
                  <c:v>0</c:v>
                </c:pt>
                <c:pt idx="2">
                  <c:v>58485.55</c:v>
                </c:pt>
                <c:pt idx="3">
                  <c:v>13446</c:v>
                </c:pt>
                <c:pt idx="4">
                  <c:v>23096</c:v>
                </c:pt>
                <c:pt idx="5" formatCode="General">
                  <c:v>3511</c:v>
                </c:pt>
              </c:numCache>
            </c:numRef>
          </c:val>
        </c:ser>
        <c:dLbls>
          <c:showLegendKey val="0"/>
          <c:showVal val="0"/>
          <c:showCatName val="0"/>
          <c:showSerName val="0"/>
          <c:showPercent val="0"/>
          <c:showBubbleSize val="0"/>
        </c:dLbls>
        <c:gapWidth val="150"/>
        <c:axId val="76276864"/>
        <c:axId val="76278400"/>
      </c:barChart>
      <c:catAx>
        <c:axId val="76276864"/>
        <c:scaling>
          <c:orientation val="minMax"/>
        </c:scaling>
        <c:delete val="0"/>
        <c:axPos val="b"/>
        <c:numFmt formatCode="General" sourceLinked="1"/>
        <c:majorTickMark val="cross"/>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Tahoma"/>
                <a:ea typeface="Tahoma"/>
                <a:cs typeface="Tahoma"/>
              </a:defRPr>
            </a:pPr>
            <a:endParaRPr lang="fr-FR"/>
          </a:p>
        </c:txPr>
        <c:crossAx val="76278400"/>
        <c:crosses val="autoZero"/>
        <c:auto val="0"/>
        <c:lblAlgn val="ctr"/>
        <c:lblOffset val="100"/>
        <c:tickLblSkip val="1"/>
        <c:tickMarkSkip val="1"/>
        <c:noMultiLvlLbl val="0"/>
      </c:catAx>
      <c:valAx>
        <c:axId val="76278400"/>
        <c:scaling>
          <c:orientation val="minMax"/>
        </c:scaling>
        <c:delete val="0"/>
        <c:axPos val="l"/>
        <c:numFmt formatCode="#,##0" sourceLinked="1"/>
        <c:majorTickMark val="cross"/>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Tahoma"/>
                <a:ea typeface="Tahoma"/>
                <a:cs typeface="Tahoma"/>
              </a:defRPr>
            </a:pPr>
            <a:endParaRPr lang="fr-FR"/>
          </a:p>
        </c:txPr>
        <c:crossAx val="76276864"/>
        <c:crosses val="autoZero"/>
        <c:crossBetween val="between"/>
      </c:valAx>
      <c:spPr>
        <a:solidFill>
          <a:srgbClr val="E3E3E3"/>
        </a:solidFill>
        <a:ln w="25400">
          <a:noFill/>
        </a:ln>
      </c:spPr>
    </c:plotArea>
    <c:legend>
      <c:legendPos val="t"/>
      <c:layout>
        <c:manualLayout>
          <c:xMode val="edge"/>
          <c:yMode val="edge"/>
          <c:x val="0.22276458137160421"/>
          <c:y val="1.483681674937516E-2"/>
          <c:w val="0.54634233095517493"/>
          <c:h val="9.4955627196005268E-2"/>
        </c:manualLayout>
      </c:layout>
      <c:overlay val="0"/>
      <c:spPr>
        <a:solidFill>
          <a:srgbClr val="FFFFFF"/>
        </a:solidFill>
        <a:ln w="3175">
          <a:solidFill>
            <a:srgbClr val="808080"/>
          </a:solidFill>
          <a:prstDash val="solid"/>
        </a:ln>
      </c:spPr>
      <c:txPr>
        <a:bodyPr/>
        <a:lstStyle/>
        <a:p>
          <a:pPr>
            <a:defRPr sz="735" b="0" i="0" u="none" strike="noStrike" baseline="0">
              <a:solidFill>
                <a:srgbClr val="000000"/>
              </a:solidFill>
              <a:latin typeface="Tahoma"/>
              <a:ea typeface="Tahoma"/>
              <a:cs typeface="Tahoma"/>
            </a:defRPr>
          </a:pPr>
          <a:endParaRPr lang="fr-FR"/>
        </a:p>
      </c:txPr>
    </c:legend>
    <c:plotVisOnly val="1"/>
    <c:dispBlanksAs val="gap"/>
    <c:showDLblsOverMax val="0"/>
  </c:chart>
  <c:spPr>
    <a:solidFill>
      <a:srgbClr val="FFFFFF"/>
    </a:solidFill>
    <a:ln w="9525">
      <a:noFill/>
    </a:ln>
  </c:spPr>
  <c:txPr>
    <a:bodyPr/>
    <a:lstStyle/>
    <a:p>
      <a:pPr>
        <a:defRPr sz="800" b="0" i="0" u="none" strike="noStrike" baseline="0">
          <a:solidFill>
            <a:srgbClr val="000000"/>
          </a:solidFill>
          <a:latin typeface="Arial"/>
          <a:ea typeface="Arial"/>
          <a:cs typeface="Arial"/>
        </a:defRPr>
      </a:pPr>
      <a:endParaRPr lang="fr-FR"/>
    </a:p>
  </c:txPr>
  <c:printSettings>
    <c:headerFooter alignWithMargins="0">
      <c:oddHeader>&amp;A</c:oddHeader>
      <c:oddFooter>Page &amp;P</c:oddFooter>
    </c:headerFooter>
    <c:pageMargins b="0.98425196899999956" l="0.78740157499999996" r="0.78740157499999996" t="0.98425196899999956" header="0.49212598450000788" footer="0.49212598450000788"/>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6240020500016031"/>
          <c:y val="0.27322477273515638"/>
          <c:w val="0.26720020875016309"/>
          <c:h val="0.45628537046771067"/>
        </c:manualLayout>
      </c:layout>
      <c:pieChart>
        <c:varyColors val="1"/>
        <c:ser>
          <c:idx val="0"/>
          <c:order val="0"/>
          <c:tx>
            <c:strRef>
              <c:f>'A_Donnees_Analyse des Charges'!$D$34</c:f>
              <c:strCache>
                <c:ptCount val="1"/>
                <c:pt idx="0">
                  <c:v>30/06/2017</c:v>
                </c:pt>
              </c:strCache>
            </c:strRef>
          </c:tx>
          <c:dLbls>
            <c:dLbl>
              <c:idx val="0"/>
              <c:layout>
                <c:manualLayout>
                  <c:x val="2.4368601275833878E-3"/>
                  <c:y val="1.2450390603829388E-2"/>
                </c:manualLayout>
              </c:layout>
              <c:dLblPos val="bestFit"/>
              <c:showLegendKey val="1"/>
              <c:showVal val="0"/>
              <c:showCatName val="1"/>
              <c:showSerName val="0"/>
              <c:showPercent val="1"/>
              <c:showBubbleSize val="0"/>
            </c:dLbl>
            <c:dLbl>
              <c:idx val="2"/>
              <c:layout>
                <c:manualLayout>
                  <c:x val="-7.0900557960056329E-2"/>
                  <c:y val="4.9169163589064445E-2"/>
                </c:manualLayout>
              </c:layout>
              <c:dLblPos val="bestFit"/>
              <c:showLegendKey val="1"/>
              <c:showVal val="0"/>
              <c:showCatName val="1"/>
              <c:showSerName val="0"/>
              <c:showPercent val="1"/>
              <c:showBubbleSize val="0"/>
            </c:dLbl>
            <c:dLbl>
              <c:idx val="3"/>
              <c:layout>
                <c:manualLayout>
                  <c:x val="-4.7292808398950135E-3"/>
                  <c:y val="-1.9481950002151381E-2"/>
                </c:manualLayout>
              </c:layout>
              <c:dLblPos val="bestFit"/>
              <c:showLegendKey val="1"/>
              <c:showVal val="0"/>
              <c:showCatName val="1"/>
              <c:showSerName val="0"/>
              <c:showPercent val="1"/>
              <c:showBubbleSize val="0"/>
            </c:dLbl>
            <c:numFmt formatCode="0%" sourceLinked="0"/>
            <c:txPr>
              <a:bodyPr rot="0"/>
              <a:lstStyle/>
              <a:p>
                <a:pPr>
                  <a:defRPr/>
                </a:pPr>
                <a:endParaRPr lang="fr-FR"/>
              </a:p>
            </c:txPr>
            <c:dLblPos val="bestFit"/>
            <c:showLegendKey val="1"/>
            <c:showVal val="0"/>
            <c:showCatName val="1"/>
            <c:showSerName val="0"/>
            <c:showPercent val="1"/>
            <c:showBubbleSize val="0"/>
            <c:showLeaderLines val="1"/>
          </c:dLbls>
          <c:cat>
            <c:strRef>
              <c:f>'A_Donnees_Analyse des Charges'!$C$35:$C$40</c:f>
              <c:strCache>
                <c:ptCount val="6"/>
                <c:pt idx="0">
                  <c:v>Intrants</c:v>
                </c:pt>
                <c:pt idx="1">
                  <c:v>Ressources humaines</c:v>
                </c:pt>
                <c:pt idx="2">
                  <c:v>Mécanisation</c:v>
                </c:pt>
                <c:pt idx="3">
                  <c:v>Fermages</c:v>
                </c:pt>
                <c:pt idx="4">
                  <c:v>Autres charges</c:v>
                </c:pt>
                <c:pt idx="5">
                  <c:v>Résultat courant</c:v>
                </c:pt>
              </c:strCache>
            </c:strRef>
          </c:cat>
          <c:val>
            <c:numRef>
              <c:f>'A_Donnees_Analyse des Charges'!$D$35:$D$40</c:f>
              <c:numCache>
                <c:formatCode>#,##0</c:formatCode>
                <c:ptCount val="6"/>
                <c:pt idx="0">
                  <c:v>93169</c:v>
                </c:pt>
                <c:pt idx="1">
                  <c:v>0</c:v>
                </c:pt>
                <c:pt idx="2">
                  <c:v>47503.86</c:v>
                </c:pt>
                <c:pt idx="3">
                  <c:v>12397</c:v>
                </c:pt>
                <c:pt idx="4">
                  <c:v>53778.659999999996</c:v>
                </c:pt>
                <c:pt idx="5">
                  <c:v>-27621</c:v>
                </c:pt>
              </c:numCache>
            </c:numRef>
          </c:val>
        </c:ser>
        <c:dLbls>
          <c:showLegendKey val="0"/>
          <c:showVal val="0"/>
          <c:showCatName val="0"/>
          <c:showSerName val="0"/>
          <c:showPercent val="1"/>
          <c:showBubbleSize val="0"/>
          <c:showLeaderLines val="1"/>
        </c:dLbls>
        <c:firstSliceAng val="0"/>
      </c:pieChart>
    </c:plotArea>
    <c:legend>
      <c:legendPos val="r"/>
      <c:layout>
        <c:manualLayout>
          <c:xMode val="edge"/>
          <c:yMode val="edge"/>
          <c:x val="0.74360108451790063"/>
          <c:y val="9.7450769473487964E-2"/>
          <c:w val="0.23029688341937651"/>
          <c:h val="0.42673541913455532"/>
        </c:manualLayout>
      </c:layout>
      <c:overlay val="0"/>
    </c:legend>
    <c:plotVisOnly val="1"/>
    <c:dispBlanksAs val="zero"/>
    <c:showDLblsOverMax val="0"/>
  </c:chart>
  <c:printSettings>
    <c:headerFooter alignWithMargins="0"/>
    <c:pageMargins b="0.98425196899999956" l="0.78740157499999996" r="0.78740157499999996" t="0.98425196899999956" header="0.49212598450000788" footer="0.49212598450000788"/>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0406584105983934E-2"/>
          <c:y val="0.18100916434238656"/>
          <c:w val="0.85203387327533264"/>
          <c:h val="0.66468939037203956"/>
        </c:manualLayout>
      </c:layout>
      <c:barChart>
        <c:barDir val="col"/>
        <c:grouping val="clustered"/>
        <c:varyColors val="0"/>
        <c:ser>
          <c:idx val="0"/>
          <c:order val="0"/>
          <c:tx>
            <c:strRef>
              <c:f>'Donnees_Analyse des Charges NEX'!$D$6</c:f>
              <c:strCache>
                <c:ptCount val="1"/>
                <c:pt idx="0">
                  <c:v>30/06/2017</c:v>
                </c:pt>
              </c:strCache>
            </c:strRef>
          </c:tx>
          <c:spPr>
            <a:solidFill>
              <a:srgbClr val="008080"/>
            </a:solidFill>
            <a:ln w="12700">
              <a:solidFill>
                <a:srgbClr val="000000"/>
              </a:solidFill>
              <a:prstDash val="solid"/>
            </a:ln>
          </c:spPr>
          <c:invertIfNegative val="0"/>
          <c:cat>
            <c:strRef>
              <c:f>'Donnees_Analyse des Charges NEX'!$C$7:$C$12</c:f>
              <c:strCache>
                <c:ptCount val="6"/>
                <c:pt idx="0">
                  <c:v>Intrants</c:v>
                </c:pt>
                <c:pt idx="1">
                  <c:v>Ressources humaines</c:v>
                </c:pt>
                <c:pt idx="2">
                  <c:v>Mécanisation</c:v>
                </c:pt>
                <c:pt idx="3">
                  <c:v>Fermages</c:v>
                </c:pt>
                <c:pt idx="4">
                  <c:v>Cotis sociales exploitant</c:v>
                </c:pt>
                <c:pt idx="5">
                  <c:v>Frais financiers</c:v>
                </c:pt>
              </c:strCache>
            </c:strRef>
          </c:cat>
          <c:val>
            <c:numRef>
              <c:f>'Donnees_Analyse des Charges NEX'!$D$7:$D$12</c:f>
              <c:numCache>
                <c:formatCode>General</c:formatCode>
                <c:ptCount val="6"/>
                <c:pt idx="0">
                  <c:v>93183</c:v>
                </c:pt>
                <c:pt idx="1">
                  <c:v>0</c:v>
                </c:pt>
                <c:pt idx="2">
                  <c:v>38154</c:v>
                </c:pt>
                <c:pt idx="3">
                  <c:v>12397</c:v>
                </c:pt>
                <c:pt idx="4">
                  <c:v>10766</c:v>
                </c:pt>
                <c:pt idx="5">
                  <c:v>3722</c:v>
                </c:pt>
              </c:numCache>
            </c:numRef>
          </c:val>
        </c:ser>
        <c:ser>
          <c:idx val="1"/>
          <c:order val="1"/>
          <c:tx>
            <c:strRef>
              <c:f>'Donnees_Analyse des Charges NEX'!$E$6</c:f>
              <c:strCache>
                <c:ptCount val="1"/>
                <c:pt idx="0">
                  <c:v>30/06/2016</c:v>
                </c:pt>
              </c:strCache>
            </c:strRef>
          </c:tx>
          <c:spPr>
            <a:solidFill>
              <a:srgbClr val="FFFF99"/>
            </a:solidFill>
            <a:ln w="12700">
              <a:solidFill>
                <a:srgbClr val="000000"/>
              </a:solidFill>
              <a:prstDash val="solid"/>
            </a:ln>
          </c:spPr>
          <c:invertIfNegative val="0"/>
          <c:cat>
            <c:strRef>
              <c:f>'Donnees_Analyse des Charges NEX'!$C$7:$C$12</c:f>
              <c:strCache>
                <c:ptCount val="6"/>
                <c:pt idx="0">
                  <c:v>Intrants</c:v>
                </c:pt>
                <c:pt idx="1">
                  <c:v>Ressources humaines</c:v>
                </c:pt>
                <c:pt idx="2">
                  <c:v>Mécanisation</c:v>
                </c:pt>
                <c:pt idx="3">
                  <c:v>Fermages</c:v>
                </c:pt>
                <c:pt idx="4">
                  <c:v>Cotis sociales exploitant</c:v>
                </c:pt>
                <c:pt idx="5">
                  <c:v>Frais financiers</c:v>
                </c:pt>
              </c:strCache>
            </c:strRef>
          </c:cat>
          <c:val>
            <c:numRef>
              <c:f>'Donnees_Analyse des Charges NEX'!$E$7:$E$12</c:f>
              <c:numCache>
                <c:formatCode>General</c:formatCode>
                <c:ptCount val="6"/>
                <c:pt idx="0">
                  <c:v>85661</c:v>
                </c:pt>
                <c:pt idx="1">
                  <c:v>0</c:v>
                </c:pt>
                <c:pt idx="2">
                  <c:v>44815</c:v>
                </c:pt>
                <c:pt idx="3">
                  <c:v>13446</c:v>
                </c:pt>
                <c:pt idx="4">
                  <c:v>23096</c:v>
                </c:pt>
                <c:pt idx="5">
                  <c:v>3511</c:v>
                </c:pt>
              </c:numCache>
            </c:numRef>
          </c:val>
        </c:ser>
        <c:dLbls>
          <c:showLegendKey val="0"/>
          <c:showVal val="0"/>
          <c:showCatName val="0"/>
          <c:showSerName val="0"/>
          <c:showPercent val="0"/>
          <c:showBubbleSize val="0"/>
        </c:dLbls>
        <c:gapWidth val="150"/>
        <c:axId val="80861440"/>
        <c:axId val="80216064"/>
      </c:barChart>
      <c:catAx>
        <c:axId val="80861440"/>
        <c:scaling>
          <c:orientation val="minMax"/>
        </c:scaling>
        <c:delete val="0"/>
        <c:axPos val="b"/>
        <c:numFmt formatCode="General" sourceLinked="1"/>
        <c:majorTickMark val="cross"/>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Tahoma"/>
                <a:ea typeface="Tahoma"/>
                <a:cs typeface="Tahoma"/>
              </a:defRPr>
            </a:pPr>
            <a:endParaRPr lang="fr-FR"/>
          </a:p>
        </c:txPr>
        <c:crossAx val="80216064"/>
        <c:crosses val="autoZero"/>
        <c:auto val="0"/>
        <c:lblAlgn val="ctr"/>
        <c:lblOffset val="100"/>
        <c:tickLblSkip val="1"/>
        <c:tickMarkSkip val="1"/>
        <c:noMultiLvlLbl val="0"/>
      </c:catAx>
      <c:valAx>
        <c:axId val="80216064"/>
        <c:scaling>
          <c:orientation val="minMax"/>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Tahoma"/>
                <a:ea typeface="Tahoma"/>
                <a:cs typeface="Tahoma"/>
              </a:defRPr>
            </a:pPr>
            <a:endParaRPr lang="fr-FR"/>
          </a:p>
        </c:txPr>
        <c:crossAx val="80861440"/>
        <c:crosses val="autoZero"/>
        <c:crossBetween val="between"/>
      </c:valAx>
      <c:spPr>
        <a:solidFill>
          <a:srgbClr val="E3E3E3"/>
        </a:solidFill>
        <a:ln w="25400">
          <a:noFill/>
        </a:ln>
      </c:spPr>
    </c:plotArea>
    <c:legend>
      <c:legendPos val="t"/>
      <c:layout>
        <c:manualLayout>
          <c:xMode val="edge"/>
          <c:yMode val="edge"/>
          <c:x val="0.22276458137160421"/>
          <c:y val="1.483681674937516E-2"/>
          <c:w val="0.54634233095517493"/>
          <c:h val="9.4955627196005268E-2"/>
        </c:manualLayout>
      </c:layout>
      <c:overlay val="0"/>
      <c:spPr>
        <a:solidFill>
          <a:srgbClr val="FFFFFF"/>
        </a:solidFill>
        <a:ln w="3175">
          <a:solidFill>
            <a:srgbClr val="808080"/>
          </a:solidFill>
          <a:prstDash val="solid"/>
        </a:ln>
      </c:spPr>
      <c:txPr>
        <a:bodyPr/>
        <a:lstStyle/>
        <a:p>
          <a:pPr>
            <a:defRPr sz="735" b="0" i="0" u="none" strike="noStrike" baseline="0">
              <a:solidFill>
                <a:srgbClr val="000000"/>
              </a:solidFill>
              <a:latin typeface="Tahoma"/>
              <a:ea typeface="Tahoma"/>
              <a:cs typeface="Tahoma"/>
            </a:defRPr>
          </a:pPr>
          <a:endParaRPr lang="fr-FR"/>
        </a:p>
      </c:txPr>
    </c:legend>
    <c:plotVisOnly val="1"/>
    <c:dispBlanksAs val="gap"/>
    <c:showDLblsOverMax val="0"/>
  </c:chart>
  <c:spPr>
    <a:solidFill>
      <a:srgbClr val="FFFFFF"/>
    </a:solidFill>
    <a:ln w="9525">
      <a:noFill/>
    </a:ln>
  </c:spPr>
  <c:txPr>
    <a:bodyPr/>
    <a:lstStyle/>
    <a:p>
      <a:pPr>
        <a:defRPr sz="800" b="0" i="0" u="none" strike="noStrike" baseline="0">
          <a:solidFill>
            <a:srgbClr val="000000"/>
          </a:solidFill>
          <a:latin typeface="Arial"/>
          <a:ea typeface="Arial"/>
          <a:cs typeface="Arial"/>
        </a:defRPr>
      </a:pPr>
      <a:endParaRPr lang="fr-FR"/>
    </a:p>
  </c:txPr>
  <c:printSettings>
    <c:headerFooter alignWithMargins="0">
      <c:oddHeader>&amp;A</c:oddHeader>
      <c:oddFooter>Page &amp;P</c:oddFooter>
    </c:headerFooter>
    <c:pageMargins b="0.98425196899999956" l="0.78740157499999996" r="0.78740157499999996" t="0.98425196899999956" header="0.49212598450000788" footer="0.49212598450000788"/>
    <c:pageSetup paperSize="9"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1"/>
    </mc:Choice>
    <mc:Fallback>
      <c:style val="1"/>
    </mc:Fallback>
  </mc:AlternateContent>
  <c:chart>
    <c:autoTitleDeleted val="1"/>
    <c:plotArea>
      <c:layout>
        <c:manualLayout>
          <c:layoutTarget val="inner"/>
          <c:xMode val="edge"/>
          <c:yMode val="edge"/>
          <c:x val="0.26240020500016031"/>
          <c:y val="0.27322477273515638"/>
          <c:w val="0.26720020875016309"/>
          <c:h val="0.45628537046771067"/>
        </c:manualLayout>
      </c:layout>
      <c:pieChart>
        <c:varyColors val="1"/>
        <c:ser>
          <c:idx val="0"/>
          <c:order val="0"/>
          <c:tx>
            <c:strRef>
              <c:f>'Donnees_Analyse des Charges NEX'!$D$34</c:f>
              <c:strCache>
                <c:ptCount val="1"/>
                <c:pt idx="0">
                  <c:v>30/06/2017</c:v>
                </c:pt>
              </c:strCache>
            </c:strRef>
          </c:tx>
          <c:dLbls>
            <c:dLbl>
              <c:idx val="3"/>
              <c:layout>
                <c:manualLayout>
                  <c:x val="-4.7292808398950135E-3"/>
                  <c:y val="-1.9481950002151381E-2"/>
                </c:manualLayout>
              </c:layout>
              <c:dLblPos val="bestFit"/>
              <c:showLegendKey val="1"/>
              <c:showVal val="0"/>
              <c:showCatName val="1"/>
              <c:showSerName val="0"/>
              <c:showPercent val="1"/>
              <c:showBubbleSize val="0"/>
            </c:dLbl>
            <c:numFmt formatCode="0%" sourceLinked="0"/>
            <c:txPr>
              <a:bodyPr rot="0" anchor="t" anchorCtr="1"/>
              <a:lstStyle/>
              <a:p>
                <a:pPr>
                  <a:defRPr/>
                </a:pPr>
                <a:endParaRPr lang="fr-FR"/>
              </a:p>
            </c:txPr>
            <c:dLblPos val="bestFit"/>
            <c:showLegendKey val="1"/>
            <c:showVal val="0"/>
            <c:showCatName val="1"/>
            <c:showSerName val="0"/>
            <c:showPercent val="1"/>
            <c:showBubbleSize val="0"/>
            <c:showLeaderLines val="1"/>
          </c:dLbls>
          <c:cat>
            <c:strRef>
              <c:f>'Donnees_Analyse des Charges NEX'!$C$35:$C$40</c:f>
              <c:strCache>
                <c:ptCount val="6"/>
                <c:pt idx="0">
                  <c:v>Intrants</c:v>
                </c:pt>
                <c:pt idx="1">
                  <c:v>Ressources humaines</c:v>
                </c:pt>
                <c:pt idx="2">
                  <c:v>Mécanisation</c:v>
                </c:pt>
                <c:pt idx="3">
                  <c:v>Fermages</c:v>
                </c:pt>
                <c:pt idx="4">
                  <c:v>Autres charges</c:v>
                </c:pt>
                <c:pt idx="5">
                  <c:v>Résultat courant</c:v>
                </c:pt>
              </c:strCache>
            </c:strRef>
          </c:cat>
          <c:val>
            <c:numRef>
              <c:f>'Donnees_Analyse des Charges NEX'!$D$35:$D$40</c:f>
              <c:numCache>
                <c:formatCode>General</c:formatCode>
                <c:ptCount val="6"/>
                <c:pt idx="0">
                  <c:v>93183</c:v>
                </c:pt>
                <c:pt idx="1">
                  <c:v>0</c:v>
                </c:pt>
                <c:pt idx="2">
                  <c:v>38154</c:v>
                </c:pt>
                <c:pt idx="3">
                  <c:v>12397</c:v>
                </c:pt>
                <c:pt idx="4">
                  <c:v>18825</c:v>
                </c:pt>
                <c:pt idx="5">
                  <c:v>-27622</c:v>
                </c:pt>
              </c:numCache>
            </c:numRef>
          </c:val>
        </c:ser>
        <c:dLbls>
          <c:showLegendKey val="0"/>
          <c:showVal val="0"/>
          <c:showCatName val="0"/>
          <c:showSerName val="0"/>
          <c:showPercent val="1"/>
          <c:showBubbleSize val="0"/>
          <c:showLeaderLines val="1"/>
        </c:dLbls>
        <c:firstSliceAng val="0"/>
      </c:pieChart>
    </c:plotArea>
    <c:legend>
      <c:legendPos val="r"/>
      <c:layout>
        <c:manualLayout>
          <c:xMode val="edge"/>
          <c:yMode val="edge"/>
          <c:x val="0.74360108451790063"/>
          <c:y val="9.7450769473487964E-2"/>
          <c:w val="0.20320015875013253"/>
          <c:h val="0.61111197165928965"/>
        </c:manualLayout>
      </c:layout>
      <c:overlay val="0"/>
    </c:legend>
    <c:plotVisOnly val="1"/>
    <c:dispBlanksAs val="zero"/>
    <c:showDLblsOverMax val="0"/>
  </c:chart>
  <c:printSettings>
    <c:headerFooter alignWithMargins="0"/>
    <c:pageMargins b="0.98425196899999956" l="0.78740157499999996" r="0.78740157499999996" t="0.98425196899999956" header="0.49212598450000788" footer="0.49212598450000788"/>
    <c:pageSetup/>
  </c:printSettings>
</c:chartSpace>
</file>

<file path=xl/drawings/_rels/drawing1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36.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18</xdr:col>
      <xdr:colOff>0</xdr:colOff>
      <xdr:row>2</xdr:row>
      <xdr:rowOff>19050</xdr:rowOff>
    </xdr:from>
    <xdr:to>
      <xdr:col>27</xdr:col>
      <xdr:colOff>352425</xdr:colOff>
      <xdr:row>5</xdr:row>
      <xdr:rowOff>0</xdr:rowOff>
    </xdr:to>
    <xdr:sp macro="" textlink="">
      <xdr:nvSpPr>
        <xdr:cNvPr id="2" name="Texte 2"/>
        <xdr:cNvSpPr>
          <a:spLocks noChangeArrowheads="1"/>
        </xdr:cNvSpPr>
      </xdr:nvSpPr>
      <xdr:spPr bwMode="auto">
        <a:xfrm>
          <a:off x="6400800" y="342900"/>
          <a:ext cx="0" cy="533400"/>
        </a:xfrm>
        <a:prstGeom prst="roundRect">
          <a:avLst>
            <a:gd name="adj" fmla="val 16667"/>
          </a:avLst>
        </a:prstGeom>
        <a:noFill/>
        <a:ln w="9525">
          <a:solidFill>
            <a:srgbClr val="000000"/>
          </a:solidFill>
          <a:round/>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400" b="1" i="0" u="none" strike="noStrike" baseline="0">
              <a:solidFill>
                <a:srgbClr val="000000"/>
              </a:solidFill>
              <a:latin typeface="Arial"/>
              <a:cs typeface="Arial"/>
            </a:rPr>
            <a:t>PRESENTATION</a:t>
          </a:r>
        </a:p>
      </xdr:txBody>
    </xdr:sp>
    <xdr:clientData/>
  </xdr:twoCellAnchor>
  <xdr:twoCellAnchor>
    <xdr:from>
      <xdr:col>2</xdr:col>
      <xdr:colOff>114300</xdr:colOff>
      <xdr:row>19</xdr:row>
      <xdr:rowOff>66675</xdr:rowOff>
    </xdr:from>
    <xdr:to>
      <xdr:col>14</xdr:col>
      <xdr:colOff>9525</xdr:colOff>
      <xdr:row>28</xdr:row>
      <xdr:rowOff>85725</xdr:rowOff>
    </xdr:to>
    <xdr:sp macro="" textlink="">
      <xdr:nvSpPr>
        <xdr:cNvPr id="3" name="WordArt 4"/>
        <xdr:cNvSpPr>
          <a:spLocks noChangeArrowheads="1" noChangeShapeType="1" noTextEdit="1"/>
        </xdr:cNvSpPr>
      </xdr:nvSpPr>
      <xdr:spPr bwMode="auto">
        <a:xfrm>
          <a:off x="914400" y="3095625"/>
          <a:ext cx="4486275" cy="2781300"/>
        </a:xfrm>
        <a:prstGeom prst="rect">
          <a:avLst/>
        </a:prstGeom>
      </xdr:spPr>
      <xdr:txBody>
        <a:bodyPr wrap="none" fromWordArt="1">
          <a:prstTxWarp prst="textPlain">
            <a:avLst>
              <a:gd name="adj" fmla="val 50000"/>
            </a:avLst>
          </a:prstTxWarp>
        </a:bodyPr>
        <a:lstStyle/>
        <a:p>
          <a:pPr algn="ctr" rtl="0"/>
          <a:r>
            <a:rPr lang="fr-FR" sz="4800" kern="10" spc="0">
              <a:ln w="9525">
                <a:noFill/>
                <a:round/>
                <a:headEnd/>
                <a:tailEnd/>
              </a:ln>
              <a:solidFill>
                <a:srgbClr val="008080"/>
              </a:solidFill>
              <a:effectLst>
                <a:outerShdw dist="45791" dir="2021404" algn="ctr" rotWithShape="0">
                  <a:srgbClr val="C0C0C0"/>
                </a:outerShdw>
              </a:effectLst>
              <a:latin typeface="Times New Roman"/>
              <a:cs typeface="Times New Roman"/>
            </a:rPr>
            <a:t>Dossier </a:t>
          </a:r>
        </a:p>
        <a:p>
          <a:pPr algn="ctr" rtl="0"/>
          <a:r>
            <a:rPr lang="fr-FR" sz="4800" kern="10" spc="0">
              <a:ln w="9525">
                <a:noFill/>
                <a:round/>
                <a:headEnd/>
                <a:tailEnd/>
              </a:ln>
              <a:solidFill>
                <a:srgbClr val="008080"/>
              </a:solidFill>
              <a:effectLst>
                <a:outerShdw dist="45791" dir="2021404" algn="ctr" rotWithShape="0">
                  <a:srgbClr val="C0C0C0"/>
                </a:outerShdw>
              </a:effectLst>
              <a:latin typeface="Times New Roman"/>
              <a:cs typeface="Times New Roman"/>
            </a:rPr>
            <a:t>de </a:t>
          </a:r>
        </a:p>
        <a:p>
          <a:pPr algn="ctr" rtl="0"/>
          <a:r>
            <a:rPr lang="fr-FR" sz="4800" kern="10" spc="0">
              <a:ln w="9525">
                <a:noFill/>
                <a:round/>
                <a:headEnd/>
                <a:tailEnd/>
              </a:ln>
              <a:solidFill>
                <a:srgbClr val="008080"/>
              </a:solidFill>
              <a:effectLst>
                <a:outerShdw dist="45791" dir="2021404" algn="ctr" rotWithShape="0">
                  <a:srgbClr val="C0C0C0"/>
                </a:outerShdw>
              </a:effectLst>
              <a:latin typeface="Times New Roman"/>
              <a:cs typeface="Times New Roman"/>
            </a:rPr>
            <a:t>Gestion</a:t>
          </a:r>
        </a:p>
      </xdr:txBody>
    </xdr:sp>
    <xdr:clientData/>
  </xdr:twoCellAnchor>
  <xdr:twoCellAnchor>
    <xdr:from>
      <xdr:col>0</xdr:col>
      <xdr:colOff>104774</xdr:colOff>
      <xdr:row>1</xdr:row>
      <xdr:rowOff>57149</xdr:rowOff>
    </xdr:from>
    <xdr:to>
      <xdr:col>15</xdr:col>
      <xdr:colOff>361949</xdr:colOff>
      <xdr:row>49</xdr:row>
      <xdr:rowOff>0</xdr:rowOff>
    </xdr:to>
    <xdr:sp macro="" textlink="">
      <xdr:nvSpPr>
        <xdr:cNvPr id="4" name="AutoShape 9"/>
        <xdr:cNvSpPr>
          <a:spLocks noChangeArrowheads="1"/>
        </xdr:cNvSpPr>
      </xdr:nvSpPr>
      <xdr:spPr bwMode="auto">
        <a:xfrm>
          <a:off x="104774" y="219074"/>
          <a:ext cx="6257925" cy="9220201"/>
        </a:xfrm>
        <a:prstGeom prst="roundRect">
          <a:avLst>
            <a:gd name="adj" fmla="val 2514"/>
          </a:avLst>
        </a:prstGeom>
        <a:noFill/>
        <a:ln w="9525">
          <a:solidFill>
            <a:srgbClr val="424242"/>
          </a:solidFill>
          <a:round/>
          <a:headEnd/>
          <a:tailEnd/>
        </a:ln>
        <a:effectLst/>
      </xdr:spPr>
    </xdr:sp>
    <xdr:clientData/>
  </xdr:twoCellAnchor>
  <mc:AlternateContent xmlns:mc="http://schemas.openxmlformats.org/markup-compatibility/2006">
    <mc:Choice xmlns:a14="http://schemas.microsoft.com/office/drawing/2010/main" Requires="a14">
      <xdr:twoCellAnchor>
        <xdr:from>
          <xdr:col>1</xdr:col>
          <xdr:colOff>180975</xdr:colOff>
          <xdr:row>1</xdr:row>
          <xdr:rowOff>152400</xdr:rowOff>
        </xdr:from>
        <xdr:to>
          <xdr:col>6</xdr:col>
          <xdr:colOff>228600</xdr:colOff>
          <xdr:row>6</xdr:row>
          <xdr:rowOff>123825</xdr:rowOff>
        </xdr:to>
        <xdr:sp macro="" textlink="">
          <xdr:nvSpPr>
            <xdr:cNvPr id="53249" name="Object 1" hidden="1">
              <a:extLst>
                <a:ext uri="{63B3BB69-23CF-44E3-9099-C40C66FF867C}">
                  <a14:compatExt spid="_x0000_s53249"/>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304800</xdr:colOff>
      <xdr:row>2</xdr:row>
      <xdr:rowOff>0</xdr:rowOff>
    </xdr:from>
    <xdr:to>
      <xdr:col>2</xdr:col>
      <xdr:colOff>466725</xdr:colOff>
      <xdr:row>4</xdr:row>
      <xdr:rowOff>219075</xdr:rowOff>
    </xdr:to>
    <xdr:sp macro="" textlink="">
      <xdr:nvSpPr>
        <xdr:cNvPr id="2" name="AutoShape 5"/>
        <xdr:cNvSpPr>
          <a:spLocks noChangeArrowheads="1"/>
        </xdr:cNvSpPr>
      </xdr:nvSpPr>
      <xdr:spPr bwMode="auto">
        <a:xfrm>
          <a:off x="990600" y="323850"/>
          <a:ext cx="3781425" cy="54292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SOMMAIRE</a:t>
          </a:r>
        </a:p>
      </xdr:txBody>
    </xdr:sp>
    <xdr:clientData/>
  </xdr:twoCellAnchor>
  <xdr:twoCellAnchor>
    <xdr:from>
      <xdr:col>0</xdr:col>
      <xdr:colOff>57150</xdr:colOff>
      <xdr:row>0</xdr:row>
      <xdr:rowOff>66675</xdr:rowOff>
    </xdr:from>
    <xdr:to>
      <xdr:col>3</xdr:col>
      <xdr:colOff>628650</xdr:colOff>
      <xdr:row>42</xdr:row>
      <xdr:rowOff>104775</xdr:rowOff>
    </xdr:to>
    <xdr:sp macro="" textlink="">
      <xdr:nvSpPr>
        <xdr:cNvPr id="3" name="AutoShape 6"/>
        <xdr:cNvSpPr>
          <a:spLocks noChangeArrowheads="1"/>
        </xdr:cNvSpPr>
      </xdr:nvSpPr>
      <xdr:spPr bwMode="auto">
        <a:xfrm>
          <a:off x="57150" y="66675"/>
          <a:ext cx="5600700" cy="9544050"/>
        </a:xfrm>
        <a:prstGeom prst="roundRect">
          <a:avLst>
            <a:gd name="adj" fmla="val 2514"/>
          </a:avLst>
        </a:prstGeom>
        <a:noFill/>
        <a:ln w="9525">
          <a:solidFill>
            <a:srgbClr val="424242"/>
          </a:solidFill>
          <a:round/>
          <a:headEnd/>
          <a:tailEnd/>
        </a:ln>
        <a:effec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276225</xdr:colOff>
      <xdr:row>32</xdr:row>
      <xdr:rowOff>19050</xdr:rowOff>
    </xdr:from>
    <xdr:to>
      <xdr:col>1</xdr:col>
      <xdr:colOff>657225</xdr:colOff>
      <xdr:row>32</xdr:row>
      <xdr:rowOff>142875</xdr:rowOff>
    </xdr:to>
    <xdr:sp macro="" textlink="">
      <xdr:nvSpPr>
        <xdr:cNvPr id="2" name="AutoShape 5"/>
        <xdr:cNvSpPr>
          <a:spLocks noChangeArrowheads="1"/>
        </xdr:cNvSpPr>
      </xdr:nvSpPr>
      <xdr:spPr bwMode="auto">
        <a:xfrm>
          <a:off x="1038225" y="6696075"/>
          <a:ext cx="381000" cy="123825"/>
        </a:xfrm>
        <a:prstGeom prst="rightArrow">
          <a:avLst>
            <a:gd name="adj1" fmla="val 50000"/>
            <a:gd name="adj2" fmla="val 76923"/>
          </a:avLst>
        </a:prstGeom>
        <a:solidFill>
          <a:srgbClr val="008080"/>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1</xdr:col>
      <xdr:colOff>276225</xdr:colOff>
      <xdr:row>34</xdr:row>
      <xdr:rowOff>19050</xdr:rowOff>
    </xdr:from>
    <xdr:to>
      <xdr:col>1</xdr:col>
      <xdr:colOff>657225</xdr:colOff>
      <xdr:row>34</xdr:row>
      <xdr:rowOff>142875</xdr:rowOff>
    </xdr:to>
    <xdr:sp macro="" textlink="">
      <xdr:nvSpPr>
        <xdr:cNvPr id="3" name="AutoShape 6"/>
        <xdr:cNvSpPr>
          <a:spLocks noChangeArrowheads="1"/>
        </xdr:cNvSpPr>
      </xdr:nvSpPr>
      <xdr:spPr bwMode="auto">
        <a:xfrm>
          <a:off x="1038225" y="7077075"/>
          <a:ext cx="381000" cy="123825"/>
        </a:xfrm>
        <a:prstGeom prst="rightArrow">
          <a:avLst>
            <a:gd name="adj1" fmla="val 50000"/>
            <a:gd name="adj2" fmla="val 76923"/>
          </a:avLst>
        </a:prstGeom>
        <a:solidFill>
          <a:srgbClr val="008080"/>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2</xdr:col>
      <xdr:colOff>0</xdr:colOff>
      <xdr:row>2</xdr:row>
      <xdr:rowOff>142875</xdr:rowOff>
    </xdr:from>
    <xdr:to>
      <xdr:col>6</xdr:col>
      <xdr:colOff>0</xdr:colOff>
      <xdr:row>4</xdr:row>
      <xdr:rowOff>361950</xdr:rowOff>
    </xdr:to>
    <xdr:sp macro="" textlink="">
      <xdr:nvSpPr>
        <xdr:cNvPr id="4" name="AutoShape 8"/>
        <xdr:cNvSpPr>
          <a:spLocks noChangeArrowheads="1"/>
        </xdr:cNvSpPr>
      </xdr:nvSpPr>
      <xdr:spPr bwMode="auto">
        <a:xfrm>
          <a:off x="1524000" y="466725"/>
          <a:ext cx="3048000" cy="54292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PRESENTATION</a:t>
          </a:r>
        </a:p>
      </xdr:txBody>
    </xdr:sp>
    <xdr:clientData/>
  </xdr:twoCellAnchor>
  <xdr:twoCellAnchor>
    <xdr:from>
      <xdr:col>0</xdr:col>
      <xdr:colOff>38100</xdr:colOff>
      <xdr:row>0</xdr:row>
      <xdr:rowOff>38100</xdr:rowOff>
    </xdr:from>
    <xdr:to>
      <xdr:col>7</xdr:col>
      <xdr:colOff>723900</xdr:colOff>
      <xdr:row>47</xdr:row>
      <xdr:rowOff>114300</xdr:rowOff>
    </xdr:to>
    <xdr:sp macro="" textlink="">
      <xdr:nvSpPr>
        <xdr:cNvPr id="5" name="AutoShape 9"/>
        <xdr:cNvSpPr>
          <a:spLocks noChangeArrowheads="1"/>
        </xdr:cNvSpPr>
      </xdr:nvSpPr>
      <xdr:spPr bwMode="auto">
        <a:xfrm>
          <a:off x="38100" y="38100"/>
          <a:ext cx="6019800" cy="9610725"/>
        </a:xfrm>
        <a:prstGeom prst="roundRect">
          <a:avLst>
            <a:gd name="adj" fmla="val 2514"/>
          </a:avLst>
        </a:prstGeom>
        <a:noFill/>
        <a:ln w="9525">
          <a:solidFill>
            <a:srgbClr val="424242"/>
          </a:solidFill>
          <a:round/>
          <a:headEnd/>
          <a:tailEnd/>
        </a:ln>
        <a:effec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47625</xdr:colOff>
      <xdr:row>1</xdr:row>
      <xdr:rowOff>0</xdr:rowOff>
    </xdr:from>
    <xdr:to>
      <xdr:col>7</xdr:col>
      <xdr:colOff>638175</xdr:colOff>
      <xdr:row>6</xdr:row>
      <xdr:rowOff>133350</xdr:rowOff>
    </xdr:to>
    <xdr:sp macro="" textlink="">
      <xdr:nvSpPr>
        <xdr:cNvPr id="2" name="AutoShape 1"/>
        <xdr:cNvSpPr>
          <a:spLocks noChangeArrowheads="1"/>
        </xdr:cNvSpPr>
      </xdr:nvSpPr>
      <xdr:spPr bwMode="auto">
        <a:xfrm>
          <a:off x="219075" y="85725"/>
          <a:ext cx="5257800" cy="94297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0" anchor="t" upright="1"/>
        <a:lstStyle/>
        <a:p>
          <a:pPr algn="ctr" rtl="0">
            <a:defRPr sz="1000"/>
          </a:pPr>
          <a:r>
            <a:rPr lang="fr-FR" sz="2400" b="1" i="0" u="none" strike="noStrike" baseline="0">
              <a:solidFill>
                <a:srgbClr val="008080"/>
              </a:solidFill>
              <a:latin typeface="Tahoma"/>
              <a:ea typeface="Tahoma"/>
              <a:cs typeface="Tahoma"/>
            </a:rPr>
            <a:t>CARACTERISTIQUES  DE</a:t>
          </a:r>
        </a:p>
        <a:p>
          <a:pPr algn="ctr" rtl="0">
            <a:defRPr sz="1000"/>
          </a:pPr>
          <a:r>
            <a:rPr lang="fr-FR" sz="2400" b="1" i="0" u="none" strike="noStrike" baseline="0">
              <a:solidFill>
                <a:srgbClr val="008080"/>
              </a:solidFill>
              <a:latin typeface="Tahoma"/>
              <a:ea typeface="Tahoma"/>
              <a:cs typeface="Tahoma"/>
            </a:rPr>
            <a:t> VOTRE  EXPLOITATION</a:t>
          </a:r>
        </a:p>
      </xdr:txBody>
    </xdr:sp>
    <xdr:clientData/>
  </xdr:twoCellAnchor>
  <xdr:twoCellAnchor>
    <xdr:from>
      <xdr:col>7</xdr:col>
      <xdr:colOff>0</xdr:colOff>
      <xdr:row>19</xdr:row>
      <xdr:rowOff>0</xdr:rowOff>
    </xdr:from>
    <xdr:to>
      <xdr:col>7</xdr:col>
      <xdr:colOff>561975</xdr:colOff>
      <xdr:row>21</xdr:row>
      <xdr:rowOff>0</xdr:rowOff>
    </xdr:to>
    <xdr:sp macro="" textlink="">
      <xdr:nvSpPr>
        <xdr:cNvPr id="3" name="Arc 2"/>
        <xdr:cNvSpPr>
          <a:spLocks/>
        </xdr:cNvSpPr>
      </xdr:nvSpPr>
      <xdr:spPr bwMode="auto">
        <a:xfrm flipH="1">
          <a:off x="4838700" y="3276600"/>
          <a:ext cx="561975" cy="381000"/>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close/>
            </a:path>
          </a:pathLst>
        </a:custGeom>
        <a:solidFill>
          <a:srgbClr val="C0C0C0"/>
        </a:solidFill>
        <a:ln w="17145">
          <a:solidFill>
            <a:srgbClr val="424242"/>
          </a:solidFill>
          <a:round/>
          <a:headEnd/>
          <a:tailEnd/>
        </a:ln>
      </xdr:spPr>
    </xdr:sp>
    <xdr:clientData/>
  </xdr:twoCellAnchor>
  <xdr:twoCellAnchor>
    <xdr:from>
      <xdr:col>7</xdr:col>
      <xdr:colOff>561975</xdr:colOff>
      <xdr:row>19</xdr:row>
      <xdr:rowOff>9525</xdr:rowOff>
    </xdr:from>
    <xdr:to>
      <xdr:col>8</xdr:col>
      <xdr:colOff>0</xdr:colOff>
      <xdr:row>21</xdr:row>
      <xdr:rowOff>0</xdr:rowOff>
    </xdr:to>
    <xdr:sp macro="" textlink="">
      <xdr:nvSpPr>
        <xdr:cNvPr id="4" name="Arc 3"/>
        <xdr:cNvSpPr>
          <a:spLocks/>
        </xdr:cNvSpPr>
      </xdr:nvSpPr>
      <xdr:spPr bwMode="auto">
        <a:xfrm>
          <a:off x="5400675" y="3286125"/>
          <a:ext cx="495300" cy="371475"/>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close/>
            </a:path>
          </a:pathLst>
        </a:custGeom>
        <a:solidFill>
          <a:srgbClr val="C0C0C0"/>
        </a:solidFill>
        <a:ln w="17145">
          <a:solidFill>
            <a:srgbClr val="424242"/>
          </a:solidFill>
          <a:round/>
          <a:headEnd/>
          <a:tailEnd/>
        </a:ln>
      </xdr:spPr>
    </xdr:sp>
    <xdr:clientData/>
  </xdr:twoCellAnchor>
  <xdr:twoCellAnchor>
    <xdr:from>
      <xdr:col>7</xdr:col>
      <xdr:colOff>209550</xdr:colOff>
      <xdr:row>19</xdr:row>
      <xdr:rowOff>123825</xdr:rowOff>
    </xdr:from>
    <xdr:to>
      <xdr:col>7</xdr:col>
      <xdr:colOff>809625</xdr:colOff>
      <xdr:row>21</xdr:row>
      <xdr:rowOff>0</xdr:rowOff>
    </xdr:to>
    <xdr:sp macro="" textlink="J16">
      <xdr:nvSpPr>
        <xdr:cNvPr id="5" name="Texte 7"/>
        <xdr:cNvSpPr txBox="1">
          <a:spLocks noChangeArrowheads="1" noTextEdit="1"/>
        </xdr:cNvSpPr>
      </xdr:nvSpPr>
      <xdr:spPr bwMode="auto">
        <a:xfrm>
          <a:off x="5048250" y="3400425"/>
          <a:ext cx="600075" cy="257175"/>
        </a:xfrm>
        <a:prstGeom prst="rect">
          <a:avLst/>
        </a:prstGeom>
        <a:solidFill>
          <a:srgbClr val="C0C0C0"/>
        </a:solidFill>
        <a:ln w="1">
          <a:noFill/>
          <a:miter lim="800000"/>
          <a:headEnd/>
          <a:tailEnd/>
        </a:ln>
      </xdr:spPr>
      <xdr:txBody>
        <a:bodyPr/>
        <a:lstStyle/>
        <a:p>
          <a:fld id="{0AF6D079-836D-4879-A172-710086382F02}" type="TxLink">
            <a:rPr lang="fr-FR"/>
            <a:pPr/>
            <a:t> </a:t>
          </a:fld>
          <a:endParaRPr lang="fr-FR"/>
        </a:p>
      </xdr:txBody>
    </xdr:sp>
    <xdr:clientData/>
  </xdr:twoCellAnchor>
  <xdr:twoCellAnchor>
    <xdr:from>
      <xdr:col>6</xdr:col>
      <xdr:colOff>0</xdr:colOff>
      <xdr:row>18</xdr:row>
      <xdr:rowOff>133350</xdr:rowOff>
    </xdr:from>
    <xdr:to>
      <xdr:col>6</xdr:col>
      <xdr:colOff>561975</xdr:colOff>
      <xdr:row>21</xdr:row>
      <xdr:rowOff>0</xdr:rowOff>
    </xdr:to>
    <xdr:sp macro="" textlink="">
      <xdr:nvSpPr>
        <xdr:cNvPr id="6" name="Arc 5"/>
        <xdr:cNvSpPr>
          <a:spLocks/>
        </xdr:cNvSpPr>
      </xdr:nvSpPr>
      <xdr:spPr bwMode="auto">
        <a:xfrm flipH="1">
          <a:off x="3771900" y="3248025"/>
          <a:ext cx="561975" cy="409575"/>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close/>
            </a:path>
          </a:pathLst>
        </a:custGeom>
        <a:solidFill>
          <a:srgbClr val="C0C0C0"/>
        </a:solidFill>
        <a:ln w="17145">
          <a:solidFill>
            <a:srgbClr val="424242"/>
          </a:solidFill>
          <a:round/>
          <a:headEnd/>
          <a:tailEnd/>
        </a:ln>
      </xdr:spPr>
    </xdr:sp>
    <xdr:clientData/>
  </xdr:twoCellAnchor>
  <xdr:twoCellAnchor>
    <xdr:from>
      <xdr:col>6</xdr:col>
      <xdr:colOff>561975</xdr:colOff>
      <xdr:row>18</xdr:row>
      <xdr:rowOff>133350</xdr:rowOff>
    </xdr:from>
    <xdr:to>
      <xdr:col>7</xdr:col>
      <xdr:colOff>0</xdr:colOff>
      <xdr:row>21</xdr:row>
      <xdr:rowOff>0</xdr:rowOff>
    </xdr:to>
    <xdr:sp macro="" textlink="">
      <xdr:nvSpPr>
        <xdr:cNvPr id="7" name="Arc 6"/>
        <xdr:cNvSpPr>
          <a:spLocks/>
        </xdr:cNvSpPr>
      </xdr:nvSpPr>
      <xdr:spPr bwMode="auto">
        <a:xfrm>
          <a:off x="4333875" y="3248025"/>
          <a:ext cx="504825" cy="409575"/>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close/>
            </a:path>
          </a:pathLst>
        </a:custGeom>
        <a:solidFill>
          <a:srgbClr val="C0C0C0"/>
        </a:solidFill>
        <a:ln w="17145">
          <a:solidFill>
            <a:srgbClr val="424242"/>
          </a:solidFill>
          <a:round/>
          <a:headEnd/>
          <a:tailEnd/>
        </a:ln>
      </xdr:spPr>
    </xdr:sp>
    <xdr:clientData/>
  </xdr:twoCellAnchor>
  <xdr:twoCellAnchor>
    <xdr:from>
      <xdr:col>6</xdr:col>
      <xdr:colOff>190500</xdr:colOff>
      <xdr:row>19</xdr:row>
      <xdr:rowOff>104775</xdr:rowOff>
    </xdr:from>
    <xdr:to>
      <xdr:col>6</xdr:col>
      <xdr:colOff>876300</xdr:colOff>
      <xdr:row>20</xdr:row>
      <xdr:rowOff>95250</xdr:rowOff>
    </xdr:to>
    <xdr:sp macro="" textlink="">
      <xdr:nvSpPr>
        <xdr:cNvPr id="8" name="Text Box 8"/>
        <xdr:cNvSpPr txBox="1">
          <a:spLocks noChangeArrowheads="1"/>
        </xdr:cNvSpPr>
      </xdr:nvSpPr>
      <xdr:spPr bwMode="auto">
        <a:xfrm>
          <a:off x="3962400" y="3381375"/>
          <a:ext cx="685800" cy="180975"/>
        </a:xfrm>
        <a:prstGeom prst="rect">
          <a:avLst/>
        </a:prstGeom>
        <a:solidFill>
          <a:srgbClr val="C0C0C0"/>
        </a:solidFill>
        <a:ln w="9525">
          <a:solidFill>
            <a:srgbClr val="C0C0C0"/>
          </a:solidFill>
          <a:miter lim="800000"/>
          <a:headEnd/>
          <a:tailEnd/>
        </a:ln>
      </xdr:spPr>
      <xdr:txBody>
        <a:bodyPr vertOverflow="clip" wrap="square" lIns="27432" tIns="22860" rIns="27432" bIns="0" anchor="t" upright="1"/>
        <a:lstStyle/>
        <a:p>
          <a:pPr algn="ctr" rtl="0">
            <a:defRPr sz="1000"/>
          </a:pPr>
          <a:r>
            <a:rPr lang="fr-FR" sz="1000" b="0" i="0" u="none" strike="noStrike" baseline="0">
              <a:solidFill>
                <a:srgbClr val="000000"/>
              </a:solidFill>
              <a:latin typeface="Tahoma"/>
              <a:ea typeface="Tahoma"/>
              <a:cs typeface="Tahoma"/>
            </a:rPr>
            <a:t>hectares</a:t>
          </a:r>
        </a:p>
      </xdr:txBody>
    </xdr:sp>
    <xdr:clientData/>
  </xdr:twoCellAnchor>
  <xdr:twoCellAnchor>
    <xdr:from>
      <xdr:col>7</xdr:col>
      <xdr:colOff>257175</xdr:colOff>
      <xdr:row>19</xdr:row>
      <xdr:rowOff>114300</xdr:rowOff>
    </xdr:from>
    <xdr:to>
      <xdr:col>7</xdr:col>
      <xdr:colOff>800100</xdr:colOff>
      <xdr:row>20</xdr:row>
      <xdr:rowOff>104775</xdr:rowOff>
    </xdr:to>
    <xdr:sp macro="" textlink="">
      <xdr:nvSpPr>
        <xdr:cNvPr id="9" name="Text Box 9"/>
        <xdr:cNvSpPr txBox="1">
          <a:spLocks noChangeArrowheads="1"/>
        </xdr:cNvSpPr>
      </xdr:nvSpPr>
      <xdr:spPr bwMode="auto">
        <a:xfrm>
          <a:off x="5095875" y="3390900"/>
          <a:ext cx="542925" cy="180975"/>
        </a:xfrm>
        <a:prstGeom prst="rect">
          <a:avLst/>
        </a:prstGeom>
        <a:solidFill>
          <a:srgbClr val="C0C0C0"/>
        </a:solidFill>
        <a:ln w="9525">
          <a:noFill/>
          <a:miter lim="800000"/>
          <a:headEnd/>
          <a:tailEnd/>
        </a:ln>
      </xdr:spPr>
      <xdr:txBody>
        <a:bodyPr vertOverflow="clip" wrap="square" lIns="27432" tIns="22860" rIns="27432" bIns="0" anchor="t" upright="1"/>
        <a:lstStyle/>
        <a:p>
          <a:pPr algn="ctr" rtl="0">
            <a:defRPr sz="1000"/>
          </a:pPr>
          <a:r>
            <a:rPr lang="fr-FR" sz="1000" b="0" i="0" u="none" strike="noStrike" baseline="0">
              <a:solidFill>
                <a:srgbClr val="000000"/>
              </a:solidFill>
              <a:latin typeface="Tahoma"/>
              <a:ea typeface="Tahoma"/>
              <a:cs typeface="Tahoma"/>
            </a:rPr>
            <a:t>% assol.</a:t>
          </a:r>
        </a:p>
      </xdr:txBody>
    </xdr:sp>
    <xdr:clientData/>
  </xdr:twoCellAnchor>
  <xdr:twoCellAnchor>
    <xdr:from>
      <xdr:col>0</xdr:col>
      <xdr:colOff>1</xdr:colOff>
      <xdr:row>0</xdr:row>
      <xdr:rowOff>38100</xdr:rowOff>
    </xdr:from>
    <xdr:to>
      <xdr:col>8</xdr:col>
      <xdr:colOff>47626</xdr:colOff>
      <xdr:row>52</xdr:row>
      <xdr:rowOff>66675</xdr:rowOff>
    </xdr:to>
    <xdr:sp macro="" textlink="">
      <xdr:nvSpPr>
        <xdr:cNvPr id="10" name="AutoShape 3"/>
        <xdr:cNvSpPr>
          <a:spLocks noChangeArrowheads="1"/>
        </xdr:cNvSpPr>
      </xdr:nvSpPr>
      <xdr:spPr bwMode="auto">
        <a:xfrm>
          <a:off x="1" y="38100"/>
          <a:ext cx="5943600" cy="9144000"/>
        </a:xfrm>
        <a:prstGeom prst="roundRect">
          <a:avLst>
            <a:gd name="adj" fmla="val 2514"/>
          </a:avLst>
        </a:prstGeom>
        <a:noFill/>
        <a:ln w="9525">
          <a:solidFill>
            <a:srgbClr val="424242"/>
          </a:solidFill>
          <a:round/>
          <a:headEnd/>
          <a:tailEnd/>
        </a:ln>
        <a:effectLst/>
      </xdr:spPr>
    </xdr:sp>
    <xdr:clientData/>
  </xdr:twoCellAnchor>
  <xdr:twoCellAnchor>
    <xdr:from>
      <xdr:col>6</xdr:col>
      <xdr:colOff>523875</xdr:colOff>
      <xdr:row>35</xdr:row>
      <xdr:rowOff>95250</xdr:rowOff>
    </xdr:from>
    <xdr:to>
      <xdr:col>7</xdr:col>
      <xdr:colOff>0</xdr:colOff>
      <xdr:row>36</xdr:row>
      <xdr:rowOff>228600</xdr:rowOff>
    </xdr:to>
    <xdr:sp macro="" textlink="">
      <xdr:nvSpPr>
        <xdr:cNvPr id="11" name="Arc 6"/>
        <xdr:cNvSpPr>
          <a:spLocks/>
        </xdr:cNvSpPr>
      </xdr:nvSpPr>
      <xdr:spPr bwMode="auto">
        <a:xfrm>
          <a:off x="4295775" y="6486525"/>
          <a:ext cx="542925" cy="323850"/>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close/>
            </a:path>
          </a:pathLst>
        </a:custGeom>
        <a:solidFill>
          <a:srgbClr val="C0C0C0"/>
        </a:solidFill>
        <a:ln w="17145">
          <a:solidFill>
            <a:srgbClr val="424242"/>
          </a:solidFill>
          <a:round/>
          <a:headEnd/>
          <a:tailEnd/>
        </a:ln>
      </xdr:spPr>
    </xdr:sp>
    <xdr:clientData/>
  </xdr:twoCellAnchor>
  <xdr:twoCellAnchor>
    <xdr:from>
      <xdr:col>5</xdr:col>
      <xdr:colOff>542922</xdr:colOff>
      <xdr:row>35</xdr:row>
      <xdr:rowOff>104775</xdr:rowOff>
    </xdr:from>
    <xdr:to>
      <xdr:col>6</xdr:col>
      <xdr:colOff>561974</xdr:colOff>
      <xdr:row>36</xdr:row>
      <xdr:rowOff>228601</xdr:rowOff>
    </xdr:to>
    <xdr:sp macro="" textlink="">
      <xdr:nvSpPr>
        <xdr:cNvPr id="13" name="Arc 5"/>
        <xdr:cNvSpPr>
          <a:spLocks/>
        </xdr:cNvSpPr>
      </xdr:nvSpPr>
      <xdr:spPr bwMode="auto">
        <a:xfrm flipH="1">
          <a:off x="3771897" y="6496050"/>
          <a:ext cx="561977" cy="314326"/>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close/>
            </a:path>
          </a:pathLst>
        </a:custGeom>
        <a:solidFill>
          <a:srgbClr val="C0C0C0"/>
        </a:solidFill>
        <a:ln w="17145">
          <a:solidFill>
            <a:srgbClr val="424242"/>
          </a:solidFill>
          <a:round/>
          <a:headEnd/>
          <a:tailEnd/>
        </a:ln>
      </xdr:spPr>
    </xdr:sp>
    <xdr:clientData/>
  </xdr:twoCellAnchor>
  <xdr:twoCellAnchor>
    <xdr:from>
      <xdr:col>7</xdr:col>
      <xdr:colOff>523878</xdr:colOff>
      <xdr:row>35</xdr:row>
      <xdr:rowOff>95250</xdr:rowOff>
    </xdr:from>
    <xdr:to>
      <xdr:col>8</xdr:col>
      <xdr:colOff>9528</xdr:colOff>
      <xdr:row>36</xdr:row>
      <xdr:rowOff>228600</xdr:rowOff>
    </xdr:to>
    <xdr:sp macro="" textlink="">
      <xdr:nvSpPr>
        <xdr:cNvPr id="14" name="Arc 6"/>
        <xdr:cNvSpPr>
          <a:spLocks/>
        </xdr:cNvSpPr>
      </xdr:nvSpPr>
      <xdr:spPr bwMode="auto">
        <a:xfrm>
          <a:off x="5362578" y="6486525"/>
          <a:ext cx="542925" cy="323850"/>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close/>
            </a:path>
          </a:pathLst>
        </a:custGeom>
        <a:solidFill>
          <a:srgbClr val="C0C0C0"/>
        </a:solidFill>
        <a:ln w="17145">
          <a:solidFill>
            <a:srgbClr val="424242"/>
          </a:solidFill>
          <a:round/>
          <a:headEnd/>
          <a:tailEnd/>
        </a:ln>
      </xdr:spPr>
    </xdr:sp>
    <xdr:clientData/>
  </xdr:twoCellAnchor>
  <xdr:twoCellAnchor>
    <xdr:from>
      <xdr:col>7</xdr:col>
      <xdr:colOff>0</xdr:colOff>
      <xdr:row>35</xdr:row>
      <xdr:rowOff>104775</xdr:rowOff>
    </xdr:from>
    <xdr:to>
      <xdr:col>7</xdr:col>
      <xdr:colOff>561977</xdr:colOff>
      <xdr:row>36</xdr:row>
      <xdr:rowOff>228601</xdr:rowOff>
    </xdr:to>
    <xdr:sp macro="" textlink="">
      <xdr:nvSpPr>
        <xdr:cNvPr id="15" name="Arc 5"/>
        <xdr:cNvSpPr>
          <a:spLocks/>
        </xdr:cNvSpPr>
      </xdr:nvSpPr>
      <xdr:spPr bwMode="auto">
        <a:xfrm flipH="1">
          <a:off x="4838700" y="6496050"/>
          <a:ext cx="561977" cy="314326"/>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close/>
            </a:path>
          </a:pathLst>
        </a:custGeom>
        <a:solidFill>
          <a:srgbClr val="C0C0C0"/>
        </a:solidFill>
        <a:ln w="17145">
          <a:solidFill>
            <a:srgbClr val="424242"/>
          </a:solidFill>
          <a:round/>
          <a:headEnd/>
          <a:tailEnd/>
        </a:ln>
      </xdr:spPr>
    </xdr:sp>
    <xdr:clientData/>
  </xdr:twoCellAnchor>
  <xdr:twoCellAnchor>
    <xdr:from>
      <xdr:col>6</xdr:col>
      <xdr:colOff>257175</xdr:colOff>
      <xdr:row>36</xdr:row>
      <xdr:rowOff>19050</xdr:rowOff>
    </xdr:from>
    <xdr:to>
      <xdr:col>6</xdr:col>
      <xdr:colOff>942975</xdr:colOff>
      <xdr:row>36</xdr:row>
      <xdr:rowOff>200025</xdr:rowOff>
    </xdr:to>
    <xdr:sp macro="" textlink="">
      <xdr:nvSpPr>
        <xdr:cNvPr id="16" name="Text Box 8"/>
        <xdr:cNvSpPr txBox="1">
          <a:spLocks noChangeArrowheads="1"/>
        </xdr:cNvSpPr>
      </xdr:nvSpPr>
      <xdr:spPr bwMode="auto">
        <a:xfrm>
          <a:off x="4029075" y="6600825"/>
          <a:ext cx="685800" cy="180975"/>
        </a:xfrm>
        <a:prstGeom prst="rect">
          <a:avLst/>
        </a:prstGeom>
        <a:solidFill>
          <a:srgbClr val="C0C0C0"/>
        </a:solidFill>
        <a:ln w="9525">
          <a:solidFill>
            <a:srgbClr val="C0C0C0"/>
          </a:solidFill>
          <a:miter lim="800000"/>
          <a:headEnd/>
          <a:tailEnd/>
        </a:ln>
      </xdr:spPr>
      <xdr:txBody>
        <a:bodyPr vertOverflow="clip" wrap="square" lIns="27432" tIns="22860" rIns="27432" bIns="0" anchor="t" upright="1"/>
        <a:lstStyle/>
        <a:p>
          <a:pPr algn="ctr" rtl="0">
            <a:defRPr sz="1000"/>
          </a:pPr>
          <a:r>
            <a:rPr lang="fr-FR" sz="1000" b="0" i="0" u="none" strike="noStrike" baseline="0">
              <a:solidFill>
                <a:srgbClr val="000000"/>
              </a:solidFill>
              <a:latin typeface="Tahoma"/>
              <a:ea typeface="Tahoma"/>
              <a:cs typeface="Tahoma"/>
            </a:rPr>
            <a:t>N</a:t>
          </a:r>
        </a:p>
      </xdr:txBody>
    </xdr:sp>
    <xdr:clientData/>
  </xdr:twoCellAnchor>
  <xdr:twoCellAnchor>
    <xdr:from>
      <xdr:col>7</xdr:col>
      <xdr:colOff>161925</xdr:colOff>
      <xdr:row>36</xdr:row>
      <xdr:rowOff>28575</xdr:rowOff>
    </xdr:from>
    <xdr:to>
      <xdr:col>7</xdr:col>
      <xdr:colOff>847725</xdr:colOff>
      <xdr:row>36</xdr:row>
      <xdr:rowOff>209550</xdr:rowOff>
    </xdr:to>
    <xdr:sp macro="" textlink="">
      <xdr:nvSpPr>
        <xdr:cNvPr id="17" name="Text Box 8"/>
        <xdr:cNvSpPr txBox="1">
          <a:spLocks noChangeArrowheads="1"/>
        </xdr:cNvSpPr>
      </xdr:nvSpPr>
      <xdr:spPr bwMode="auto">
        <a:xfrm>
          <a:off x="5000625" y="6610350"/>
          <a:ext cx="685800" cy="180975"/>
        </a:xfrm>
        <a:prstGeom prst="rect">
          <a:avLst/>
        </a:prstGeom>
        <a:solidFill>
          <a:srgbClr val="C0C0C0"/>
        </a:solidFill>
        <a:ln w="9525">
          <a:solidFill>
            <a:srgbClr val="C0C0C0"/>
          </a:solidFill>
          <a:miter lim="800000"/>
          <a:headEnd/>
          <a:tailEnd/>
        </a:ln>
      </xdr:spPr>
      <xdr:txBody>
        <a:bodyPr vertOverflow="clip" wrap="square" lIns="27432" tIns="22860" rIns="27432" bIns="0" anchor="t" upright="1"/>
        <a:lstStyle/>
        <a:p>
          <a:pPr algn="ctr" rtl="0">
            <a:defRPr sz="1000"/>
          </a:pPr>
          <a:r>
            <a:rPr lang="fr-FR" sz="1000" b="0" i="0" u="none" strike="noStrike" baseline="0">
              <a:solidFill>
                <a:srgbClr val="000000"/>
              </a:solidFill>
              <a:latin typeface="Tahoma"/>
              <a:ea typeface="Tahoma"/>
              <a:cs typeface="Tahoma"/>
            </a:rPr>
            <a:t>N-1</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11</xdr:col>
      <xdr:colOff>209550</xdr:colOff>
      <xdr:row>1</xdr:row>
      <xdr:rowOff>19050</xdr:rowOff>
    </xdr:from>
    <xdr:to>
      <xdr:col>17</xdr:col>
      <xdr:colOff>466725</xdr:colOff>
      <xdr:row>3</xdr:row>
      <xdr:rowOff>228600</xdr:rowOff>
    </xdr:to>
    <xdr:sp macro="" textlink="">
      <xdr:nvSpPr>
        <xdr:cNvPr id="2" name="Texte 5"/>
        <xdr:cNvSpPr txBox="1">
          <a:spLocks noChangeArrowheads="1"/>
        </xdr:cNvSpPr>
      </xdr:nvSpPr>
      <xdr:spPr bwMode="auto">
        <a:xfrm>
          <a:off x="5924550" y="180975"/>
          <a:ext cx="0" cy="962025"/>
        </a:xfrm>
        <a:prstGeom prst="rect">
          <a:avLst/>
        </a:prstGeom>
        <a:solidFill>
          <a:srgbClr val="FFFFFF"/>
        </a:solidFill>
        <a:ln w="3175">
          <a:solidFill>
            <a:srgbClr val="FFFFFF"/>
          </a:solidFill>
          <a:prstDash val="sysDot"/>
          <a:miter lim="800000"/>
          <a:headEnd/>
          <a:tailEnd/>
        </a:ln>
        <a:effectLst>
          <a:outerShdw dist="35921" dir="2700000" algn="ctr" rotWithShape="0">
            <a:srgbClr val="000000"/>
          </a:outerShdw>
        </a:effectLst>
      </xdr:spPr>
      <xdr:txBody>
        <a:bodyPr vertOverflow="clip" wrap="square" lIns="155448" tIns="54864" rIns="0" bIns="0" anchor="t" upright="1"/>
        <a:lstStyle/>
        <a:p>
          <a:pPr algn="l" rtl="0">
            <a:defRPr sz="1000"/>
          </a:pPr>
          <a:r>
            <a:rPr lang="fr-FR" sz="3600" b="0" i="0" u="none" strike="noStrike" baseline="0">
              <a:solidFill>
                <a:srgbClr val="000000"/>
              </a:solidFill>
              <a:latin typeface="Wingdings"/>
            </a:rPr>
            <a:t> </a:t>
          </a:r>
          <a:r>
            <a:rPr lang="fr-FR" sz="3600" b="0" i="0" u="none" strike="noStrike" baseline="0">
              <a:solidFill>
                <a:srgbClr val="008080"/>
              </a:solidFill>
              <a:latin typeface="Wingdings"/>
            </a:rPr>
            <a:t>C</a:t>
          </a:r>
          <a:r>
            <a:rPr lang="fr-FR" sz="3600" b="0" i="0" u="none" strike="noStrike" baseline="0">
              <a:solidFill>
                <a:srgbClr val="000000"/>
              </a:solidFill>
              <a:latin typeface="Wingdings"/>
            </a:rPr>
            <a:t> </a:t>
          </a:r>
          <a:r>
            <a:rPr lang="fr-FR" sz="3600" b="0" i="0" u="none" strike="noStrike" baseline="0">
              <a:solidFill>
                <a:srgbClr val="008080"/>
              </a:solidFill>
              <a:latin typeface="Wingdings"/>
            </a:rPr>
            <a:t>J</a:t>
          </a:r>
          <a:r>
            <a:rPr lang="fr-FR" sz="3600" b="0" i="0" u="none" strike="noStrike" baseline="0">
              <a:solidFill>
                <a:srgbClr val="000000"/>
              </a:solidFill>
              <a:latin typeface="Wingdings"/>
            </a:rPr>
            <a:t> </a:t>
          </a:r>
          <a:r>
            <a:rPr lang="fr-FR" sz="3600" b="0" i="0" u="none" strike="noStrike" baseline="0">
              <a:solidFill>
                <a:srgbClr val="008080"/>
              </a:solidFill>
              <a:latin typeface="Wingdings"/>
            </a:rPr>
            <a:t>K</a:t>
          </a:r>
          <a:r>
            <a:rPr lang="fr-FR" sz="3600" b="0" i="0" u="none" strike="noStrike" baseline="0">
              <a:solidFill>
                <a:srgbClr val="000000"/>
              </a:solidFill>
              <a:latin typeface="Wingdings"/>
            </a:rPr>
            <a:t> </a:t>
          </a:r>
          <a:r>
            <a:rPr lang="fr-FR" sz="3600" b="0" i="0" u="none" strike="noStrike" baseline="0">
              <a:solidFill>
                <a:srgbClr val="008080"/>
              </a:solidFill>
              <a:latin typeface="Wingdings"/>
            </a:rPr>
            <a:t>L</a:t>
          </a:r>
          <a:r>
            <a:rPr lang="fr-FR" sz="3600" b="0" i="0" u="none" strike="noStrike" baseline="0">
              <a:solidFill>
                <a:srgbClr val="000000"/>
              </a:solidFill>
              <a:latin typeface="Wingdings"/>
            </a:rPr>
            <a:t> </a:t>
          </a:r>
          <a:r>
            <a:rPr lang="fr-FR" sz="3600" b="0" i="0" u="none" strike="noStrike" baseline="0">
              <a:solidFill>
                <a:srgbClr val="008080"/>
              </a:solidFill>
              <a:latin typeface="Wingdings"/>
            </a:rPr>
            <a:t>D</a:t>
          </a:r>
        </a:p>
      </xdr:txBody>
    </xdr:sp>
    <xdr:clientData/>
  </xdr:twoCellAnchor>
  <xdr:twoCellAnchor>
    <xdr:from>
      <xdr:col>10</xdr:col>
      <xdr:colOff>0</xdr:colOff>
      <xdr:row>15</xdr:row>
      <xdr:rowOff>0</xdr:rowOff>
    </xdr:from>
    <xdr:to>
      <xdr:col>11</xdr:col>
      <xdr:colOff>0</xdr:colOff>
      <xdr:row>16</xdr:row>
      <xdr:rowOff>0</xdr:rowOff>
    </xdr:to>
    <xdr:sp macro="" textlink="">
      <xdr:nvSpPr>
        <xdr:cNvPr id="3" name="Rectangle 6"/>
        <xdr:cNvSpPr>
          <a:spLocks noChangeArrowheads="1"/>
        </xdr:cNvSpPr>
      </xdr:nvSpPr>
      <xdr:spPr bwMode="auto">
        <a:xfrm>
          <a:off x="5924550" y="3990975"/>
          <a:ext cx="0" cy="685800"/>
        </a:xfrm>
        <a:prstGeom prst="rect">
          <a:avLst/>
        </a:prstGeom>
        <a:noFill/>
        <a:ln w="9525">
          <a:solidFill>
            <a:srgbClr val="000000"/>
          </a:solidFill>
          <a:miter lim="800000"/>
          <a:headEnd/>
          <a:tailEnd/>
        </a:ln>
        <a:effectLst>
          <a:outerShdw dist="35921" dir="2700000" algn="ctr" rotWithShape="0">
            <a:srgbClr val="000000"/>
          </a:outerShdw>
        </a:effectLst>
      </xdr:spPr>
    </xdr:sp>
    <xdr:clientData/>
  </xdr:twoCellAnchor>
  <xdr:twoCellAnchor>
    <xdr:from>
      <xdr:col>1</xdr:col>
      <xdr:colOff>323850</xdr:colOff>
      <xdr:row>7</xdr:row>
      <xdr:rowOff>200025</xdr:rowOff>
    </xdr:from>
    <xdr:to>
      <xdr:col>8</xdr:col>
      <xdr:colOff>152400</xdr:colOff>
      <xdr:row>11</xdr:row>
      <xdr:rowOff>200025</xdr:rowOff>
    </xdr:to>
    <xdr:sp macro="" textlink="">
      <xdr:nvSpPr>
        <xdr:cNvPr id="4" name="AutoShape 8"/>
        <xdr:cNvSpPr>
          <a:spLocks noChangeArrowheads="1"/>
        </xdr:cNvSpPr>
      </xdr:nvSpPr>
      <xdr:spPr bwMode="auto">
        <a:xfrm>
          <a:off x="504825" y="1857375"/>
          <a:ext cx="4476750" cy="113347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BAROMETRE DE VOTRE EXPLOITATION</a:t>
          </a:r>
        </a:p>
      </xdr:txBody>
    </xdr:sp>
    <xdr:clientData/>
  </xdr:twoCellAnchor>
  <xdr:twoCellAnchor>
    <xdr:from>
      <xdr:col>0</xdr:col>
      <xdr:colOff>95250</xdr:colOff>
      <xdr:row>2</xdr:row>
      <xdr:rowOff>47625</xdr:rowOff>
    </xdr:from>
    <xdr:to>
      <xdr:col>8</xdr:col>
      <xdr:colOff>742950</xdr:colOff>
      <xdr:row>3</xdr:row>
      <xdr:rowOff>28575</xdr:rowOff>
    </xdr:to>
    <xdr:sp macro="" textlink="">
      <xdr:nvSpPr>
        <xdr:cNvPr id="5" name="AutoShape 9"/>
        <xdr:cNvSpPr>
          <a:spLocks noChangeArrowheads="1"/>
        </xdr:cNvSpPr>
      </xdr:nvSpPr>
      <xdr:spPr bwMode="auto">
        <a:xfrm>
          <a:off x="95250" y="352425"/>
          <a:ext cx="5476875" cy="742950"/>
        </a:xfrm>
        <a:prstGeom prst="roundRect">
          <a:avLst>
            <a:gd name="adj" fmla="val 16667"/>
          </a:avLst>
        </a:prstGeom>
        <a:noFill/>
        <a:ln w="38100" cmpd="dbl">
          <a:solidFill>
            <a:srgbClr val="424242"/>
          </a:solidFill>
          <a:round/>
          <a:headEnd/>
          <a:tailEnd/>
        </a:ln>
        <a:effectLst/>
      </xdr:spPr>
    </xdr:sp>
    <xdr:clientData/>
  </xdr:twoCellAnchor>
  <xdr:twoCellAnchor>
    <xdr:from>
      <xdr:col>0</xdr:col>
      <xdr:colOff>38100</xdr:colOff>
      <xdr:row>0</xdr:row>
      <xdr:rowOff>38100</xdr:rowOff>
    </xdr:from>
    <xdr:to>
      <xdr:col>8</xdr:col>
      <xdr:colOff>809625</xdr:colOff>
      <xdr:row>29</xdr:row>
      <xdr:rowOff>85725</xdr:rowOff>
    </xdr:to>
    <xdr:sp macro="" textlink="">
      <xdr:nvSpPr>
        <xdr:cNvPr id="6" name="AutoShape 20"/>
        <xdr:cNvSpPr>
          <a:spLocks noChangeArrowheads="1"/>
        </xdr:cNvSpPr>
      </xdr:nvSpPr>
      <xdr:spPr bwMode="auto">
        <a:xfrm>
          <a:off x="38100" y="38100"/>
          <a:ext cx="5600700" cy="9629775"/>
        </a:xfrm>
        <a:prstGeom prst="roundRect">
          <a:avLst>
            <a:gd name="adj" fmla="val 2514"/>
          </a:avLst>
        </a:prstGeom>
        <a:noFill/>
        <a:ln w="9525">
          <a:solidFill>
            <a:srgbClr val="424242"/>
          </a:solidFill>
          <a:round/>
          <a:headEnd/>
          <a:tailEnd/>
        </a:ln>
        <a:effectLst/>
      </xdr:spPr>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314325</xdr:colOff>
      <xdr:row>1</xdr:row>
      <xdr:rowOff>57150</xdr:rowOff>
    </xdr:from>
    <xdr:to>
      <xdr:col>4</xdr:col>
      <xdr:colOff>190500</xdr:colOff>
      <xdr:row>7</xdr:row>
      <xdr:rowOff>104775</xdr:rowOff>
    </xdr:to>
    <xdr:sp macro="" textlink="">
      <xdr:nvSpPr>
        <xdr:cNvPr id="2" name="AutoShape 1"/>
        <xdr:cNvSpPr>
          <a:spLocks noChangeArrowheads="1"/>
        </xdr:cNvSpPr>
      </xdr:nvSpPr>
      <xdr:spPr bwMode="auto">
        <a:xfrm>
          <a:off x="628650" y="219075"/>
          <a:ext cx="4962525" cy="1047750"/>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POINTS FORTS</a:t>
          </a:r>
        </a:p>
        <a:p>
          <a:pPr algn="ctr" rtl="0">
            <a:defRPr sz="1000"/>
          </a:pPr>
          <a:r>
            <a:rPr lang="fr-FR" sz="2400" b="1" i="0" u="none" strike="noStrike" baseline="0">
              <a:solidFill>
                <a:srgbClr val="008080"/>
              </a:solidFill>
              <a:latin typeface="Tahoma"/>
              <a:ea typeface="Tahoma"/>
              <a:cs typeface="Tahoma"/>
            </a:rPr>
            <a:t>POINTS FAIBLES</a:t>
          </a:r>
        </a:p>
      </xdr:txBody>
    </xdr:sp>
    <xdr:clientData/>
  </xdr:twoCellAnchor>
  <xdr:twoCellAnchor>
    <xdr:from>
      <xdr:col>0</xdr:col>
      <xdr:colOff>38100</xdr:colOff>
      <xdr:row>0</xdr:row>
      <xdr:rowOff>38100</xdr:rowOff>
    </xdr:from>
    <xdr:to>
      <xdr:col>4</xdr:col>
      <xdr:colOff>666750</xdr:colOff>
      <xdr:row>51</xdr:row>
      <xdr:rowOff>142875</xdr:rowOff>
    </xdr:to>
    <xdr:sp macro="" textlink="">
      <xdr:nvSpPr>
        <xdr:cNvPr id="3" name="AutoShape 2"/>
        <xdr:cNvSpPr>
          <a:spLocks noChangeArrowheads="1"/>
        </xdr:cNvSpPr>
      </xdr:nvSpPr>
      <xdr:spPr bwMode="auto">
        <a:xfrm>
          <a:off x="38100" y="38100"/>
          <a:ext cx="6029325" cy="9420225"/>
        </a:xfrm>
        <a:prstGeom prst="roundRect">
          <a:avLst>
            <a:gd name="adj" fmla="val 2514"/>
          </a:avLst>
        </a:prstGeom>
        <a:noFill/>
        <a:ln w="9525">
          <a:solidFill>
            <a:srgbClr val="424242"/>
          </a:solidFill>
          <a:round/>
          <a:headEnd/>
          <a:tailEnd/>
        </a:ln>
        <a:effectLst/>
      </xdr:spPr>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657225</xdr:colOff>
      <xdr:row>1</xdr:row>
      <xdr:rowOff>85725</xdr:rowOff>
    </xdr:from>
    <xdr:to>
      <xdr:col>7</xdr:col>
      <xdr:colOff>657225</xdr:colOff>
      <xdr:row>5</xdr:row>
      <xdr:rowOff>85725</xdr:rowOff>
    </xdr:to>
    <xdr:sp macro="" textlink="">
      <xdr:nvSpPr>
        <xdr:cNvPr id="2" name="AutoShape 1"/>
        <xdr:cNvSpPr>
          <a:spLocks noChangeArrowheads="1"/>
        </xdr:cNvSpPr>
      </xdr:nvSpPr>
      <xdr:spPr bwMode="auto">
        <a:xfrm>
          <a:off x="838200" y="209550"/>
          <a:ext cx="4572000" cy="647700"/>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COMMENTAIRES</a:t>
          </a:r>
        </a:p>
      </xdr:txBody>
    </xdr:sp>
    <xdr:clientData/>
  </xdr:twoCellAnchor>
  <xdr:twoCellAnchor>
    <xdr:from>
      <xdr:col>2</xdr:col>
      <xdr:colOff>400050</xdr:colOff>
      <xdr:row>14</xdr:row>
      <xdr:rowOff>57150</xdr:rowOff>
    </xdr:from>
    <xdr:to>
      <xdr:col>2</xdr:col>
      <xdr:colOff>628650</xdr:colOff>
      <xdr:row>14</xdr:row>
      <xdr:rowOff>133350</xdr:rowOff>
    </xdr:to>
    <xdr:sp macro="" textlink="">
      <xdr:nvSpPr>
        <xdr:cNvPr id="3" name="AutoShape 6"/>
        <xdr:cNvSpPr>
          <a:spLocks noChangeArrowheads="1"/>
        </xdr:cNvSpPr>
      </xdr:nvSpPr>
      <xdr:spPr bwMode="auto">
        <a:xfrm>
          <a:off x="1343025" y="2419350"/>
          <a:ext cx="228600" cy="76200"/>
        </a:xfrm>
        <a:prstGeom prst="rightArrow">
          <a:avLst>
            <a:gd name="adj1" fmla="val 50000"/>
            <a:gd name="adj2" fmla="val 75000"/>
          </a:avLst>
        </a:prstGeom>
        <a:solidFill>
          <a:srgbClr val="336666"/>
        </a:solidFill>
        <a:ln w="9525">
          <a:solidFill>
            <a:srgbClr val="424242"/>
          </a:solidFill>
          <a:miter lim="800000"/>
          <a:headEnd/>
          <a:tailEnd/>
        </a:ln>
      </xdr:spPr>
    </xdr:sp>
    <xdr:clientData/>
  </xdr:twoCellAnchor>
  <xdr:twoCellAnchor>
    <xdr:from>
      <xdr:col>2</xdr:col>
      <xdr:colOff>400050</xdr:colOff>
      <xdr:row>28</xdr:row>
      <xdr:rowOff>57150</xdr:rowOff>
    </xdr:from>
    <xdr:to>
      <xdr:col>2</xdr:col>
      <xdr:colOff>628650</xdr:colOff>
      <xdr:row>28</xdr:row>
      <xdr:rowOff>133350</xdr:rowOff>
    </xdr:to>
    <xdr:sp macro="" textlink="">
      <xdr:nvSpPr>
        <xdr:cNvPr id="4" name="AutoShape 8"/>
        <xdr:cNvSpPr>
          <a:spLocks noChangeArrowheads="1"/>
        </xdr:cNvSpPr>
      </xdr:nvSpPr>
      <xdr:spPr bwMode="auto">
        <a:xfrm>
          <a:off x="1343025" y="5086350"/>
          <a:ext cx="228600" cy="76200"/>
        </a:xfrm>
        <a:prstGeom prst="rightArrow">
          <a:avLst>
            <a:gd name="adj1" fmla="val 50000"/>
            <a:gd name="adj2" fmla="val 75000"/>
          </a:avLst>
        </a:prstGeom>
        <a:solidFill>
          <a:srgbClr val="336666"/>
        </a:solidFill>
        <a:ln w="9525">
          <a:solidFill>
            <a:srgbClr val="424242"/>
          </a:solidFill>
          <a:miter lim="800000"/>
          <a:headEnd/>
          <a:tailEnd/>
        </a:ln>
      </xdr:spPr>
    </xdr:sp>
    <xdr:clientData/>
  </xdr:twoCellAnchor>
  <xdr:twoCellAnchor>
    <xdr:from>
      <xdr:col>2</xdr:col>
      <xdr:colOff>400050</xdr:colOff>
      <xdr:row>36</xdr:row>
      <xdr:rowOff>57150</xdr:rowOff>
    </xdr:from>
    <xdr:to>
      <xdr:col>2</xdr:col>
      <xdr:colOff>628650</xdr:colOff>
      <xdr:row>36</xdr:row>
      <xdr:rowOff>133350</xdr:rowOff>
    </xdr:to>
    <xdr:sp macro="" textlink="">
      <xdr:nvSpPr>
        <xdr:cNvPr id="5" name="AutoShape 9"/>
        <xdr:cNvSpPr>
          <a:spLocks noChangeArrowheads="1"/>
        </xdr:cNvSpPr>
      </xdr:nvSpPr>
      <xdr:spPr bwMode="auto">
        <a:xfrm>
          <a:off x="1343025" y="6496050"/>
          <a:ext cx="228600" cy="76200"/>
        </a:xfrm>
        <a:prstGeom prst="rightArrow">
          <a:avLst>
            <a:gd name="adj1" fmla="val 50000"/>
            <a:gd name="adj2" fmla="val 75000"/>
          </a:avLst>
        </a:prstGeom>
        <a:solidFill>
          <a:srgbClr val="336666"/>
        </a:solidFill>
        <a:ln w="9525">
          <a:solidFill>
            <a:srgbClr val="424242"/>
          </a:solidFill>
          <a:miter lim="800000"/>
          <a:headEnd/>
          <a:tailEnd/>
        </a:ln>
      </xdr:spPr>
    </xdr:sp>
    <xdr:clientData/>
  </xdr:twoCellAnchor>
  <xdr:twoCellAnchor>
    <xdr:from>
      <xdr:col>0</xdr:col>
      <xdr:colOff>38100</xdr:colOff>
      <xdr:row>0</xdr:row>
      <xdr:rowOff>38100</xdr:rowOff>
    </xdr:from>
    <xdr:to>
      <xdr:col>8</xdr:col>
      <xdr:colOff>619125</xdr:colOff>
      <xdr:row>51</xdr:row>
      <xdr:rowOff>57150</xdr:rowOff>
    </xdr:to>
    <xdr:sp macro="" textlink="">
      <xdr:nvSpPr>
        <xdr:cNvPr id="6" name="AutoShape 10"/>
        <xdr:cNvSpPr>
          <a:spLocks noChangeArrowheads="1"/>
        </xdr:cNvSpPr>
      </xdr:nvSpPr>
      <xdr:spPr bwMode="auto">
        <a:xfrm>
          <a:off x="38100" y="38100"/>
          <a:ext cx="6096000" cy="9163050"/>
        </a:xfrm>
        <a:prstGeom prst="roundRect">
          <a:avLst>
            <a:gd name="adj" fmla="val 2514"/>
          </a:avLst>
        </a:prstGeom>
        <a:noFill/>
        <a:ln w="9525">
          <a:solidFill>
            <a:srgbClr val="424242"/>
          </a:solidFill>
          <a:round/>
          <a:headEnd/>
          <a:tailEnd/>
        </a:ln>
        <a:effectLst/>
      </xdr:spPr>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314325</xdr:colOff>
      <xdr:row>1</xdr:row>
      <xdr:rowOff>47625</xdr:rowOff>
    </xdr:from>
    <xdr:to>
      <xdr:col>7</xdr:col>
      <xdr:colOff>314325</xdr:colOff>
      <xdr:row>5</xdr:row>
      <xdr:rowOff>38100</xdr:rowOff>
    </xdr:to>
    <xdr:sp macro="" textlink="">
      <xdr:nvSpPr>
        <xdr:cNvPr id="2" name="AutoShape 1"/>
        <xdr:cNvSpPr>
          <a:spLocks noChangeArrowheads="1"/>
        </xdr:cNvSpPr>
      </xdr:nvSpPr>
      <xdr:spPr bwMode="auto">
        <a:xfrm>
          <a:off x="495300" y="209550"/>
          <a:ext cx="4886325" cy="63817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COMMENTAIRES</a:t>
          </a:r>
        </a:p>
      </xdr:txBody>
    </xdr:sp>
    <xdr:clientData/>
  </xdr:twoCellAnchor>
  <xdr:twoCellAnchor>
    <xdr:from>
      <xdr:col>3</xdr:col>
      <xdr:colOff>200025</xdr:colOff>
      <xdr:row>27</xdr:row>
      <xdr:rowOff>66675</xdr:rowOff>
    </xdr:from>
    <xdr:to>
      <xdr:col>3</xdr:col>
      <xdr:colOff>561975</xdr:colOff>
      <xdr:row>27</xdr:row>
      <xdr:rowOff>142875</xdr:rowOff>
    </xdr:to>
    <xdr:sp macro="" textlink="">
      <xdr:nvSpPr>
        <xdr:cNvPr id="3" name="AutoShape 5"/>
        <xdr:cNvSpPr>
          <a:spLocks noChangeArrowheads="1"/>
        </xdr:cNvSpPr>
      </xdr:nvSpPr>
      <xdr:spPr bwMode="auto">
        <a:xfrm>
          <a:off x="1905000" y="4981575"/>
          <a:ext cx="361950" cy="76200"/>
        </a:xfrm>
        <a:prstGeom prst="rightArrow">
          <a:avLst>
            <a:gd name="adj1" fmla="val 50000"/>
            <a:gd name="adj2" fmla="val 118750"/>
          </a:avLst>
        </a:prstGeom>
        <a:solidFill>
          <a:srgbClr val="FFFF99"/>
        </a:solidFill>
        <a:ln w="9525">
          <a:solidFill>
            <a:srgbClr val="000000"/>
          </a:solidFill>
          <a:miter lim="800000"/>
          <a:headEnd/>
          <a:tailEnd/>
        </a:ln>
      </xdr:spPr>
    </xdr:sp>
    <xdr:clientData/>
  </xdr:twoCellAnchor>
  <xdr:twoCellAnchor>
    <xdr:from>
      <xdr:col>3</xdr:col>
      <xdr:colOff>200025</xdr:colOff>
      <xdr:row>34</xdr:row>
      <xdr:rowOff>66675</xdr:rowOff>
    </xdr:from>
    <xdr:to>
      <xdr:col>3</xdr:col>
      <xdr:colOff>561975</xdr:colOff>
      <xdr:row>34</xdr:row>
      <xdr:rowOff>142875</xdr:rowOff>
    </xdr:to>
    <xdr:sp macro="" textlink="">
      <xdr:nvSpPr>
        <xdr:cNvPr id="4" name="AutoShape 6"/>
        <xdr:cNvSpPr>
          <a:spLocks noChangeArrowheads="1"/>
        </xdr:cNvSpPr>
      </xdr:nvSpPr>
      <xdr:spPr bwMode="auto">
        <a:xfrm>
          <a:off x="1905000" y="6315075"/>
          <a:ext cx="361950" cy="76200"/>
        </a:xfrm>
        <a:prstGeom prst="rightArrow">
          <a:avLst>
            <a:gd name="adj1" fmla="val 50000"/>
            <a:gd name="adj2" fmla="val 118750"/>
          </a:avLst>
        </a:prstGeom>
        <a:solidFill>
          <a:srgbClr val="FFFF99"/>
        </a:solidFill>
        <a:ln w="9525">
          <a:solidFill>
            <a:srgbClr val="000000"/>
          </a:solidFill>
          <a:miter lim="800000"/>
          <a:headEnd/>
          <a:tailEnd/>
        </a:ln>
      </xdr:spPr>
    </xdr:sp>
    <xdr:clientData/>
  </xdr:twoCellAnchor>
  <xdr:twoCellAnchor>
    <xdr:from>
      <xdr:col>2</xdr:col>
      <xdr:colOff>400050</xdr:colOff>
      <xdr:row>12</xdr:row>
      <xdr:rowOff>57150</xdr:rowOff>
    </xdr:from>
    <xdr:to>
      <xdr:col>2</xdr:col>
      <xdr:colOff>628650</xdr:colOff>
      <xdr:row>12</xdr:row>
      <xdr:rowOff>133350</xdr:rowOff>
    </xdr:to>
    <xdr:sp macro="" textlink="">
      <xdr:nvSpPr>
        <xdr:cNvPr id="5" name="AutoShape 7"/>
        <xdr:cNvSpPr>
          <a:spLocks noChangeArrowheads="1"/>
        </xdr:cNvSpPr>
      </xdr:nvSpPr>
      <xdr:spPr bwMode="auto">
        <a:xfrm>
          <a:off x="1343025" y="2114550"/>
          <a:ext cx="228600" cy="76200"/>
        </a:xfrm>
        <a:prstGeom prst="rightArrow">
          <a:avLst>
            <a:gd name="adj1" fmla="val 50000"/>
            <a:gd name="adj2" fmla="val 75000"/>
          </a:avLst>
        </a:prstGeom>
        <a:solidFill>
          <a:srgbClr val="336666"/>
        </a:solidFill>
        <a:ln w="9525">
          <a:solidFill>
            <a:srgbClr val="424242"/>
          </a:solidFill>
          <a:miter lim="800000"/>
          <a:headEnd/>
          <a:tailEnd/>
        </a:ln>
      </xdr:spPr>
    </xdr:sp>
    <xdr:clientData/>
  </xdr:twoCellAnchor>
  <xdr:twoCellAnchor>
    <xdr:from>
      <xdr:col>2</xdr:col>
      <xdr:colOff>400050</xdr:colOff>
      <xdr:row>19</xdr:row>
      <xdr:rowOff>57150</xdr:rowOff>
    </xdr:from>
    <xdr:to>
      <xdr:col>2</xdr:col>
      <xdr:colOff>628650</xdr:colOff>
      <xdr:row>19</xdr:row>
      <xdr:rowOff>133350</xdr:rowOff>
    </xdr:to>
    <xdr:sp macro="" textlink="">
      <xdr:nvSpPr>
        <xdr:cNvPr id="6" name="AutoShape 8"/>
        <xdr:cNvSpPr>
          <a:spLocks noChangeArrowheads="1"/>
        </xdr:cNvSpPr>
      </xdr:nvSpPr>
      <xdr:spPr bwMode="auto">
        <a:xfrm>
          <a:off x="1343025" y="3448050"/>
          <a:ext cx="228600" cy="76200"/>
        </a:xfrm>
        <a:prstGeom prst="rightArrow">
          <a:avLst>
            <a:gd name="adj1" fmla="val 50000"/>
            <a:gd name="adj2" fmla="val 75000"/>
          </a:avLst>
        </a:prstGeom>
        <a:solidFill>
          <a:srgbClr val="336666"/>
        </a:solidFill>
        <a:ln w="9525">
          <a:solidFill>
            <a:srgbClr val="424242"/>
          </a:solidFill>
          <a:miter lim="800000"/>
          <a:headEnd/>
          <a:tailEnd/>
        </a:ln>
      </xdr:spPr>
    </xdr:sp>
    <xdr:clientData/>
  </xdr:twoCellAnchor>
  <xdr:twoCellAnchor>
    <xdr:from>
      <xdr:col>0</xdr:col>
      <xdr:colOff>0</xdr:colOff>
      <xdr:row>0</xdr:row>
      <xdr:rowOff>104775</xdr:rowOff>
    </xdr:from>
    <xdr:to>
      <xdr:col>7</xdr:col>
      <xdr:colOff>657225</xdr:colOff>
      <xdr:row>51</xdr:row>
      <xdr:rowOff>114300</xdr:rowOff>
    </xdr:to>
    <xdr:sp macro="" textlink="">
      <xdr:nvSpPr>
        <xdr:cNvPr id="7" name="AutoShape 9"/>
        <xdr:cNvSpPr>
          <a:spLocks noChangeArrowheads="1"/>
        </xdr:cNvSpPr>
      </xdr:nvSpPr>
      <xdr:spPr bwMode="auto">
        <a:xfrm>
          <a:off x="0" y="104775"/>
          <a:ext cx="5724525" cy="9401175"/>
        </a:xfrm>
        <a:prstGeom prst="roundRect">
          <a:avLst>
            <a:gd name="adj" fmla="val 2514"/>
          </a:avLst>
        </a:prstGeom>
        <a:noFill/>
        <a:ln w="9525">
          <a:solidFill>
            <a:srgbClr val="424242"/>
          </a:solidFill>
          <a:round/>
          <a:headEnd/>
          <a:tailEnd/>
        </a:ln>
        <a:effectLst/>
      </xdr:spPr>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276225</xdr:colOff>
      <xdr:row>1</xdr:row>
      <xdr:rowOff>28575</xdr:rowOff>
    </xdr:from>
    <xdr:to>
      <xdr:col>7</xdr:col>
      <xdr:colOff>276225</xdr:colOff>
      <xdr:row>5</xdr:row>
      <xdr:rowOff>19050</xdr:rowOff>
    </xdr:to>
    <xdr:sp macro="" textlink="">
      <xdr:nvSpPr>
        <xdr:cNvPr id="2" name="AutoShape 1"/>
        <xdr:cNvSpPr>
          <a:spLocks noChangeArrowheads="1"/>
        </xdr:cNvSpPr>
      </xdr:nvSpPr>
      <xdr:spPr bwMode="auto">
        <a:xfrm>
          <a:off x="457200" y="190500"/>
          <a:ext cx="5076825" cy="63817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COMMENTAIRES</a:t>
          </a:r>
        </a:p>
      </xdr:txBody>
    </xdr:sp>
    <xdr:clientData/>
  </xdr:twoCellAnchor>
  <xdr:twoCellAnchor>
    <xdr:from>
      <xdr:col>2</xdr:col>
      <xdr:colOff>200025</xdr:colOff>
      <xdr:row>13</xdr:row>
      <xdr:rowOff>38100</xdr:rowOff>
    </xdr:from>
    <xdr:to>
      <xdr:col>2</xdr:col>
      <xdr:colOff>561975</xdr:colOff>
      <xdr:row>13</xdr:row>
      <xdr:rowOff>114300</xdr:rowOff>
    </xdr:to>
    <xdr:sp macro="" textlink="">
      <xdr:nvSpPr>
        <xdr:cNvPr id="3" name="AutoShape 4"/>
        <xdr:cNvSpPr>
          <a:spLocks noChangeArrowheads="1"/>
        </xdr:cNvSpPr>
      </xdr:nvSpPr>
      <xdr:spPr bwMode="auto">
        <a:xfrm>
          <a:off x="1143000" y="2314575"/>
          <a:ext cx="361950" cy="76200"/>
        </a:xfrm>
        <a:prstGeom prst="rightArrow">
          <a:avLst>
            <a:gd name="adj1" fmla="val 50000"/>
            <a:gd name="adj2" fmla="val 118750"/>
          </a:avLst>
        </a:prstGeom>
        <a:solidFill>
          <a:srgbClr val="FFFF99"/>
        </a:solidFill>
        <a:ln w="9525">
          <a:solidFill>
            <a:srgbClr val="000000"/>
          </a:solidFill>
          <a:miter lim="800000"/>
          <a:headEnd/>
          <a:tailEnd/>
        </a:ln>
      </xdr:spPr>
    </xdr:sp>
    <xdr:clientData/>
  </xdr:twoCellAnchor>
  <xdr:twoCellAnchor>
    <xdr:from>
      <xdr:col>2</xdr:col>
      <xdr:colOff>200025</xdr:colOff>
      <xdr:row>14</xdr:row>
      <xdr:rowOff>38100</xdr:rowOff>
    </xdr:from>
    <xdr:to>
      <xdr:col>2</xdr:col>
      <xdr:colOff>561975</xdr:colOff>
      <xdr:row>14</xdr:row>
      <xdr:rowOff>114300</xdr:rowOff>
    </xdr:to>
    <xdr:sp macro="" textlink="">
      <xdr:nvSpPr>
        <xdr:cNvPr id="4" name="AutoShape 5"/>
        <xdr:cNvSpPr>
          <a:spLocks noChangeArrowheads="1"/>
        </xdr:cNvSpPr>
      </xdr:nvSpPr>
      <xdr:spPr bwMode="auto">
        <a:xfrm>
          <a:off x="1143000" y="2505075"/>
          <a:ext cx="361950" cy="76200"/>
        </a:xfrm>
        <a:prstGeom prst="rightArrow">
          <a:avLst>
            <a:gd name="adj1" fmla="val 50000"/>
            <a:gd name="adj2" fmla="val 118750"/>
          </a:avLst>
        </a:prstGeom>
        <a:solidFill>
          <a:srgbClr val="FFFF99"/>
        </a:solidFill>
        <a:ln w="9525">
          <a:solidFill>
            <a:srgbClr val="000000"/>
          </a:solidFill>
          <a:miter lim="800000"/>
          <a:headEnd/>
          <a:tailEnd/>
        </a:ln>
      </xdr:spPr>
    </xdr:sp>
    <xdr:clientData/>
  </xdr:twoCellAnchor>
  <xdr:twoCellAnchor>
    <xdr:from>
      <xdr:col>2</xdr:col>
      <xdr:colOff>200025</xdr:colOff>
      <xdr:row>15</xdr:row>
      <xdr:rowOff>38100</xdr:rowOff>
    </xdr:from>
    <xdr:to>
      <xdr:col>2</xdr:col>
      <xdr:colOff>561975</xdr:colOff>
      <xdr:row>15</xdr:row>
      <xdr:rowOff>114300</xdr:rowOff>
    </xdr:to>
    <xdr:sp macro="" textlink="">
      <xdr:nvSpPr>
        <xdr:cNvPr id="5" name="AutoShape 6"/>
        <xdr:cNvSpPr>
          <a:spLocks noChangeArrowheads="1"/>
        </xdr:cNvSpPr>
      </xdr:nvSpPr>
      <xdr:spPr bwMode="auto">
        <a:xfrm>
          <a:off x="1143000" y="2695575"/>
          <a:ext cx="361950" cy="76200"/>
        </a:xfrm>
        <a:prstGeom prst="rightArrow">
          <a:avLst>
            <a:gd name="adj1" fmla="val 50000"/>
            <a:gd name="adj2" fmla="val 118750"/>
          </a:avLst>
        </a:prstGeom>
        <a:solidFill>
          <a:srgbClr val="FFFF99"/>
        </a:solidFill>
        <a:ln w="9525">
          <a:solidFill>
            <a:srgbClr val="000000"/>
          </a:solidFill>
          <a:miter lim="800000"/>
          <a:headEnd/>
          <a:tailEnd/>
        </a:ln>
      </xdr:spPr>
    </xdr:sp>
    <xdr:clientData/>
  </xdr:twoCellAnchor>
  <xdr:twoCellAnchor>
    <xdr:from>
      <xdr:col>2</xdr:col>
      <xdr:colOff>200025</xdr:colOff>
      <xdr:row>16</xdr:row>
      <xdr:rowOff>38100</xdr:rowOff>
    </xdr:from>
    <xdr:to>
      <xdr:col>2</xdr:col>
      <xdr:colOff>561975</xdr:colOff>
      <xdr:row>16</xdr:row>
      <xdr:rowOff>114300</xdr:rowOff>
    </xdr:to>
    <xdr:sp macro="" textlink="">
      <xdr:nvSpPr>
        <xdr:cNvPr id="6" name="AutoShape 7"/>
        <xdr:cNvSpPr>
          <a:spLocks noChangeArrowheads="1"/>
        </xdr:cNvSpPr>
      </xdr:nvSpPr>
      <xdr:spPr bwMode="auto">
        <a:xfrm>
          <a:off x="1143000" y="2886075"/>
          <a:ext cx="361950" cy="76200"/>
        </a:xfrm>
        <a:prstGeom prst="rightArrow">
          <a:avLst>
            <a:gd name="adj1" fmla="val 50000"/>
            <a:gd name="adj2" fmla="val 118750"/>
          </a:avLst>
        </a:prstGeom>
        <a:solidFill>
          <a:srgbClr val="FFFF99"/>
        </a:solidFill>
        <a:ln w="9525">
          <a:solidFill>
            <a:srgbClr val="000000"/>
          </a:solidFill>
          <a:miter lim="800000"/>
          <a:headEnd/>
          <a:tailEnd/>
        </a:ln>
      </xdr:spPr>
    </xdr:sp>
    <xdr:clientData/>
  </xdr:twoCellAnchor>
  <xdr:twoCellAnchor>
    <xdr:from>
      <xdr:col>2</xdr:col>
      <xdr:colOff>200025</xdr:colOff>
      <xdr:row>23</xdr:row>
      <xdr:rowOff>38100</xdr:rowOff>
    </xdr:from>
    <xdr:to>
      <xdr:col>2</xdr:col>
      <xdr:colOff>561975</xdr:colOff>
      <xdr:row>23</xdr:row>
      <xdr:rowOff>114300</xdr:rowOff>
    </xdr:to>
    <xdr:sp macro="" textlink="">
      <xdr:nvSpPr>
        <xdr:cNvPr id="7" name="AutoShape 9"/>
        <xdr:cNvSpPr>
          <a:spLocks noChangeArrowheads="1"/>
        </xdr:cNvSpPr>
      </xdr:nvSpPr>
      <xdr:spPr bwMode="auto">
        <a:xfrm>
          <a:off x="1143000" y="4219575"/>
          <a:ext cx="361950" cy="76200"/>
        </a:xfrm>
        <a:prstGeom prst="rightArrow">
          <a:avLst>
            <a:gd name="adj1" fmla="val 50000"/>
            <a:gd name="adj2" fmla="val 118750"/>
          </a:avLst>
        </a:prstGeom>
        <a:solidFill>
          <a:srgbClr val="FFFF99"/>
        </a:solidFill>
        <a:ln w="9525">
          <a:solidFill>
            <a:srgbClr val="000000"/>
          </a:solidFill>
          <a:miter lim="800000"/>
          <a:headEnd/>
          <a:tailEnd/>
        </a:ln>
      </xdr:spPr>
    </xdr:sp>
    <xdr:clientData/>
  </xdr:twoCellAnchor>
  <xdr:twoCellAnchor>
    <xdr:from>
      <xdr:col>2</xdr:col>
      <xdr:colOff>200025</xdr:colOff>
      <xdr:row>24</xdr:row>
      <xdr:rowOff>38100</xdr:rowOff>
    </xdr:from>
    <xdr:to>
      <xdr:col>2</xdr:col>
      <xdr:colOff>561975</xdr:colOff>
      <xdr:row>24</xdr:row>
      <xdr:rowOff>114300</xdr:rowOff>
    </xdr:to>
    <xdr:sp macro="" textlink="">
      <xdr:nvSpPr>
        <xdr:cNvPr id="8" name="AutoShape 10"/>
        <xdr:cNvSpPr>
          <a:spLocks noChangeArrowheads="1"/>
        </xdr:cNvSpPr>
      </xdr:nvSpPr>
      <xdr:spPr bwMode="auto">
        <a:xfrm>
          <a:off x="1143000" y="4410075"/>
          <a:ext cx="361950" cy="76200"/>
        </a:xfrm>
        <a:prstGeom prst="rightArrow">
          <a:avLst>
            <a:gd name="adj1" fmla="val 50000"/>
            <a:gd name="adj2" fmla="val 118750"/>
          </a:avLst>
        </a:prstGeom>
        <a:solidFill>
          <a:srgbClr val="FFFF99"/>
        </a:solidFill>
        <a:ln w="9525">
          <a:solidFill>
            <a:srgbClr val="000000"/>
          </a:solidFill>
          <a:miter lim="800000"/>
          <a:headEnd/>
          <a:tailEnd/>
        </a:ln>
      </xdr:spPr>
    </xdr:sp>
    <xdr:clientData/>
  </xdr:twoCellAnchor>
  <xdr:twoCellAnchor>
    <xdr:from>
      <xdr:col>2</xdr:col>
      <xdr:colOff>400050</xdr:colOff>
      <xdr:row>8</xdr:row>
      <xdr:rowOff>57150</xdr:rowOff>
    </xdr:from>
    <xdr:to>
      <xdr:col>2</xdr:col>
      <xdr:colOff>628650</xdr:colOff>
      <xdr:row>8</xdr:row>
      <xdr:rowOff>133350</xdr:rowOff>
    </xdr:to>
    <xdr:sp macro="" textlink="">
      <xdr:nvSpPr>
        <xdr:cNvPr id="9" name="AutoShape 12"/>
        <xdr:cNvSpPr>
          <a:spLocks noChangeArrowheads="1"/>
        </xdr:cNvSpPr>
      </xdr:nvSpPr>
      <xdr:spPr bwMode="auto">
        <a:xfrm>
          <a:off x="1343025" y="1381125"/>
          <a:ext cx="228600" cy="76200"/>
        </a:xfrm>
        <a:prstGeom prst="rightArrow">
          <a:avLst>
            <a:gd name="adj1" fmla="val 50000"/>
            <a:gd name="adj2" fmla="val 75000"/>
          </a:avLst>
        </a:prstGeom>
        <a:solidFill>
          <a:srgbClr val="336666"/>
        </a:solidFill>
        <a:ln w="9525">
          <a:solidFill>
            <a:srgbClr val="424242"/>
          </a:solidFill>
          <a:miter lim="800000"/>
          <a:headEnd/>
          <a:tailEnd/>
        </a:ln>
      </xdr:spPr>
    </xdr:sp>
    <xdr:clientData/>
  </xdr:twoCellAnchor>
  <xdr:twoCellAnchor>
    <xdr:from>
      <xdr:col>2</xdr:col>
      <xdr:colOff>400050</xdr:colOff>
      <xdr:row>19</xdr:row>
      <xdr:rowOff>57150</xdr:rowOff>
    </xdr:from>
    <xdr:to>
      <xdr:col>2</xdr:col>
      <xdr:colOff>628650</xdr:colOff>
      <xdr:row>19</xdr:row>
      <xdr:rowOff>133350</xdr:rowOff>
    </xdr:to>
    <xdr:sp macro="" textlink="">
      <xdr:nvSpPr>
        <xdr:cNvPr id="10" name="AutoShape 13"/>
        <xdr:cNvSpPr>
          <a:spLocks noChangeArrowheads="1"/>
        </xdr:cNvSpPr>
      </xdr:nvSpPr>
      <xdr:spPr bwMode="auto">
        <a:xfrm>
          <a:off x="1343025" y="3476625"/>
          <a:ext cx="228600" cy="76200"/>
        </a:xfrm>
        <a:prstGeom prst="rightArrow">
          <a:avLst>
            <a:gd name="adj1" fmla="val 50000"/>
            <a:gd name="adj2" fmla="val 75000"/>
          </a:avLst>
        </a:prstGeom>
        <a:solidFill>
          <a:srgbClr val="336666"/>
        </a:solidFill>
        <a:ln w="9525">
          <a:solidFill>
            <a:srgbClr val="424242"/>
          </a:solidFill>
          <a:miter lim="800000"/>
          <a:headEnd/>
          <a:tailEnd/>
        </a:ln>
      </xdr:spPr>
    </xdr:sp>
    <xdr:clientData/>
  </xdr:twoCellAnchor>
  <xdr:twoCellAnchor>
    <xdr:from>
      <xdr:col>2</xdr:col>
      <xdr:colOff>400050</xdr:colOff>
      <xdr:row>33</xdr:row>
      <xdr:rowOff>57150</xdr:rowOff>
    </xdr:from>
    <xdr:to>
      <xdr:col>2</xdr:col>
      <xdr:colOff>628650</xdr:colOff>
      <xdr:row>33</xdr:row>
      <xdr:rowOff>133350</xdr:rowOff>
    </xdr:to>
    <xdr:sp macro="" textlink="">
      <xdr:nvSpPr>
        <xdr:cNvPr id="11" name="AutoShape 14"/>
        <xdr:cNvSpPr>
          <a:spLocks noChangeArrowheads="1"/>
        </xdr:cNvSpPr>
      </xdr:nvSpPr>
      <xdr:spPr bwMode="auto">
        <a:xfrm>
          <a:off x="1343025" y="6143625"/>
          <a:ext cx="228600" cy="76200"/>
        </a:xfrm>
        <a:prstGeom prst="rightArrow">
          <a:avLst>
            <a:gd name="adj1" fmla="val 50000"/>
            <a:gd name="adj2" fmla="val 75000"/>
          </a:avLst>
        </a:prstGeom>
        <a:solidFill>
          <a:srgbClr val="336666"/>
        </a:solidFill>
        <a:ln w="9525">
          <a:solidFill>
            <a:srgbClr val="424242"/>
          </a:solidFill>
          <a:miter lim="800000"/>
          <a:headEnd/>
          <a:tailEnd/>
        </a:ln>
      </xdr:spPr>
    </xdr:sp>
    <xdr:clientData/>
  </xdr:twoCellAnchor>
  <xdr:twoCellAnchor>
    <xdr:from>
      <xdr:col>0</xdr:col>
      <xdr:colOff>38100</xdr:colOff>
      <xdr:row>0</xdr:row>
      <xdr:rowOff>38100</xdr:rowOff>
    </xdr:from>
    <xdr:to>
      <xdr:col>7</xdr:col>
      <xdr:colOff>723900</xdr:colOff>
      <xdr:row>50</xdr:row>
      <xdr:rowOff>9525</xdr:rowOff>
    </xdr:to>
    <xdr:sp macro="" textlink="">
      <xdr:nvSpPr>
        <xdr:cNvPr id="12" name="AutoShape 15"/>
        <xdr:cNvSpPr>
          <a:spLocks noChangeArrowheads="1"/>
        </xdr:cNvSpPr>
      </xdr:nvSpPr>
      <xdr:spPr bwMode="auto">
        <a:xfrm>
          <a:off x="38100" y="38100"/>
          <a:ext cx="5943600" cy="9296400"/>
        </a:xfrm>
        <a:prstGeom prst="roundRect">
          <a:avLst>
            <a:gd name="adj" fmla="val 2514"/>
          </a:avLst>
        </a:prstGeom>
        <a:noFill/>
        <a:ln w="9525">
          <a:solidFill>
            <a:srgbClr val="424242"/>
          </a:solidFill>
          <a:round/>
          <a:headEnd/>
          <a:tailEnd/>
        </a:ln>
        <a:effec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304800</xdr:colOff>
      <xdr:row>1</xdr:row>
      <xdr:rowOff>38100</xdr:rowOff>
    </xdr:from>
    <xdr:to>
      <xdr:col>7</xdr:col>
      <xdr:colOff>304800</xdr:colOff>
      <xdr:row>5</xdr:row>
      <xdr:rowOff>28575</xdr:rowOff>
    </xdr:to>
    <xdr:sp macro="" textlink="">
      <xdr:nvSpPr>
        <xdr:cNvPr id="2" name="AutoShape 1"/>
        <xdr:cNvSpPr>
          <a:spLocks noChangeArrowheads="1"/>
        </xdr:cNvSpPr>
      </xdr:nvSpPr>
      <xdr:spPr bwMode="auto">
        <a:xfrm>
          <a:off x="485775" y="171450"/>
          <a:ext cx="4572000" cy="54292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COMMENTAIRES</a:t>
          </a:r>
        </a:p>
      </xdr:txBody>
    </xdr:sp>
    <xdr:clientData/>
  </xdr:twoCellAnchor>
  <xdr:twoCellAnchor>
    <xdr:from>
      <xdr:col>3</xdr:col>
      <xdr:colOff>200025</xdr:colOff>
      <xdr:row>13</xdr:row>
      <xdr:rowOff>38100</xdr:rowOff>
    </xdr:from>
    <xdr:to>
      <xdr:col>3</xdr:col>
      <xdr:colOff>561975</xdr:colOff>
      <xdr:row>13</xdr:row>
      <xdr:rowOff>114300</xdr:rowOff>
    </xdr:to>
    <xdr:sp macro="" textlink="">
      <xdr:nvSpPr>
        <xdr:cNvPr id="3" name="AutoShape 4"/>
        <xdr:cNvSpPr>
          <a:spLocks noChangeArrowheads="1"/>
        </xdr:cNvSpPr>
      </xdr:nvSpPr>
      <xdr:spPr bwMode="auto">
        <a:xfrm>
          <a:off x="1905000" y="1685925"/>
          <a:ext cx="361950" cy="76200"/>
        </a:xfrm>
        <a:prstGeom prst="rightArrow">
          <a:avLst>
            <a:gd name="adj1" fmla="val 50000"/>
            <a:gd name="adj2" fmla="val 118750"/>
          </a:avLst>
        </a:prstGeom>
        <a:solidFill>
          <a:srgbClr val="FFFF99"/>
        </a:solidFill>
        <a:ln w="9525">
          <a:solidFill>
            <a:srgbClr val="000000"/>
          </a:solidFill>
          <a:miter lim="800000"/>
          <a:headEnd/>
          <a:tailEnd/>
        </a:ln>
      </xdr:spPr>
    </xdr:sp>
    <xdr:clientData/>
  </xdr:twoCellAnchor>
  <xdr:twoCellAnchor>
    <xdr:from>
      <xdr:col>3</xdr:col>
      <xdr:colOff>200025</xdr:colOff>
      <xdr:row>19</xdr:row>
      <xdr:rowOff>38100</xdr:rowOff>
    </xdr:from>
    <xdr:to>
      <xdr:col>3</xdr:col>
      <xdr:colOff>561975</xdr:colOff>
      <xdr:row>19</xdr:row>
      <xdr:rowOff>114300</xdr:rowOff>
    </xdr:to>
    <xdr:sp macro="" textlink="">
      <xdr:nvSpPr>
        <xdr:cNvPr id="4" name="AutoShape 5"/>
        <xdr:cNvSpPr>
          <a:spLocks noChangeArrowheads="1"/>
        </xdr:cNvSpPr>
      </xdr:nvSpPr>
      <xdr:spPr bwMode="auto">
        <a:xfrm>
          <a:off x="1905000" y="2562225"/>
          <a:ext cx="361950" cy="76200"/>
        </a:xfrm>
        <a:prstGeom prst="rightArrow">
          <a:avLst>
            <a:gd name="adj1" fmla="val 50000"/>
            <a:gd name="adj2" fmla="val 118750"/>
          </a:avLst>
        </a:prstGeom>
        <a:solidFill>
          <a:srgbClr val="FFFF99"/>
        </a:solidFill>
        <a:ln w="9525">
          <a:solidFill>
            <a:srgbClr val="000000"/>
          </a:solidFill>
          <a:miter lim="800000"/>
          <a:headEnd/>
          <a:tailEnd/>
        </a:ln>
      </xdr:spPr>
    </xdr:sp>
    <xdr:clientData/>
  </xdr:twoCellAnchor>
  <xdr:twoCellAnchor>
    <xdr:from>
      <xdr:col>3</xdr:col>
      <xdr:colOff>200025</xdr:colOff>
      <xdr:row>25</xdr:row>
      <xdr:rowOff>38100</xdr:rowOff>
    </xdr:from>
    <xdr:to>
      <xdr:col>3</xdr:col>
      <xdr:colOff>561975</xdr:colOff>
      <xdr:row>25</xdr:row>
      <xdr:rowOff>114300</xdr:rowOff>
    </xdr:to>
    <xdr:sp macro="" textlink="">
      <xdr:nvSpPr>
        <xdr:cNvPr id="5" name="AutoShape 6"/>
        <xdr:cNvSpPr>
          <a:spLocks noChangeArrowheads="1"/>
        </xdr:cNvSpPr>
      </xdr:nvSpPr>
      <xdr:spPr bwMode="auto">
        <a:xfrm>
          <a:off x="1905000" y="3429000"/>
          <a:ext cx="361950" cy="76200"/>
        </a:xfrm>
        <a:prstGeom prst="rightArrow">
          <a:avLst>
            <a:gd name="adj1" fmla="val 50000"/>
            <a:gd name="adj2" fmla="val 118750"/>
          </a:avLst>
        </a:prstGeom>
        <a:solidFill>
          <a:srgbClr val="FFFF99"/>
        </a:solidFill>
        <a:ln w="9525">
          <a:solidFill>
            <a:srgbClr val="000000"/>
          </a:solidFill>
          <a:miter lim="800000"/>
          <a:headEnd/>
          <a:tailEnd/>
        </a:ln>
      </xdr:spPr>
    </xdr:sp>
    <xdr:clientData/>
  </xdr:twoCellAnchor>
  <xdr:twoCellAnchor>
    <xdr:from>
      <xdr:col>3</xdr:col>
      <xdr:colOff>200025</xdr:colOff>
      <xdr:row>30</xdr:row>
      <xdr:rowOff>38100</xdr:rowOff>
    </xdr:from>
    <xdr:to>
      <xdr:col>3</xdr:col>
      <xdr:colOff>561975</xdr:colOff>
      <xdr:row>30</xdr:row>
      <xdr:rowOff>114300</xdr:rowOff>
    </xdr:to>
    <xdr:sp macro="" textlink="">
      <xdr:nvSpPr>
        <xdr:cNvPr id="6" name="AutoShape 7"/>
        <xdr:cNvSpPr>
          <a:spLocks noChangeArrowheads="1"/>
        </xdr:cNvSpPr>
      </xdr:nvSpPr>
      <xdr:spPr bwMode="auto">
        <a:xfrm>
          <a:off x="1905000" y="4105275"/>
          <a:ext cx="361950" cy="76200"/>
        </a:xfrm>
        <a:prstGeom prst="rightArrow">
          <a:avLst>
            <a:gd name="adj1" fmla="val 50000"/>
            <a:gd name="adj2" fmla="val 118750"/>
          </a:avLst>
        </a:prstGeom>
        <a:solidFill>
          <a:srgbClr val="FFFF99"/>
        </a:solidFill>
        <a:ln w="9525">
          <a:solidFill>
            <a:srgbClr val="000000"/>
          </a:solidFill>
          <a:miter lim="800000"/>
          <a:headEnd/>
          <a:tailEnd/>
        </a:ln>
      </xdr:spPr>
    </xdr:sp>
    <xdr:clientData/>
  </xdr:twoCellAnchor>
  <xdr:twoCellAnchor>
    <xdr:from>
      <xdr:col>3</xdr:col>
      <xdr:colOff>200025</xdr:colOff>
      <xdr:row>35</xdr:row>
      <xdr:rowOff>38100</xdr:rowOff>
    </xdr:from>
    <xdr:to>
      <xdr:col>3</xdr:col>
      <xdr:colOff>561975</xdr:colOff>
      <xdr:row>35</xdr:row>
      <xdr:rowOff>114300</xdr:rowOff>
    </xdr:to>
    <xdr:sp macro="" textlink="">
      <xdr:nvSpPr>
        <xdr:cNvPr id="7" name="AutoShape 8"/>
        <xdr:cNvSpPr>
          <a:spLocks noChangeArrowheads="1"/>
        </xdr:cNvSpPr>
      </xdr:nvSpPr>
      <xdr:spPr bwMode="auto">
        <a:xfrm>
          <a:off x="1905000" y="4838700"/>
          <a:ext cx="361950" cy="76200"/>
        </a:xfrm>
        <a:prstGeom prst="rightArrow">
          <a:avLst>
            <a:gd name="adj1" fmla="val 50000"/>
            <a:gd name="adj2" fmla="val 118750"/>
          </a:avLst>
        </a:prstGeom>
        <a:solidFill>
          <a:srgbClr val="FFFF99"/>
        </a:solidFill>
        <a:ln w="9525">
          <a:solidFill>
            <a:srgbClr val="000000"/>
          </a:solidFill>
          <a:miter lim="800000"/>
          <a:headEnd/>
          <a:tailEnd/>
        </a:ln>
      </xdr:spPr>
    </xdr:sp>
    <xdr:clientData/>
  </xdr:twoCellAnchor>
  <xdr:twoCellAnchor>
    <xdr:from>
      <xdr:col>2</xdr:col>
      <xdr:colOff>400050</xdr:colOff>
      <xdr:row>40</xdr:row>
      <xdr:rowOff>57150</xdr:rowOff>
    </xdr:from>
    <xdr:to>
      <xdr:col>2</xdr:col>
      <xdr:colOff>628650</xdr:colOff>
      <xdr:row>40</xdr:row>
      <xdr:rowOff>133350</xdr:rowOff>
    </xdr:to>
    <xdr:sp macro="" textlink="">
      <xdr:nvSpPr>
        <xdr:cNvPr id="8" name="AutoShape 10"/>
        <xdr:cNvSpPr>
          <a:spLocks noChangeArrowheads="1"/>
        </xdr:cNvSpPr>
      </xdr:nvSpPr>
      <xdr:spPr bwMode="auto">
        <a:xfrm>
          <a:off x="1343025" y="5543550"/>
          <a:ext cx="228600" cy="76200"/>
        </a:xfrm>
        <a:prstGeom prst="rightArrow">
          <a:avLst>
            <a:gd name="adj1" fmla="val 50000"/>
            <a:gd name="adj2" fmla="val 75000"/>
          </a:avLst>
        </a:prstGeom>
        <a:solidFill>
          <a:srgbClr val="336666"/>
        </a:solidFill>
        <a:ln w="9525">
          <a:solidFill>
            <a:srgbClr val="424242"/>
          </a:solidFill>
          <a:miter lim="800000"/>
          <a:headEnd/>
          <a:tailEnd/>
        </a:ln>
      </xdr:spPr>
    </xdr:sp>
    <xdr:clientData/>
  </xdr:twoCellAnchor>
  <xdr:twoCellAnchor>
    <xdr:from>
      <xdr:col>2</xdr:col>
      <xdr:colOff>400050</xdr:colOff>
      <xdr:row>7</xdr:row>
      <xdr:rowOff>57150</xdr:rowOff>
    </xdr:from>
    <xdr:to>
      <xdr:col>2</xdr:col>
      <xdr:colOff>628650</xdr:colOff>
      <xdr:row>7</xdr:row>
      <xdr:rowOff>133350</xdr:rowOff>
    </xdr:to>
    <xdr:sp macro="" textlink="">
      <xdr:nvSpPr>
        <xdr:cNvPr id="9" name="AutoShape 11"/>
        <xdr:cNvSpPr>
          <a:spLocks noChangeArrowheads="1"/>
        </xdr:cNvSpPr>
      </xdr:nvSpPr>
      <xdr:spPr bwMode="auto">
        <a:xfrm>
          <a:off x="1343025" y="942975"/>
          <a:ext cx="228600" cy="76200"/>
        </a:xfrm>
        <a:prstGeom prst="rightArrow">
          <a:avLst>
            <a:gd name="adj1" fmla="val 50000"/>
            <a:gd name="adj2" fmla="val 75000"/>
          </a:avLst>
        </a:prstGeom>
        <a:solidFill>
          <a:srgbClr val="336666"/>
        </a:solidFill>
        <a:ln w="9525">
          <a:solidFill>
            <a:srgbClr val="424242"/>
          </a:solidFill>
          <a:miter lim="800000"/>
          <a:headEnd/>
          <a:tailEnd/>
        </a:ln>
      </xdr:spPr>
    </xdr:sp>
    <xdr:clientData/>
  </xdr:twoCellAnchor>
  <xdr:twoCellAnchor>
    <xdr:from>
      <xdr:col>1</xdr:col>
      <xdr:colOff>19050</xdr:colOff>
      <xdr:row>0</xdr:row>
      <xdr:rowOff>19050</xdr:rowOff>
    </xdr:from>
    <xdr:to>
      <xdr:col>8</xdr:col>
      <xdr:colOff>171450</xdr:colOff>
      <xdr:row>61</xdr:row>
      <xdr:rowOff>47625</xdr:rowOff>
    </xdr:to>
    <xdr:sp macro="" textlink="">
      <xdr:nvSpPr>
        <xdr:cNvPr id="10" name="AutoShape 12"/>
        <xdr:cNvSpPr>
          <a:spLocks noChangeArrowheads="1"/>
        </xdr:cNvSpPr>
      </xdr:nvSpPr>
      <xdr:spPr bwMode="auto">
        <a:xfrm>
          <a:off x="200025" y="19050"/>
          <a:ext cx="5486400" cy="9486900"/>
        </a:xfrm>
        <a:prstGeom prst="roundRect">
          <a:avLst>
            <a:gd name="adj" fmla="val 2514"/>
          </a:avLst>
        </a:prstGeom>
        <a:noFill/>
        <a:ln w="9525">
          <a:solidFill>
            <a:srgbClr val="424242"/>
          </a:solidFill>
          <a:round/>
          <a:headEnd/>
          <a:tailEnd/>
        </a:ln>
        <a:effec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238125</xdr:colOff>
      <xdr:row>2</xdr:row>
      <xdr:rowOff>0</xdr:rowOff>
    </xdr:from>
    <xdr:to>
      <xdr:col>6</xdr:col>
      <xdr:colOff>314325</xdr:colOff>
      <xdr:row>7</xdr:row>
      <xdr:rowOff>38100</xdr:rowOff>
    </xdr:to>
    <xdr:sp macro="" textlink="">
      <xdr:nvSpPr>
        <xdr:cNvPr id="2" name="AutoShape 1"/>
        <xdr:cNvSpPr>
          <a:spLocks noChangeArrowheads="1"/>
        </xdr:cNvSpPr>
      </xdr:nvSpPr>
      <xdr:spPr bwMode="auto">
        <a:xfrm>
          <a:off x="333375" y="323850"/>
          <a:ext cx="5257800" cy="84772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EVOLUTION  DE  CHARGES </a:t>
          </a:r>
        </a:p>
        <a:p>
          <a:pPr algn="ctr" rtl="0">
            <a:defRPr sz="1000"/>
          </a:pPr>
          <a:r>
            <a:rPr lang="fr-FR" sz="2400" b="1" i="0" u="none" strike="noStrike" baseline="0">
              <a:solidFill>
                <a:srgbClr val="008080"/>
              </a:solidFill>
              <a:latin typeface="Tahoma"/>
              <a:ea typeface="Tahoma"/>
              <a:cs typeface="Tahoma"/>
            </a:rPr>
            <a:t>EN  VALEUR</a:t>
          </a:r>
        </a:p>
      </xdr:txBody>
    </xdr:sp>
    <xdr:clientData/>
  </xdr:twoCellAnchor>
  <xdr:twoCellAnchor>
    <xdr:from>
      <xdr:col>0</xdr:col>
      <xdr:colOff>0</xdr:colOff>
      <xdr:row>0</xdr:row>
      <xdr:rowOff>142875</xdr:rowOff>
    </xdr:from>
    <xdr:to>
      <xdr:col>7</xdr:col>
      <xdr:colOff>57150</xdr:colOff>
      <xdr:row>52</xdr:row>
      <xdr:rowOff>9525</xdr:rowOff>
    </xdr:to>
    <xdr:sp macro="" textlink="">
      <xdr:nvSpPr>
        <xdr:cNvPr id="3" name="AutoShape 3"/>
        <xdr:cNvSpPr>
          <a:spLocks noChangeArrowheads="1"/>
        </xdr:cNvSpPr>
      </xdr:nvSpPr>
      <xdr:spPr bwMode="auto">
        <a:xfrm>
          <a:off x="0" y="142875"/>
          <a:ext cx="6010275" cy="9572625"/>
        </a:xfrm>
        <a:prstGeom prst="roundRect">
          <a:avLst>
            <a:gd name="adj" fmla="val 2514"/>
          </a:avLst>
        </a:prstGeom>
        <a:noFill/>
        <a:ln w="9525">
          <a:solidFill>
            <a:srgbClr val="424242"/>
          </a:solidFill>
          <a:round/>
          <a:headEnd/>
          <a:tailEnd/>
        </a:ln>
        <a:effec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123825</xdr:colOff>
      <xdr:row>5</xdr:row>
      <xdr:rowOff>123825</xdr:rowOff>
    </xdr:from>
    <xdr:to>
      <xdr:col>6</xdr:col>
      <xdr:colOff>28575</xdr:colOff>
      <xdr:row>25</xdr:row>
      <xdr:rowOff>95250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257175</xdr:colOff>
      <xdr:row>1</xdr:row>
      <xdr:rowOff>9525</xdr:rowOff>
    </xdr:from>
    <xdr:to>
      <xdr:col>5</xdr:col>
      <xdr:colOff>990600</xdr:colOff>
      <xdr:row>3</xdr:row>
      <xdr:rowOff>238125</xdr:rowOff>
    </xdr:to>
    <xdr:sp macro="" textlink="">
      <xdr:nvSpPr>
        <xdr:cNvPr id="3" name="AutoShape 2"/>
        <xdr:cNvSpPr>
          <a:spLocks noChangeArrowheads="1"/>
        </xdr:cNvSpPr>
      </xdr:nvSpPr>
      <xdr:spPr bwMode="auto">
        <a:xfrm>
          <a:off x="438150" y="171450"/>
          <a:ext cx="5257800" cy="63817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COMPARAISON DE CHARGES</a:t>
          </a:r>
        </a:p>
      </xdr:txBody>
    </xdr:sp>
    <xdr:clientData/>
  </xdr:twoCellAnchor>
  <xdr:twoCellAnchor>
    <xdr:from>
      <xdr:col>1</xdr:col>
      <xdr:colOff>28575</xdr:colOff>
      <xdr:row>26</xdr:row>
      <xdr:rowOff>152400</xdr:rowOff>
    </xdr:from>
    <xdr:to>
      <xdr:col>5</xdr:col>
      <xdr:colOff>1133475</xdr:colOff>
      <xdr:row>30</xdr:row>
      <xdr:rowOff>152400</xdr:rowOff>
    </xdr:to>
    <xdr:sp macro="" textlink="">
      <xdr:nvSpPr>
        <xdr:cNvPr id="4" name="AutoShape 3"/>
        <xdr:cNvSpPr>
          <a:spLocks noChangeArrowheads="1"/>
        </xdr:cNvSpPr>
      </xdr:nvSpPr>
      <xdr:spPr bwMode="auto">
        <a:xfrm>
          <a:off x="209550" y="4572000"/>
          <a:ext cx="5629275" cy="647700"/>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REPARTITION DU PRODUIT BRUT</a:t>
          </a:r>
        </a:p>
      </xdr:txBody>
    </xdr:sp>
    <xdr:clientData/>
  </xdr:twoCellAnchor>
  <xdr:twoCellAnchor>
    <xdr:from>
      <xdr:col>0</xdr:col>
      <xdr:colOff>104775</xdr:colOff>
      <xdr:row>32</xdr:row>
      <xdr:rowOff>47625</xdr:rowOff>
    </xdr:from>
    <xdr:to>
      <xdr:col>5</xdr:col>
      <xdr:colOff>1152525</xdr:colOff>
      <xdr:row>52</xdr:row>
      <xdr:rowOff>38100</xdr:rowOff>
    </xdr:to>
    <xdr:graphicFrame macro="">
      <xdr:nvGraphicFramePr>
        <xdr:cNvPr id="5"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38100</xdr:colOff>
      <xdr:row>0</xdr:row>
      <xdr:rowOff>38101</xdr:rowOff>
    </xdr:from>
    <xdr:to>
      <xdr:col>6</xdr:col>
      <xdr:colOff>9525</xdr:colOff>
      <xdr:row>55</xdr:row>
      <xdr:rowOff>66676</xdr:rowOff>
    </xdr:to>
    <xdr:sp macro="" textlink="">
      <xdr:nvSpPr>
        <xdr:cNvPr id="6" name="AutoShape 7"/>
        <xdr:cNvSpPr>
          <a:spLocks noChangeArrowheads="1"/>
        </xdr:cNvSpPr>
      </xdr:nvSpPr>
      <xdr:spPr bwMode="auto">
        <a:xfrm>
          <a:off x="38100" y="38101"/>
          <a:ext cx="5924550" cy="9144000"/>
        </a:xfrm>
        <a:prstGeom prst="roundRect">
          <a:avLst>
            <a:gd name="adj" fmla="val 2514"/>
          </a:avLst>
        </a:prstGeom>
        <a:noFill/>
        <a:ln w="9525">
          <a:solidFill>
            <a:srgbClr val="424242"/>
          </a:solidFill>
          <a:round/>
          <a:headEnd/>
          <a:tailEnd/>
        </a:ln>
        <a:effec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381000</xdr:colOff>
      <xdr:row>1</xdr:row>
      <xdr:rowOff>95250</xdr:rowOff>
    </xdr:from>
    <xdr:to>
      <xdr:col>7</xdr:col>
      <xdr:colOff>95250</xdr:colOff>
      <xdr:row>3</xdr:row>
      <xdr:rowOff>161925</xdr:rowOff>
    </xdr:to>
    <xdr:sp macro="" textlink="">
      <xdr:nvSpPr>
        <xdr:cNvPr id="2" name="AutoShape 1"/>
        <xdr:cNvSpPr>
          <a:spLocks noChangeArrowheads="1"/>
        </xdr:cNvSpPr>
      </xdr:nvSpPr>
      <xdr:spPr bwMode="auto">
        <a:xfrm>
          <a:off x="504825" y="200025"/>
          <a:ext cx="5067300" cy="61912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LE COMPTE DE RESULTAT</a:t>
          </a:r>
        </a:p>
      </xdr:txBody>
    </xdr:sp>
    <xdr:clientData/>
  </xdr:twoCellAnchor>
  <xdr:twoCellAnchor>
    <xdr:from>
      <xdr:col>0</xdr:col>
      <xdr:colOff>38100</xdr:colOff>
      <xdr:row>0</xdr:row>
      <xdr:rowOff>38100</xdr:rowOff>
    </xdr:from>
    <xdr:to>
      <xdr:col>8</xdr:col>
      <xdr:colOff>95250</xdr:colOff>
      <xdr:row>54</xdr:row>
      <xdr:rowOff>9525</xdr:rowOff>
    </xdr:to>
    <xdr:sp macro="" textlink="">
      <xdr:nvSpPr>
        <xdr:cNvPr id="3" name="AutoShape 3"/>
        <xdr:cNvSpPr>
          <a:spLocks noChangeArrowheads="1"/>
        </xdr:cNvSpPr>
      </xdr:nvSpPr>
      <xdr:spPr bwMode="auto">
        <a:xfrm>
          <a:off x="38100" y="38100"/>
          <a:ext cx="5981700" cy="9763125"/>
        </a:xfrm>
        <a:prstGeom prst="roundRect">
          <a:avLst>
            <a:gd name="adj" fmla="val 2514"/>
          </a:avLst>
        </a:prstGeom>
        <a:noFill/>
        <a:ln w="9525">
          <a:solidFill>
            <a:srgbClr val="424242"/>
          </a:solidFill>
          <a:round/>
          <a:headEnd/>
          <a:tailEnd/>
        </a:ln>
        <a:effec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323850</xdr:colOff>
      <xdr:row>1</xdr:row>
      <xdr:rowOff>38100</xdr:rowOff>
    </xdr:from>
    <xdr:to>
      <xdr:col>6</xdr:col>
      <xdr:colOff>304800</xdr:colOff>
      <xdr:row>4</xdr:row>
      <xdr:rowOff>47625</xdr:rowOff>
    </xdr:to>
    <xdr:sp macro="" textlink="">
      <xdr:nvSpPr>
        <xdr:cNvPr id="2" name="AutoShape 2"/>
        <xdr:cNvSpPr>
          <a:spLocks noChangeArrowheads="1"/>
        </xdr:cNvSpPr>
      </xdr:nvSpPr>
      <xdr:spPr bwMode="auto">
        <a:xfrm>
          <a:off x="323850" y="161925"/>
          <a:ext cx="5543550" cy="495300"/>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DU RESULTAT A LA TRESORERIE</a:t>
          </a:r>
        </a:p>
      </xdr:txBody>
    </xdr:sp>
    <xdr:clientData/>
  </xdr:twoCellAnchor>
  <xdr:twoCellAnchor>
    <xdr:from>
      <xdr:col>0</xdr:col>
      <xdr:colOff>114300</xdr:colOff>
      <xdr:row>5</xdr:row>
      <xdr:rowOff>66675</xdr:rowOff>
    </xdr:from>
    <xdr:to>
      <xdr:col>7</xdr:col>
      <xdr:colOff>152400</xdr:colOff>
      <xdr:row>9</xdr:row>
      <xdr:rowOff>114300</xdr:rowOff>
    </xdr:to>
    <xdr:sp macro="" textlink="">
      <xdr:nvSpPr>
        <xdr:cNvPr id="3" name="Text Box 3"/>
        <xdr:cNvSpPr txBox="1">
          <a:spLocks noChangeArrowheads="1"/>
        </xdr:cNvSpPr>
      </xdr:nvSpPr>
      <xdr:spPr bwMode="auto">
        <a:xfrm>
          <a:off x="114300" y="838200"/>
          <a:ext cx="5934075" cy="695325"/>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Tahoma"/>
              <a:ea typeface="Tahoma"/>
              <a:cs typeface="Tahoma"/>
            </a:rPr>
            <a:t>Le résultat "comptable" est obtenu après intégration de charges et produits "calculés" (amortissements et provisions) qui n'ont pas d'incidence sur la trésorerie. Inversement, certaines opérations influent sur la trésorerie sans incidence sur le résultat comptable (prélèvements, apports, investissements, emprunts, décalages de réglements). Le tableau ci-dessous présente ces différences :</a:t>
          </a:r>
        </a:p>
      </xdr:txBody>
    </xdr:sp>
    <xdr:clientData/>
  </xdr:twoCellAnchor>
  <xdr:twoCellAnchor>
    <xdr:from>
      <xdr:col>2</xdr:col>
      <xdr:colOff>323850</xdr:colOff>
      <xdr:row>10</xdr:row>
      <xdr:rowOff>19050</xdr:rowOff>
    </xdr:from>
    <xdr:to>
      <xdr:col>3</xdr:col>
      <xdr:colOff>857250</xdr:colOff>
      <xdr:row>12</xdr:row>
      <xdr:rowOff>9525</xdr:rowOff>
    </xdr:to>
    <xdr:sp macro="" textlink="">
      <xdr:nvSpPr>
        <xdr:cNvPr id="4" name="AutoShape 4"/>
        <xdr:cNvSpPr>
          <a:spLocks noChangeArrowheads="1"/>
        </xdr:cNvSpPr>
      </xdr:nvSpPr>
      <xdr:spPr bwMode="auto">
        <a:xfrm>
          <a:off x="1419225" y="1600200"/>
          <a:ext cx="3276600" cy="247650"/>
        </a:xfrm>
        <a:prstGeom prst="roundRect">
          <a:avLst>
            <a:gd name="adj" fmla="val 16667"/>
          </a:avLst>
        </a:prstGeom>
        <a:solidFill>
          <a:srgbClr val="FFFF00"/>
        </a:solidFill>
        <a:ln w="9525">
          <a:solidFill>
            <a:srgbClr val="424242"/>
          </a:solidFill>
          <a:round/>
          <a:headEnd/>
          <a:tailEnd/>
        </a:ln>
        <a:effectLst>
          <a:outerShdw dist="107763" dir="2700000" algn="ctr" rotWithShape="0">
            <a:srgbClr val="808080"/>
          </a:outerShdw>
        </a:effectLst>
      </xdr:spPr>
      <xdr:txBody>
        <a:bodyPr vertOverflow="clip" wrap="square" lIns="36576" tIns="22860" rIns="36576" bIns="22860" anchor="ctr" upright="1"/>
        <a:lstStyle/>
        <a:p>
          <a:pPr algn="ctr" rtl="0">
            <a:defRPr sz="1000"/>
          </a:pPr>
          <a:r>
            <a:rPr lang="fr-FR" sz="1200" b="0" i="0" u="none" strike="noStrike" baseline="0">
              <a:solidFill>
                <a:srgbClr val="008080"/>
              </a:solidFill>
              <a:latin typeface="Tahoma"/>
              <a:ea typeface="Tahoma"/>
              <a:cs typeface="Tahoma"/>
            </a:rPr>
            <a:t>ce qui a alimenté votre trésorerie</a:t>
          </a:r>
        </a:p>
      </xdr:txBody>
    </xdr:sp>
    <xdr:clientData/>
  </xdr:twoCellAnchor>
  <xdr:twoCellAnchor>
    <xdr:from>
      <xdr:col>2</xdr:col>
      <xdr:colOff>333375</xdr:colOff>
      <xdr:row>36</xdr:row>
      <xdr:rowOff>9525</xdr:rowOff>
    </xdr:from>
    <xdr:to>
      <xdr:col>3</xdr:col>
      <xdr:colOff>809625</xdr:colOff>
      <xdr:row>37</xdr:row>
      <xdr:rowOff>152400</xdr:rowOff>
    </xdr:to>
    <xdr:sp macro="" textlink="">
      <xdr:nvSpPr>
        <xdr:cNvPr id="5" name="AutoShape 5"/>
        <xdr:cNvSpPr>
          <a:spLocks noChangeArrowheads="1"/>
        </xdr:cNvSpPr>
      </xdr:nvSpPr>
      <xdr:spPr bwMode="auto">
        <a:xfrm>
          <a:off x="1428750" y="5400675"/>
          <a:ext cx="3219450" cy="266700"/>
        </a:xfrm>
        <a:prstGeom prst="roundRect">
          <a:avLst>
            <a:gd name="adj" fmla="val 16667"/>
          </a:avLst>
        </a:prstGeom>
        <a:solidFill>
          <a:srgbClr val="FFFF00"/>
        </a:solidFill>
        <a:ln w="9525">
          <a:solidFill>
            <a:srgbClr val="424242"/>
          </a:solidFill>
          <a:round/>
          <a:headEnd/>
          <a:tailEnd/>
        </a:ln>
        <a:effectLst>
          <a:outerShdw dist="107763" dir="2700000" algn="ctr" rotWithShape="0">
            <a:srgbClr val="808080"/>
          </a:outerShdw>
        </a:effectLst>
      </xdr:spPr>
      <xdr:txBody>
        <a:bodyPr vertOverflow="clip" wrap="square" lIns="36576" tIns="22860" rIns="36576" bIns="22860" anchor="ctr" upright="1"/>
        <a:lstStyle/>
        <a:p>
          <a:pPr algn="ctr" rtl="0">
            <a:defRPr sz="1000"/>
          </a:pPr>
          <a:r>
            <a:rPr lang="fr-FR" sz="1200" b="0" i="0" u="none" strike="noStrike" baseline="0">
              <a:solidFill>
                <a:srgbClr val="008080"/>
              </a:solidFill>
              <a:latin typeface="Tahoma"/>
              <a:ea typeface="Tahoma"/>
              <a:cs typeface="Tahoma"/>
            </a:rPr>
            <a:t>ce qui a diminué votre trésorerie</a:t>
          </a:r>
        </a:p>
      </xdr:txBody>
    </xdr:sp>
    <xdr:clientData/>
  </xdr:twoCellAnchor>
  <xdr:twoCellAnchor>
    <xdr:from>
      <xdr:col>0</xdr:col>
      <xdr:colOff>38100</xdr:colOff>
      <xdr:row>0</xdr:row>
      <xdr:rowOff>38100</xdr:rowOff>
    </xdr:from>
    <xdr:to>
      <xdr:col>7</xdr:col>
      <xdr:colOff>85725</xdr:colOff>
      <xdr:row>65</xdr:row>
      <xdr:rowOff>76200</xdr:rowOff>
    </xdr:to>
    <xdr:sp macro="" textlink="">
      <xdr:nvSpPr>
        <xdr:cNvPr id="6" name="AutoShape 7"/>
        <xdr:cNvSpPr>
          <a:spLocks noChangeArrowheads="1"/>
        </xdr:cNvSpPr>
      </xdr:nvSpPr>
      <xdr:spPr bwMode="auto">
        <a:xfrm>
          <a:off x="38100" y="38100"/>
          <a:ext cx="5943600" cy="9686925"/>
        </a:xfrm>
        <a:prstGeom prst="roundRect">
          <a:avLst>
            <a:gd name="adj" fmla="val 2514"/>
          </a:avLst>
        </a:prstGeom>
        <a:noFill/>
        <a:ln w="9525">
          <a:solidFill>
            <a:srgbClr val="424242"/>
          </a:solidFill>
          <a:round/>
          <a:headEnd/>
          <a:tailEnd/>
        </a:ln>
        <a:effectLst/>
      </xdr:spPr>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247650</xdr:colOff>
      <xdr:row>1</xdr:row>
      <xdr:rowOff>9525</xdr:rowOff>
    </xdr:from>
    <xdr:to>
      <xdr:col>5</xdr:col>
      <xdr:colOff>390525</xdr:colOff>
      <xdr:row>3</xdr:row>
      <xdr:rowOff>152400</xdr:rowOff>
    </xdr:to>
    <xdr:sp macro="" textlink="">
      <xdr:nvSpPr>
        <xdr:cNvPr id="2" name="AutoShape 2"/>
        <xdr:cNvSpPr>
          <a:spLocks noChangeArrowheads="1"/>
        </xdr:cNvSpPr>
      </xdr:nvSpPr>
      <xdr:spPr bwMode="auto">
        <a:xfrm>
          <a:off x="428625" y="200025"/>
          <a:ext cx="4933950" cy="46672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36576" rIns="54864" bIns="36576" anchor="ctr" upright="1"/>
        <a:lstStyle/>
        <a:p>
          <a:pPr algn="ctr" rtl="0">
            <a:defRPr sz="1000"/>
          </a:pPr>
          <a:r>
            <a:rPr lang="fr-FR" sz="2200" b="1" i="0" u="none" strike="noStrike" baseline="0">
              <a:solidFill>
                <a:srgbClr val="008080"/>
              </a:solidFill>
              <a:latin typeface="Tahoma"/>
              <a:ea typeface="Tahoma"/>
              <a:cs typeface="Tahoma"/>
            </a:rPr>
            <a:t>Variation du fonds de roulement</a:t>
          </a:r>
          <a:endParaRPr lang="fr-FR" sz="2400" b="1" i="0" u="none" strike="noStrike" baseline="0">
            <a:solidFill>
              <a:srgbClr val="008080"/>
            </a:solidFill>
            <a:latin typeface="Arial"/>
            <a:cs typeface="Arial"/>
          </a:endParaRPr>
        </a:p>
        <a:p>
          <a:pPr algn="ctr" rtl="0">
            <a:defRPr sz="1000"/>
          </a:pPr>
          <a:endParaRPr lang="fr-FR" sz="2400" b="1" i="0" u="none" strike="noStrike" baseline="0">
            <a:solidFill>
              <a:srgbClr val="008080"/>
            </a:solidFill>
            <a:latin typeface="Arial"/>
            <a:cs typeface="Arial"/>
          </a:endParaRPr>
        </a:p>
      </xdr:txBody>
    </xdr:sp>
    <xdr:clientData/>
  </xdr:twoCellAnchor>
  <xdr:twoCellAnchor>
    <xdr:from>
      <xdr:col>1</xdr:col>
      <xdr:colOff>47625</xdr:colOff>
      <xdr:row>41</xdr:row>
      <xdr:rowOff>0</xdr:rowOff>
    </xdr:from>
    <xdr:to>
      <xdr:col>6</xdr:col>
      <xdr:colOff>0</xdr:colOff>
      <xdr:row>43</xdr:row>
      <xdr:rowOff>152400</xdr:rowOff>
    </xdr:to>
    <xdr:sp macro="" textlink="">
      <xdr:nvSpPr>
        <xdr:cNvPr id="3" name="AutoShape 3"/>
        <xdr:cNvSpPr>
          <a:spLocks noChangeArrowheads="1"/>
        </xdr:cNvSpPr>
      </xdr:nvSpPr>
      <xdr:spPr bwMode="auto">
        <a:xfrm>
          <a:off x="228600" y="5505450"/>
          <a:ext cx="5457825" cy="476250"/>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36576" rIns="54864" bIns="36576" anchor="ctr" upright="1"/>
        <a:lstStyle/>
        <a:p>
          <a:pPr algn="ctr" rtl="0">
            <a:defRPr sz="1000"/>
          </a:pPr>
          <a:r>
            <a:rPr lang="fr-FR" sz="2200" b="1" i="0" u="none" strike="noStrike" baseline="0">
              <a:solidFill>
                <a:srgbClr val="008080"/>
              </a:solidFill>
              <a:latin typeface="Tahoma"/>
              <a:ea typeface="Tahoma"/>
              <a:cs typeface="Tahoma"/>
            </a:rPr>
            <a:t>Détermination du fonds de roulement</a:t>
          </a:r>
        </a:p>
      </xdr:txBody>
    </xdr:sp>
    <xdr:clientData/>
  </xdr:twoCellAnchor>
  <xdr:twoCellAnchor>
    <xdr:from>
      <xdr:col>0</xdr:col>
      <xdr:colOff>57150</xdr:colOff>
      <xdr:row>0</xdr:row>
      <xdr:rowOff>38100</xdr:rowOff>
    </xdr:from>
    <xdr:to>
      <xdr:col>6</xdr:col>
      <xdr:colOff>133350</xdr:colOff>
      <xdr:row>69</xdr:row>
      <xdr:rowOff>19050</xdr:rowOff>
    </xdr:to>
    <xdr:sp macro="" textlink="">
      <xdr:nvSpPr>
        <xdr:cNvPr id="4" name="AutoShape 4"/>
        <xdr:cNvSpPr>
          <a:spLocks noChangeArrowheads="1"/>
        </xdr:cNvSpPr>
      </xdr:nvSpPr>
      <xdr:spPr bwMode="auto">
        <a:xfrm>
          <a:off x="57150" y="38100"/>
          <a:ext cx="5762625" cy="9648825"/>
        </a:xfrm>
        <a:prstGeom prst="roundRect">
          <a:avLst>
            <a:gd name="adj" fmla="val 2514"/>
          </a:avLst>
        </a:prstGeom>
        <a:noFill/>
        <a:ln w="9525">
          <a:solidFill>
            <a:srgbClr val="424242"/>
          </a:solidFill>
          <a:round/>
          <a:headEnd/>
          <a:tailEnd/>
        </a:ln>
        <a:effectLst/>
      </xdr:spPr>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1009650</xdr:colOff>
      <xdr:row>1</xdr:row>
      <xdr:rowOff>9525</xdr:rowOff>
    </xdr:from>
    <xdr:to>
      <xdr:col>3</xdr:col>
      <xdr:colOff>857250</xdr:colOff>
      <xdr:row>5</xdr:row>
      <xdr:rowOff>38100</xdr:rowOff>
    </xdr:to>
    <xdr:sp macro="" textlink="">
      <xdr:nvSpPr>
        <xdr:cNvPr id="2" name="AutoShape 1"/>
        <xdr:cNvSpPr>
          <a:spLocks noChangeArrowheads="1"/>
        </xdr:cNvSpPr>
      </xdr:nvSpPr>
      <xdr:spPr bwMode="auto">
        <a:xfrm>
          <a:off x="1266825" y="171450"/>
          <a:ext cx="3390900" cy="628650"/>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BILAN</a:t>
          </a:r>
        </a:p>
      </xdr:txBody>
    </xdr:sp>
    <xdr:clientData/>
  </xdr:twoCellAnchor>
  <xdr:twoCellAnchor>
    <xdr:from>
      <xdr:col>0</xdr:col>
      <xdr:colOff>38100</xdr:colOff>
      <xdr:row>0</xdr:row>
      <xdr:rowOff>38100</xdr:rowOff>
    </xdr:from>
    <xdr:to>
      <xdr:col>5</xdr:col>
      <xdr:colOff>219075</xdr:colOff>
      <xdr:row>64</xdr:row>
      <xdr:rowOff>85725</xdr:rowOff>
    </xdr:to>
    <xdr:sp macro="" textlink="">
      <xdr:nvSpPr>
        <xdr:cNvPr id="3" name="AutoShape 3"/>
        <xdr:cNvSpPr>
          <a:spLocks noChangeArrowheads="1"/>
        </xdr:cNvSpPr>
      </xdr:nvSpPr>
      <xdr:spPr bwMode="auto">
        <a:xfrm>
          <a:off x="38100" y="38100"/>
          <a:ext cx="5943600" cy="9677400"/>
        </a:xfrm>
        <a:prstGeom prst="roundRect">
          <a:avLst>
            <a:gd name="adj" fmla="val 2514"/>
          </a:avLst>
        </a:prstGeom>
        <a:noFill/>
        <a:ln w="9525">
          <a:solidFill>
            <a:srgbClr val="424242"/>
          </a:solidFill>
          <a:round/>
          <a:headEnd/>
          <a:tailEnd/>
        </a:ln>
        <a:effectLst/>
      </xdr:spPr>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0</xdr:colOff>
      <xdr:row>10</xdr:row>
      <xdr:rowOff>66675</xdr:rowOff>
    </xdr:from>
    <xdr:to>
      <xdr:col>5</xdr:col>
      <xdr:colOff>0</xdr:colOff>
      <xdr:row>12</xdr:row>
      <xdr:rowOff>0</xdr:rowOff>
    </xdr:to>
    <xdr:sp macro="" textlink="">
      <xdr:nvSpPr>
        <xdr:cNvPr id="2" name="Line 27"/>
        <xdr:cNvSpPr>
          <a:spLocks noChangeShapeType="1"/>
        </xdr:cNvSpPr>
      </xdr:nvSpPr>
      <xdr:spPr bwMode="auto">
        <a:xfrm flipV="1">
          <a:off x="4400550" y="1666875"/>
          <a:ext cx="0" cy="257175"/>
        </a:xfrm>
        <a:prstGeom prst="line">
          <a:avLst/>
        </a:prstGeom>
        <a:noFill/>
        <a:ln w="9525">
          <a:solidFill>
            <a:srgbClr val="000000"/>
          </a:solidFill>
          <a:round/>
          <a:headEnd/>
          <a:tailEnd/>
        </a:ln>
      </xdr:spPr>
    </xdr:sp>
    <xdr:clientData/>
  </xdr:twoCellAnchor>
  <xdr:twoCellAnchor>
    <xdr:from>
      <xdr:col>6</xdr:col>
      <xdr:colOff>0</xdr:colOff>
      <xdr:row>10</xdr:row>
      <xdr:rowOff>47625</xdr:rowOff>
    </xdr:from>
    <xdr:to>
      <xdr:col>6</xdr:col>
      <xdr:colOff>0</xdr:colOff>
      <xdr:row>11</xdr:row>
      <xdr:rowOff>152400</xdr:rowOff>
    </xdr:to>
    <xdr:sp macro="" textlink="">
      <xdr:nvSpPr>
        <xdr:cNvPr id="3" name="Line 32"/>
        <xdr:cNvSpPr>
          <a:spLocks noChangeShapeType="1"/>
        </xdr:cNvSpPr>
      </xdr:nvSpPr>
      <xdr:spPr bwMode="auto">
        <a:xfrm flipV="1">
          <a:off x="5181600" y="1647825"/>
          <a:ext cx="0" cy="266700"/>
        </a:xfrm>
        <a:prstGeom prst="line">
          <a:avLst/>
        </a:prstGeom>
        <a:noFill/>
        <a:ln w="9525">
          <a:solidFill>
            <a:srgbClr val="000000"/>
          </a:solidFill>
          <a:round/>
          <a:headEnd/>
          <a:tailEnd/>
        </a:ln>
      </xdr:spPr>
    </xdr:sp>
    <xdr:clientData/>
  </xdr:twoCellAnchor>
  <xdr:twoCellAnchor>
    <xdr:from>
      <xdr:col>4</xdr:col>
      <xdr:colOff>0</xdr:colOff>
      <xdr:row>7</xdr:row>
      <xdr:rowOff>161925</xdr:rowOff>
    </xdr:from>
    <xdr:to>
      <xdr:col>5</xdr:col>
      <xdr:colOff>390525</xdr:colOff>
      <xdr:row>11</xdr:row>
      <xdr:rowOff>152400</xdr:rowOff>
    </xdr:to>
    <xdr:sp macro="" textlink="">
      <xdr:nvSpPr>
        <xdr:cNvPr id="4" name="Arc 46"/>
        <xdr:cNvSpPr>
          <a:spLocks/>
        </xdr:cNvSpPr>
      </xdr:nvSpPr>
      <xdr:spPr bwMode="auto">
        <a:xfrm flipH="1">
          <a:off x="3619500" y="1276350"/>
          <a:ext cx="1171575" cy="638175"/>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close/>
            </a:path>
          </a:pathLst>
        </a:custGeom>
        <a:solidFill>
          <a:srgbClr val="C0C0C0"/>
        </a:solidFill>
        <a:ln w="17145">
          <a:solidFill>
            <a:srgbClr val="000000"/>
          </a:solidFill>
          <a:round/>
          <a:headEnd/>
          <a:tailEnd/>
        </a:ln>
      </xdr:spPr>
    </xdr:sp>
    <xdr:clientData/>
  </xdr:twoCellAnchor>
  <xdr:twoCellAnchor>
    <xdr:from>
      <xdr:col>5</xdr:col>
      <xdr:colOff>371475</xdr:colOff>
      <xdr:row>7</xdr:row>
      <xdr:rowOff>161925</xdr:rowOff>
    </xdr:from>
    <xdr:to>
      <xdr:col>7</xdr:col>
      <xdr:colOff>0</xdr:colOff>
      <xdr:row>11</xdr:row>
      <xdr:rowOff>152400</xdr:rowOff>
    </xdr:to>
    <xdr:sp macro="" textlink="">
      <xdr:nvSpPr>
        <xdr:cNvPr id="5" name="Arc 47"/>
        <xdr:cNvSpPr>
          <a:spLocks/>
        </xdr:cNvSpPr>
      </xdr:nvSpPr>
      <xdr:spPr bwMode="auto">
        <a:xfrm>
          <a:off x="4772025" y="1276350"/>
          <a:ext cx="1190625" cy="638175"/>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close/>
            </a:path>
          </a:pathLst>
        </a:custGeom>
        <a:solidFill>
          <a:srgbClr val="C0C0C0"/>
        </a:solidFill>
        <a:ln w="17145">
          <a:solidFill>
            <a:srgbClr val="000000"/>
          </a:solidFill>
          <a:round/>
          <a:headEnd/>
          <a:tailEnd/>
        </a:ln>
      </xdr:spPr>
    </xdr:sp>
    <xdr:clientData/>
  </xdr:twoCellAnchor>
  <xdr:twoCellAnchor>
    <xdr:from>
      <xdr:col>4</xdr:col>
      <xdr:colOff>28575</xdr:colOff>
      <xdr:row>10</xdr:row>
      <xdr:rowOff>123825</xdr:rowOff>
    </xdr:from>
    <xdr:to>
      <xdr:col>5</xdr:col>
      <xdr:colOff>28575</xdr:colOff>
      <xdr:row>11</xdr:row>
      <xdr:rowOff>142875</xdr:rowOff>
    </xdr:to>
    <xdr:sp macro="" textlink="I12">
      <xdr:nvSpPr>
        <xdr:cNvPr id="6" name="Texte 48"/>
        <xdr:cNvSpPr txBox="1">
          <a:spLocks noChangeArrowheads="1"/>
        </xdr:cNvSpPr>
      </xdr:nvSpPr>
      <xdr:spPr bwMode="auto">
        <a:xfrm>
          <a:off x="3648075" y="1724025"/>
          <a:ext cx="781050" cy="180975"/>
        </a:xfrm>
        <a:prstGeom prst="rect">
          <a:avLst/>
        </a:prstGeom>
        <a:noFill/>
        <a:ln w="1">
          <a:noFill/>
          <a:miter lim="800000"/>
          <a:headEnd/>
          <a:tailEnd/>
        </a:ln>
      </xdr:spPr>
      <xdr:txBody>
        <a:bodyPr vertOverflow="clip" wrap="square" lIns="27432" tIns="22860" rIns="27432" bIns="0" anchor="t" upright="1"/>
        <a:lstStyle/>
        <a:p>
          <a:pPr algn="ctr" rtl="0">
            <a:defRPr sz="1000"/>
          </a:pPr>
          <a:fld id="{25EE6D2D-A08D-493D-86AB-3DBFACCC995B}" type="TxLink">
            <a:rPr lang="fr-FR" sz="1000" b="0" i="0" u="none" strike="noStrike" baseline="0">
              <a:solidFill>
                <a:srgbClr val="000000"/>
              </a:solidFill>
              <a:latin typeface="Tahoma"/>
              <a:ea typeface="Tahoma"/>
              <a:cs typeface="Tahoma"/>
            </a:rPr>
            <a:pPr algn="ctr" rtl="0">
              <a:defRPr sz="1000"/>
            </a:pPr>
            <a:t>30/06/2017</a:t>
          </a:fld>
          <a:endParaRPr lang="fr-FR" sz="1000" b="0" i="0" u="none" strike="noStrike" baseline="0">
            <a:solidFill>
              <a:srgbClr val="000000"/>
            </a:solidFill>
            <a:latin typeface="Tahoma"/>
            <a:ea typeface="Tahoma"/>
            <a:cs typeface="Tahoma"/>
          </a:endParaRPr>
        </a:p>
      </xdr:txBody>
    </xdr:sp>
    <xdr:clientData/>
  </xdr:twoCellAnchor>
  <xdr:twoCellAnchor>
    <xdr:from>
      <xdr:col>5</xdr:col>
      <xdr:colOff>19050</xdr:colOff>
      <xdr:row>10</xdr:row>
      <xdr:rowOff>114300</xdr:rowOff>
    </xdr:from>
    <xdr:to>
      <xdr:col>6</xdr:col>
      <xdr:colOff>104775</xdr:colOff>
      <xdr:row>11</xdr:row>
      <xdr:rowOff>114300</xdr:rowOff>
    </xdr:to>
    <xdr:sp macro="" textlink="J12">
      <xdr:nvSpPr>
        <xdr:cNvPr id="7" name="Texte 49"/>
        <xdr:cNvSpPr txBox="1">
          <a:spLocks noChangeArrowheads="1"/>
        </xdr:cNvSpPr>
      </xdr:nvSpPr>
      <xdr:spPr bwMode="auto">
        <a:xfrm>
          <a:off x="4419600" y="1714500"/>
          <a:ext cx="866775" cy="161925"/>
        </a:xfrm>
        <a:prstGeom prst="rect">
          <a:avLst/>
        </a:prstGeom>
        <a:noFill/>
        <a:ln w="1">
          <a:noFill/>
          <a:miter lim="800000"/>
          <a:headEnd/>
          <a:tailEnd/>
        </a:ln>
      </xdr:spPr>
      <xdr:txBody>
        <a:bodyPr vertOverflow="clip" wrap="square" lIns="27432" tIns="22860" rIns="27432" bIns="0" anchor="t" upright="1"/>
        <a:lstStyle/>
        <a:p>
          <a:pPr algn="ctr" rtl="0">
            <a:defRPr sz="1000"/>
          </a:pPr>
          <a:fld id="{6E270700-04B9-4B66-8BF2-65101FD3C391}" type="TxLink">
            <a:rPr lang="fr-FR" sz="1000" b="0" i="0" u="none" strike="noStrike" baseline="0">
              <a:solidFill>
                <a:srgbClr val="000000"/>
              </a:solidFill>
              <a:latin typeface="Tahoma"/>
              <a:ea typeface="Tahoma"/>
              <a:cs typeface="Tahoma"/>
            </a:rPr>
            <a:pPr algn="ctr" rtl="0">
              <a:defRPr sz="1000"/>
            </a:pPr>
            <a:t>30/06/2016</a:t>
          </a:fld>
          <a:endParaRPr lang="fr-FR" sz="1000" b="0" i="0" u="none" strike="noStrike" baseline="0">
            <a:solidFill>
              <a:srgbClr val="000000"/>
            </a:solidFill>
            <a:latin typeface="Tahoma"/>
            <a:ea typeface="Tahoma"/>
            <a:cs typeface="Tahoma"/>
          </a:endParaRPr>
        </a:p>
      </xdr:txBody>
    </xdr:sp>
    <xdr:clientData/>
  </xdr:twoCellAnchor>
  <xdr:twoCellAnchor>
    <xdr:from>
      <xdr:col>5</xdr:col>
      <xdr:colOff>762000</xdr:colOff>
      <xdr:row>10</xdr:row>
      <xdr:rowOff>123825</xdr:rowOff>
    </xdr:from>
    <xdr:to>
      <xdr:col>7</xdr:col>
      <xdr:colOff>0</xdr:colOff>
      <xdr:row>12</xdr:row>
      <xdr:rowOff>0</xdr:rowOff>
    </xdr:to>
    <xdr:sp macro="" textlink="K12">
      <xdr:nvSpPr>
        <xdr:cNvPr id="8" name="Texte 50"/>
        <xdr:cNvSpPr txBox="1">
          <a:spLocks noChangeArrowheads="1"/>
        </xdr:cNvSpPr>
      </xdr:nvSpPr>
      <xdr:spPr bwMode="auto">
        <a:xfrm>
          <a:off x="5162550" y="1724025"/>
          <a:ext cx="800100" cy="200025"/>
        </a:xfrm>
        <a:prstGeom prst="rect">
          <a:avLst/>
        </a:prstGeom>
        <a:noFill/>
        <a:ln w="1">
          <a:noFill/>
          <a:miter lim="800000"/>
          <a:headEnd/>
          <a:tailEnd/>
        </a:ln>
      </xdr:spPr>
      <xdr:txBody>
        <a:bodyPr vertOverflow="clip" wrap="square" lIns="27432" tIns="22860" rIns="27432" bIns="0" anchor="t" upright="1"/>
        <a:lstStyle/>
        <a:p>
          <a:pPr algn="ctr" rtl="0">
            <a:defRPr sz="1000"/>
          </a:pPr>
          <a:fld id="{76478A59-1030-472C-B7E1-F1DB73E8B6A2}" type="TxLink">
            <a:rPr lang="fr-FR" sz="1000" b="0" i="0" u="none" strike="noStrike" baseline="0">
              <a:solidFill>
                <a:srgbClr val="000000"/>
              </a:solidFill>
              <a:latin typeface="Tahoma"/>
              <a:ea typeface="Tahoma"/>
              <a:cs typeface="Tahoma"/>
            </a:rPr>
            <a:pPr algn="ctr" rtl="0">
              <a:defRPr sz="1000"/>
            </a:pPr>
            <a:t>30/06/2015</a:t>
          </a:fld>
          <a:endParaRPr lang="fr-FR" sz="1000" b="0" i="0" u="none" strike="noStrike" baseline="0">
            <a:solidFill>
              <a:srgbClr val="000000"/>
            </a:solidFill>
            <a:latin typeface="Tahoma"/>
            <a:ea typeface="Tahoma"/>
            <a:cs typeface="Tahoma"/>
          </a:endParaRPr>
        </a:p>
      </xdr:txBody>
    </xdr:sp>
    <xdr:clientData/>
  </xdr:twoCellAnchor>
  <xdr:twoCellAnchor>
    <xdr:from>
      <xdr:col>5</xdr:col>
      <xdr:colOff>0</xdr:colOff>
      <xdr:row>10</xdr:row>
      <xdr:rowOff>142875</xdr:rowOff>
    </xdr:from>
    <xdr:to>
      <xdr:col>5</xdr:col>
      <xdr:colOff>0</xdr:colOff>
      <xdr:row>12</xdr:row>
      <xdr:rowOff>38100</xdr:rowOff>
    </xdr:to>
    <xdr:sp macro="" textlink="">
      <xdr:nvSpPr>
        <xdr:cNvPr id="9" name="Line 53"/>
        <xdr:cNvSpPr>
          <a:spLocks noChangeShapeType="1"/>
        </xdr:cNvSpPr>
      </xdr:nvSpPr>
      <xdr:spPr bwMode="auto">
        <a:xfrm flipV="1">
          <a:off x="4400550" y="1743075"/>
          <a:ext cx="0" cy="219075"/>
        </a:xfrm>
        <a:prstGeom prst="line">
          <a:avLst/>
        </a:prstGeom>
        <a:noFill/>
        <a:ln w="9525">
          <a:solidFill>
            <a:srgbClr val="000000"/>
          </a:solidFill>
          <a:round/>
          <a:headEnd/>
          <a:tailEnd/>
        </a:ln>
      </xdr:spPr>
    </xdr:sp>
    <xdr:clientData/>
  </xdr:twoCellAnchor>
  <xdr:twoCellAnchor>
    <xdr:from>
      <xdr:col>6</xdr:col>
      <xdr:colOff>0</xdr:colOff>
      <xdr:row>10</xdr:row>
      <xdr:rowOff>142875</xdr:rowOff>
    </xdr:from>
    <xdr:to>
      <xdr:col>6</xdr:col>
      <xdr:colOff>0</xdr:colOff>
      <xdr:row>12</xdr:row>
      <xdr:rowOff>0</xdr:rowOff>
    </xdr:to>
    <xdr:sp macro="" textlink="">
      <xdr:nvSpPr>
        <xdr:cNvPr id="10" name="Line 56"/>
        <xdr:cNvSpPr>
          <a:spLocks noChangeShapeType="1"/>
        </xdr:cNvSpPr>
      </xdr:nvSpPr>
      <xdr:spPr bwMode="auto">
        <a:xfrm flipV="1">
          <a:off x="5181600" y="1743075"/>
          <a:ext cx="0" cy="180975"/>
        </a:xfrm>
        <a:prstGeom prst="line">
          <a:avLst/>
        </a:prstGeom>
        <a:noFill/>
        <a:ln w="9525">
          <a:solidFill>
            <a:srgbClr val="000000"/>
          </a:solidFill>
          <a:round/>
          <a:headEnd/>
          <a:tailEnd/>
        </a:ln>
      </xdr:spPr>
    </xdr:sp>
    <xdr:clientData/>
  </xdr:twoCellAnchor>
  <xdr:twoCellAnchor>
    <xdr:from>
      <xdr:col>2</xdr:col>
      <xdr:colOff>133350</xdr:colOff>
      <xdr:row>2</xdr:row>
      <xdr:rowOff>19050</xdr:rowOff>
    </xdr:from>
    <xdr:to>
      <xdr:col>6</xdr:col>
      <xdr:colOff>180975</xdr:colOff>
      <xdr:row>6</xdr:row>
      <xdr:rowOff>47625</xdr:rowOff>
    </xdr:to>
    <xdr:sp macro="" textlink="">
      <xdr:nvSpPr>
        <xdr:cNvPr id="11" name="AutoShape 58"/>
        <xdr:cNvSpPr>
          <a:spLocks noChangeArrowheads="1"/>
        </xdr:cNvSpPr>
      </xdr:nvSpPr>
      <xdr:spPr bwMode="auto">
        <a:xfrm>
          <a:off x="561975" y="266700"/>
          <a:ext cx="4800600" cy="67627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QUELQUES RATIOS CLES</a:t>
          </a:r>
        </a:p>
      </xdr:txBody>
    </xdr:sp>
    <xdr:clientData/>
  </xdr:twoCellAnchor>
  <xdr:twoCellAnchor>
    <xdr:from>
      <xdr:col>0</xdr:col>
      <xdr:colOff>38100</xdr:colOff>
      <xdr:row>0</xdr:row>
      <xdr:rowOff>0</xdr:rowOff>
    </xdr:from>
    <xdr:to>
      <xdr:col>7</xdr:col>
      <xdr:colOff>76200</xdr:colOff>
      <xdr:row>56</xdr:row>
      <xdr:rowOff>114300</xdr:rowOff>
    </xdr:to>
    <xdr:sp macro="" textlink="">
      <xdr:nvSpPr>
        <xdr:cNvPr id="12" name="AutoShape 60"/>
        <xdr:cNvSpPr>
          <a:spLocks noChangeArrowheads="1"/>
        </xdr:cNvSpPr>
      </xdr:nvSpPr>
      <xdr:spPr bwMode="auto">
        <a:xfrm>
          <a:off x="38100" y="0"/>
          <a:ext cx="6000750" cy="9382125"/>
        </a:xfrm>
        <a:prstGeom prst="roundRect">
          <a:avLst>
            <a:gd name="adj" fmla="val 2514"/>
          </a:avLst>
        </a:prstGeom>
        <a:noFill/>
        <a:ln w="9525">
          <a:solidFill>
            <a:srgbClr val="424242"/>
          </a:solidFill>
          <a:round/>
          <a:headEnd/>
          <a:tailEnd/>
        </a:ln>
        <a:effectLst/>
      </xdr:spPr>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123265</xdr:colOff>
      <xdr:row>0</xdr:row>
      <xdr:rowOff>168088</xdr:rowOff>
    </xdr:from>
    <xdr:to>
      <xdr:col>14</xdr:col>
      <xdr:colOff>437029</xdr:colOff>
      <xdr:row>3</xdr:row>
      <xdr:rowOff>616323</xdr:rowOff>
    </xdr:to>
    <xdr:sp macro="" textlink="">
      <xdr:nvSpPr>
        <xdr:cNvPr id="2" name="AutoShape 6"/>
        <xdr:cNvSpPr>
          <a:spLocks noChangeArrowheads="1"/>
        </xdr:cNvSpPr>
      </xdr:nvSpPr>
      <xdr:spPr bwMode="auto">
        <a:xfrm>
          <a:off x="123265" y="168088"/>
          <a:ext cx="6143064" cy="149598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PREVENTION DES DIFFICULTES ECONOMIQUES ET FINANCIERES</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18</xdr:col>
      <xdr:colOff>0</xdr:colOff>
      <xdr:row>2</xdr:row>
      <xdr:rowOff>19050</xdr:rowOff>
    </xdr:from>
    <xdr:to>
      <xdr:col>27</xdr:col>
      <xdr:colOff>352425</xdr:colOff>
      <xdr:row>5</xdr:row>
      <xdr:rowOff>0</xdr:rowOff>
    </xdr:to>
    <xdr:sp macro="" textlink="">
      <xdr:nvSpPr>
        <xdr:cNvPr id="1026" name="Texte 2"/>
        <xdr:cNvSpPr>
          <a:spLocks noChangeArrowheads="1"/>
        </xdr:cNvSpPr>
      </xdr:nvSpPr>
      <xdr:spPr bwMode="auto">
        <a:xfrm>
          <a:off x="6858000" y="342900"/>
          <a:ext cx="3781425" cy="533400"/>
        </a:xfrm>
        <a:prstGeom prst="roundRect">
          <a:avLst>
            <a:gd name="adj" fmla="val 16667"/>
          </a:avLst>
        </a:prstGeom>
        <a:noFill/>
        <a:ln w="9525">
          <a:solidFill>
            <a:srgbClr val="000000"/>
          </a:solidFill>
          <a:round/>
          <a:headEnd/>
          <a:tailEnd/>
        </a:ln>
        <a:effectLst>
          <a:outerShdw dist="35921" dir="2700000" algn="ctr" rotWithShape="0">
            <a:srgbClr val="000000"/>
          </a:outerShdw>
        </a:effectLst>
      </xdr:spPr>
      <xdr:txBody>
        <a:bodyPr vertOverflow="clip" wrap="square" lIns="54864" tIns="41148" rIns="54864" bIns="41148" anchor="ctr" upright="1"/>
        <a:lstStyle/>
        <a:p>
          <a:pPr algn="ctr" rtl="0">
            <a:defRPr sz="1000"/>
          </a:pPr>
          <a:r>
            <a:rPr lang="fr-FR" sz="2400" b="1" i="0" u="none" strike="noStrike" baseline="0">
              <a:solidFill>
                <a:srgbClr val="000000"/>
              </a:solidFill>
              <a:latin typeface="Arial"/>
              <a:cs typeface="Arial"/>
            </a:rPr>
            <a:t>PRESENTATION</a:t>
          </a:r>
        </a:p>
      </xdr:txBody>
    </xdr:sp>
    <xdr:clientData/>
  </xdr:twoCellAnchor>
  <xdr:twoCellAnchor>
    <xdr:from>
      <xdr:col>2</xdr:col>
      <xdr:colOff>114300</xdr:colOff>
      <xdr:row>19</xdr:row>
      <xdr:rowOff>66675</xdr:rowOff>
    </xdr:from>
    <xdr:to>
      <xdr:col>14</xdr:col>
      <xdr:colOff>9525</xdr:colOff>
      <xdr:row>28</xdr:row>
      <xdr:rowOff>85725</xdr:rowOff>
    </xdr:to>
    <xdr:sp macro="" textlink="">
      <xdr:nvSpPr>
        <xdr:cNvPr id="1028" name="WordArt 4"/>
        <xdr:cNvSpPr>
          <a:spLocks noChangeArrowheads="1" noChangeShapeType="1" noTextEdit="1"/>
        </xdr:cNvSpPr>
      </xdr:nvSpPr>
      <xdr:spPr bwMode="auto">
        <a:xfrm>
          <a:off x="876300" y="3095625"/>
          <a:ext cx="4267200" cy="2781300"/>
        </a:xfrm>
        <a:prstGeom prst="rect">
          <a:avLst/>
        </a:prstGeom>
      </xdr:spPr>
      <xdr:txBody>
        <a:bodyPr wrap="none" fromWordArt="1">
          <a:prstTxWarp prst="textPlain">
            <a:avLst>
              <a:gd name="adj" fmla="val 50000"/>
            </a:avLst>
          </a:prstTxWarp>
        </a:bodyPr>
        <a:lstStyle/>
        <a:p>
          <a:pPr algn="ctr" rtl="0"/>
          <a:r>
            <a:rPr lang="fr-FR" sz="4800" kern="10" spc="0">
              <a:ln w="9525">
                <a:noFill/>
                <a:round/>
                <a:headEnd/>
                <a:tailEnd/>
              </a:ln>
              <a:solidFill>
                <a:srgbClr val="008080"/>
              </a:solidFill>
              <a:effectLst>
                <a:outerShdw dist="45791" dir="2021404" algn="ctr" rotWithShape="0">
                  <a:srgbClr val="C0C0C0"/>
                </a:outerShdw>
              </a:effectLst>
              <a:latin typeface="Times New Roman"/>
              <a:cs typeface="Times New Roman"/>
            </a:rPr>
            <a:t>Dossier </a:t>
          </a:r>
        </a:p>
        <a:p>
          <a:pPr algn="ctr" rtl="0"/>
          <a:r>
            <a:rPr lang="fr-FR" sz="4800" kern="10" spc="0">
              <a:ln w="9525">
                <a:noFill/>
                <a:round/>
                <a:headEnd/>
                <a:tailEnd/>
              </a:ln>
              <a:solidFill>
                <a:srgbClr val="008080"/>
              </a:solidFill>
              <a:effectLst>
                <a:outerShdw dist="45791" dir="2021404" algn="ctr" rotWithShape="0">
                  <a:srgbClr val="C0C0C0"/>
                </a:outerShdw>
              </a:effectLst>
              <a:latin typeface="Times New Roman"/>
              <a:cs typeface="Times New Roman"/>
            </a:rPr>
            <a:t>de </a:t>
          </a:r>
        </a:p>
        <a:p>
          <a:pPr algn="ctr" rtl="0"/>
          <a:r>
            <a:rPr lang="fr-FR" sz="4800" kern="10" spc="0">
              <a:ln w="9525">
                <a:noFill/>
                <a:round/>
                <a:headEnd/>
                <a:tailEnd/>
              </a:ln>
              <a:solidFill>
                <a:srgbClr val="008080"/>
              </a:solidFill>
              <a:effectLst>
                <a:outerShdw dist="45791" dir="2021404" algn="ctr" rotWithShape="0">
                  <a:srgbClr val="C0C0C0"/>
                </a:outerShdw>
              </a:effectLst>
              <a:latin typeface="Times New Roman"/>
              <a:cs typeface="Times New Roman"/>
            </a:rPr>
            <a:t>Gestion</a:t>
          </a:r>
        </a:p>
      </xdr:txBody>
    </xdr:sp>
    <xdr:clientData/>
  </xdr:twoCellAnchor>
  <xdr:twoCellAnchor>
    <xdr:from>
      <xdr:col>0</xdr:col>
      <xdr:colOff>104775</xdr:colOff>
      <xdr:row>0</xdr:row>
      <xdr:rowOff>19050</xdr:rowOff>
    </xdr:from>
    <xdr:to>
      <xdr:col>15</xdr:col>
      <xdr:colOff>333375</xdr:colOff>
      <xdr:row>48</xdr:row>
      <xdr:rowOff>190500</xdr:rowOff>
    </xdr:to>
    <xdr:sp macro="" textlink="">
      <xdr:nvSpPr>
        <xdr:cNvPr id="1033" name="AutoShape 9"/>
        <xdr:cNvSpPr>
          <a:spLocks noChangeArrowheads="1"/>
        </xdr:cNvSpPr>
      </xdr:nvSpPr>
      <xdr:spPr bwMode="auto">
        <a:xfrm>
          <a:off x="104775" y="19050"/>
          <a:ext cx="5943600" cy="9410700"/>
        </a:xfrm>
        <a:prstGeom prst="roundRect">
          <a:avLst>
            <a:gd name="adj" fmla="val 2514"/>
          </a:avLst>
        </a:prstGeom>
        <a:noFill/>
        <a:ln w="9525">
          <a:solidFill>
            <a:srgbClr val="424242"/>
          </a:solidFill>
          <a:round/>
          <a:headEnd/>
          <a:tailEnd/>
        </a:ln>
        <a:effectLst/>
      </xdr:spPr>
    </xdr:sp>
    <xdr:clientData/>
  </xdr:twoCellAnchor>
  <mc:AlternateContent xmlns:mc="http://schemas.openxmlformats.org/markup-compatibility/2006">
    <mc:Choice xmlns:a14="http://schemas.microsoft.com/office/drawing/2010/main" Requires="a14">
      <xdr:twoCellAnchor>
        <xdr:from>
          <xdr:col>1</xdr:col>
          <xdr:colOff>180975</xdr:colOff>
          <xdr:row>1</xdr:row>
          <xdr:rowOff>152400</xdr:rowOff>
        </xdr:from>
        <xdr:to>
          <xdr:col>6</xdr:col>
          <xdr:colOff>228600</xdr:colOff>
          <xdr:row>6</xdr:row>
          <xdr:rowOff>123825</xdr:rowOff>
        </xdr:to>
        <xdr:sp macro="" textlink="">
          <xdr:nvSpPr>
            <xdr:cNvPr id="1032" name="Object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xdr:from>
      <xdr:col>1</xdr:col>
      <xdr:colOff>266700</xdr:colOff>
      <xdr:row>2</xdr:row>
      <xdr:rowOff>9525</xdr:rowOff>
    </xdr:from>
    <xdr:to>
      <xdr:col>2</xdr:col>
      <xdr:colOff>428625</xdr:colOff>
      <xdr:row>4</xdr:row>
      <xdr:rowOff>228600</xdr:rowOff>
    </xdr:to>
    <xdr:sp macro="" textlink="">
      <xdr:nvSpPr>
        <xdr:cNvPr id="48129" name="AutoShape 1"/>
        <xdr:cNvSpPr>
          <a:spLocks noChangeArrowheads="1"/>
        </xdr:cNvSpPr>
      </xdr:nvSpPr>
      <xdr:spPr bwMode="auto">
        <a:xfrm>
          <a:off x="1123950" y="333375"/>
          <a:ext cx="3781425" cy="54292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SOMMAIRE</a:t>
          </a:r>
        </a:p>
      </xdr:txBody>
    </xdr:sp>
    <xdr:clientData/>
  </xdr:twoCellAnchor>
  <xdr:twoCellAnchor>
    <xdr:from>
      <xdr:col>0</xdr:col>
      <xdr:colOff>38100</xdr:colOff>
      <xdr:row>0</xdr:row>
      <xdr:rowOff>38100</xdr:rowOff>
    </xdr:from>
    <xdr:to>
      <xdr:col>4</xdr:col>
      <xdr:colOff>57150</xdr:colOff>
      <xdr:row>46</xdr:row>
      <xdr:rowOff>142875</xdr:rowOff>
    </xdr:to>
    <xdr:sp macro="" textlink="">
      <xdr:nvSpPr>
        <xdr:cNvPr id="48130" name="AutoShape 2"/>
        <xdr:cNvSpPr>
          <a:spLocks noChangeArrowheads="1"/>
        </xdr:cNvSpPr>
      </xdr:nvSpPr>
      <xdr:spPr bwMode="auto">
        <a:xfrm>
          <a:off x="38100" y="38100"/>
          <a:ext cx="5943600" cy="9277350"/>
        </a:xfrm>
        <a:prstGeom prst="roundRect">
          <a:avLst>
            <a:gd name="adj" fmla="val 2514"/>
          </a:avLst>
        </a:prstGeom>
        <a:noFill/>
        <a:ln w="9525">
          <a:solidFill>
            <a:srgbClr val="424242"/>
          </a:solidFill>
          <a:round/>
          <a:headEnd/>
          <a:tailEnd/>
        </a:ln>
        <a:effectLst/>
      </xdr:spPr>
    </xdr: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304800</xdr:colOff>
      <xdr:row>2</xdr:row>
      <xdr:rowOff>0</xdr:rowOff>
    </xdr:from>
    <xdr:to>
      <xdr:col>2</xdr:col>
      <xdr:colOff>466725</xdr:colOff>
      <xdr:row>4</xdr:row>
      <xdr:rowOff>219075</xdr:rowOff>
    </xdr:to>
    <xdr:sp macro="" textlink="">
      <xdr:nvSpPr>
        <xdr:cNvPr id="2053" name="AutoShape 5"/>
        <xdr:cNvSpPr>
          <a:spLocks noChangeArrowheads="1"/>
        </xdr:cNvSpPr>
      </xdr:nvSpPr>
      <xdr:spPr bwMode="auto">
        <a:xfrm>
          <a:off x="1162050" y="323850"/>
          <a:ext cx="3781425" cy="54292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SOMMAIRE</a:t>
          </a:r>
        </a:p>
      </xdr:txBody>
    </xdr:sp>
    <xdr:clientData/>
  </xdr:twoCellAnchor>
  <xdr:twoCellAnchor>
    <xdr:from>
      <xdr:col>0</xdr:col>
      <xdr:colOff>57150</xdr:colOff>
      <xdr:row>0</xdr:row>
      <xdr:rowOff>66675</xdr:rowOff>
    </xdr:from>
    <xdr:to>
      <xdr:col>3</xdr:col>
      <xdr:colOff>628650</xdr:colOff>
      <xdr:row>48</xdr:row>
      <xdr:rowOff>104775</xdr:rowOff>
    </xdr:to>
    <xdr:sp macro="" textlink="">
      <xdr:nvSpPr>
        <xdr:cNvPr id="2054" name="AutoShape 6"/>
        <xdr:cNvSpPr>
          <a:spLocks noChangeArrowheads="1"/>
        </xdr:cNvSpPr>
      </xdr:nvSpPr>
      <xdr:spPr bwMode="auto">
        <a:xfrm>
          <a:off x="57150" y="66675"/>
          <a:ext cx="5600700" cy="9353550"/>
        </a:xfrm>
        <a:prstGeom prst="roundRect">
          <a:avLst>
            <a:gd name="adj" fmla="val 2514"/>
          </a:avLst>
        </a:prstGeom>
        <a:noFill/>
        <a:ln w="9525">
          <a:solidFill>
            <a:srgbClr val="424242"/>
          </a:solidFill>
          <a:round/>
          <a:headEnd/>
          <a:tailEnd/>
        </a:ln>
        <a:effectLst/>
      </xdr:spPr>
    </xdr: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276225</xdr:colOff>
      <xdr:row>37</xdr:row>
      <xdr:rowOff>19050</xdr:rowOff>
    </xdr:from>
    <xdr:to>
      <xdr:col>1</xdr:col>
      <xdr:colOff>657225</xdr:colOff>
      <xdr:row>37</xdr:row>
      <xdr:rowOff>142875</xdr:rowOff>
    </xdr:to>
    <xdr:sp macro="" textlink="">
      <xdr:nvSpPr>
        <xdr:cNvPr id="22533" name="AutoShape 5"/>
        <xdr:cNvSpPr>
          <a:spLocks noChangeArrowheads="1"/>
        </xdr:cNvSpPr>
      </xdr:nvSpPr>
      <xdr:spPr bwMode="auto">
        <a:xfrm>
          <a:off x="1038225" y="6696075"/>
          <a:ext cx="381000" cy="123825"/>
        </a:xfrm>
        <a:prstGeom prst="rightArrow">
          <a:avLst>
            <a:gd name="adj1" fmla="val 50000"/>
            <a:gd name="adj2" fmla="val 76923"/>
          </a:avLst>
        </a:prstGeom>
        <a:solidFill>
          <a:srgbClr val="008080"/>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1</xdr:col>
      <xdr:colOff>276225</xdr:colOff>
      <xdr:row>39</xdr:row>
      <xdr:rowOff>19050</xdr:rowOff>
    </xdr:from>
    <xdr:to>
      <xdr:col>1</xdr:col>
      <xdr:colOff>657225</xdr:colOff>
      <xdr:row>39</xdr:row>
      <xdr:rowOff>142875</xdr:rowOff>
    </xdr:to>
    <xdr:sp macro="" textlink="">
      <xdr:nvSpPr>
        <xdr:cNvPr id="22534" name="AutoShape 6"/>
        <xdr:cNvSpPr>
          <a:spLocks noChangeArrowheads="1"/>
        </xdr:cNvSpPr>
      </xdr:nvSpPr>
      <xdr:spPr bwMode="auto">
        <a:xfrm>
          <a:off x="1038225" y="7077075"/>
          <a:ext cx="381000" cy="123825"/>
        </a:xfrm>
        <a:prstGeom prst="rightArrow">
          <a:avLst>
            <a:gd name="adj1" fmla="val 50000"/>
            <a:gd name="adj2" fmla="val 76923"/>
          </a:avLst>
        </a:prstGeom>
        <a:solidFill>
          <a:srgbClr val="008080"/>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2</xdr:col>
      <xdr:colOff>0</xdr:colOff>
      <xdr:row>2</xdr:row>
      <xdr:rowOff>142875</xdr:rowOff>
    </xdr:from>
    <xdr:to>
      <xdr:col>6</xdr:col>
      <xdr:colOff>0</xdr:colOff>
      <xdr:row>4</xdr:row>
      <xdr:rowOff>361950</xdr:rowOff>
    </xdr:to>
    <xdr:sp macro="" textlink="">
      <xdr:nvSpPr>
        <xdr:cNvPr id="22536" name="AutoShape 8"/>
        <xdr:cNvSpPr>
          <a:spLocks noChangeArrowheads="1"/>
        </xdr:cNvSpPr>
      </xdr:nvSpPr>
      <xdr:spPr bwMode="auto">
        <a:xfrm>
          <a:off x="1524000" y="466725"/>
          <a:ext cx="3048000" cy="54292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PRESENTATION</a:t>
          </a:r>
        </a:p>
      </xdr:txBody>
    </xdr:sp>
    <xdr:clientData/>
  </xdr:twoCellAnchor>
  <xdr:twoCellAnchor>
    <xdr:from>
      <xdr:col>0</xdr:col>
      <xdr:colOff>38100</xdr:colOff>
      <xdr:row>0</xdr:row>
      <xdr:rowOff>38100</xdr:rowOff>
    </xdr:from>
    <xdr:to>
      <xdr:col>7</xdr:col>
      <xdr:colOff>723900</xdr:colOff>
      <xdr:row>52</xdr:row>
      <xdr:rowOff>114300</xdr:rowOff>
    </xdr:to>
    <xdr:sp macro="" textlink="">
      <xdr:nvSpPr>
        <xdr:cNvPr id="22537" name="AutoShape 9"/>
        <xdr:cNvSpPr>
          <a:spLocks noChangeArrowheads="1"/>
        </xdr:cNvSpPr>
      </xdr:nvSpPr>
      <xdr:spPr bwMode="auto">
        <a:xfrm>
          <a:off x="38100" y="38100"/>
          <a:ext cx="6019800" cy="9610725"/>
        </a:xfrm>
        <a:prstGeom prst="roundRect">
          <a:avLst>
            <a:gd name="adj" fmla="val 2514"/>
          </a:avLst>
        </a:prstGeom>
        <a:noFill/>
        <a:ln w="9525">
          <a:solidFill>
            <a:srgbClr val="424242"/>
          </a:solidFill>
          <a:round/>
          <a:headEnd/>
          <a:tailEnd/>
        </a:ln>
        <a:effectLst/>
      </xdr:spPr>
    </xdr:sp>
    <xdr:clientData/>
  </xdr:twoCellAnchor>
  <xdr:twoCellAnchor>
    <xdr:from>
      <xdr:col>0</xdr:col>
      <xdr:colOff>142875</xdr:colOff>
      <xdr:row>13</xdr:row>
      <xdr:rowOff>66675</xdr:rowOff>
    </xdr:from>
    <xdr:to>
      <xdr:col>7</xdr:col>
      <xdr:colOff>600075</xdr:colOff>
      <xdr:row>25</xdr:row>
      <xdr:rowOff>0</xdr:rowOff>
    </xdr:to>
    <xdr:sp macro="" textlink="">
      <xdr:nvSpPr>
        <xdr:cNvPr id="22538" name="Rectangle 10"/>
        <xdr:cNvSpPr>
          <a:spLocks noChangeArrowheads="1"/>
        </xdr:cNvSpPr>
      </xdr:nvSpPr>
      <xdr:spPr bwMode="auto">
        <a:xfrm>
          <a:off x="142875" y="2724150"/>
          <a:ext cx="5791200" cy="187642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endParaRPr lang="fr-FR" sz="1000" b="1" i="0" u="sng" strike="noStrike" baseline="0">
            <a:solidFill>
              <a:srgbClr val="000000"/>
            </a:solidFill>
            <a:latin typeface="Arial"/>
            <a:cs typeface="Arial"/>
          </a:endParaRPr>
        </a:p>
        <a:p>
          <a:pPr algn="l" rtl="0">
            <a:defRPr sz="1000"/>
          </a:pPr>
          <a:r>
            <a:rPr lang="fr-FR" sz="1000" b="1" i="0" u="sng" strike="noStrike" baseline="0">
              <a:solidFill>
                <a:srgbClr val="000000"/>
              </a:solidFill>
              <a:latin typeface="Arial"/>
              <a:cs typeface="Arial"/>
            </a:rPr>
            <a:t>Précisions sur le changement de méthode :</a:t>
          </a: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En application de l'instruction 5E-3-07 du 4 juillet 2007, les versements résultant de la détention de DPU par un exploitant agricole pour la récolte 2008, sont considérés comme acquis à la date de dépôt du dossier de demande d'aide, c'est à dire au plus tard le 15 mai.</a:t>
          </a:r>
        </a:p>
        <a:p>
          <a:pPr algn="l" rtl="0">
            <a:defRPr sz="1000"/>
          </a:pPr>
          <a:r>
            <a:rPr lang="fr-FR" sz="1000" b="0" i="0" u="none" strike="noStrike" baseline="0">
              <a:solidFill>
                <a:srgbClr val="000000"/>
              </a:solidFill>
              <a:latin typeface="Arial"/>
              <a:cs typeface="Arial"/>
            </a:rPr>
            <a:t>De ce fait, l'exercice comprend la comptabilisation des aides découplées relatives à l'année 2008. Les aides découplées 2007 figuraient dans le résultat du bilan précédent.</a:t>
          </a:r>
        </a:p>
        <a:p>
          <a:pPr algn="l" rtl="0">
            <a:defRPr sz="1000"/>
          </a:pPr>
          <a:r>
            <a:rPr lang="fr-FR" sz="1000" b="0" i="0" u="none" strike="noStrike" baseline="0">
              <a:solidFill>
                <a:srgbClr val="000000"/>
              </a:solidFill>
              <a:latin typeface="Arial"/>
              <a:cs typeface="Arial"/>
            </a:rPr>
            <a:t>Désormais, le résultat net comptable de chaque exercice comporte les aides découplées de la récolte suivante.</a:t>
          </a:r>
        </a:p>
        <a:p>
          <a:pPr algn="l" rtl="0">
            <a:defRPr sz="1000"/>
          </a:pPr>
          <a:r>
            <a:rPr lang="fr-FR" sz="1000" b="0" i="0" u="none" strike="noStrike" baseline="0">
              <a:solidFill>
                <a:srgbClr val="000000"/>
              </a:solidFill>
              <a:latin typeface="Arial"/>
              <a:cs typeface="Arial"/>
            </a:rPr>
            <a:t>Au niveau fiscal, ces décalages sont neutralisés.</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47625</xdr:colOff>
      <xdr:row>1</xdr:row>
      <xdr:rowOff>0</xdr:rowOff>
    </xdr:from>
    <xdr:to>
      <xdr:col>7</xdr:col>
      <xdr:colOff>638175</xdr:colOff>
      <xdr:row>6</xdr:row>
      <xdr:rowOff>133350</xdr:rowOff>
    </xdr:to>
    <xdr:sp macro="" textlink="">
      <xdr:nvSpPr>
        <xdr:cNvPr id="23553" name="AutoShape 1"/>
        <xdr:cNvSpPr>
          <a:spLocks noChangeArrowheads="1"/>
        </xdr:cNvSpPr>
      </xdr:nvSpPr>
      <xdr:spPr bwMode="auto">
        <a:xfrm>
          <a:off x="219075" y="85725"/>
          <a:ext cx="5638800" cy="94297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0" anchor="t" upright="1"/>
        <a:lstStyle/>
        <a:p>
          <a:pPr algn="ctr" rtl="0">
            <a:defRPr sz="1000"/>
          </a:pPr>
          <a:r>
            <a:rPr lang="fr-FR" sz="2400" b="1" i="0" u="none" strike="noStrike" baseline="0">
              <a:solidFill>
                <a:srgbClr val="008080"/>
              </a:solidFill>
              <a:latin typeface="Tahoma"/>
              <a:ea typeface="Tahoma"/>
              <a:cs typeface="Tahoma"/>
            </a:rPr>
            <a:t>CARACTERISTIQUES  DE</a:t>
          </a:r>
        </a:p>
        <a:p>
          <a:pPr algn="ctr" rtl="0">
            <a:defRPr sz="1000"/>
          </a:pPr>
          <a:r>
            <a:rPr lang="fr-FR" sz="2400" b="1" i="0" u="none" strike="noStrike" baseline="0">
              <a:solidFill>
                <a:srgbClr val="008080"/>
              </a:solidFill>
              <a:latin typeface="Tahoma"/>
              <a:ea typeface="Tahoma"/>
              <a:cs typeface="Tahoma"/>
            </a:rPr>
            <a:t> VOTRE  EXPLOITATION</a:t>
          </a:r>
        </a:p>
      </xdr:txBody>
    </xdr:sp>
    <xdr:clientData/>
  </xdr:twoCellAnchor>
  <xdr:twoCellAnchor>
    <xdr:from>
      <xdr:col>7</xdr:col>
      <xdr:colOff>0</xdr:colOff>
      <xdr:row>19</xdr:row>
      <xdr:rowOff>0</xdr:rowOff>
    </xdr:from>
    <xdr:to>
      <xdr:col>7</xdr:col>
      <xdr:colOff>561975</xdr:colOff>
      <xdr:row>21</xdr:row>
      <xdr:rowOff>0</xdr:rowOff>
    </xdr:to>
    <xdr:sp macro="" textlink="">
      <xdr:nvSpPr>
        <xdr:cNvPr id="23554" name="Arc 2"/>
        <xdr:cNvSpPr>
          <a:spLocks/>
        </xdr:cNvSpPr>
      </xdr:nvSpPr>
      <xdr:spPr bwMode="auto">
        <a:xfrm flipH="1">
          <a:off x="5219700" y="3162300"/>
          <a:ext cx="561975" cy="381000"/>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close/>
            </a:path>
          </a:pathLst>
        </a:custGeom>
        <a:solidFill>
          <a:srgbClr val="C0C0C0"/>
        </a:solidFill>
        <a:ln w="17145">
          <a:solidFill>
            <a:srgbClr val="424242"/>
          </a:solidFill>
          <a:round/>
          <a:headEnd/>
          <a:tailEnd/>
        </a:ln>
      </xdr:spPr>
    </xdr:sp>
    <xdr:clientData/>
  </xdr:twoCellAnchor>
  <xdr:twoCellAnchor>
    <xdr:from>
      <xdr:col>7</xdr:col>
      <xdr:colOff>561975</xdr:colOff>
      <xdr:row>19</xdr:row>
      <xdr:rowOff>9525</xdr:rowOff>
    </xdr:from>
    <xdr:to>
      <xdr:col>8</xdr:col>
      <xdr:colOff>0</xdr:colOff>
      <xdr:row>21</xdr:row>
      <xdr:rowOff>0</xdr:rowOff>
    </xdr:to>
    <xdr:sp macro="" textlink="">
      <xdr:nvSpPr>
        <xdr:cNvPr id="23555" name="Arc 3"/>
        <xdr:cNvSpPr>
          <a:spLocks/>
        </xdr:cNvSpPr>
      </xdr:nvSpPr>
      <xdr:spPr bwMode="auto">
        <a:xfrm>
          <a:off x="5133975" y="3171825"/>
          <a:ext cx="495300" cy="371475"/>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close/>
            </a:path>
          </a:pathLst>
        </a:custGeom>
        <a:solidFill>
          <a:srgbClr val="C0C0C0"/>
        </a:solidFill>
        <a:ln w="17145">
          <a:solidFill>
            <a:srgbClr val="424242"/>
          </a:solidFill>
          <a:round/>
          <a:headEnd/>
          <a:tailEnd/>
        </a:ln>
      </xdr:spPr>
    </xdr:sp>
    <xdr:clientData/>
  </xdr:twoCellAnchor>
  <xdr:twoCellAnchor>
    <xdr:from>
      <xdr:col>7</xdr:col>
      <xdr:colOff>209550</xdr:colOff>
      <xdr:row>19</xdr:row>
      <xdr:rowOff>123825</xdr:rowOff>
    </xdr:from>
    <xdr:to>
      <xdr:col>7</xdr:col>
      <xdr:colOff>809625</xdr:colOff>
      <xdr:row>21</xdr:row>
      <xdr:rowOff>0</xdr:rowOff>
    </xdr:to>
    <xdr:sp macro="" textlink="J16">
      <xdr:nvSpPr>
        <xdr:cNvPr id="23556" name="Texte 7"/>
        <xdr:cNvSpPr txBox="1">
          <a:spLocks noChangeArrowheads="1" noTextEdit="1"/>
        </xdr:cNvSpPr>
      </xdr:nvSpPr>
      <xdr:spPr bwMode="auto">
        <a:xfrm>
          <a:off x="5429250" y="3286125"/>
          <a:ext cx="600075" cy="257175"/>
        </a:xfrm>
        <a:prstGeom prst="rect">
          <a:avLst/>
        </a:prstGeom>
        <a:solidFill>
          <a:srgbClr val="C0C0C0"/>
        </a:solidFill>
        <a:ln w="1">
          <a:noFill/>
          <a:miter lim="800000"/>
          <a:headEnd/>
          <a:tailEnd/>
        </a:ln>
      </xdr:spPr>
      <xdr:txBody>
        <a:bodyPr/>
        <a:lstStyle/>
        <a:p>
          <a:fld id="{0AF6D079-836D-4879-A172-710086382F02}" type="TxLink">
            <a:rPr lang="fr-FR"/>
            <a:pPr/>
            <a:t> </a:t>
          </a:fld>
          <a:endParaRPr lang="fr-FR"/>
        </a:p>
      </xdr:txBody>
    </xdr:sp>
    <xdr:clientData/>
  </xdr:twoCellAnchor>
  <xdr:twoCellAnchor>
    <xdr:from>
      <xdr:col>6</xdr:col>
      <xdr:colOff>0</xdr:colOff>
      <xdr:row>18</xdr:row>
      <xdr:rowOff>133350</xdr:rowOff>
    </xdr:from>
    <xdr:to>
      <xdr:col>6</xdr:col>
      <xdr:colOff>561975</xdr:colOff>
      <xdr:row>21</xdr:row>
      <xdr:rowOff>0</xdr:rowOff>
    </xdr:to>
    <xdr:sp macro="" textlink="">
      <xdr:nvSpPr>
        <xdr:cNvPr id="23557" name="Arc 5"/>
        <xdr:cNvSpPr>
          <a:spLocks/>
        </xdr:cNvSpPr>
      </xdr:nvSpPr>
      <xdr:spPr bwMode="auto">
        <a:xfrm flipH="1">
          <a:off x="4152900" y="3133725"/>
          <a:ext cx="561975" cy="409575"/>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close/>
            </a:path>
          </a:pathLst>
        </a:custGeom>
        <a:solidFill>
          <a:srgbClr val="C0C0C0"/>
        </a:solidFill>
        <a:ln w="17145">
          <a:solidFill>
            <a:srgbClr val="424242"/>
          </a:solidFill>
          <a:round/>
          <a:headEnd/>
          <a:tailEnd/>
        </a:ln>
      </xdr:spPr>
    </xdr:sp>
    <xdr:clientData/>
  </xdr:twoCellAnchor>
  <xdr:twoCellAnchor>
    <xdr:from>
      <xdr:col>6</xdr:col>
      <xdr:colOff>561975</xdr:colOff>
      <xdr:row>18</xdr:row>
      <xdr:rowOff>133350</xdr:rowOff>
    </xdr:from>
    <xdr:to>
      <xdr:col>7</xdr:col>
      <xdr:colOff>0</xdr:colOff>
      <xdr:row>21</xdr:row>
      <xdr:rowOff>0</xdr:rowOff>
    </xdr:to>
    <xdr:sp macro="" textlink="">
      <xdr:nvSpPr>
        <xdr:cNvPr id="23558" name="Arc 6"/>
        <xdr:cNvSpPr>
          <a:spLocks/>
        </xdr:cNvSpPr>
      </xdr:nvSpPr>
      <xdr:spPr bwMode="auto">
        <a:xfrm>
          <a:off x="4714875" y="3133725"/>
          <a:ext cx="504825" cy="409575"/>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close/>
            </a:path>
          </a:pathLst>
        </a:custGeom>
        <a:solidFill>
          <a:srgbClr val="C0C0C0"/>
        </a:solidFill>
        <a:ln w="17145">
          <a:solidFill>
            <a:srgbClr val="424242"/>
          </a:solidFill>
          <a:round/>
          <a:headEnd/>
          <a:tailEnd/>
        </a:ln>
      </xdr:spPr>
    </xdr:sp>
    <xdr:clientData/>
  </xdr:twoCellAnchor>
  <xdr:twoCellAnchor>
    <xdr:from>
      <xdr:col>6</xdr:col>
      <xdr:colOff>190500</xdr:colOff>
      <xdr:row>19</xdr:row>
      <xdr:rowOff>104775</xdr:rowOff>
    </xdr:from>
    <xdr:to>
      <xdr:col>6</xdr:col>
      <xdr:colOff>876300</xdr:colOff>
      <xdr:row>20</xdr:row>
      <xdr:rowOff>95250</xdr:rowOff>
    </xdr:to>
    <xdr:sp macro="" textlink="">
      <xdr:nvSpPr>
        <xdr:cNvPr id="23560" name="Text Box 8"/>
        <xdr:cNvSpPr txBox="1">
          <a:spLocks noChangeArrowheads="1"/>
        </xdr:cNvSpPr>
      </xdr:nvSpPr>
      <xdr:spPr bwMode="auto">
        <a:xfrm>
          <a:off x="4343400" y="3267075"/>
          <a:ext cx="685800" cy="180975"/>
        </a:xfrm>
        <a:prstGeom prst="rect">
          <a:avLst/>
        </a:prstGeom>
        <a:solidFill>
          <a:srgbClr val="C0C0C0"/>
        </a:solidFill>
        <a:ln w="9525">
          <a:solidFill>
            <a:srgbClr val="C0C0C0"/>
          </a:solidFill>
          <a:miter lim="800000"/>
          <a:headEnd/>
          <a:tailEnd/>
        </a:ln>
      </xdr:spPr>
      <xdr:txBody>
        <a:bodyPr vertOverflow="clip" wrap="square" lIns="27432" tIns="22860" rIns="27432" bIns="0" anchor="t" upright="1"/>
        <a:lstStyle/>
        <a:p>
          <a:pPr algn="ctr" rtl="0">
            <a:defRPr sz="1000"/>
          </a:pPr>
          <a:r>
            <a:rPr lang="fr-FR" sz="1000" b="0" i="0" u="none" strike="noStrike" baseline="0">
              <a:solidFill>
                <a:srgbClr val="000000"/>
              </a:solidFill>
              <a:latin typeface="Tahoma"/>
              <a:ea typeface="Tahoma"/>
              <a:cs typeface="Tahoma"/>
            </a:rPr>
            <a:t>hectares</a:t>
          </a:r>
        </a:p>
      </xdr:txBody>
    </xdr:sp>
    <xdr:clientData/>
  </xdr:twoCellAnchor>
  <xdr:twoCellAnchor>
    <xdr:from>
      <xdr:col>7</xdr:col>
      <xdr:colOff>257175</xdr:colOff>
      <xdr:row>19</xdr:row>
      <xdr:rowOff>114300</xdr:rowOff>
    </xdr:from>
    <xdr:to>
      <xdr:col>7</xdr:col>
      <xdr:colOff>800100</xdr:colOff>
      <xdr:row>20</xdr:row>
      <xdr:rowOff>104775</xdr:rowOff>
    </xdr:to>
    <xdr:sp macro="" textlink="">
      <xdr:nvSpPr>
        <xdr:cNvPr id="23561" name="Text Box 9"/>
        <xdr:cNvSpPr txBox="1">
          <a:spLocks noChangeArrowheads="1"/>
        </xdr:cNvSpPr>
      </xdr:nvSpPr>
      <xdr:spPr bwMode="auto">
        <a:xfrm>
          <a:off x="5476875" y="3276600"/>
          <a:ext cx="542925" cy="180975"/>
        </a:xfrm>
        <a:prstGeom prst="rect">
          <a:avLst/>
        </a:prstGeom>
        <a:solidFill>
          <a:srgbClr val="C0C0C0"/>
        </a:solidFill>
        <a:ln w="9525">
          <a:noFill/>
          <a:miter lim="800000"/>
          <a:headEnd/>
          <a:tailEnd/>
        </a:ln>
      </xdr:spPr>
      <xdr:txBody>
        <a:bodyPr vertOverflow="clip" wrap="square" lIns="27432" tIns="22860" rIns="27432" bIns="0" anchor="t" upright="1"/>
        <a:lstStyle/>
        <a:p>
          <a:pPr algn="ctr" rtl="0">
            <a:defRPr sz="1000"/>
          </a:pPr>
          <a:r>
            <a:rPr lang="fr-FR" sz="1000" b="0" i="0" u="none" strike="noStrike" baseline="0">
              <a:solidFill>
                <a:srgbClr val="000000"/>
              </a:solidFill>
              <a:latin typeface="Tahoma"/>
              <a:ea typeface="Tahoma"/>
              <a:cs typeface="Tahoma"/>
            </a:rPr>
            <a:t>% assol.</a:t>
          </a:r>
        </a:p>
      </xdr:txBody>
    </xdr:sp>
    <xdr:clientData/>
  </xdr:twoCellAnchor>
  <xdr:twoCellAnchor>
    <xdr:from>
      <xdr:col>0</xdr:col>
      <xdr:colOff>1</xdr:colOff>
      <xdr:row>0</xdr:row>
      <xdr:rowOff>0</xdr:rowOff>
    </xdr:from>
    <xdr:to>
      <xdr:col>8</xdr:col>
      <xdr:colOff>47626</xdr:colOff>
      <xdr:row>52</xdr:row>
      <xdr:rowOff>66675</xdr:rowOff>
    </xdr:to>
    <xdr:sp macro="" textlink="">
      <xdr:nvSpPr>
        <xdr:cNvPr id="12" name="AutoShape 3"/>
        <xdr:cNvSpPr>
          <a:spLocks noChangeArrowheads="1"/>
        </xdr:cNvSpPr>
      </xdr:nvSpPr>
      <xdr:spPr bwMode="auto">
        <a:xfrm>
          <a:off x="1" y="0"/>
          <a:ext cx="5676900" cy="9286875"/>
        </a:xfrm>
        <a:prstGeom prst="roundRect">
          <a:avLst>
            <a:gd name="adj" fmla="val 2514"/>
          </a:avLst>
        </a:prstGeom>
        <a:noFill/>
        <a:ln w="9525">
          <a:solidFill>
            <a:srgbClr val="424242"/>
          </a:solidFill>
          <a:round/>
          <a:headEnd/>
          <a:tailEnd/>
        </a:ln>
        <a:effectLst/>
      </xdr:spPr>
    </xdr: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400050</xdr:colOff>
      <xdr:row>0</xdr:row>
      <xdr:rowOff>114300</xdr:rowOff>
    </xdr:from>
    <xdr:to>
      <xdr:col>7</xdr:col>
      <xdr:colOff>733425</xdr:colOff>
      <xdr:row>6</xdr:row>
      <xdr:rowOff>47625</xdr:rowOff>
    </xdr:to>
    <xdr:sp macro="" textlink="">
      <xdr:nvSpPr>
        <xdr:cNvPr id="24578" name="AutoShape 2"/>
        <xdr:cNvSpPr>
          <a:spLocks noChangeArrowheads="1"/>
        </xdr:cNvSpPr>
      </xdr:nvSpPr>
      <xdr:spPr bwMode="auto">
        <a:xfrm>
          <a:off x="504825" y="114300"/>
          <a:ext cx="4562475" cy="73342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NOTE   D'ACTUALITE</a:t>
          </a:r>
        </a:p>
      </xdr:txBody>
    </xdr:sp>
    <xdr:clientData/>
  </xdr:twoCellAnchor>
  <xdr:twoCellAnchor>
    <xdr:from>
      <xdr:col>0</xdr:col>
      <xdr:colOff>47625</xdr:colOff>
      <xdr:row>0</xdr:row>
      <xdr:rowOff>28575</xdr:rowOff>
    </xdr:from>
    <xdr:to>
      <xdr:col>8</xdr:col>
      <xdr:colOff>857250</xdr:colOff>
      <xdr:row>58</xdr:row>
      <xdr:rowOff>142875</xdr:rowOff>
    </xdr:to>
    <xdr:sp macro="" textlink="">
      <xdr:nvSpPr>
        <xdr:cNvPr id="24585" name="AutoShape 9"/>
        <xdr:cNvSpPr>
          <a:spLocks noChangeArrowheads="1"/>
        </xdr:cNvSpPr>
      </xdr:nvSpPr>
      <xdr:spPr bwMode="auto">
        <a:xfrm>
          <a:off x="47625" y="28575"/>
          <a:ext cx="5905500" cy="9201150"/>
        </a:xfrm>
        <a:prstGeom prst="roundRect">
          <a:avLst>
            <a:gd name="adj" fmla="val 2514"/>
          </a:avLst>
        </a:prstGeom>
        <a:noFill/>
        <a:ln w="9525">
          <a:solidFill>
            <a:srgbClr val="424242"/>
          </a:solidFill>
          <a:round/>
          <a:headEnd/>
          <a:tailEnd/>
        </a:ln>
        <a:effectLst/>
      </xdr:spPr>
    </xdr:sp>
    <xdr:clientData/>
  </xdr:twoCellAnchor>
  <xdr:twoCellAnchor>
    <xdr:from>
      <xdr:col>1</xdr:col>
      <xdr:colOff>19051</xdr:colOff>
      <xdr:row>10</xdr:row>
      <xdr:rowOff>323850</xdr:rowOff>
    </xdr:from>
    <xdr:to>
      <xdr:col>8</xdr:col>
      <xdr:colOff>819151</xdr:colOff>
      <xdr:row>52</xdr:row>
      <xdr:rowOff>123825</xdr:rowOff>
    </xdr:to>
    <xdr:sp macro="" textlink="">
      <xdr:nvSpPr>
        <xdr:cNvPr id="4" name="ZoneTexte 3"/>
        <xdr:cNvSpPr txBox="1"/>
      </xdr:nvSpPr>
      <xdr:spPr>
        <a:xfrm>
          <a:off x="123826" y="1552575"/>
          <a:ext cx="5791200" cy="6686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200" b="1">
              <a:solidFill>
                <a:schemeClr val="dk1"/>
              </a:solidFill>
              <a:latin typeface="+mn-lt"/>
              <a:ea typeface="+mn-ea"/>
              <a:cs typeface="+mn-cs"/>
            </a:rPr>
            <a:t>Bilan conjoncturel</a:t>
          </a:r>
        </a:p>
        <a:p>
          <a:pPr algn="ctr"/>
          <a:endParaRPr lang="fr-FR" sz="1200">
            <a:solidFill>
              <a:schemeClr val="dk1"/>
            </a:solidFill>
            <a:latin typeface="+mn-lt"/>
            <a:ea typeface="+mn-ea"/>
            <a:cs typeface="+mn-cs"/>
          </a:endParaRPr>
        </a:p>
        <a:p>
          <a:pPr algn="ctr"/>
          <a:r>
            <a:rPr lang="fr-FR" sz="1200" b="1">
              <a:solidFill>
                <a:schemeClr val="dk1"/>
              </a:solidFill>
              <a:latin typeface="+mn-lt"/>
              <a:ea typeface="+mn-ea"/>
              <a:cs typeface="+mn-cs"/>
            </a:rPr>
            <a:t>Campagne 2013/2014</a:t>
          </a:r>
          <a:endParaRPr lang="fr-FR" sz="1200">
            <a:solidFill>
              <a:schemeClr val="dk1"/>
            </a:solidFill>
            <a:latin typeface="+mn-lt"/>
            <a:ea typeface="+mn-ea"/>
            <a:cs typeface="+mn-cs"/>
          </a:endParaRPr>
        </a:p>
        <a:p>
          <a:r>
            <a:rPr lang="fr-FR" sz="1100">
              <a:solidFill>
                <a:schemeClr val="dk1"/>
              </a:solidFill>
              <a:latin typeface="+mn-lt"/>
              <a:ea typeface="+mn-ea"/>
              <a:cs typeface="+mn-cs"/>
            </a:rPr>
            <a:t> </a:t>
          </a:r>
        </a:p>
        <a:p>
          <a:r>
            <a:rPr lang="fr-FR" sz="1100">
              <a:solidFill>
                <a:schemeClr val="dk1"/>
              </a:solidFill>
              <a:latin typeface="+mn-lt"/>
              <a:ea typeface="+mn-ea"/>
              <a:cs typeface="+mn-cs"/>
            </a:rPr>
            <a:t> </a:t>
          </a:r>
        </a:p>
        <a:p>
          <a:r>
            <a:rPr lang="fr-FR" sz="1100">
              <a:solidFill>
                <a:schemeClr val="dk1"/>
              </a:solidFill>
              <a:latin typeface="+mn-lt"/>
              <a:ea typeface="+mn-ea"/>
              <a:cs typeface="+mn-cs"/>
            </a:rPr>
            <a:t>En 2013, les productions végétales et animales françaises sont commercialisées à des prix élevés, nettement supérieurs aux prix moyens 2008-2012. Comme ceux des oléagineux, les prix des céréales restent élevés, bien qu’ils soient retombés des hauts niveaux de 2012 : ils ont notamment plongé au début de la nouvelle campagne avec la perspective d’une production mondiale de maïs particulièrement abondante, pour se stabiliser ensuite à l’automne. </a:t>
          </a:r>
        </a:p>
        <a:p>
          <a:r>
            <a:rPr lang="fr-FR" sz="1100">
              <a:solidFill>
                <a:schemeClr val="dk1"/>
              </a:solidFill>
              <a:latin typeface="+mn-lt"/>
              <a:ea typeface="+mn-ea"/>
              <a:cs typeface="+mn-cs"/>
            </a:rPr>
            <a:t> </a:t>
          </a:r>
        </a:p>
        <a:p>
          <a:r>
            <a:rPr lang="fr-FR" sz="1100">
              <a:solidFill>
                <a:schemeClr val="dk1"/>
              </a:solidFill>
              <a:latin typeface="+mn-lt"/>
              <a:ea typeface="+mn-ea"/>
              <a:cs typeface="+mn-cs"/>
            </a:rPr>
            <a:t>La campagne de semis 2013 a été marquée par un hiver et un printemps particulièrement pluvieux, entraînant des difficultés d’implantation et de développement des cultures. Les rendements sont très irréguliers, et la majorité des parcelles est moissonnée avec dix à quinze jours de retard par rapport à une année habituelle.</a:t>
          </a:r>
        </a:p>
        <a:p>
          <a:r>
            <a:rPr lang="fr-FR" sz="1100">
              <a:solidFill>
                <a:schemeClr val="dk1"/>
              </a:solidFill>
              <a:latin typeface="+mn-lt"/>
              <a:ea typeface="+mn-ea"/>
              <a:cs typeface="+mn-cs"/>
            </a:rPr>
            <a:t> Les rendements du blé tendre seraient supérieurs à la moyenne quinquennale mais ceux des autres cultures d’été (Maïs, tournesol, pomme de terre, betterave) seraient inférieurs. Pour les oléagineux, la situation est contrastée avec un net recul de la production de colza et une récolte abondante de tournesol.</a:t>
          </a:r>
        </a:p>
        <a:p>
          <a:r>
            <a:rPr lang="fr-FR" sz="1100">
              <a:solidFill>
                <a:schemeClr val="dk1"/>
              </a:solidFill>
              <a:latin typeface="+mn-lt"/>
              <a:ea typeface="+mn-ea"/>
              <a:cs typeface="+mn-cs"/>
            </a:rPr>
            <a:t> </a:t>
          </a:r>
        </a:p>
        <a:p>
          <a:r>
            <a:rPr lang="fr-FR" sz="1100">
              <a:solidFill>
                <a:schemeClr val="dk1"/>
              </a:solidFill>
              <a:latin typeface="+mn-lt"/>
              <a:ea typeface="+mn-ea"/>
              <a:cs typeface="+mn-cs"/>
            </a:rPr>
            <a:t>Les surfaces françaises de betterave sont en très légère progression en 2013 (+ 1,4 %). La production de betterave atteindrait 33 millions de tonnes (Mt), en baisse de 1,4 % par rapport à 2012, et de 1,8 % par rapport à la moyenne 2008-2012. Les rendements (84,1 t/ha, estimation au 1er octobre 2013) sont en baisse de 2,8 % par rapport à 2012, et même de 6 % par rapport à la moyenne quinquennale. En effet, la betterave industrielle a souffert du temps froid et humide lors de son implantation.</a:t>
          </a:r>
        </a:p>
        <a:p>
          <a:r>
            <a:rPr lang="fr-FR" sz="1100">
              <a:solidFill>
                <a:schemeClr val="dk1"/>
              </a:solidFill>
              <a:latin typeface="+mn-lt"/>
              <a:ea typeface="+mn-ea"/>
              <a:cs typeface="+mn-cs"/>
            </a:rPr>
            <a:t> </a:t>
          </a:r>
        </a:p>
        <a:p>
          <a:r>
            <a:rPr lang="fr-FR" sz="1100">
              <a:solidFill>
                <a:schemeClr val="dk1"/>
              </a:solidFill>
              <a:latin typeface="+mn-lt"/>
              <a:ea typeface="+mn-ea"/>
              <a:cs typeface="+mn-cs"/>
            </a:rPr>
            <a:t>Le prix d’achat des engrais azotés s’est élevé de 1,4 % et celui des engrais potassiques de 2 % tandis que celui des engrais phosphatés a reculé de 1,6 % par rapport à la campagne 2011/2012. Les prix d’achat des engrais qui s’étaient stabilisés à mi-chemin entre le sommet atteint fin 2008 et le creux qui a suivi fin 2009 ont nettement baissé entre avril et juillet.</a:t>
          </a:r>
        </a:p>
        <a:p>
          <a:r>
            <a:rPr lang="fr-FR" sz="1100">
              <a:solidFill>
                <a:schemeClr val="dk1"/>
              </a:solidFill>
              <a:latin typeface="+mn-lt"/>
              <a:ea typeface="+mn-ea"/>
              <a:cs typeface="+mn-cs"/>
            </a:rPr>
            <a:t> </a:t>
          </a:r>
        </a:p>
        <a:p>
          <a:r>
            <a:rPr lang="fr-FR" sz="1100">
              <a:solidFill>
                <a:schemeClr val="dk1"/>
              </a:solidFill>
              <a:latin typeface="+mn-lt"/>
              <a:ea typeface="+mn-ea"/>
              <a:cs typeface="+mn-cs"/>
            </a:rPr>
            <a:t>Après une baisse fin 2012, le prix de l’énergie a augmenté début 2013. Il a diminué significativement au 2e trimestre 2013 et a rebondi légèrement de juillet à août mais il est demeuré inférieur à 2012, dans le sillage des cours du pétrole et du dollar.</a:t>
          </a:r>
        </a:p>
        <a:p>
          <a:endParaRPr lang="fr-FR" sz="1100"/>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1</xdr:col>
      <xdr:colOff>323850</xdr:colOff>
      <xdr:row>2</xdr:row>
      <xdr:rowOff>95250</xdr:rowOff>
    </xdr:from>
    <xdr:to>
      <xdr:col>7</xdr:col>
      <xdr:colOff>771525</xdr:colOff>
      <xdr:row>8</xdr:row>
      <xdr:rowOff>114300</xdr:rowOff>
    </xdr:to>
    <xdr:sp macro="" textlink="">
      <xdr:nvSpPr>
        <xdr:cNvPr id="25602" name="AutoShape 2"/>
        <xdr:cNvSpPr>
          <a:spLocks noChangeArrowheads="1"/>
        </xdr:cNvSpPr>
      </xdr:nvSpPr>
      <xdr:spPr bwMode="auto">
        <a:xfrm>
          <a:off x="419100" y="419100"/>
          <a:ext cx="5048250" cy="990600"/>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VOTRE EXPLOITATION ET LA MOYENNE DE VOTRE FAMILLE</a:t>
          </a:r>
        </a:p>
      </xdr:txBody>
    </xdr:sp>
    <xdr:clientData/>
  </xdr:twoCellAnchor>
  <xdr:twoCellAnchor>
    <xdr:from>
      <xdr:col>6</xdr:col>
      <xdr:colOff>28575</xdr:colOff>
      <xdr:row>16</xdr:row>
      <xdr:rowOff>219075</xdr:rowOff>
    </xdr:from>
    <xdr:to>
      <xdr:col>6</xdr:col>
      <xdr:colOff>876300</xdr:colOff>
      <xdr:row>16</xdr:row>
      <xdr:rowOff>552450</xdr:rowOff>
    </xdr:to>
    <xdr:sp macro="" textlink="">
      <xdr:nvSpPr>
        <xdr:cNvPr id="25613" name="Text Box 13"/>
        <xdr:cNvSpPr txBox="1">
          <a:spLocks noChangeArrowheads="1"/>
        </xdr:cNvSpPr>
      </xdr:nvSpPr>
      <xdr:spPr bwMode="auto">
        <a:xfrm>
          <a:off x="3743325" y="3057525"/>
          <a:ext cx="847725" cy="333375"/>
        </a:xfrm>
        <a:prstGeom prst="rect">
          <a:avLst/>
        </a:prstGeom>
        <a:solidFill>
          <a:srgbClr val="FFFF99"/>
        </a:solidFill>
        <a:ln w="9525">
          <a:noFill/>
          <a:miter lim="800000"/>
          <a:headEnd/>
          <a:tailEnd/>
        </a:ln>
      </xdr:spPr>
      <xdr:txBody>
        <a:bodyPr vertOverflow="clip" wrap="square" lIns="27432" tIns="22860" rIns="27432" bIns="0" anchor="t" upright="1"/>
        <a:lstStyle/>
        <a:p>
          <a:pPr algn="ctr" rtl="0">
            <a:defRPr sz="1000"/>
          </a:pPr>
          <a:r>
            <a:rPr lang="fr-FR" sz="1000" b="0" i="0" u="none" strike="noStrike" baseline="0">
              <a:solidFill>
                <a:srgbClr val="000000"/>
              </a:solidFill>
              <a:latin typeface="Arial"/>
              <a:cs typeface="Arial"/>
            </a:rPr>
            <a:t>Votre</a:t>
          </a:r>
        </a:p>
        <a:p>
          <a:pPr algn="ctr" rtl="0">
            <a:defRPr sz="1000"/>
          </a:pPr>
          <a:r>
            <a:rPr lang="fr-FR" sz="1000" b="0" i="0" u="none" strike="noStrike" baseline="0">
              <a:solidFill>
                <a:srgbClr val="000000"/>
              </a:solidFill>
              <a:latin typeface="Arial"/>
              <a:cs typeface="Arial"/>
            </a:rPr>
            <a:t> exploitation</a:t>
          </a:r>
        </a:p>
      </xdr:txBody>
    </xdr:sp>
    <xdr:clientData/>
  </xdr:twoCellAnchor>
  <xdr:twoCellAnchor>
    <xdr:from>
      <xdr:col>6</xdr:col>
      <xdr:colOff>419100</xdr:colOff>
      <xdr:row>15</xdr:row>
      <xdr:rowOff>161925</xdr:rowOff>
    </xdr:from>
    <xdr:to>
      <xdr:col>7</xdr:col>
      <xdr:colOff>962025</xdr:colOff>
      <xdr:row>16</xdr:row>
      <xdr:rowOff>619125</xdr:rowOff>
    </xdr:to>
    <xdr:sp macro="" textlink="">
      <xdr:nvSpPr>
        <xdr:cNvPr id="25628" name="Arc 28"/>
        <xdr:cNvSpPr>
          <a:spLocks/>
        </xdr:cNvSpPr>
      </xdr:nvSpPr>
      <xdr:spPr bwMode="auto">
        <a:xfrm>
          <a:off x="4133850" y="2838450"/>
          <a:ext cx="1524000" cy="619125"/>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close/>
            </a:path>
          </a:pathLst>
        </a:custGeom>
        <a:solidFill>
          <a:srgbClr val="C0C0C0"/>
        </a:solidFill>
        <a:ln w="17145">
          <a:solidFill>
            <a:srgbClr val="000000"/>
          </a:solidFill>
          <a:round/>
          <a:headEnd/>
          <a:tailEnd/>
        </a:ln>
      </xdr:spPr>
    </xdr:sp>
    <xdr:clientData/>
  </xdr:twoCellAnchor>
  <xdr:twoCellAnchor>
    <xdr:from>
      <xdr:col>5</xdr:col>
      <xdr:colOff>9525</xdr:colOff>
      <xdr:row>15</xdr:row>
      <xdr:rowOff>161925</xdr:rowOff>
    </xdr:from>
    <xdr:to>
      <xdr:col>6</xdr:col>
      <xdr:colOff>438150</xdr:colOff>
      <xdr:row>16</xdr:row>
      <xdr:rowOff>619125</xdr:rowOff>
    </xdr:to>
    <xdr:sp macro="" textlink="">
      <xdr:nvSpPr>
        <xdr:cNvPr id="25629" name="Arc 29"/>
        <xdr:cNvSpPr>
          <a:spLocks/>
        </xdr:cNvSpPr>
      </xdr:nvSpPr>
      <xdr:spPr bwMode="auto">
        <a:xfrm flipH="1">
          <a:off x="2743200" y="2838450"/>
          <a:ext cx="1409700" cy="619125"/>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close/>
            </a:path>
          </a:pathLst>
        </a:custGeom>
        <a:solidFill>
          <a:srgbClr val="C0C0C0"/>
        </a:solidFill>
        <a:ln w="17145">
          <a:solidFill>
            <a:srgbClr val="000000"/>
          </a:solidFill>
          <a:round/>
          <a:headEnd/>
          <a:tailEnd/>
        </a:ln>
      </xdr:spPr>
    </xdr:sp>
    <xdr:clientData/>
  </xdr:twoCellAnchor>
  <xdr:twoCellAnchor>
    <xdr:from>
      <xdr:col>7</xdr:col>
      <xdr:colOff>0</xdr:colOff>
      <xdr:row>16</xdr:row>
      <xdr:rowOff>180975</xdr:rowOff>
    </xdr:from>
    <xdr:to>
      <xdr:col>7</xdr:col>
      <xdr:colOff>0</xdr:colOff>
      <xdr:row>16</xdr:row>
      <xdr:rowOff>619125</xdr:rowOff>
    </xdr:to>
    <xdr:sp macro="" textlink="">
      <xdr:nvSpPr>
        <xdr:cNvPr id="25631" name="Line 31"/>
        <xdr:cNvSpPr>
          <a:spLocks noChangeShapeType="1"/>
        </xdr:cNvSpPr>
      </xdr:nvSpPr>
      <xdr:spPr bwMode="auto">
        <a:xfrm>
          <a:off x="4695825" y="3019425"/>
          <a:ext cx="0" cy="438150"/>
        </a:xfrm>
        <a:prstGeom prst="line">
          <a:avLst/>
        </a:prstGeom>
        <a:noFill/>
        <a:ln w="9525">
          <a:solidFill>
            <a:srgbClr val="000000"/>
          </a:solidFill>
          <a:round/>
          <a:headEnd/>
          <a:tailEnd/>
        </a:ln>
      </xdr:spPr>
    </xdr:sp>
    <xdr:clientData/>
  </xdr:twoCellAnchor>
  <xdr:twoCellAnchor>
    <xdr:from>
      <xdr:col>5</xdr:col>
      <xdr:colOff>476250</xdr:colOff>
      <xdr:row>16</xdr:row>
      <xdr:rowOff>276225</xdr:rowOff>
    </xdr:from>
    <xdr:to>
      <xdr:col>6</xdr:col>
      <xdr:colOff>828675</xdr:colOff>
      <xdr:row>16</xdr:row>
      <xdr:rowOff>476250</xdr:rowOff>
    </xdr:to>
    <xdr:sp macro="" textlink="">
      <xdr:nvSpPr>
        <xdr:cNvPr id="25633" name="Text Box 33"/>
        <xdr:cNvSpPr txBox="1">
          <a:spLocks noChangeArrowheads="1"/>
        </xdr:cNvSpPr>
      </xdr:nvSpPr>
      <xdr:spPr bwMode="auto">
        <a:xfrm>
          <a:off x="3209925" y="3114675"/>
          <a:ext cx="1333500" cy="200025"/>
        </a:xfrm>
        <a:prstGeom prst="rect">
          <a:avLst/>
        </a:prstGeom>
        <a:solidFill>
          <a:srgbClr val="C0C0C0"/>
        </a:solidFill>
        <a:ln w="9525">
          <a:solidFill>
            <a:srgbClr val="C0C0C0"/>
          </a:solidFill>
          <a:miter lim="800000"/>
          <a:headEnd/>
          <a:tailEnd/>
        </a:ln>
      </xdr:spPr>
      <xdr:txBody>
        <a:bodyPr vertOverflow="clip" wrap="square" lIns="27432" tIns="18288" rIns="27432" bIns="0" anchor="t" upright="1"/>
        <a:lstStyle/>
        <a:p>
          <a:pPr algn="ctr" rtl="0">
            <a:defRPr sz="1000"/>
          </a:pPr>
          <a:r>
            <a:rPr lang="fr-FR" sz="900" b="0" i="0" u="none" strike="noStrike" baseline="0">
              <a:solidFill>
                <a:srgbClr val="000000"/>
              </a:solidFill>
              <a:latin typeface="Tahoma"/>
              <a:ea typeface="Tahoma"/>
              <a:cs typeface="Tahoma"/>
            </a:rPr>
            <a:t>Votre exploitation</a:t>
          </a:r>
        </a:p>
      </xdr:txBody>
    </xdr:sp>
    <xdr:clientData/>
  </xdr:twoCellAnchor>
  <xdr:twoCellAnchor>
    <xdr:from>
      <xdr:col>7</xdr:col>
      <xdr:colOff>57150</xdr:colOff>
      <xdr:row>16</xdr:row>
      <xdr:rowOff>285750</xdr:rowOff>
    </xdr:from>
    <xdr:to>
      <xdr:col>7</xdr:col>
      <xdr:colOff>704850</xdr:colOff>
      <xdr:row>16</xdr:row>
      <xdr:rowOff>466725</xdr:rowOff>
    </xdr:to>
    <xdr:sp macro="" textlink="">
      <xdr:nvSpPr>
        <xdr:cNvPr id="25635" name="Text Box 35"/>
        <xdr:cNvSpPr txBox="1">
          <a:spLocks noChangeArrowheads="1"/>
        </xdr:cNvSpPr>
      </xdr:nvSpPr>
      <xdr:spPr bwMode="auto">
        <a:xfrm>
          <a:off x="4752975" y="3124200"/>
          <a:ext cx="647700" cy="180975"/>
        </a:xfrm>
        <a:prstGeom prst="rect">
          <a:avLst/>
        </a:prstGeom>
        <a:solidFill>
          <a:srgbClr val="C0C0C0"/>
        </a:solidFill>
        <a:ln w="9525">
          <a:solidFill>
            <a:srgbClr val="C0C0C0"/>
          </a:solidFill>
          <a:miter lim="800000"/>
          <a:headEnd/>
          <a:tailEnd/>
        </a:ln>
      </xdr:spPr>
      <xdr:txBody>
        <a:bodyPr vertOverflow="clip" wrap="square" lIns="27432" tIns="18288" rIns="0" bIns="0" anchor="t" upright="1"/>
        <a:lstStyle/>
        <a:p>
          <a:pPr algn="l" rtl="0">
            <a:defRPr sz="1000"/>
          </a:pPr>
          <a:r>
            <a:rPr lang="fr-FR" sz="900" b="0" i="0" u="none" strike="noStrike" baseline="0">
              <a:solidFill>
                <a:srgbClr val="000000"/>
              </a:solidFill>
              <a:latin typeface="Tahoma"/>
              <a:ea typeface="Tahoma"/>
              <a:cs typeface="Tahoma"/>
            </a:rPr>
            <a:t>Statistique</a:t>
          </a:r>
          <a:r>
            <a:rPr lang="fr-FR" sz="1000" b="0" i="0" u="none" strike="noStrike" baseline="0">
              <a:solidFill>
                <a:srgbClr val="000000"/>
              </a:solidFill>
              <a:latin typeface="Arial"/>
              <a:cs typeface="Arial"/>
            </a:rPr>
            <a:t>s</a:t>
          </a:r>
        </a:p>
      </xdr:txBody>
    </xdr:sp>
    <xdr:clientData/>
  </xdr:twoCellAnchor>
  <xdr:twoCellAnchor>
    <xdr:from>
      <xdr:col>0</xdr:col>
      <xdr:colOff>38100</xdr:colOff>
      <xdr:row>0</xdr:row>
      <xdr:rowOff>85725</xdr:rowOff>
    </xdr:from>
    <xdr:to>
      <xdr:col>8</xdr:col>
      <xdr:colOff>123825</xdr:colOff>
      <xdr:row>51</xdr:row>
      <xdr:rowOff>133350</xdr:rowOff>
    </xdr:to>
    <xdr:sp macro="" textlink="">
      <xdr:nvSpPr>
        <xdr:cNvPr id="25637" name="AutoShape 37"/>
        <xdr:cNvSpPr>
          <a:spLocks noChangeArrowheads="1"/>
        </xdr:cNvSpPr>
      </xdr:nvSpPr>
      <xdr:spPr bwMode="auto">
        <a:xfrm>
          <a:off x="38100" y="85725"/>
          <a:ext cx="5829300" cy="9372600"/>
        </a:xfrm>
        <a:prstGeom prst="roundRect">
          <a:avLst>
            <a:gd name="adj" fmla="val 2514"/>
          </a:avLst>
        </a:prstGeom>
        <a:noFill/>
        <a:ln w="9525">
          <a:solidFill>
            <a:srgbClr val="424242"/>
          </a:solidFill>
          <a:round/>
          <a:headEnd/>
          <a:tailEnd/>
        </a:ln>
        <a:effectLst/>
      </xdr:spPr>
    </xdr:sp>
    <xdr:clientData/>
  </xdr:twoCellAnchor>
</xdr:wsDr>
</file>

<file path=xl/drawings/drawing26.xml><?xml version="1.0" encoding="utf-8"?>
<xdr:wsDr xmlns:xdr="http://schemas.openxmlformats.org/drawingml/2006/spreadsheetDrawing" xmlns:a="http://schemas.openxmlformats.org/drawingml/2006/main">
  <xdr:twoCellAnchor>
    <xdr:from>
      <xdr:col>11</xdr:col>
      <xdr:colOff>209550</xdr:colOff>
      <xdr:row>1</xdr:row>
      <xdr:rowOff>19050</xdr:rowOff>
    </xdr:from>
    <xdr:to>
      <xdr:col>17</xdr:col>
      <xdr:colOff>466725</xdr:colOff>
      <xdr:row>3</xdr:row>
      <xdr:rowOff>228600</xdr:rowOff>
    </xdr:to>
    <xdr:sp macro="" textlink="">
      <xdr:nvSpPr>
        <xdr:cNvPr id="3077" name="Texte 5"/>
        <xdr:cNvSpPr txBox="1">
          <a:spLocks noChangeArrowheads="1"/>
        </xdr:cNvSpPr>
      </xdr:nvSpPr>
      <xdr:spPr bwMode="auto">
        <a:xfrm>
          <a:off x="6896100" y="180975"/>
          <a:ext cx="4829175" cy="962025"/>
        </a:xfrm>
        <a:prstGeom prst="rect">
          <a:avLst/>
        </a:prstGeom>
        <a:solidFill>
          <a:srgbClr val="FFFFFF"/>
        </a:solidFill>
        <a:ln w="3175">
          <a:solidFill>
            <a:srgbClr val="FFFFFF"/>
          </a:solidFill>
          <a:prstDash val="sysDot"/>
          <a:miter lim="800000"/>
          <a:headEnd/>
          <a:tailEnd/>
        </a:ln>
        <a:effectLst>
          <a:outerShdw dist="35921" dir="2700000" algn="ctr" rotWithShape="0">
            <a:srgbClr val="000000"/>
          </a:outerShdw>
        </a:effectLst>
      </xdr:spPr>
      <xdr:txBody>
        <a:bodyPr vertOverflow="clip" wrap="square" lIns="155448" tIns="54864" rIns="0" bIns="0" anchor="t" upright="1"/>
        <a:lstStyle/>
        <a:p>
          <a:pPr algn="l" rtl="0">
            <a:defRPr sz="1000"/>
          </a:pPr>
          <a:r>
            <a:rPr lang="fr-FR" sz="3600" b="0" i="0" u="none" strike="noStrike" baseline="0">
              <a:solidFill>
                <a:srgbClr val="000000"/>
              </a:solidFill>
              <a:latin typeface="Wingdings"/>
            </a:rPr>
            <a:t> </a:t>
          </a:r>
          <a:r>
            <a:rPr lang="fr-FR" sz="3600" b="0" i="0" u="none" strike="noStrike" baseline="0">
              <a:solidFill>
                <a:srgbClr val="008080"/>
              </a:solidFill>
              <a:latin typeface="Wingdings"/>
            </a:rPr>
            <a:t>C</a:t>
          </a:r>
          <a:r>
            <a:rPr lang="fr-FR" sz="3600" b="0" i="0" u="none" strike="noStrike" baseline="0">
              <a:solidFill>
                <a:srgbClr val="000000"/>
              </a:solidFill>
              <a:latin typeface="Wingdings"/>
            </a:rPr>
            <a:t> </a:t>
          </a:r>
          <a:r>
            <a:rPr lang="fr-FR" sz="3600" b="0" i="0" u="none" strike="noStrike" baseline="0">
              <a:solidFill>
                <a:srgbClr val="008080"/>
              </a:solidFill>
              <a:latin typeface="Wingdings"/>
            </a:rPr>
            <a:t>J</a:t>
          </a:r>
          <a:r>
            <a:rPr lang="fr-FR" sz="3600" b="0" i="0" u="none" strike="noStrike" baseline="0">
              <a:solidFill>
                <a:srgbClr val="000000"/>
              </a:solidFill>
              <a:latin typeface="Wingdings"/>
            </a:rPr>
            <a:t> </a:t>
          </a:r>
          <a:r>
            <a:rPr lang="fr-FR" sz="3600" b="0" i="0" u="none" strike="noStrike" baseline="0">
              <a:solidFill>
                <a:srgbClr val="008080"/>
              </a:solidFill>
              <a:latin typeface="Wingdings"/>
            </a:rPr>
            <a:t>K</a:t>
          </a:r>
          <a:r>
            <a:rPr lang="fr-FR" sz="3600" b="0" i="0" u="none" strike="noStrike" baseline="0">
              <a:solidFill>
                <a:srgbClr val="000000"/>
              </a:solidFill>
              <a:latin typeface="Wingdings"/>
            </a:rPr>
            <a:t> </a:t>
          </a:r>
          <a:r>
            <a:rPr lang="fr-FR" sz="3600" b="0" i="0" u="none" strike="noStrike" baseline="0">
              <a:solidFill>
                <a:srgbClr val="008080"/>
              </a:solidFill>
              <a:latin typeface="Wingdings"/>
            </a:rPr>
            <a:t>L</a:t>
          </a:r>
          <a:r>
            <a:rPr lang="fr-FR" sz="3600" b="0" i="0" u="none" strike="noStrike" baseline="0">
              <a:solidFill>
                <a:srgbClr val="000000"/>
              </a:solidFill>
              <a:latin typeface="Wingdings"/>
            </a:rPr>
            <a:t> </a:t>
          </a:r>
          <a:r>
            <a:rPr lang="fr-FR" sz="3600" b="0" i="0" u="none" strike="noStrike" baseline="0">
              <a:solidFill>
                <a:srgbClr val="008080"/>
              </a:solidFill>
              <a:latin typeface="Wingdings"/>
            </a:rPr>
            <a:t>D</a:t>
          </a:r>
        </a:p>
      </xdr:txBody>
    </xdr:sp>
    <xdr:clientData/>
  </xdr:twoCellAnchor>
  <xdr:twoCellAnchor>
    <xdr:from>
      <xdr:col>10</xdr:col>
      <xdr:colOff>0</xdr:colOff>
      <xdr:row>15</xdr:row>
      <xdr:rowOff>0</xdr:rowOff>
    </xdr:from>
    <xdr:to>
      <xdr:col>11</xdr:col>
      <xdr:colOff>0</xdr:colOff>
      <xdr:row>16</xdr:row>
      <xdr:rowOff>0</xdr:rowOff>
    </xdr:to>
    <xdr:sp macro="" textlink="">
      <xdr:nvSpPr>
        <xdr:cNvPr id="3078" name="Rectangle 6"/>
        <xdr:cNvSpPr>
          <a:spLocks noChangeArrowheads="1"/>
        </xdr:cNvSpPr>
      </xdr:nvSpPr>
      <xdr:spPr bwMode="auto">
        <a:xfrm>
          <a:off x="5924550" y="3990975"/>
          <a:ext cx="762000" cy="685800"/>
        </a:xfrm>
        <a:prstGeom prst="rect">
          <a:avLst/>
        </a:prstGeom>
        <a:noFill/>
        <a:ln w="9525">
          <a:solidFill>
            <a:srgbClr val="000000"/>
          </a:solidFill>
          <a:miter lim="800000"/>
          <a:headEnd/>
          <a:tailEnd/>
        </a:ln>
        <a:effectLst>
          <a:outerShdw dist="35921" dir="2700000" algn="ctr" rotWithShape="0">
            <a:srgbClr val="000000"/>
          </a:outerShdw>
        </a:effectLst>
      </xdr:spPr>
    </xdr:sp>
    <xdr:clientData/>
  </xdr:twoCellAnchor>
  <xdr:twoCellAnchor>
    <xdr:from>
      <xdr:col>1</xdr:col>
      <xdr:colOff>323850</xdr:colOff>
      <xdr:row>7</xdr:row>
      <xdr:rowOff>200025</xdr:rowOff>
    </xdr:from>
    <xdr:to>
      <xdr:col>8</xdr:col>
      <xdr:colOff>152400</xdr:colOff>
      <xdr:row>11</xdr:row>
      <xdr:rowOff>200025</xdr:rowOff>
    </xdr:to>
    <xdr:sp macro="" textlink="">
      <xdr:nvSpPr>
        <xdr:cNvPr id="3080" name="AutoShape 8"/>
        <xdr:cNvSpPr>
          <a:spLocks noChangeArrowheads="1"/>
        </xdr:cNvSpPr>
      </xdr:nvSpPr>
      <xdr:spPr bwMode="auto">
        <a:xfrm>
          <a:off x="504825" y="1857375"/>
          <a:ext cx="4476750" cy="113347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BAROMETRE DE VOTRE EXPLOITATION</a:t>
          </a:r>
        </a:p>
      </xdr:txBody>
    </xdr:sp>
    <xdr:clientData/>
  </xdr:twoCellAnchor>
  <xdr:twoCellAnchor>
    <xdr:from>
      <xdr:col>0</xdr:col>
      <xdr:colOff>95250</xdr:colOff>
      <xdr:row>2</xdr:row>
      <xdr:rowOff>47625</xdr:rowOff>
    </xdr:from>
    <xdr:to>
      <xdr:col>8</xdr:col>
      <xdr:colOff>742950</xdr:colOff>
      <xdr:row>3</xdr:row>
      <xdr:rowOff>28575</xdr:rowOff>
    </xdr:to>
    <xdr:sp macro="" textlink="">
      <xdr:nvSpPr>
        <xdr:cNvPr id="3081" name="AutoShape 9"/>
        <xdr:cNvSpPr>
          <a:spLocks noChangeArrowheads="1"/>
        </xdr:cNvSpPr>
      </xdr:nvSpPr>
      <xdr:spPr bwMode="auto">
        <a:xfrm>
          <a:off x="95250" y="352425"/>
          <a:ext cx="5476875" cy="742950"/>
        </a:xfrm>
        <a:prstGeom prst="roundRect">
          <a:avLst>
            <a:gd name="adj" fmla="val 16667"/>
          </a:avLst>
        </a:prstGeom>
        <a:noFill/>
        <a:ln w="38100" cmpd="dbl">
          <a:solidFill>
            <a:srgbClr val="424242"/>
          </a:solidFill>
          <a:round/>
          <a:headEnd/>
          <a:tailEnd/>
        </a:ln>
        <a:effectLst/>
      </xdr:spPr>
    </xdr:sp>
    <xdr:clientData/>
  </xdr:twoCellAnchor>
  <xdr:twoCellAnchor>
    <xdr:from>
      <xdr:col>0</xdr:col>
      <xdr:colOff>38100</xdr:colOff>
      <xdr:row>0</xdr:row>
      <xdr:rowOff>38100</xdr:rowOff>
    </xdr:from>
    <xdr:to>
      <xdr:col>8</xdr:col>
      <xdr:colOff>809625</xdr:colOff>
      <xdr:row>29</xdr:row>
      <xdr:rowOff>85725</xdr:rowOff>
    </xdr:to>
    <xdr:sp macro="" textlink="">
      <xdr:nvSpPr>
        <xdr:cNvPr id="3092" name="AutoShape 20"/>
        <xdr:cNvSpPr>
          <a:spLocks noChangeArrowheads="1"/>
        </xdr:cNvSpPr>
      </xdr:nvSpPr>
      <xdr:spPr bwMode="auto">
        <a:xfrm>
          <a:off x="38100" y="38100"/>
          <a:ext cx="5600700" cy="9629775"/>
        </a:xfrm>
        <a:prstGeom prst="roundRect">
          <a:avLst>
            <a:gd name="adj" fmla="val 2514"/>
          </a:avLst>
        </a:prstGeom>
        <a:noFill/>
        <a:ln w="9525">
          <a:solidFill>
            <a:srgbClr val="424242"/>
          </a:solidFill>
          <a:round/>
          <a:headEnd/>
          <a:tailEnd/>
        </a:ln>
        <a:effectLst/>
      </xdr:spPr>
    </xdr:sp>
    <xdr:clientData/>
  </xdr:twoCellAnchor>
</xdr:wsDr>
</file>

<file path=xl/drawings/drawing27.xml><?xml version="1.0" encoding="utf-8"?>
<xdr:wsDr xmlns:xdr="http://schemas.openxmlformats.org/drawingml/2006/spreadsheetDrawing" xmlns:a="http://schemas.openxmlformats.org/drawingml/2006/main">
  <xdr:twoCellAnchor>
    <xdr:from>
      <xdr:col>1</xdr:col>
      <xdr:colOff>314325</xdr:colOff>
      <xdr:row>1</xdr:row>
      <xdr:rowOff>57150</xdr:rowOff>
    </xdr:from>
    <xdr:to>
      <xdr:col>4</xdr:col>
      <xdr:colOff>190500</xdr:colOff>
      <xdr:row>7</xdr:row>
      <xdr:rowOff>104775</xdr:rowOff>
    </xdr:to>
    <xdr:sp macro="" textlink="">
      <xdr:nvSpPr>
        <xdr:cNvPr id="51201" name="AutoShape 1"/>
        <xdr:cNvSpPr>
          <a:spLocks noChangeArrowheads="1"/>
        </xdr:cNvSpPr>
      </xdr:nvSpPr>
      <xdr:spPr bwMode="auto">
        <a:xfrm>
          <a:off x="628650" y="219075"/>
          <a:ext cx="4876800" cy="1047750"/>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POINTS FORTS</a:t>
          </a:r>
        </a:p>
        <a:p>
          <a:pPr algn="ctr" rtl="0">
            <a:defRPr sz="1000"/>
          </a:pPr>
          <a:r>
            <a:rPr lang="fr-FR" sz="2400" b="1" i="0" u="none" strike="noStrike" baseline="0">
              <a:solidFill>
                <a:srgbClr val="008080"/>
              </a:solidFill>
              <a:latin typeface="Tahoma"/>
              <a:ea typeface="Tahoma"/>
              <a:cs typeface="Tahoma"/>
            </a:rPr>
            <a:t>POINTS FAIBLES</a:t>
          </a:r>
        </a:p>
      </xdr:txBody>
    </xdr:sp>
    <xdr:clientData/>
  </xdr:twoCellAnchor>
  <xdr:twoCellAnchor>
    <xdr:from>
      <xdr:col>0</xdr:col>
      <xdr:colOff>38100</xdr:colOff>
      <xdr:row>0</xdr:row>
      <xdr:rowOff>38100</xdr:rowOff>
    </xdr:from>
    <xdr:to>
      <xdr:col>4</xdr:col>
      <xdr:colOff>666750</xdr:colOff>
      <xdr:row>51</xdr:row>
      <xdr:rowOff>142875</xdr:rowOff>
    </xdr:to>
    <xdr:sp macro="" textlink="">
      <xdr:nvSpPr>
        <xdr:cNvPr id="51202" name="AutoShape 2"/>
        <xdr:cNvSpPr>
          <a:spLocks noChangeArrowheads="1"/>
        </xdr:cNvSpPr>
      </xdr:nvSpPr>
      <xdr:spPr bwMode="auto">
        <a:xfrm>
          <a:off x="38100" y="38100"/>
          <a:ext cx="5943600" cy="9172575"/>
        </a:xfrm>
        <a:prstGeom prst="roundRect">
          <a:avLst>
            <a:gd name="adj" fmla="val 2514"/>
          </a:avLst>
        </a:prstGeom>
        <a:noFill/>
        <a:ln w="9525">
          <a:solidFill>
            <a:srgbClr val="424242"/>
          </a:solidFill>
          <a:round/>
          <a:headEnd/>
          <a:tailEnd/>
        </a:ln>
        <a:effectLst/>
      </xdr:spPr>
    </xdr:sp>
    <xdr:clientData/>
  </xdr:twoCellAnchor>
</xdr:wsDr>
</file>

<file path=xl/drawings/drawing28.xml><?xml version="1.0" encoding="utf-8"?>
<xdr:wsDr xmlns:xdr="http://schemas.openxmlformats.org/drawingml/2006/spreadsheetDrawing" xmlns:a="http://schemas.openxmlformats.org/drawingml/2006/main">
  <xdr:twoCellAnchor>
    <xdr:from>
      <xdr:col>1</xdr:col>
      <xdr:colOff>314325</xdr:colOff>
      <xdr:row>1</xdr:row>
      <xdr:rowOff>57150</xdr:rowOff>
    </xdr:from>
    <xdr:to>
      <xdr:col>4</xdr:col>
      <xdr:colOff>190500</xdr:colOff>
      <xdr:row>7</xdr:row>
      <xdr:rowOff>104775</xdr:rowOff>
    </xdr:to>
    <xdr:sp macro="" textlink="">
      <xdr:nvSpPr>
        <xdr:cNvPr id="29697" name="AutoShape 1"/>
        <xdr:cNvSpPr>
          <a:spLocks noChangeArrowheads="1"/>
        </xdr:cNvSpPr>
      </xdr:nvSpPr>
      <xdr:spPr bwMode="auto">
        <a:xfrm>
          <a:off x="628650" y="219075"/>
          <a:ext cx="4962525" cy="1047750"/>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POINTS FORTS</a:t>
          </a:r>
        </a:p>
        <a:p>
          <a:pPr algn="ctr" rtl="0">
            <a:defRPr sz="1000"/>
          </a:pPr>
          <a:r>
            <a:rPr lang="fr-FR" sz="2400" b="1" i="0" u="none" strike="noStrike" baseline="0">
              <a:solidFill>
                <a:srgbClr val="008080"/>
              </a:solidFill>
              <a:latin typeface="Tahoma"/>
              <a:ea typeface="Tahoma"/>
              <a:cs typeface="Tahoma"/>
            </a:rPr>
            <a:t>POINTS FAIBLES</a:t>
          </a:r>
        </a:p>
      </xdr:txBody>
    </xdr:sp>
    <xdr:clientData/>
  </xdr:twoCellAnchor>
  <xdr:twoCellAnchor>
    <xdr:from>
      <xdr:col>0</xdr:col>
      <xdr:colOff>38100</xdr:colOff>
      <xdr:row>0</xdr:row>
      <xdr:rowOff>38100</xdr:rowOff>
    </xdr:from>
    <xdr:to>
      <xdr:col>4</xdr:col>
      <xdr:colOff>666750</xdr:colOff>
      <xdr:row>51</xdr:row>
      <xdr:rowOff>142875</xdr:rowOff>
    </xdr:to>
    <xdr:sp macro="" textlink="">
      <xdr:nvSpPr>
        <xdr:cNvPr id="29698" name="AutoShape 2"/>
        <xdr:cNvSpPr>
          <a:spLocks noChangeArrowheads="1"/>
        </xdr:cNvSpPr>
      </xdr:nvSpPr>
      <xdr:spPr bwMode="auto">
        <a:xfrm>
          <a:off x="38100" y="38100"/>
          <a:ext cx="6029325" cy="9420225"/>
        </a:xfrm>
        <a:prstGeom prst="roundRect">
          <a:avLst>
            <a:gd name="adj" fmla="val 2514"/>
          </a:avLst>
        </a:prstGeom>
        <a:noFill/>
        <a:ln w="9525">
          <a:solidFill>
            <a:srgbClr val="424242"/>
          </a:solidFill>
          <a:round/>
          <a:headEnd/>
          <a:tailEnd/>
        </a:ln>
        <a:effectLst/>
      </xdr:spPr>
    </xdr:sp>
    <xdr:clientData/>
  </xdr:twoCellAnchor>
</xdr:wsDr>
</file>

<file path=xl/drawings/drawing29.xml><?xml version="1.0" encoding="utf-8"?>
<xdr:wsDr xmlns:xdr="http://schemas.openxmlformats.org/drawingml/2006/spreadsheetDrawing" xmlns:a="http://schemas.openxmlformats.org/drawingml/2006/main">
  <xdr:twoCellAnchor>
    <xdr:from>
      <xdr:col>1</xdr:col>
      <xdr:colOff>657225</xdr:colOff>
      <xdr:row>1</xdr:row>
      <xdr:rowOff>85725</xdr:rowOff>
    </xdr:from>
    <xdr:to>
      <xdr:col>7</xdr:col>
      <xdr:colOff>657225</xdr:colOff>
      <xdr:row>5</xdr:row>
      <xdr:rowOff>85725</xdr:rowOff>
    </xdr:to>
    <xdr:sp macro="" textlink="">
      <xdr:nvSpPr>
        <xdr:cNvPr id="49153" name="AutoShape 1"/>
        <xdr:cNvSpPr>
          <a:spLocks noChangeArrowheads="1"/>
        </xdr:cNvSpPr>
      </xdr:nvSpPr>
      <xdr:spPr bwMode="auto">
        <a:xfrm>
          <a:off x="838200" y="247650"/>
          <a:ext cx="4572000" cy="647700"/>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COMMENTAIRES</a:t>
          </a:r>
        </a:p>
      </xdr:txBody>
    </xdr:sp>
    <xdr:clientData/>
  </xdr:twoCellAnchor>
  <xdr:twoCellAnchor>
    <xdr:from>
      <xdr:col>2</xdr:col>
      <xdr:colOff>400050</xdr:colOff>
      <xdr:row>14</xdr:row>
      <xdr:rowOff>57150</xdr:rowOff>
    </xdr:from>
    <xdr:to>
      <xdr:col>2</xdr:col>
      <xdr:colOff>628650</xdr:colOff>
      <xdr:row>14</xdr:row>
      <xdr:rowOff>133350</xdr:rowOff>
    </xdr:to>
    <xdr:sp macro="" textlink="">
      <xdr:nvSpPr>
        <xdr:cNvPr id="49154" name="AutoShape 2"/>
        <xdr:cNvSpPr>
          <a:spLocks noChangeArrowheads="1"/>
        </xdr:cNvSpPr>
      </xdr:nvSpPr>
      <xdr:spPr bwMode="auto">
        <a:xfrm>
          <a:off x="1343025" y="2419350"/>
          <a:ext cx="228600" cy="76200"/>
        </a:xfrm>
        <a:prstGeom prst="rightArrow">
          <a:avLst>
            <a:gd name="adj1" fmla="val 50000"/>
            <a:gd name="adj2" fmla="val 75000"/>
          </a:avLst>
        </a:prstGeom>
        <a:solidFill>
          <a:srgbClr val="336666"/>
        </a:solidFill>
        <a:ln w="9525">
          <a:solidFill>
            <a:srgbClr val="424242"/>
          </a:solidFill>
          <a:miter lim="800000"/>
          <a:headEnd/>
          <a:tailEnd/>
        </a:ln>
      </xdr:spPr>
    </xdr:sp>
    <xdr:clientData/>
  </xdr:twoCellAnchor>
  <xdr:twoCellAnchor>
    <xdr:from>
      <xdr:col>2</xdr:col>
      <xdr:colOff>400050</xdr:colOff>
      <xdr:row>28</xdr:row>
      <xdr:rowOff>57150</xdr:rowOff>
    </xdr:from>
    <xdr:to>
      <xdr:col>2</xdr:col>
      <xdr:colOff>628650</xdr:colOff>
      <xdr:row>28</xdr:row>
      <xdr:rowOff>133350</xdr:rowOff>
    </xdr:to>
    <xdr:sp macro="" textlink="">
      <xdr:nvSpPr>
        <xdr:cNvPr id="49155" name="AutoShape 3"/>
        <xdr:cNvSpPr>
          <a:spLocks noChangeArrowheads="1"/>
        </xdr:cNvSpPr>
      </xdr:nvSpPr>
      <xdr:spPr bwMode="auto">
        <a:xfrm>
          <a:off x="1343025" y="4905375"/>
          <a:ext cx="228600" cy="76200"/>
        </a:xfrm>
        <a:prstGeom prst="rightArrow">
          <a:avLst>
            <a:gd name="adj1" fmla="val 50000"/>
            <a:gd name="adj2" fmla="val 75000"/>
          </a:avLst>
        </a:prstGeom>
        <a:solidFill>
          <a:srgbClr val="336666"/>
        </a:solidFill>
        <a:ln w="9525">
          <a:solidFill>
            <a:srgbClr val="424242"/>
          </a:solidFill>
          <a:miter lim="800000"/>
          <a:headEnd/>
          <a:tailEnd/>
        </a:ln>
      </xdr:spPr>
    </xdr:sp>
    <xdr:clientData/>
  </xdr:twoCellAnchor>
  <xdr:twoCellAnchor>
    <xdr:from>
      <xdr:col>2</xdr:col>
      <xdr:colOff>400050</xdr:colOff>
      <xdr:row>36</xdr:row>
      <xdr:rowOff>57150</xdr:rowOff>
    </xdr:from>
    <xdr:to>
      <xdr:col>2</xdr:col>
      <xdr:colOff>628650</xdr:colOff>
      <xdr:row>36</xdr:row>
      <xdr:rowOff>133350</xdr:rowOff>
    </xdr:to>
    <xdr:sp macro="" textlink="">
      <xdr:nvSpPr>
        <xdr:cNvPr id="49156" name="AutoShape 4"/>
        <xdr:cNvSpPr>
          <a:spLocks noChangeArrowheads="1"/>
        </xdr:cNvSpPr>
      </xdr:nvSpPr>
      <xdr:spPr bwMode="auto">
        <a:xfrm>
          <a:off x="1343025" y="6286500"/>
          <a:ext cx="228600" cy="76200"/>
        </a:xfrm>
        <a:prstGeom prst="rightArrow">
          <a:avLst>
            <a:gd name="adj1" fmla="val 50000"/>
            <a:gd name="adj2" fmla="val 75000"/>
          </a:avLst>
        </a:prstGeom>
        <a:solidFill>
          <a:srgbClr val="336666"/>
        </a:solidFill>
        <a:ln w="9525">
          <a:solidFill>
            <a:srgbClr val="424242"/>
          </a:solidFill>
          <a:miter lim="800000"/>
          <a:headEnd/>
          <a:tailEnd/>
        </a:ln>
      </xdr:spPr>
    </xdr:sp>
    <xdr:clientData/>
  </xdr:twoCellAnchor>
  <xdr:twoCellAnchor>
    <xdr:from>
      <xdr:col>0</xdr:col>
      <xdr:colOff>38100</xdr:colOff>
      <xdr:row>0</xdr:row>
      <xdr:rowOff>38100</xdr:rowOff>
    </xdr:from>
    <xdr:to>
      <xdr:col>8</xdr:col>
      <xdr:colOff>619125</xdr:colOff>
      <xdr:row>52</xdr:row>
      <xdr:rowOff>152400</xdr:rowOff>
    </xdr:to>
    <xdr:sp macro="" textlink="">
      <xdr:nvSpPr>
        <xdr:cNvPr id="49157" name="AutoShape 5"/>
        <xdr:cNvSpPr>
          <a:spLocks noChangeArrowheads="1"/>
        </xdr:cNvSpPr>
      </xdr:nvSpPr>
      <xdr:spPr bwMode="auto">
        <a:xfrm>
          <a:off x="38100" y="38100"/>
          <a:ext cx="6096000" cy="9172575"/>
        </a:xfrm>
        <a:prstGeom prst="roundRect">
          <a:avLst>
            <a:gd name="adj" fmla="val 2514"/>
          </a:avLst>
        </a:prstGeom>
        <a:noFill/>
        <a:ln w="9525">
          <a:solidFill>
            <a:srgbClr val="424242"/>
          </a:solidFill>
          <a:round/>
          <a:headEnd/>
          <a:tailEnd/>
        </a:ln>
        <a:effectLst/>
      </xdr:spPr>
    </xdr:sp>
    <xdr:clientData/>
  </xdr:twoCellAnchor>
</xdr:wsDr>
</file>

<file path=xl/drawings/drawing30.xml><?xml version="1.0" encoding="utf-8"?>
<xdr:wsDr xmlns:xdr="http://schemas.openxmlformats.org/drawingml/2006/spreadsheetDrawing" xmlns:a="http://schemas.openxmlformats.org/drawingml/2006/main">
  <xdr:twoCellAnchor>
    <xdr:from>
      <xdr:col>1</xdr:col>
      <xdr:colOff>657225</xdr:colOff>
      <xdr:row>1</xdr:row>
      <xdr:rowOff>85725</xdr:rowOff>
    </xdr:from>
    <xdr:to>
      <xdr:col>7</xdr:col>
      <xdr:colOff>657225</xdr:colOff>
      <xdr:row>5</xdr:row>
      <xdr:rowOff>85725</xdr:rowOff>
    </xdr:to>
    <xdr:sp macro="" textlink="">
      <xdr:nvSpPr>
        <xdr:cNvPr id="44033" name="AutoShape 1"/>
        <xdr:cNvSpPr>
          <a:spLocks noChangeArrowheads="1"/>
        </xdr:cNvSpPr>
      </xdr:nvSpPr>
      <xdr:spPr bwMode="auto">
        <a:xfrm>
          <a:off x="838200" y="209550"/>
          <a:ext cx="4572000" cy="647700"/>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COMMENTAIRES</a:t>
          </a:r>
        </a:p>
      </xdr:txBody>
    </xdr:sp>
    <xdr:clientData/>
  </xdr:twoCellAnchor>
  <xdr:twoCellAnchor>
    <xdr:from>
      <xdr:col>2</xdr:col>
      <xdr:colOff>400050</xdr:colOff>
      <xdr:row>14</xdr:row>
      <xdr:rowOff>57150</xdr:rowOff>
    </xdr:from>
    <xdr:to>
      <xdr:col>2</xdr:col>
      <xdr:colOff>628650</xdr:colOff>
      <xdr:row>14</xdr:row>
      <xdr:rowOff>133350</xdr:rowOff>
    </xdr:to>
    <xdr:sp macro="" textlink="">
      <xdr:nvSpPr>
        <xdr:cNvPr id="44038" name="AutoShape 6"/>
        <xdr:cNvSpPr>
          <a:spLocks noChangeArrowheads="1"/>
        </xdr:cNvSpPr>
      </xdr:nvSpPr>
      <xdr:spPr bwMode="auto">
        <a:xfrm>
          <a:off x="1343025" y="2419350"/>
          <a:ext cx="228600" cy="76200"/>
        </a:xfrm>
        <a:prstGeom prst="rightArrow">
          <a:avLst>
            <a:gd name="adj1" fmla="val 50000"/>
            <a:gd name="adj2" fmla="val 75000"/>
          </a:avLst>
        </a:prstGeom>
        <a:solidFill>
          <a:srgbClr val="336666"/>
        </a:solidFill>
        <a:ln w="9525">
          <a:solidFill>
            <a:srgbClr val="424242"/>
          </a:solidFill>
          <a:miter lim="800000"/>
          <a:headEnd/>
          <a:tailEnd/>
        </a:ln>
      </xdr:spPr>
    </xdr:sp>
    <xdr:clientData/>
  </xdr:twoCellAnchor>
  <xdr:twoCellAnchor>
    <xdr:from>
      <xdr:col>2</xdr:col>
      <xdr:colOff>400050</xdr:colOff>
      <xdr:row>28</xdr:row>
      <xdr:rowOff>57150</xdr:rowOff>
    </xdr:from>
    <xdr:to>
      <xdr:col>2</xdr:col>
      <xdr:colOff>628650</xdr:colOff>
      <xdr:row>28</xdr:row>
      <xdr:rowOff>133350</xdr:rowOff>
    </xdr:to>
    <xdr:sp macro="" textlink="">
      <xdr:nvSpPr>
        <xdr:cNvPr id="44040" name="AutoShape 8"/>
        <xdr:cNvSpPr>
          <a:spLocks noChangeArrowheads="1"/>
        </xdr:cNvSpPr>
      </xdr:nvSpPr>
      <xdr:spPr bwMode="auto">
        <a:xfrm>
          <a:off x="1343025" y="5086350"/>
          <a:ext cx="228600" cy="76200"/>
        </a:xfrm>
        <a:prstGeom prst="rightArrow">
          <a:avLst>
            <a:gd name="adj1" fmla="val 50000"/>
            <a:gd name="adj2" fmla="val 75000"/>
          </a:avLst>
        </a:prstGeom>
        <a:solidFill>
          <a:srgbClr val="336666"/>
        </a:solidFill>
        <a:ln w="9525">
          <a:solidFill>
            <a:srgbClr val="424242"/>
          </a:solidFill>
          <a:miter lim="800000"/>
          <a:headEnd/>
          <a:tailEnd/>
        </a:ln>
      </xdr:spPr>
    </xdr:sp>
    <xdr:clientData/>
  </xdr:twoCellAnchor>
  <xdr:twoCellAnchor>
    <xdr:from>
      <xdr:col>2</xdr:col>
      <xdr:colOff>400050</xdr:colOff>
      <xdr:row>36</xdr:row>
      <xdr:rowOff>57150</xdr:rowOff>
    </xdr:from>
    <xdr:to>
      <xdr:col>2</xdr:col>
      <xdr:colOff>628650</xdr:colOff>
      <xdr:row>36</xdr:row>
      <xdr:rowOff>133350</xdr:rowOff>
    </xdr:to>
    <xdr:sp macro="" textlink="">
      <xdr:nvSpPr>
        <xdr:cNvPr id="44041" name="AutoShape 9"/>
        <xdr:cNvSpPr>
          <a:spLocks noChangeArrowheads="1"/>
        </xdr:cNvSpPr>
      </xdr:nvSpPr>
      <xdr:spPr bwMode="auto">
        <a:xfrm>
          <a:off x="1343025" y="6496050"/>
          <a:ext cx="228600" cy="76200"/>
        </a:xfrm>
        <a:prstGeom prst="rightArrow">
          <a:avLst>
            <a:gd name="adj1" fmla="val 50000"/>
            <a:gd name="adj2" fmla="val 75000"/>
          </a:avLst>
        </a:prstGeom>
        <a:solidFill>
          <a:srgbClr val="336666"/>
        </a:solidFill>
        <a:ln w="9525">
          <a:solidFill>
            <a:srgbClr val="424242"/>
          </a:solidFill>
          <a:miter lim="800000"/>
          <a:headEnd/>
          <a:tailEnd/>
        </a:ln>
      </xdr:spPr>
    </xdr:sp>
    <xdr:clientData/>
  </xdr:twoCellAnchor>
  <xdr:twoCellAnchor>
    <xdr:from>
      <xdr:col>0</xdr:col>
      <xdr:colOff>38100</xdr:colOff>
      <xdr:row>0</xdr:row>
      <xdr:rowOff>38100</xdr:rowOff>
    </xdr:from>
    <xdr:to>
      <xdr:col>8</xdr:col>
      <xdr:colOff>619125</xdr:colOff>
      <xdr:row>51</xdr:row>
      <xdr:rowOff>57150</xdr:rowOff>
    </xdr:to>
    <xdr:sp macro="" textlink="">
      <xdr:nvSpPr>
        <xdr:cNvPr id="44042" name="AutoShape 10"/>
        <xdr:cNvSpPr>
          <a:spLocks noChangeArrowheads="1"/>
        </xdr:cNvSpPr>
      </xdr:nvSpPr>
      <xdr:spPr bwMode="auto">
        <a:xfrm>
          <a:off x="38100" y="38100"/>
          <a:ext cx="6096000" cy="9163050"/>
        </a:xfrm>
        <a:prstGeom prst="roundRect">
          <a:avLst>
            <a:gd name="adj" fmla="val 2514"/>
          </a:avLst>
        </a:prstGeom>
        <a:noFill/>
        <a:ln w="9525">
          <a:solidFill>
            <a:srgbClr val="424242"/>
          </a:solidFill>
          <a:round/>
          <a:headEnd/>
          <a:tailEnd/>
        </a:ln>
        <a:effectLst/>
      </xdr:spPr>
    </xdr:sp>
    <xdr:clientData/>
  </xdr:twoCellAnchor>
</xdr:wsDr>
</file>

<file path=xl/drawings/drawing31.xml><?xml version="1.0" encoding="utf-8"?>
<xdr:wsDr xmlns:xdr="http://schemas.openxmlformats.org/drawingml/2006/spreadsheetDrawing" xmlns:a="http://schemas.openxmlformats.org/drawingml/2006/main">
  <xdr:twoCellAnchor>
    <xdr:from>
      <xdr:col>1</xdr:col>
      <xdr:colOff>314325</xdr:colOff>
      <xdr:row>1</xdr:row>
      <xdr:rowOff>47625</xdr:rowOff>
    </xdr:from>
    <xdr:to>
      <xdr:col>7</xdr:col>
      <xdr:colOff>314325</xdr:colOff>
      <xdr:row>5</xdr:row>
      <xdr:rowOff>38100</xdr:rowOff>
    </xdr:to>
    <xdr:sp macro="" textlink="">
      <xdr:nvSpPr>
        <xdr:cNvPr id="50177" name="AutoShape 1"/>
        <xdr:cNvSpPr>
          <a:spLocks noChangeArrowheads="1"/>
        </xdr:cNvSpPr>
      </xdr:nvSpPr>
      <xdr:spPr bwMode="auto">
        <a:xfrm>
          <a:off x="495300" y="209550"/>
          <a:ext cx="4886325" cy="63817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COMMENTAIRES</a:t>
          </a:r>
        </a:p>
      </xdr:txBody>
    </xdr:sp>
    <xdr:clientData/>
  </xdr:twoCellAnchor>
  <xdr:twoCellAnchor>
    <xdr:from>
      <xdr:col>3</xdr:col>
      <xdr:colOff>200025</xdr:colOff>
      <xdr:row>27</xdr:row>
      <xdr:rowOff>66675</xdr:rowOff>
    </xdr:from>
    <xdr:to>
      <xdr:col>3</xdr:col>
      <xdr:colOff>561975</xdr:colOff>
      <xdr:row>27</xdr:row>
      <xdr:rowOff>142875</xdr:rowOff>
    </xdr:to>
    <xdr:sp macro="" textlink="">
      <xdr:nvSpPr>
        <xdr:cNvPr id="50178" name="AutoShape 2"/>
        <xdr:cNvSpPr>
          <a:spLocks noChangeArrowheads="1"/>
        </xdr:cNvSpPr>
      </xdr:nvSpPr>
      <xdr:spPr bwMode="auto">
        <a:xfrm>
          <a:off x="1905000" y="4743450"/>
          <a:ext cx="361950" cy="76200"/>
        </a:xfrm>
        <a:prstGeom prst="rightArrow">
          <a:avLst>
            <a:gd name="adj1" fmla="val 50000"/>
            <a:gd name="adj2" fmla="val 118750"/>
          </a:avLst>
        </a:prstGeom>
        <a:solidFill>
          <a:srgbClr val="FFFF99"/>
        </a:solidFill>
        <a:ln w="9525">
          <a:solidFill>
            <a:srgbClr val="000000"/>
          </a:solidFill>
          <a:miter lim="800000"/>
          <a:headEnd/>
          <a:tailEnd/>
        </a:ln>
      </xdr:spPr>
    </xdr:sp>
    <xdr:clientData/>
  </xdr:twoCellAnchor>
  <xdr:twoCellAnchor>
    <xdr:from>
      <xdr:col>3</xdr:col>
      <xdr:colOff>200025</xdr:colOff>
      <xdr:row>34</xdr:row>
      <xdr:rowOff>66675</xdr:rowOff>
    </xdr:from>
    <xdr:to>
      <xdr:col>3</xdr:col>
      <xdr:colOff>561975</xdr:colOff>
      <xdr:row>34</xdr:row>
      <xdr:rowOff>142875</xdr:rowOff>
    </xdr:to>
    <xdr:sp macro="" textlink="">
      <xdr:nvSpPr>
        <xdr:cNvPr id="50179" name="AutoShape 3"/>
        <xdr:cNvSpPr>
          <a:spLocks noChangeArrowheads="1"/>
        </xdr:cNvSpPr>
      </xdr:nvSpPr>
      <xdr:spPr bwMode="auto">
        <a:xfrm>
          <a:off x="1905000" y="5972175"/>
          <a:ext cx="361950" cy="76200"/>
        </a:xfrm>
        <a:prstGeom prst="rightArrow">
          <a:avLst>
            <a:gd name="adj1" fmla="val 50000"/>
            <a:gd name="adj2" fmla="val 118750"/>
          </a:avLst>
        </a:prstGeom>
        <a:solidFill>
          <a:srgbClr val="FFFF99"/>
        </a:solidFill>
        <a:ln w="9525">
          <a:solidFill>
            <a:srgbClr val="000000"/>
          </a:solidFill>
          <a:miter lim="800000"/>
          <a:headEnd/>
          <a:tailEnd/>
        </a:ln>
      </xdr:spPr>
    </xdr:sp>
    <xdr:clientData/>
  </xdr:twoCellAnchor>
  <xdr:twoCellAnchor>
    <xdr:from>
      <xdr:col>2</xdr:col>
      <xdr:colOff>400050</xdr:colOff>
      <xdr:row>12</xdr:row>
      <xdr:rowOff>57150</xdr:rowOff>
    </xdr:from>
    <xdr:to>
      <xdr:col>2</xdr:col>
      <xdr:colOff>628650</xdr:colOff>
      <xdr:row>12</xdr:row>
      <xdr:rowOff>133350</xdr:rowOff>
    </xdr:to>
    <xdr:sp macro="" textlink="">
      <xdr:nvSpPr>
        <xdr:cNvPr id="50180" name="AutoShape 4"/>
        <xdr:cNvSpPr>
          <a:spLocks noChangeArrowheads="1"/>
        </xdr:cNvSpPr>
      </xdr:nvSpPr>
      <xdr:spPr bwMode="auto">
        <a:xfrm>
          <a:off x="1343025" y="2057400"/>
          <a:ext cx="228600" cy="76200"/>
        </a:xfrm>
        <a:prstGeom prst="rightArrow">
          <a:avLst>
            <a:gd name="adj1" fmla="val 50000"/>
            <a:gd name="adj2" fmla="val 75000"/>
          </a:avLst>
        </a:prstGeom>
        <a:solidFill>
          <a:srgbClr val="336666"/>
        </a:solidFill>
        <a:ln w="9525">
          <a:solidFill>
            <a:srgbClr val="424242"/>
          </a:solidFill>
          <a:miter lim="800000"/>
          <a:headEnd/>
          <a:tailEnd/>
        </a:ln>
      </xdr:spPr>
    </xdr:sp>
    <xdr:clientData/>
  </xdr:twoCellAnchor>
  <xdr:twoCellAnchor>
    <xdr:from>
      <xdr:col>2</xdr:col>
      <xdr:colOff>400050</xdr:colOff>
      <xdr:row>19</xdr:row>
      <xdr:rowOff>57150</xdr:rowOff>
    </xdr:from>
    <xdr:to>
      <xdr:col>2</xdr:col>
      <xdr:colOff>628650</xdr:colOff>
      <xdr:row>19</xdr:row>
      <xdr:rowOff>133350</xdr:rowOff>
    </xdr:to>
    <xdr:sp macro="" textlink="">
      <xdr:nvSpPr>
        <xdr:cNvPr id="50181" name="AutoShape 5"/>
        <xdr:cNvSpPr>
          <a:spLocks noChangeArrowheads="1"/>
        </xdr:cNvSpPr>
      </xdr:nvSpPr>
      <xdr:spPr bwMode="auto">
        <a:xfrm>
          <a:off x="1343025" y="3314700"/>
          <a:ext cx="228600" cy="76200"/>
        </a:xfrm>
        <a:prstGeom prst="rightArrow">
          <a:avLst>
            <a:gd name="adj1" fmla="val 50000"/>
            <a:gd name="adj2" fmla="val 75000"/>
          </a:avLst>
        </a:prstGeom>
        <a:solidFill>
          <a:srgbClr val="336666"/>
        </a:solidFill>
        <a:ln w="9525">
          <a:solidFill>
            <a:srgbClr val="424242"/>
          </a:solidFill>
          <a:miter lim="800000"/>
          <a:headEnd/>
          <a:tailEnd/>
        </a:ln>
      </xdr:spPr>
    </xdr:sp>
    <xdr:clientData/>
  </xdr:twoCellAnchor>
  <xdr:twoCellAnchor>
    <xdr:from>
      <xdr:col>0</xdr:col>
      <xdr:colOff>38100</xdr:colOff>
      <xdr:row>0</xdr:row>
      <xdr:rowOff>38100</xdr:rowOff>
    </xdr:from>
    <xdr:to>
      <xdr:col>7</xdr:col>
      <xdr:colOff>695325</xdr:colOff>
      <xdr:row>54</xdr:row>
      <xdr:rowOff>9525</xdr:rowOff>
    </xdr:to>
    <xdr:sp macro="" textlink="">
      <xdr:nvSpPr>
        <xdr:cNvPr id="50182" name="AutoShape 6"/>
        <xdr:cNvSpPr>
          <a:spLocks noChangeArrowheads="1"/>
        </xdr:cNvSpPr>
      </xdr:nvSpPr>
      <xdr:spPr bwMode="auto">
        <a:xfrm>
          <a:off x="38100" y="38100"/>
          <a:ext cx="5724525" cy="9324975"/>
        </a:xfrm>
        <a:prstGeom prst="roundRect">
          <a:avLst>
            <a:gd name="adj" fmla="val 2514"/>
          </a:avLst>
        </a:prstGeom>
        <a:noFill/>
        <a:ln w="9525">
          <a:solidFill>
            <a:srgbClr val="424242"/>
          </a:solidFill>
          <a:round/>
          <a:headEnd/>
          <a:tailEnd/>
        </a:ln>
        <a:effectLst/>
      </xdr:spPr>
    </xdr:sp>
    <xdr:clientData/>
  </xdr:twoCellAnchor>
</xdr:wsDr>
</file>

<file path=xl/drawings/drawing32.xml><?xml version="1.0" encoding="utf-8"?>
<xdr:wsDr xmlns:xdr="http://schemas.openxmlformats.org/drawingml/2006/spreadsheetDrawing" xmlns:a="http://schemas.openxmlformats.org/drawingml/2006/main">
  <xdr:twoCellAnchor>
    <xdr:from>
      <xdr:col>1</xdr:col>
      <xdr:colOff>314325</xdr:colOff>
      <xdr:row>1</xdr:row>
      <xdr:rowOff>47625</xdr:rowOff>
    </xdr:from>
    <xdr:to>
      <xdr:col>7</xdr:col>
      <xdr:colOff>314325</xdr:colOff>
      <xdr:row>5</xdr:row>
      <xdr:rowOff>38100</xdr:rowOff>
    </xdr:to>
    <xdr:sp macro="" textlink="">
      <xdr:nvSpPr>
        <xdr:cNvPr id="45057" name="AutoShape 1"/>
        <xdr:cNvSpPr>
          <a:spLocks noChangeArrowheads="1"/>
        </xdr:cNvSpPr>
      </xdr:nvSpPr>
      <xdr:spPr bwMode="auto">
        <a:xfrm>
          <a:off x="495300" y="209550"/>
          <a:ext cx="4886325" cy="63817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COMMENTAIRES</a:t>
          </a:r>
        </a:p>
      </xdr:txBody>
    </xdr:sp>
    <xdr:clientData/>
  </xdr:twoCellAnchor>
  <xdr:twoCellAnchor>
    <xdr:from>
      <xdr:col>3</xdr:col>
      <xdr:colOff>200025</xdr:colOff>
      <xdr:row>27</xdr:row>
      <xdr:rowOff>66675</xdr:rowOff>
    </xdr:from>
    <xdr:to>
      <xdr:col>3</xdr:col>
      <xdr:colOff>561975</xdr:colOff>
      <xdr:row>27</xdr:row>
      <xdr:rowOff>142875</xdr:rowOff>
    </xdr:to>
    <xdr:sp macro="" textlink="">
      <xdr:nvSpPr>
        <xdr:cNvPr id="45061" name="AutoShape 5"/>
        <xdr:cNvSpPr>
          <a:spLocks noChangeArrowheads="1"/>
        </xdr:cNvSpPr>
      </xdr:nvSpPr>
      <xdr:spPr bwMode="auto">
        <a:xfrm>
          <a:off x="1905000" y="4981575"/>
          <a:ext cx="361950" cy="76200"/>
        </a:xfrm>
        <a:prstGeom prst="rightArrow">
          <a:avLst>
            <a:gd name="adj1" fmla="val 50000"/>
            <a:gd name="adj2" fmla="val 118750"/>
          </a:avLst>
        </a:prstGeom>
        <a:solidFill>
          <a:srgbClr val="FFFF99"/>
        </a:solidFill>
        <a:ln w="9525">
          <a:solidFill>
            <a:srgbClr val="000000"/>
          </a:solidFill>
          <a:miter lim="800000"/>
          <a:headEnd/>
          <a:tailEnd/>
        </a:ln>
      </xdr:spPr>
    </xdr:sp>
    <xdr:clientData/>
  </xdr:twoCellAnchor>
  <xdr:twoCellAnchor>
    <xdr:from>
      <xdr:col>3</xdr:col>
      <xdr:colOff>200025</xdr:colOff>
      <xdr:row>34</xdr:row>
      <xdr:rowOff>66675</xdr:rowOff>
    </xdr:from>
    <xdr:to>
      <xdr:col>3</xdr:col>
      <xdr:colOff>561975</xdr:colOff>
      <xdr:row>34</xdr:row>
      <xdr:rowOff>142875</xdr:rowOff>
    </xdr:to>
    <xdr:sp macro="" textlink="">
      <xdr:nvSpPr>
        <xdr:cNvPr id="45062" name="AutoShape 6"/>
        <xdr:cNvSpPr>
          <a:spLocks noChangeArrowheads="1"/>
        </xdr:cNvSpPr>
      </xdr:nvSpPr>
      <xdr:spPr bwMode="auto">
        <a:xfrm>
          <a:off x="1905000" y="6315075"/>
          <a:ext cx="361950" cy="76200"/>
        </a:xfrm>
        <a:prstGeom prst="rightArrow">
          <a:avLst>
            <a:gd name="adj1" fmla="val 50000"/>
            <a:gd name="adj2" fmla="val 118750"/>
          </a:avLst>
        </a:prstGeom>
        <a:solidFill>
          <a:srgbClr val="FFFF99"/>
        </a:solidFill>
        <a:ln w="9525">
          <a:solidFill>
            <a:srgbClr val="000000"/>
          </a:solidFill>
          <a:miter lim="800000"/>
          <a:headEnd/>
          <a:tailEnd/>
        </a:ln>
      </xdr:spPr>
    </xdr:sp>
    <xdr:clientData/>
  </xdr:twoCellAnchor>
  <xdr:twoCellAnchor>
    <xdr:from>
      <xdr:col>2</xdr:col>
      <xdr:colOff>400050</xdr:colOff>
      <xdr:row>12</xdr:row>
      <xdr:rowOff>57150</xdr:rowOff>
    </xdr:from>
    <xdr:to>
      <xdr:col>2</xdr:col>
      <xdr:colOff>628650</xdr:colOff>
      <xdr:row>12</xdr:row>
      <xdr:rowOff>133350</xdr:rowOff>
    </xdr:to>
    <xdr:sp macro="" textlink="">
      <xdr:nvSpPr>
        <xdr:cNvPr id="45063" name="AutoShape 7"/>
        <xdr:cNvSpPr>
          <a:spLocks noChangeArrowheads="1"/>
        </xdr:cNvSpPr>
      </xdr:nvSpPr>
      <xdr:spPr bwMode="auto">
        <a:xfrm>
          <a:off x="1343025" y="2114550"/>
          <a:ext cx="228600" cy="76200"/>
        </a:xfrm>
        <a:prstGeom prst="rightArrow">
          <a:avLst>
            <a:gd name="adj1" fmla="val 50000"/>
            <a:gd name="adj2" fmla="val 75000"/>
          </a:avLst>
        </a:prstGeom>
        <a:solidFill>
          <a:srgbClr val="336666"/>
        </a:solidFill>
        <a:ln w="9525">
          <a:solidFill>
            <a:srgbClr val="424242"/>
          </a:solidFill>
          <a:miter lim="800000"/>
          <a:headEnd/>
          <a:tailEnd/>
        </a:ln>
      </xdr:spPr>
    </xdr:sp>
    <xdr:clientData/>
  </xdr:twoCellAnchor>
  <xdr:twoCellAnchor>
    <xdr:from>
      <xdr:col>2</xdr:col>
      <xdr:colOff>400050</xdr:colOff>
      <xdr:row>19</xdr:row>
      <xdr:rowOff>57150</xdr:rowOff>
    </xdr:from>
    <xdr:to>
      <xdr:col>2</xdr:col>
      <xdr:colOff>628650</xdr:colOff>
      <xdr:row>19</xdr:row>
      <xdr:rowOff>133350</xdr:rowOff>
    </xdr:to>
    <xdr:sp macro="" textlink="">
      <xdr:nvSpPr>
        <xdr:cNvPr id="45064" name="AutoShape 8"/>
        <xdr:cNvSpPr>
          <a:spLocks noChangeArrowheads="1"/>
        </xdr:cNvSpPr>
      </xdr:nvSpPr>
      <xdr:spPr bwMode="auto">
        <a:xfrm>
          <a:off x="1343025" y="3448050"/>
          <a:ext cx="228600" cy="76200"/>
        </a:xfrm>
        <a:prstGeom prst="rightArrow">
          <a:avLst>
            <a:gd name="adj1" fmla="val 50000"/>
            <a:gd name="adj2" fmla="val 75000"/>
          </a:avLst>
        </a:prstGeom>
        <a:solidFill>
          <a:srgbClr val="336666"/>
        </a:solidFill>
        <a:ln w="9525">
          <a:solidFill>
            <a:srgbClr val="424242"/>
          </a:solidFill>
          <a:miter lim="800000"/>
          <a:headEnd/>
          <a:tailEnd/>
        </a:ln>
      </xdr:spPr>
    </xdr:sp>
    <xdr:clientData/>
  </xdr:twoCellAnchor>
  <xdr:twoCellAnchor>
    <xdr:from>
      <xdr:col>0</xdr:col>
      <xdr:colOff>0</xdr:colOff>
      <xdr:row>0</xdr:row>
      <xdr:rowOff>104775</xdr:rowOff>
    </xdr:from>
    <xdr:to>
      <xdr:col>7</xdr:col>
      <xdr:colOff>657225</xdr:colOff>
      <xdr:row>51</xdr:row>
      <xdr:rowOff>114300</xdr:rowOff>
    </xdr:to>
    <xdr:sp macro="" textlink="">
      <xdr:nvSpPr>
        <xdr:cNvPr id="45065" name="AutoShape 9"/>
        <xdr:cNvSpPr>
          <a:spLocks noChangeArrowheads="1"/>
        </xdr:cNvSpPr>
      </xdr:nvSpPr>
      <xdr:spPr bwMode="auto">
        <a:xfrm>
          <a:off x="0" y="104775"/>
          <a:ext cx="5724525" cy="9401175"/>
        </a:xfrm>
        <a:prstGeom prst="roundRect">
          <a:avLst>
            <a:gd name="adj" fmla="val 2514"/>
          </a:avLst>
        </a:prstGeom>
        <a:noFill/>
        <a:ln w="9525">
          <a:solidFill>
            <a:srgbClr val="424242"/>
          </a:solidFill>
          <a:round/>
          <a:headEnd/>
          <a:tailEnd/>
        </a:ln>
        <a:effectLst/>
      </xdr:spPr>
    </xdr:sp>
    <xdr:clientData/>
  </xdr:twoCellAnchor>
</xdr:wsDr>
</file>

<file path=xl/drawings/drawing33.xml><?xml version="1.0" encoding="utf-8"?>
<xdr:wsDr xmlns:xdr="http://schemas.openxmlformats.org/drawingml/2006/spreadsheetDrawing" xmlns:a="http://schemas.openxmlformats.org/drawingml/2006/main">
  <xdr:twoCellAnchor>
    <xdr:from>
      <xdr:col>1</xdr:col>
      <xdr:colOff>276225</xdr:colOff>
      <xdr:row>1</xdr:row>
      <xdr:rowOff>28575</xdr:rowOff>
    </xdr:from>
    <xdr:to>
      <xdr:col>7</xdr:col>
      <xdr:colOff>276225</xdr:colOff>
      <xdr:row>5</xdr:row>
      <xdr:rowOff>19050</xdr:rowOff>
    </xdr:to>
    <xdr:sp macro="" textlink="">
      <xdr:nvSpPr>
        <xdr:cNvPr id="46081" name="AutoShape 1"/>
        <xdr:cNvSpPr>
          <a:spLocks noChangeArrowheads="1"/>
        </xdr:cNvSpPr>
      </xdr:nvSpPr>
      <xdr:spPr bwMode="auto">
        <a:xfrm>
          <a:off x="457200" y="190500"/>
          <a:ext cx="5076825" cy="63817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COMMENTAIRES</a:t>
          </a:r>
        </a:p>
      </xdr:txBody>
    </xdr:sp>
    <xdr:clientData/>
  </xdr:twoCellAnchor>
  <xdr:twoCellAnchor>
    <xdr:from>
      <xdr:col>2</xdr:col>
      <xdr:colOff>200025</xdr:colOff>
      <xdr:row>13</xdr:row>
      <xdr:rowOff>38100</xdr:rowOff>
    </xdr:from>
    <xdr:to>
      <xdr:col>2</xdr:col>
      <xdr:colOff>561975</xdr:colOff>
      <xdr:row>13</xdr:row>
      <xdr:rowOff>114300</xdr:rowOff>
    </xdr:to>
    <xdr:sp macro="" textlink="">
      <xdr:nvSpPr>
        <xdr:cNvPr id="46084" name="AutoShape 4"/>
        <xdr:cNvSpPr>
          <a:spLocks noChangeArrowheads="1"/>
        </xdr:cNvSpPr>
      </xdr:nvSpPr>
      <xdr:spPr bwMode="auto">
        <a:xfrm>
          <a:off x="1143000" y="2314575"/>
          <a:ext cx="361950" cy="76200"/>
        </a:xfrm>
        <a:prstGeom prst="rightArrow">
          <a:avLst>
            <a:gd name="adj1" fmla="val 50000"/>
            <a:gd name="adj2" fmla="val 118750"/>
          </a:avLst>
        </a:prstGeom>
        <a:solidFill>
          <a:srgbClr val="FFFF99"/>
        </a:solidFill>
        <a:ln w="9525">
          <a:solidFill>
            <a:srgbClr val="000000"/>
          </a:solidFill>
          <a:miter lim="800000"/>
          <a:headEnd/>
          <a:tailEnd/>
        </a:ln>
      </xdr:spPr>
    </xdr:sp>
    <xdr:clientData/>
  </xdr:twoCellAnchor>
  <xdr:twoCellAnchor>
    <xdr:from>
      <xdr:col>2</xdr:col>
      <xdr:colOff>200025</xdr:colOff>
      <xdr:row>14</xdr:row>
      <xdr:rowOff>38100</xdr:rowOff>
    </xdr:from>
    <xdr:to>
      <xdr:col>2</xdr:col>
      <xdr:colOff>561975</xdr:colOff>
      <xdr:row>14</xdr:row>
      <xdr:rowOff>114300</xdr:rowOff>
    </xdr:to>
    <xdr:sp macro="" textlink="">
      <xdr:nvSpPr>
        <xdr:cNvPr id="46085" name="AutoShape 5"/>
        <xdr:cNvSpPr>
          <a:spLocks noChangeArrowheads="1"/>
        </xdr:cNvSpPr>
      </xdr:nvSpPr>
      <xdr:spPr bwMode="auto">
        <a:xfrm>
          <a:off x="1143000" y="2505075"/>
          <a:ext cx="361950" cy="76200"/>
        </a:xfrm>
        <a:prstGeom prst="rightArrow">
          <a:avLst>
            <a:gd name="adj1" fmla="val 50000"/>
            <a:gd name="adj2" fmla="val 118750"/>
          </a:avLst>
        </a:prstGeom>
        <a:solidFill>
          <a:srgbClr val="FFFF99"/>
        </a:solidFill>
        <a:ln w="9525">
          <a:solidFill>
            <a:srgbClr val="000000"/>
          </a:solidFill>
          <a:miter lim="800000"/>
          <a:headEnd/>
          <a:tailEnd/>
        </a:ln>
      </xdr:spPr>
    </xdr:sp>
    <xdr:clientData/>
  </xdr:twoCellAnchor>
  <xdr:twoCellAnchor>
    <xdr:from>
      <xdr:col>2</xdr:col>
      <xdr:colOff>200025</xdr:colOff>
      <xdr:row>15</xdr:row>
      <xdr:rowOff>38100</xdr:rowOff>
    </xdr:from>
    <xdr:to>
      <xdr:col>2</xdr:col>
      <xdr:colOff>561975</xdr:colOff>
      <xdr:row>15</xdr:row>
      <xdr:rowOff>114300</xdr:rowOff>
    </xdr:to>
    <xdr:sp macro="" textlink="">
      <xdr:nvSpPr>
        <xdr:cNvPr id="46086" name="AutoShape 6"/>
        <xdr:cNvSpPr>
          <a:spLocks noChangeArrowheads="1"/>
        </xdr:cNvSpPr>
      </xdr:nvSpPr>
      <xdr:spPr bwMode="auto">
        <a:xfrm>
          <a:off x="1143000" y="2695575"/>
          <a:ext cx="361950" cy="76200"/>
        </a:xfrm>
        <a:prstGeom prst="rightArrow">
          <a:avLst>
            <a:gd name="adj1" fmla="val 50000"/>
            <a:gd name="adj2" fmla="val 118750"/>
          </a:avLst>
        </a:prstGeom>
        <a:solidFill>
          <a:srgbClr val="FFFF99"/>
        </a:solidFill>
        <a:ln w="9525">
          <a:solidFill>
            <a:srgbClr val="000000"/>
          </a:solidFill>
          <a:miter lim="800000"/>
          <a:headEnd/>
          <a:tailEnd/>
        </a:ln>
      </xdr:spPr>
    </xdr:sp>
    <xdr:clientData/>
  </xdr:twoCellAnchor>
  <xdr:twoCellAnchor>
    <xdr:from>
      <xdr:col>2</xdr:col>
      <xdr:colOff>200025</xdr:colOff>
      <xdr:row>16</xdr:row>
      <xdr:rowOff>38100</xdr:rowOff>
    </xdr:from>
    <xdr:to>
      <xdr:col>2</xdr:col>
      <xdr:colOff>561975</xdr:colOff>
      <xdr:row>16</xdr:row>
      <xdr:rowOff>114300</xdr:rowOff>
    </xdr:to>
    <xdr:sp macro="" textlink="">
      <xdr:nvSpPr>
        <xdr:cNvPr id="46087" name="AutoShape 7"/>
        <xdr:cNvSpPr>
          <a:spLocks noChangeArrowheads="1"/>
        </xdr:cNvSpPr>
      </xdr:nvSpPr>
      <xdr:spPr bwMode="auto">
        <a:xfrm>
          <a:off x="1143000" y="2886075"/>
          <a:ext cx="361950" cy="76200"/>
        </a:xfrm>
        <a:prstGeom prst="rightArrow">
          <a:avLst>
            <a:gd name="adj1" fmla="val 50000"/>
            <a:gd name="adj2" fmla="val 118750"/>
          </a:avLst>
        </a:prstGeom>
        <a:solidFill>
          <a:srgbClr val="FFFF99"/>
        </a:solidFill>
        <a:ln w="9525">
          <a:solidFill>
            <a:srgbClr val="000000"/>
          </a:solidFill>
          <a:miter lim="800000"/>
          <a:headEnd/>
          <a:tailEnd/>
        </a:ln>
      </xdr:spPr>
    </xdr:sp>
    <xdr:clientData/>
  </xdr:twoCellAnchor>
  <xdr:twoCellAnchor>
    <xdr:from>
      <xdr:col>2</xdr:col>
      <xdr:colOff>200025</xdr:colOff>
      <xdr:row>23</xdr:row>
      <xdr:rowOff>38100</xdr:rowOff>
    </xdr:from>
    <xdr:to>
      <xdr:col>2</xdr:col>
      <xdr:colOff>561975</xdr:colOff>
      <xdr:row>23</xdr:row>
      <xdr:rowOff>114300</xdr:rowOff>
    </xdr:to>
    <xdr:sp macro="" textlink="">
      <xdr:nvSpPr>
        <xdr:cNvPr id="46089" name="AutoShape 9"/>
        <xdr:cNvSpPr>
          <a:spLocks noChangeArrowheads="1"/>
        </xdr:cNvSpPr>
      </xdr:nvSpPr>
      <xdr:spPr bwMode="auto">
        <a:xfrm>
          <a:off x="1143000" y="4219575"/>
          <a:ext cx="361950" cy="76200"/>
        </a:xfrm>
        <a:prstGeom prst="rightArrow">
          <a:avLst>
            <a:gd name="adj1" fmla="val 50000"/>
            <a:gd name="adj2" fmla="val 118750"/>
          </a:avLst>
        </a:prstGeom>
        <a:solidFill>
          <a:srgbClr val="FFFF99"/>
        </a:solidFill>
        <a:ln w="9525">
          <a:solidFill>
            <a:srgbClr val="000000"/>
          </a:solidFill>
          <a:miter lim="800000"/>
          <a:headEnd/>
          <a:tailEnd/>
        </a:ln>
      </xdr:spPr>
    </xdr:sp>
    <xdr:clientData/>
  </xdr:twoCellAnchor>
  <xdr:twoCellAnchor>
    <xdr:from>
      <xdr:col>2</xdr:col>
      <xdr:colOff>200025</xdr:colOff>
      <xdr:row>24</xdr:row>
      <xdr:rowOff>38100</xdr:rowOff>
    </xdr:from>
    <xdr:to>
      <xdr:col>2</xdr:col>
      <xdr:colOff>561975</xdr:colOff>
      <xdr:row>24</xdr:row>
      <xdr:rowOff>114300</xdr:rowOff>
    </xdr:to>
    <xdr:sp macro="" textlink="">
      <xdr:nvSpPr>
        <xdr:cNvPr id="46090" name="AutoShape 10"/>
        <xdr:cNvSpPr>
          <a:spLocks noChangeArrowheads="1"/>
        </xdr:cNvSpPr>
      </xdr:nvSpPr>
      <xdr:spPr bwMode="auto">
        <a:xfrm>
          <a:off x="1143000" y="4410075"/>
          <a:ext cx="361950" cy="76200"/>
        </a:xfrm>
        <a:prstGeom prst="rightArrow">
          <a:avLst>
            <a:gd name="adj1" fmla="val 50000"/>
            <a:gd name="adj2" fmla="val 118750"/>
          </a:avLst>
        </a:prstGeom>
        <a:solidFill>
          <a:srgbClr val="FFFF99"/>
        </a:solidFill>
        <a:ln w="9525">
          <a:solidFill>
            <a:srgbClr val="000000"/>
          </a:solidFill>
          <a:miter lim="800000"/>
          <a:headEnd/>
          <a:tailEnd/>
        </a:ln>
      </xdr:spPr>
    </xdr:sp>
    <xdr:clientData/>
  </xdr:twoCellAnchor>
  <xdr:twoCellAnchor>
    <xdr:from>
      <xdr:col>2</xdr:col>
      <xdr:colOff>400050</xdr:colOff>
      <xdr:row>8</xdr:row>
      <xdr:rowOff>57150</xdr:rowOff>
    </xdr:from>
    <xdr:to>
      <xdr:col>2</xdr:col>
      <xdr:colOff>628650</xdr:colOff>
      <xdr:row>8</xdr:row>
      <xdr:rowOff>133350</xdr:rowOff>
    </xdr:to>
    <xdr:sp macro="" textlink="">
      <xdr:nvSpPr>
        <xdr:cNvPr id="46092" name="AutoShape 12"/>
        <xdr:cNvSpPr>
          <a:spLocks noChangeArrowheads="1"/>
        </xdr:cNvSpPr>
      </xdr:nvSpPr>
      <xdr:spPr bwMode="auto">
        <a:xfrm>
          <a:off x="1343025" y="1381125"/>
          <a:ext cx="228600" cy="76200"/>
        </a:xfrm>
        <a:prstGeom prst="rightArrow">
          <a:avLst>
            <a:gd name="adj1" fmla="val 50000"/>
            <a:gd name="adj2" fmla="val 75000"/>
          </a:avLst>
        </a:prstGeom>
        <a:solidFill>
          <a:srgbClr val="336666"/>
        </a:solidFill>
        <a:ln w="9525">
          <a:solidFill>
            <a:srgbClr val="424242"/>
          </a:solidFill>
          <a:miter lim="800000"/>
          <a:headEnd/>
          <a:tailEnd/>
        </a:ln>
      </xdr:spPr>
    </xdr:sp>
    <xdr:clientData/>
  </xdr:twoCellAnchor>
  <xdr:twoCellAnchor>
    <xdr:from>
      <xdr:col>2</xdr:col>
      <xdr:colOff>400050</xdr:colOff>
      <xdr:row>19</xdr:row>
      <xdr:rowOff>57150</xdr:rowOff>
    </xdr:from>
    <xdr:to>
      <xdr:col>2</xdr:col>
      <xdr:colOff>628650</xdr:colOff>
      <xdr:row>19</xdr:row>
      <xdr:rowOff>133350</xdr:rowOff>
    </xdr:to>
    <xdr:sp macro="" textlink="">
      <xdr:nvSpPr>
        <xdr:cNvPr id="46093" name="AutoShape 13"/>
        <xdr:cNvSpPr>
          <a:spLocks noChangeArrowheads="1"/>
        </xdr:cNvSpPr>
      </xdr:nvSpPr>
      <xdr:spPr bwMode="auto">
        <a:xfrm>
          <a:off x="1343025" y="3476625"/>
          <a:ext cx="228600" cy="76200"/>
        </a:xfrm>
        <a:prstGeom prst="rightArrow">
          <a:avLst>
            <a:gd name="adj1" fmla="val 50000"/>
            <a:gd name="adj2" fmla="val 75000"/>
          </a:avLst>
        </a:prstGeom>
        <a:solidFill>
          <a:srgbClr val="336666"/>
        </a:solidFill>
        <a:ln w="9525">
          <a:solidFill>
            <a:srgbClr val="424242"/>
          </a:solidFill>
          <a:miter lim="800000"/>
          <a:headEnd/>
          <a:tailEnd/>
        </a:ln>
      </xdr:spPr>
    </xdr:sp>
    <xdr:clientData/>
  </xdr:twoCellAnchor>
  <xdr:twoCellAnchor>
    <xdr:from>
      <xdr:col>2</xdr:col>
      <xdr:colOff>400050</xdr:colOff>
      <xdr:row>33</xdr:row>
      <xdr:rowOff>57150</xdr:rowOff>
    </xdr:from>
    <xdr:to>
      <xdr:col>2</xdr:col>
      <xdr:colOff>628650</xdr:colOff>
      <xdr:row>33</xdr:row>
      <xdr:rowOff>133350</xdr:rowOff>
    </xdr:to>
    <xdr:sp macro="" textlink="">
      <xdr:nvSpPr>
        <xdr:cNvPr id="46094" name="AutoShape 14"/>
        <xdr:cNvSpPr>
          <a:spLocks noChangeArrowheads="1"/>
        </xdr:cNvSpPr>
      </xdr:nvSpPr>
      <xdr:spPr bwMode="auto">
        <a:xfrm>
          <a:off x="1343025" y="6143625"/>
          <a:ext cx="228600" cy="76200"/>
        </a:xfrm>
        <a:prstGeom prst="rightArrow">
          <a:avLst>
            <a:gd name="adj1" fmla="val 50000"/>
            <a:gd name="adj2" fmla="val 75000"/>
          </a:avLst>
        </a:prstGeom>
        <a:solidFill>
          <a:srgbClr val="336666"/>
        </a:solidFill>
        <a:ln w="9525">
          <a:solidFill>
            <a:srgbClr val="424242"/>
          </a:solidFill>
          <a:miter lim="800000"/>
          <a:headEnd/>
          <a:tailEnd/>
        </a:ln>
      </xdr:spPr>
    </xdr:sp>
    <xdr:clientData/>
  </xdr:twoCellAnchor>
  <xdr:twoCellAnchor>
    <xdr:from>
      <xdr:col>0</xdr:col>
      <xdr:colOff>38100</xdr:colOff>
      <xdr:row>0</xdr:row>
      <xdr:rowOff>38100</xdr:rowOff>
    </xdr:from>
    <xdr:to>
      <xdr:col>7</xdr:col>
      <xdr:colOff>723900</xdr:colOff>
      <xdr:row>50</xdr:row>
      <xdr:rowOff>9525</xdr:rowOff>
    </xdr:to>
    <xdr:sp macro="" textlink="">
      <xdr:nvSpPr>
        <xdr:cNvPr id="46095" name="AutoShape 15"/>
        <xdr:cNvSpPr>
          <a:spLocks noChangeArrowheads="1"/>
        </xdr:cNvSpPr>
      </xdr:nvSpPr>
      <xdr:spPr bwMode="auto">
        <a:xfrm>
          <a:off x="38100" y="38100"/>
          <a:ext cx="5943600" cy="9296400"/>
        </a:xfrm>
        <a:prstGeom prst="roundRect">
          <a:avLst>
            <a:gd name="adj" fmla="val 2514"/>
          </a:avLst>
        </a:prstGeom>
        <a:noFill/>
        <a:ln w="9525">
          <a:solidFill>
            <a:srgbClr val="424242"/>
          </a:solidFill>
          <a:round/>
          <a:headEnd/>
          <a:tailEnd/>
        </a:ln>
        <a:effectLst/>
      </xdr:spPr>
    </xdr:sp>
    <xdr:clientData/>
  </xdr:twoCellAnchor>
</xdr:wsDr>
</file>

<file path=xl/drawings/drawing34.xml><?xml version="1.0" encoding="utf-8"?>
<xdr:wsDr xmlns:xdr="http://schemas.openxmlformats.org/drawingml/2006/spreadsheetDrawing" xmlns:a="http://schemas.openxmlformats.org/drawingml/2006/main">
  <xdr:twoCellAnchor>
    <xdr:from>
      <xdr:col>1</xdr:col>
      <xdr:colOff>304800</xdr:colOff>
      <xdr:row>1</xdr:row>
      <xdr:rowOff>38100</xdr:rowOff>
    </xdr:from>
    <xdr:to>
      <xdr:col>7</xdr:col>
      <xdr:colOff>304800</xdr:colOff>
      <xdr:row>5</xdr:row>
      <xdr:rowOff>28575</xdr:rowOff>
    </xdr:to>
    <xdr:sp macro="" textlink="">
      <xdr:nvSpPr>
        <xdr:cNvPr id="47105" name="AutoShape 1"/>
        <xdr:cNvSpPr>
          <a:spLocks noChangeArrowheads="1"/>
        </xdr:cNvSpPr>
      </xdr:nvSpPr>
      <xdr:spPr bwMode="auto">
        <a:xfrm>
          <a:off x="485775" y="171450"/>
          <a:ext cx="4572000" cy="54292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COMMENTAIRES</a:t>
          </a:r>
        </a:p>
      </xdr:txBody>
    </xdr:sp>
    <xdr:clientData/>
  </xdr:twoCellAnchor>
  <xdr:twoCellAnchor>
    <xdr:from>
      <xdr:col>3</xdr:col>
      <xdr:colOff>200025</xdr:colOff>
      <xdr:row>13</xdr:row>
      <xdr:rowOff>38100</xdr:rowOff>
    </xdr:from>
    <xdr:to>
      <xdr:col>3</xdr:col>
      <xdr:colOff>561975</xdr:colOff>
      <xdr:row>13</xdr:row>
      <xdr:rowOff>114300</xdr:rowOff>
    </xdr:to>
    <xdr:sp macro="" textlink="">
      <xdr:nvSpPr>
        <xdr:cNvPr id="47108" name="AutoShape 4"/>
        <xdr:cNvSpPr>
          <a:spLocks noChangeArrowheads="1"/>
        </xdr:cNvSpPr>
      </xdr:nvSpPr>
      <xdr:spPr bwMode="auto">
        <a:xfrm>
          <a:off x="1905000" y="1685925"/>
          <a:ext cx="361950" cy="76200"/>
        </a:xfrm>
        <a:prstGeom prst="rightArrow">
          <a:avLst>
            <a:gd name="adj1" fmla="val 50000"/>
            <a:gd name="adj2" fmla="val 118750"/>
          </a:avLst>
        </a:prstGeom>
        <a:solidFill>
          <a:srgbClr val="FFFF99"/>
        </a:solidFill>
        <a:ln w="9525">
          <a:solidFill>
            <a:srgbClr val="000000"/>
          </a:solidFill>
          <a:miter lim="800000"/>
          <a:headEnd/>
          <a:tailEnd/>
        </a:ln>
      </xdr:spPr>
    </xdr:sp>
    <xdr:clientData/>
  </xdr:twoCellAnchor>
  <xdr:twoCellAnchor>
    <xdr:from>
      <xdr:col>3</xdr:col>
      <xdr:colOff>200025</xdr:colOff>
      <xdr:row>19</xdr:row>
      <xdr:rowOff>38100</xdr:rowOff>
    </xdr:from>
    <xdr:to>
      <xdr:col>3</xdr:col>
      <xdr:colOff>561975</xdr:colOff>
      <xdr:row>19</xdr:row>
      <xdr:rowOff>114300</xdr:rowOff>
    </xdr:to>
    <xdr:sp macro="" textlink="">
      <xdr:nvSpPr>
        <xdr:cNvPr id="47109" name="AutoShape 5"/>
        <xdr:cNvSpPr>
          <a:spLocks noChangeArrowheads="1"/>
        </xdr:cNvSpPr>
      </xdr:nvSpPr>
      <xdr:spPr bwMode="auto">
        <a:xfrm>
          <a:off x="1905000" y="2562225"/>
          <a:ext cx="361950" cy="76200"/>
        </a:xfrm>
        <a:prstGeom prst="rightArrow">
          <a:avLst>
            <a:gd name="adj1" fmla="val 50000"/>
            <a:gd name="adj2" fmla="val 118750"/>
          </a:avLst>
        </a:prstGeom>
        <a:solidFill>
          <a:srgbClr val="FFFF99"/>
        </a:solidFill>
        <a:ln w="9525">
          <a:solidFill>
            <a:srgbClr val="000000"/>
          </a:solidFill>
          <a:miter lim="800000"/>
          <a:headEnd/>
          <a:tailEnd/>
        </a:ln>
      </xdr:spPr>
    </xdr:sp>
    <xdr:clientData/>
  </xdr:twoCellAnchor>
  <xdr:twoCellAnchor>
    <xdr:from>
      <xdr:col>3</xdr:col>
      <xdr:colOff>200025</xdr:colOff>
      <xdr:row>25</xdr:row>
      <xdr:rowOff>38100</xdr:rowOff>
    </xdr:from>
    <xdr:to>
      <xdr:col>3</xdr:col>
      <xdr:colOff>561975</xdr:colOff>
      <xdr:row>25</xdr:row>
      <xdr:rowOff>114300</xdr:rowOff>
    </xdr:to>
    <xdr:sp macro="" textlink="">
      <xdr:nvSpPr>
        <xdr:cNvPr id="47110" name="AutoShape 6"/>
        <xdr:cNvSpPr>
          <a:spLocks noChangeArrowheads="1"/>
        </xdr:cNvSpPr>
      </xdr:nvSpPr>
      <xdr:spPr bwMode="auto">
        <a:xfrm>
          <a:off x="1905000" y="3429000"/>
          <a:ext cx="361950" cy="76200"/>
        </a:xfrm>
        <a:prstGeom prst="rightArrow">
          <a:avLst>
            <a:gd name="adj1" fmla="val 50000"/>
            <a:gd name="adj2" fmla="val 118750"/>
          </a:avLst>
        </a:prstGeom>
        <a:solidFill>
          <a:srgbClr val="FFFF99"/>
        </a:solidFill>
        <a:ln w="9525">
          <a:solidFill>
            <a:srgbClr val="000000"/>
          </a:solidFill>
          <a:miter lim="800000"/>
          <a:headEnd/>
          <a:tailEnd/>
        </a:ln>
      </xdr:spPr>
    </xdr:sp>
    <xdr:clientData/>
  </xdr:twoCellAnchor>
  <xdr:twoCellAnchor>
    <xdr:from>
      <xdr:col>3</xdr:col>
      <xdr:colOff>200025</xdr:colOff>
      <xdr:row>30</xdr:row>
      <xdr:rowOff>38100</xdr:rowOff>
    </xdr:from>
    <xdr:to>
      <xdr:col>3</xdr:col>
      <xdr:colOff>561975</xdr:colOff>
      <xdr:row>30</xdr:row>
      <xdr:rowOff>114300</xdr:rowOff>
    </xdr:to>
    <xdr:sp macro="" textlink="">
      <xdr:nvSpPr>
        <xdr:cNvPr id="47111" name="AutoShape 7"/>
        <xdr:cNvSpPr>
          <a:spLocks noChangeArrowheads="1"/>
        </xdr:cNvSpPr>
      </xdr:nvSpPr>
      <xdr:spPr bwMode="auto">
        <a:xfrm>
          <a:off x="1905000" y="4105275"/>
          <a:ext cx="361950" cy="76200"/>
        </a:xfrm>
        <a:prstGeom prst="rightArrow">
          <a:avLst>
            <a:gd name="adj1" fmla="val 50000"/>
            <a:gd name="adj2" fmla="val 118750"/>
          </a:avLst>
        </a:prstGeom>
        <a:solidFill>
          <a:srgbClr val="FFFF99"/>
        </a:solidFill>
        <a:ln w="9525">
          <a:solidFill>
            <a:srgbClr val="000000"/>
          </a:solidFill>
          <a:miter lim="800000"/>
          <a:headEnd/>
          <a:tailEnd/>
        </a:ln>
      </xdr:spPr>
    </xdr:sp>
    <xdr:clientData/>
  </xdr:twoCellAnchor>
  <xdr:twoCellAnchor>
    <xdr:from>
      <xdr:col>3</xdr:col>
      <xdr:colOff>200025</xdr:colOff>
      <xdr:row>35</xdr:row>
      <xdr:rowOff>38100</xdr:rowOff>
    </xdr:from>
    <xdr:to>
      <xdr:col>3</xdr:col>
      <xdr:colOff>561975</xdr:colOff>
      <xdr:row>35</xdr:row>
      <xdr:rowOff>114300</xdr:rowOff>
    </xdr:to>
    <xdr:sp macro="" textlink="">
      <xdr:nvSpPr>
        <xdr:cNvPr id="47112" name="AutoShape 8"/>
        <xdr:cNvSpPr>
          <a:spLocks noChangeArrowheads="1"/>
        </xdr:cNvSpPr>
      </xdr:nvSpPr>
      <xdr:spPr bwMode="auto">
        <a:xfrm>
          <a:off x="1905000" y="4838700"/>
          <a:ext cx="361950" cy="76200"/>
        </a:xfrm>
        <a:prstGeom prst="rightArrow">
          <a:avLst>
            <a:gd name="adj1" fmla="val 50000"/>
            <a:gd name="adj2" fmla="val 118750"/>
          </a:avLst>
        </a:prstGeom>
        <a:solidFill>
          <a:srgbClr val="FFFF99"/>
        </a:solidFill>
        <a:ln w="9525">
          <a:solidFill>
            <a:srgbClr val="000000"/>
          </a:solidFill>
          <a:miter lim="800000"/>
          <a:headEnd/>
          <a:tailEnd/>
        </a:ln>
      </xdr:spPr>
    </xdr:sp>
    <xdr:clientData/>
  </xdr:twoCellAnchor>
  <xdr:twoCellAnchor>
    <xdr:from>
      <xdr:col>2</xdr:col>
      <xdr:colOff>400050</xdr:colOff>
      <xdr:row>40</xdr:row>
      <xdr:rowOff>57150</xdr:rowOff>
    </xdr:from>
    <xdr:to>
      <xdr:col>2</xdr:col>
      <xdr:colOff>628650</xdr:colOff>
      <xdr:row>40</xdr:row>
      <xdr:rowOff>133350</xdr:rowOff>
    </xdr:to>
    <xdr:sp macro="" textlink="">
      <xdr:nvSpPr>
        <xdr:cNvPr id="47114" name="AutoShape 10"/>
        <xdr:cNvSpPr>
          <a:spLocks noChangeArrowheads="1"/>
        </xdr:cNvSpPr>
      </xdr:nvSpPr>
      <xdr:spPr bwMode="auto">
        <a:xfrm>
          <a:off x="1343025" y="5543550"/>
          <a:ext cx="228600" cy="76200"/>
        </a:xfrm>
        <a:prstGeom prst="rightArrow">
          <a:avLst>
            <a:gd name="adj1" fmla="val 50000"/>
            <a:gd name="adj2" fmla="val 75000"/>
          </a:avLst>
        </a:prstGeom>
        <a:solidFill>
          <a:srgbClr val="336666"/>
        </a:solidFill>
        <a:ln w="9525">
          <a:solidFill>
            <a:srgbClr val="424242"/>
          </a:solidFill>
          <a:miter lim="800000"/>
          <a:headEnd/>
          <a:tailEnd/>
        </a:ln>
      </xdr:spPr>
    </xdr:sp>
    <xdr:clientData/>
  </xdr:twoCellAnchor>
  <xdr:twoCellAnchor>
    <xdr:from>
      <xdr:col>2</xdr:col>
      <xdr:colOff>400050</xdr:colOff>
      <xdr:row>7</xdr:row>
      <xdr:rowOff>57150</xdr:rowOff>
    </xdr:from>
    <xdr:to>
      <xdr:col>2</xdr:col>
      <xdr:colOff>628650</xdr:colOff>
      <xdr:row>7</xdr:row>
      <xdr:rowOff>133350</xdr:rowOff>
    </xdr:to>
    <xdr:sp macro="" textlink="">
      <xdr:nvSpPr>
        <xdr:cNvPr id="47115" name="AutoShape 11"/>
        <xdr:cNvSpPr>
          <a:spLocks noChangeArrowheads="1"/>
        </xdr:cNvSpPr>
      </xdr:nvSpPr>
      <xdr:spPr bwMode="auto">
        <a:xfrm>
          <a:off x="1343025" y="942975"/>
          <a:ext cx="228600" cy="76200"/>
        </a:xfrm>
        <a:prstGeom prst="rightArrow">
          <a:avLst>
            <a:gd name="adj1" fmla="val 50000"/>
            <a:gd name="adj2" fmla="val 75000"/>
          </a:avLst>
        </a:prstGeom>
        <a:solidFill>
          <a:srgbClr val="336666"/>
        </a:solidFill>
        <a:ln w="9525">
          <a:solidFill>
            <a:srgbClr val="424242"/>
          </a:solidFill>
          <a:miter lim="800000"/>
          <a:headEnd/>
          <a:tailEnd/>
        </a:ln>
      </xdr:spPr>
    </xdr:sp>
    <xdr:clientData/>
  </xdr:twoCellAnchor>
  <xdr:twoCellAnchor>
    <xdr:from>
      <xdr:col>1</xdr:col>
      <xdr:colOff>9525</xdr:colOff>
      <xdr:row>0</xdr:row>
      <xdr:rowOff>76200</xdr:rowOff>
    </xdr:from>
    <xdr:to>
      <xdr:col>8</xdr:col>
      <xdr:colOff>161925</xdr:colOff>
      <xdr:row>67</xdr:row>
      <xdr:rowOff>104775</xdr:rowOff>
    </xdr:to>
    <xdr:sp macro="" textlink="">
      <xdr:nvSpPr>
        <xdr:cNvPr id="47116" name="AutoShape 12"/>
        <xdr:cNvSpPr>
          <a:spLocks noChangeArrowheads="1"/>
        </xdr:cNvSpPr>
      </xdr:nvSpPr>
      <xdr:spPr bwMode="auto">
        <a:xfrm>
          <a:off x="190500" y="76200"/>
          <a:ext cx="5486400" cy="9486900"/>
        </a:xfrm>
        <a:prstGeom prst="roundRect">
          <a:avLst>
            <a:gd name="adj" fmla="val 2514"/>
          </a:avLst>
        </a:prstGeom>
        <a:noFill/>
        <a:ln w="9525">
          <a:solidFill>
            <a:srgbClr val="424242"/>
          </a:solidFill>
          <a:round/>
          <a:headEnd/>
          <a:tailEnd/>
        </a:ln>
        <a:effectLst/>
      </xdr:spPr>
    </xdr:sp>
    <xdr:clientData/>
  </xdr:twoCellAnchor>
</xdr:wsDr>
</file>

<file path=xl/drawings/drawing35.xml><?xml version="1.0" encoding="utf-8"?>
<xdr:wsDr xmlns:xdr="http://schemas.openxmlformats.org/drawingml/2006/spreadsheetDrawing" xmlns:a="http://schemas.openxmlformats.org/drawingml/2006/main">
  <xdr:twoCellAnchor>
    <xdr:from>
      <xdr:col>1</xdr:col>
      <xdr:colOff>238125</xdr:colOff>
      <xdr:row>2</xdr:row>
      <xdr:rowOff>0</xdr:rowOff>
    </xdr:from>
    <xdr:to>
      <xdr:col>6</xdr:col>
      <xdr:colOff>314325</xdr:colOff>
      <xdr:row>7</xdr:row>
      <xdr:rowOff>38100</xdr:rowOff>
    </xdr:to>
    <xdr:sp macro="" textlink="">
      <xdr:nvSpPr>
        <xdr:cNvPr id="30721" name="AutoShape 1"/>
        <xdr:cNvSpPr>
          <a:spLocks noChangeArrowheads="1"/>
        </xdr:cNvSpPr>
      </xdr:nvSpPr>
      <xdr:spPr bwMode="auto">
        <a:xfrm>
          <a:off x="333375" y="323850"/>
          <a:ext cx="5257800" cy="84772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EVOLUTION  DE  CHARGES </a:t>
          </a:r>
        </a:p>
        <a:p>
          <a:pPr algn="ctr" rtl="0">
            <a:defRPr sz="1000"/>
          </a:pPr>
          <a:r>
            <a:rPr lang="fr-FR" sz="2400" b="1" i="0" u="none" strike="noStrike" baseline="0">
              <a:solidFill>
                <a:srgbClr val="008080"/>
              </a:solidFill>
              <a:latin typeface="Tahoma"/>
              <a:ea typeface="Tahoma"/>
              <a:cs typeface="Tahoma"/>
            </a:rPr>
            <a:t>EN  VALEUR</a:t>
          </a:r>
        </a:p>
      </xdr:txBody>
    </xdr:sp>
    <xdr:clientData/>
  </xdr:twoCellAnchor>
  <xdr:twoCellAnchor>
    <xdr:from>
      <xdr:col>0</xdr:col>
      <xdr:colOff>0</xdr:colOff>
      <xdr:row>0</xdr:row>
      <xdr:rowOff>142875</xdr:rowOff>
    </xdr:from>
    <xdr:to>
      <xdr:col>7</xdr:col>
      <xdr:colOff>57150</xdr:colOff>
      <xdr:row>52</xdr:row>
      <xdr:rowOff>9525</xdr:rowOff>
    </xdr:to>
    <xdr:sp macro="" textlink="">
      <xdr:nvSpPr>
        <xdr:cNvPr id="30723" name="AutoShape 3"/>
        <xdr:cNvSpPr>
          <a:spLocks noChangeArrowheads="1"/>
        </xdr:cNvSpPr>
      </xdr:nvSpPr>
      <xdr:spPr bwMode="auto">
        <a:xfrm>
          <a:off x="0" y="142875"/>
          <a:ext cx="6010275" cy="9572625"/>
        </a:xfrm>
        <a:prstGeom prst="roundRect">
          <a:avLst>
            <a:gd name="adj" fmla="val 2514"/>
          </a:avLst>
        </a:prstGeom>
        <a:noFill/>
        <a:ln w="9525">
          <a:solidFill>
            <a:srgbClr val="424242"/>
          </a:solidFill>
          <a:round/>
          <a:headEnd/>
          <a:tailEnd/>
        </a:ln>
        <a:effectLst/>
      </xdr:spPr>
    </xdr:sp>
    <xdr:clientData/>
  </xdr:twoCellAnchor>
</xdr:wsDr>
</file>

<file path=xl/drawings/drawing36.xml><?xml version="1.0" encoding="utf-8"?>
<xdr:wsDr xmlns:xdr="http://schemas.openxmlformats.org/drawingml/2006/spreadsheetDrawing" xmlns:a="http://schemas.openxmlformats.org/drawingml/2006/main">
  <xdr:twoCellAnchor>
    <xdr:from>
      <xdr:col>0</xdr:col>
      <xdr:colOff>123825</xdr:colOff>
      <xdr:row>5</xdr:row>
      <xdr:rowOff>123825</xdr:rowOff>
    </xdr:from>
    <xdr:to>
      <xdr:col>6</xdr:col>
      <xdr:colOff>28575</xdr:colOff>
      <xdr:row>25</xdr:row>
      <xdr:rowOff>95250</xdr:rowOff>
    </xdr:to>
    <xdr:graphicFrame macro="">
      <xdr:nvGraphicFramePr>
        <xdr:cNvPr id="9217"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257175</xdr:colOff>
      <xdr:row>1</xdr:row>
      <xdr:rowOff>9525</xdr:rowOff>
    </xdr:from>
    <xdr:to>
      <xdr:col>5</xdr:col>
      <xdr:colOff>990600</xdr:colOff>
      <xdr:row>3</xdr:row>
      <xdr:rowOff>238125</xdr:rowOff>
    </xdr:to>
    <xdr:sp macro="" textlink="">
      <xdr:nvSpPr>
        <xdr:cNvPr id="9218" name="AutoShape 2"/>
        <xdr:cNvSpPr>
          <a:spLocks noChangeArrowheads="1"/>
        </xdr:cNvSpPr>
      </xdr:nvSpPr>
      <xdr:spPr bwMode="auto">
        <a:xfrm>
          <a:off x="438150" y="171450"/>
          <a:ext cx="5257800" cy="63817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COMPARAISON DE CHARGES</a:t>
          </a:r>
        </a:p>
      </xdr:txBody>
    </xdr:sp>
    <xdr:clientData/>
  </xdr:twoCellAnchor>
  <xdr:twoCellAnchor>
    <xdr:from>
      <xdr:col>1</xdr:col>
      <xdr:colOff>28575</xdr:colOff>
      <xdr:row>26</xdr:row>
      <xdr:rowOff>152400</xdr:rowOff>
    </xdr:from>
    <xdr:to>
      <xdr:col>5</xdr:col>
      <xdr:colOff>1133475</xdr:colOff>
      <xdr:row>30</xdr:row>
      <xdr:rowOff>152400</xdr:rowOff>
    </xdr:to>
    <xdr:sp macro="" textlink="">
      <xdr:nvSpPr>
        <xdr:cNvPr id="9219" name="AutoShape 3"/>
        <xdr:cNvSpPr>
          <a:spLocks noChangeArrowheads="1"/>
        </xdr:cNvSpPr>
      </xdr:nvSpPr>
      <xdr:spPr bwMode="auto">
        <a:xfrm>
          <a:off x="209550" y="4572000"/>
          <a:ext cx="5629275" cy="647700"/>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REPARTITION DU PRODUIT BRUT</a:t>
          </a:r>
        </a:p>
      </xdr:txBody>
    </xdr:sp>
    <xdr:clientData/>
  </xdr:twoCellAnchor>
  <xdr:twoCellAnchor>
    <xdr:from>
      <xdr:col>0</xdr:col>
      <xdr:colOff>104775</xdr:colOff>
      <xdr:row>32</xdr:row>
      <xdr:rowOff>47625</xdr:rowOff>
    </xdr:from>
    <xdr:to>
      <xdr:col>5</xdr:col>
      <xdr:colOff>1152525</xdr:colOff>
      <xdr:row>52</xdr:row>
      <xdr:rowOff>38100</xdr:rowOff>
    </xdr:to>
    <xdr:graphicFrame macro="">
      <xdr:nvGraphicFramePr>
        <xdr:cNvPr id="9222"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38100</xdr:colOff>
      <xdr:row>0</xdr:row>
      <xdr:rowOff>38101</xdr:rowOff>
    </xdr:from>
    <xdr:to>
      <xdr:col>6</xdr:col>
      <xdr:colOff>9525</xdr:colOff>
      <xdr:row>55</xdr:row>
      <xdr:rowOff>66676</xdr:rowOff>
    </xdr:to>
    <xdr:sp macro="" textlink="">
      <xdr:nvSpPr>
        <xdr:cNvPr id="9223" name="AutoShape 7"/>
        <xdr:cNvSpPr>
          <a:spLocks noChangeArrowheads="1"/>
        </xdr:cNvSpPr>
      </xdr:nvSpPr>
      <xdr:spPr bwMode="auto">
        <a:xfrm>
          <a:off x="38100" y="38101"/>
          <a:ext cx="5924550" cy="9144000"/>
        </a:xfrm>
        <a:prstGeom prst="roundRect">
          <a:avLst>
            <a:gd name="adj" fmla="val 2514"/>
          </a:avLst>
        </a:prstGeom>
        <a:noFill/>
        <a:ln w="9525">
          <a:solidFill>
            <a:srgbClr val="424242"/>
          </a:solidFill>
          <a:round/>
          <a:headEnd/>
          <a:tailEnd/>
        </a:ln>
        <a:effectLst/>
      </xdr:spPr>
    </xdr:sp>
    <xdr:clientData/>
  </xdr:twoCellAnchor>
</xdr:wsDr>
</file>

<file path=xl/drawings/drawing37.xml><?xml version="1.0" encoding="utf-8"?>
<xdr:wsDr xmlns:xdr="http://schemas.openxmlformats.org/drawingml/2006/spreadsheetDrawing" xmlns:a="http://schemas.openxmlformats.org/drawingml/2006/main">
  <xdr:twoCellAnchor>
    <xdr:from>
      <xdr:col>1</xdr:col>
      <xdr:colOff>381000</xdr:colOff>
      <xdr:row>1</xdr:row>
      <xdr:rowOff>171450</xdr:rowOff>
    </xdr:from>
    <xdr:to>
      <xdr:col>3</xdr:col>
      <xdr:colOff>619125</xdr:colOff>
      <xdr:row>3</xdr:row>
      <xdr:rowOff>238125</xdr:rowOff>
    </xdr:to>
    <xdr:sp macro="" textlink="">
      <xdr:nvSpPr>
        <xdr:cNvPr id="26625" name="AutoShape 1"/>
        <xdr:cNvSpPr>
          <a:spLocks noChangeArrowheads="1"/>
        </xdr:cNvSpPr>
      </xdr:nvSpPr>
      <xdr:spPr bwMode="auto">
        <a:xfrm>
          <a:off x="561975" y="333375"/>
          <a:ext cx="5067300" cy="61912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LE COMPTE DE RESULTAT</a:t>
          </a:r>
        </a:p>
      </xdr:txBody>
    </xdr:sp>
    <xdr:clientData/>
  </xdr:twoCellAnchor>
  <xdr:twoCellAnchor>
    <xdr:from>
      <xdr:col>0</xdr:col>
      <xdr:colOff>38100</xdr:colOff>
      <xdr:row>0</xdr:row>
      <xdr:rowOff>38100</xdr:rowOff>
    </xdr:from>
    <xdr:to>
      <xdr:col>4</xdr:col>
      <xdr:colOff>142875</xdr:colOff>
      <xdr:row>55</xdr:row>
      <xdr:rowOff>142875</xdr:rowOff>
    </xdr:to>
    <xdr:sp macro="" textlink="">
      <xdr:nvSpPr>
        <xdr:cNvPr id="26628" name="AutoShape 4"/>
        <xdr:cNvSpPr>
          <a:spLocks noChangeArrowheads="1"/>
        </xdr:cNvSpPr>
      </xdr:nvSpPr>
      <xdr:spPr bwMode="auto">
        <a:xfrm>
          <a:off x="38100" y="38100"/>
          <a:ext cx="5895975" cy="9944100"/>
        </a:xfrm>
        <a:prstGeom prst="roundRect">
          <a:avLst>
            <a:gd name="adj" fmla="val 2514"/>
          </a:avLst>
        </a:prstGeom>
        <a:noFill/>
        <a:ln w="9525">
          <a:solidFill>
            <a:srgbClr val="424242"/>
          </a:solidFill>
          <a:round/>
          <a:headEnd/>
          <a:tailEnd/>
        </a:ln>
        <a:effectLst/>
      </xdr:spPr>
    </xdr:sp>
    <xdr:clientData/>
  </xdr:twoCellAnchor>
</xdr:wsDr>
</file>

<file path=xl/drawings/drawing38.xml><?xml version="1.0" encoding="utf-8"?>
<xdr:wsDr xmlns:xdr="http://schemas.openxmlformats.org/drawingml/2006/spreadsheetDrawing" xmlns:a="http://schemas.openxmlformats.org/drawingml/2006/main">
  <xdr:twoCellAnchor>
    <xdr:from>
      <xdr:col>1</xdr:col>
      <xdr:colOff>381000</xdr:colOff>
      <xdr:row>1</xdr:row>
      <xdr:rowOff>9525</xdr:rowOff>
    </xdr:from>
    <xdr:to>
      <xdr:col>5</xdr:col>
      <xdr:colOff>323850</xdr:colOff>
      <xdr:row>3</xdr:row>
      <xdr:rowOff>76200</xdr:rowOff>
    </xdr:to>
    <xdr:sp macro="" textlink="">
      <xdr:nvSpPr>
        <xdr:cNvPr id="27649" name="AutoShape 1"/>
        <xdr:cNvSpPr>
          <a:spLocks noChangeArrowheads="1"/>
        </xdr:cNvSpPr>
      </xdr:nvSpPr>
      <xdr:spPr bwMode="auto">
        <a:xfrm>
          <a:off x="561975" y="171450"/>
          <a:ext cx="5067300" cy="61912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LE COMPTE DE RESULTAT</a:t>
          </a:r>
        </a:p>
      </xdr:txBody>
    </xdr:sp>
    <xdr:clientData/>
  </xdr:twoCellAnchor>
  <xdr:twoCellAnchor>
    <xdr:from>
      <xdr:col>0</xdr:col>
      <xdr:colOff>38100</xdr:colOff>
      <xdr:row>0</xdr:row>
      <xdr:rowOff>38100</xdr:rowOff>
    </xdr:from>
    <xdr:to>
      <xdr:col>6</xdr:col>
      <xdr:colOff>95250</xdr:colOff>
      <xdr:row>55</xdr:row>
      <xdr:rowOff>114300</xdr:rowOff>
    </xdr:to>
    <xdr:sp macro="" textlink="">
      <xdr:nvSpPr>
        <xdr:cNvPr id="27654" name="AutoShape 6"/>
        <xdr:cNvSpPr>
          <a:spLocks noChangeArrowheads="1"/>
        </xdr:cNvSpPr>
      </xdr:nvSpPr>
      <xdr:spPr bwMode="auto">
        <a:xfrm>
          <a:off x="38100" y="38100"/>
          <a:ext cx="5943600" cy="9648825"/>
        </a:xfrm>
        <a:prstGeom prst="roundRect">
          <a:avLst>
            <a:gd name="adj" fmla="val 2514"/>
          </a:avLst>
        </a:prstGeom>
        <a:noFill/>
        <a:ln w="9525">
          <a:solidFill>
            <a:srgbClr val="424242"/>
          </a:solidFill>
          <a:round/>
          <a:headEnd/>
          <a:tailEnd/>
        </a:ln>
        <a:effectLst/>
      </xdr:spPr>
    </xdr:sp>
    <xdr:clientData/>
  </xdr:twoCellAnchor>
</xdr:wsDr>
</file>

<file path=xl/drawings/drawing39.xml><?xml version="1.0" encoding="utf-8"?>
<xdr:wsDr xmlns:xdr="http://schemas.openxmlformats.org/drawingml/2006/spreadsheetDrawing" xmlns:a="http://schemas.openxmlformats.org/drawingml/2006/main">
  <xdr:twoCellAnchor>
    <xdr:from>
      <xdr:col>1</xdr:col>
      <xdr:colOff>381000</xdr:colOff>
      <xdr:row>1</xdr:row>
      <xdr:rowOff>95250</xdr:rowOff>
    </xdr:from>
    <xdr:to>
      <xdr:col>7</xdr:col>
      <xdr:colOff>95250</xdr:colOff>
      <xdr:row>3</xdr:row>
      <xdr:rowOff>161925</xdr:rowOff>
    </xdr:to>
    <xdr:sp macro="" textlink="">
      <xdr:nvSpPr>
        <xdr:cNvPr id="28673" name="AutoShape 1"/>
        <xdr:cNvSpPr>
          <a:spLocks noChangeArrowheads="1"/>
        </xdr:cNvSpPr>
      </xdr:nvSpPr>
      <xdr:spPr bwMode="auto">
        <a:xfrm>
          <a:off x="504825" y="200025"/>
          <a:ext cx="5067300" cy="61912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LE COMPTE DE RESULTAT</a:t>
          </a:r>
        </a:p>
      </xdr:txBody>
    </xdr:sp>
    <xdr:clientData/>
  </xdr:twoCellAnchor>
  <xdr:twoCellAnchor>
    <xdr:from>
      <xdr:col>0</xdr:col>
      <xdr:colOff>38100</xdr:colOff>
      <xdr:row>0</xdr:row>
      <xdr:rowOff>38100</xdr:rowOff>
    </xdr:from>
    <xdr:to>
      <xdr:col>8</xdr:col>
      <xdr:colOff>95250</xdr:colOff>
      <xdr:row>57</xdr:row>
      <xdr:rowOff>9525</xdr:rowOff>
    </xdr:to>
    <xdr:sp macro="" textlink="">
      <xdr:nvSpPr>
        <xdr:cNvPr id="28675" name="AutoShape 3"/>
        <xdr:cNvSpPr>
          <a:spLocks noChangeArrowheads="1"/>
        </xdr:cNvSpPr>
      </xdr:nvSpPr>
      <xdr:spPr bwMode="auto">
        <a:xfrm>
          <a:off x="38100" y="38100"/>
          <a:ext cx="5981700" cy="9763125"/>
        </a:xfrm>
        <a:prstGeom prst="roundRect">
          <a:avLst>
            <a:gd name="adj" fmla="val 2514"/>
          </a:avLst>
        </a:prstGeom>
        <a:noFill/>
        <a:ln w="9525">
          <a:solidFill>
            <a:srgbClr val="424242"/>
          </a:solidFill>
          <a:round/>
          <a:headEnd/>
          <a:tailEnd/>
        </a:ln>
        <a:effectLst/>
      </xdr:spPr>
    </xdr:sp>
    <xdr:clientData/>
  </xdr:twoCellAnchor>
</xdr:wsDr>
</file>

<file path=xl/drawings/drawing40.xml><?xml version="1.0" encoding="utf-8"?>
<xdr:wsDr xmlns:xdr="http://schemas.openxmlformats.org/drawingml/2006/spreadsheetDrawing" xmlns:a="http://schemas.openxmlformats.org/drawingml/2006/main">
  <xdr:twoCellAnchor>
    <xdr:from>
      <xdr:col>0</xdr:col>
      <xdr:colOff>323850</xdr:colOff>
      <xdr:row>1</xdr:row>
      <xdr:rowOff>38100</xdr:rowOff>
    </xdr:from>
    <xdr:to>
      <xdr:col>6</xdr:col>
      <xdr:colOff>304800</xdr:colOff>
      <xdr:row>4</xdr:row>
      <xdr:rowOff>47625</xdr:rowOff>
    </xdr:to>
    <xdr:sp macro="" textlink="">
      <xdr:nvSpPr>
        <xdr:cNvPr id="34818" name="AutoShape 2"/>
        <xdr:cNvSpPr>
          <a:spLocks noChangeArrowheads="1"/>
        </xdr:cNvSpPr>
      </xdr:nvSpPr>
      <xdr:spPr bwMode="auto">
        <a:xfrm>
          <a:off x="323850" y="161925"/>
          <a:ext cx="5543550" cy="495300"/>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DU RESULTAT A LA TRESORERIE</a:t>
          </a:r>
        </a:p>
      </xdr:txBody>
    </xdr:sp>
    <xdr:clientData/>
  </xdr:twoCellAnchor>
  <xdr:twoCellAnchor>
    <xdr:from>
      <xdr:col>0</xdr:col>
      <xdr:colOff>114300</xdr:colOff>
      <xdr:row>5</xdr:row>
      <xdr:rowOff>66675</xdr:rowOff>
    </xdr:from>
    <xdr:to>
      <xdr:col>7</xdr:col>
      <xdr:colOff>152400</xdr:colOff>
      <xdr:row>9</xdr:row>
      <xdr:rowOff>114300</xdr:rowOff>
    </xdr:to>
    <xdr:sp macro="" textlink="">
      <xdr:nvSpPr>
        <xdr:cNvPr id="34819" name="Text Box 3"/>
        <xdr:cNvSpPr txBox="1">
          <a:spLocks noChangeArrowheads="1"/>
        </xdr:cNvSpPr>
      </xdr:nvSpPr>
      <xdr:spPr bwMode="auto">
        <a:xfrm>
          <a:off x="114300" y="838200"/>
          <a:ext cx="5934075" cy="695325"/>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Tahoma"/>
              <a:ea typeface="Tahoma"/>
              <a:cs typeface="Tahoma"/>
            </a:rPr>
            <a:t>Le résultat "comptable" est obtenu après intégration de charges et produits "calculés" (amortissements et provisions) qui n'ont pas d'incidence sur la trésorerie. Inversement, certaines opérations influent sur la trésorerie sans incidence sur le résultat comptable (prélèvements, apports, investissements, emprunts, décalages de réglements). Le tableau ci-dessous présente ces différences :</a:t>
          </a:r>
        </a:p>
      </xdr:txBody>
    </xdr:sp>
    <xdr:clientData/>
  </xdr:twoCellAnchor>
  <xdr:twoCellAnchor>
    <xdr:from>
      <xdr:col>2</xdr:col>
      <xdr:colOff>285750</xdr:colOff>
      <xdr:row>10</xdr:row>
      <xdr:rowOff>47625</xdr:rowOff>
    </xdr:from>
    <xdr:to>
      <xdr:col>3</xdr:col>
      <xdr:colOff>819150</xdr:colOff>
      <xdr:row>12</xdr:row>
      <xdr:rowOff>38100</xdr:rowOff>
    </xdr:to>
    <xdr:sp macro="" textlink="">
      <xdr:nvSpPr>
        <xdr:cNvPr id="34820" name="AutoShape 4"/>
        <xdr:cNvSpPr>
          <a:spLocks noChangeArrowheads="1"/>
        </xdr:cNvSpPr>
      </xdr:nvSpPr>
      <xdr:spPr bwMode="auto">
        <a:xfrm>
          <a:off x="1381125" y="1628775"/>
          <a:ext cx="3276600" cy="247650"/>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36576" tIns="22860" rIns="36576" bIns="22860" anchor="ctr" upright="1"/>
        <a:lstStyle/>
        <a:p>
          <a:pPr algn="ctr" rtl="0">
            <a:defRPr sz="1000"/>
          </a:pPr>
          <a:r>
            <a:rPr lang="fr-FR" sz="1200" b="0" i="0" u="none" strike="noStrike" baseline="0">
              <a:solidFill>
                <a:srgbClr val="008080"/>
              </a:solidFill>
              <a:latin typeface="Tahoma"/>
              <a:ea typeface="Tahoma"/>
              <a:cs typeface="Tahoma"/>
            </a:rPr>
            <a:t>ce qui a alimenté votre trésorerie</a:t>
          </a:r>
        </a:p>
      </xdr:txBody>
    </xdr:sp>
    <xdr:clientData/>
  </xdr:twoCellAnchor>
  <xdr:twoCellAnchor>
    <xdr:from>
      <xdr:col>2</xdr:col>
      <xdr:colOff>333375</xdr:colOff>
      <xdr:row>36</xdr:row>
      <xdr:rowOff>9525</xdr:rowOff>
    </xdr:from>
    <xdr:to>
      <xdr:col>3</xdr:col>
      <xdr:colOff>809625</xdr:colOff>
      <xdr:row>37</xdr:row>
      <xdr:rowOff>152400</xdr:rowOff>
    </xdr:to>
    <xdr:sp macro="" textlink="">
      <xdr:nvSpPr>
        <xdr:cNvPr id="34821" name="AutoShape 5"/>
        <xdr:cNvSpPr>
          <a:spLocks noChangeArrowheads="1"/>
        </xdr:cNvSpPr>
      </xdr:nvSpPr>
      <xdr:spPr bwMode="auto">
        <a:xfrm>
          <a:off x="1428750" y="5391150"/>
          <a:ext cx="3219450" cy="266700"/>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36576" tIns="22860" rIns="36576" bIns="22860" anchor="ctr" upright="1"/>
        <a:lstStyle/>
        <a:p>
          <a:pPr algn="ctr" rtl="0">
            <a:defRPr sz="1000"/>
          </a:pPr>
          <a:r>
            <a:rPr lang="fr-FR" sz="1200" b="0" i="0" u="none" strike="noStrike" baseline="0">
              <a:solidFill>
                <a:srgbClr val="008080"/>
              </a:solidFill>
              <a:latin typeface="Tahoma"/>
              <a:ea typeface="Tahoma"/>
              <a:cs typeface="Tahoma"/>
            </a:rPr>
            <a:t>ce qui a diminué votre trésorerie</a:t>
          </a:r>
        </a:p>
      </xdr:txBody>
    </xdr:sp>
    <xdr:clientData/>
  </xdr:twoCellAnchor>
  <xdr:twoCellAnchor>
    <xdr:from>
      <xdr:col>0</xdr:col>
      <xdr:colOff>38100</xdr:colOff>
      <xdr:row>0</xdr:row>
      <xdr:rowOff>38100</xdr:rowOff>
    </xdr:from>
    <xdr:to>
      <xdr:col>7</xdr:col>
      <xdr:colOff>85725</xdr:colOff>
      <xdr:row>65</xdr:row>
      <xdr:rowOff>76200</xdr:rowOff>
    </xdr:to>
    <xdr:sp macro="" textlink="">
      <xdr:nvSpPr>
        <xdr:cNvPr id="34823" name="AutoShape 7"/>
        <xdr:cNvSpPr>
          <a:spLocks noChangeArrowheads="1"/>
        </xdr:cNvSpPr>
      </xdr:nvSpPr>
      <xdr:spPr bwMode="auto">
        <a:xfrm>
          <a:off x="38100" y="38100"/>
          <a:ext cx="5943600" cy="9667875"/>
        </a:xfrm>
        <a:prstGeom prst="roundRect">
          <a:avLst>
            <a:gd name="adj" fmla="val 2514"/>
          </a:avLst>
        </a:prstGeom>
        <a:noFill/>
        <a:ln w="9525">
          <a:solidFill>
            <a:srgbClr val="424242"/>
          </a:solidFill>
          <a:round/>
          <a:headEnd/>
          <a:tailEnd/>
        </a:ln>
        <a:effectLst/>
      </xdr:spPr>
    </xdr:sp>
    <xdr:clientData/>
  </xdr:twoCellAnchor>
</xdr:wsDr>
</file>

<file path=xl/drawings/drawing41.xml><?xml version="1.0" encoding="utf-8"?>
<xdr:wsDr xmlns:xdr="http://schemas.openxmlformats.org/drawingml/2006/spreadsheetDrawing" xmlns:a="http://schemas.openxmlformats.org/drawingml/2006/main">
  <xdr:twoCellAnchor>
    <xdr:from>
      <xdr:col>1</xdr:col>
      <xdr:colOff>247650</xdr:colOff>
      <xdr:row>1</xdr:row>
      <xdr:rowOff>9525</xdr:rowOff>
    </xdr:from>
    <xdr:to>
      <xdr:col>5</xdr:col>
      <xdr:colOff>390525</xdr:colOff>
      <xdr:row>3</xdr:row>
      <xdr:rowOff>152400</xdr:rowOff>
    </xdr:to>
    <xdr:sp macro="" textlink="">
      <xdr:nvSpPr>
        <xdr:cNvPr id="35842" name="AutoShape 2"/>
        <xdr:cNvSpPr>
          <a:spLocks noChangeArrowheads="1"/>
        </xdr:cNvSpPr>
      </xdr:nvSpPr>
      <xdr:spPr bwMode="auto">
        <a:xfrm>
          <a:off x="428625" y="200025"/>
          <a:ext cx="4933950" cy="46672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36576" rIns="54864" bIns="36576" anchor="ctr" upright="1"/>
        <a:lstStyle/>
        <a:p>
          <a:pPr algn="ctr" rtl="0">
            <a:defRPr sz="1000"/>
          </a:pPr>
          <a:r>
            <a:rPr lang="fr-FR" sz="2200" b="1" i="0" u="none" strike="noStrike" baseline="0">
              <a:solidFill>
                <a:srgbClr val="008080"/>
              </a:solidFill>
              <a:latin typeface="Tahoma"/>
              <a:ea typeface="Tahoma"/>
              <a:cs typeface="Tahoma"/>
            </a:rPr>
            <a:t>Variation du fonds de roulement</a:t>
          </a:r>
          <a:endParaRPr lang="fr-FR" sz="2400" b="1" i="0" u="none" strike="noStrike" baseline="0">
            <a:solidFill>
              <a:srgbClr val="008080"/>
            </a:solidFill>
            <a:latin typeface="Arial"/>
            <a:cs typeface="Arial"/>
          </a:endParaRPr>
        </a:p>
        <a:p>
          <a:pPr algn="ctr" rtl="0">
            <a:defRPr sz="1000"/>
          </a:pPr>
          <a:endParaRPr lang="fr-FR" sz="2400" b="1" i="0" u="none" strike="noStrike" baseline="0">
            <a:solidFill>
              <a:srgbClr val="008080"/>
            </a:solidFill>
            <a:latin typeface="Arial"/>
            <a:cs typeface="Arial"/>
          </a:endParaRPr>
        </a:p>
      </xdr:txBody>
    </xdr:sp>
    <xdr:clientData/>
  </xdr:twoCellAnchor>
  <xdr:twoCellAnchor>
    <xdr:from>
      <xdr:col>1</xdr:col>
      <xdr:colOff>47625</xdr:colOff>
      <xdr:row>41</xdr:row>
      <xdr:rowOff>0</xdr:rowOff>
    </xdr:from>
    <xdr:to>
      <xdr:col>6</xdr:col>
      <xdr:colOff>0</xdr:colOff>
      <xdr:row>43</xdr:row>
      <xdr:rowOff>152400</xdr:rowOff>
    </xdr:to>
    <xdr:sp macro="" textlink="">
      <xdr:nvSpPr>
        <xdr:cNvPr id="35843" name="AutoShape 3"/>
        <xdr:cNvSpPr>
          <a:spLocks noChangeArrowheads="1"/>
        </xdr:cNvSpPr>
      </xdr:nvSpPr>
      <xdr:spPr bwMode="auto">
        <a:xfrm>
          <a:off x="228600" y="5505450"/>
          <a:ext cx="5457825" cy="476250"/>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36576" rIns="54864" bIns="36576" anchor="ctr" upright="1"/>
        <a:lstStyle/>
        <a:p>
          <a:pPr algn="ctr" rtl="0">
            <a:defRPr sz="1000"/>
          </a:pPr>
          <a:r>
            <a:rPr lang="fr-FR" sz="2200" b="1" i="0" u="none" strike="noStrike" baseline="0">
              <a:solidFill>
                <a:srgbClr val="008080"/>
              </a:solidFill>
              <a:latin typeface="Tahoma"/>
              <a:ea typeface="Tahoma"/>
              <a:cs typeface="Tahoma"/>
            </a:rPr>
            <a:t>Détermination du fonds de roulement</a:t>
          </a:r>
        </a:p>
      </xdr:txBody>
    </xdr:sp>
    <xdr:clientData/>
  </xdr:twoCellAnchor>
  <xdr:twoCellAnchor>
    <xdr:from>
      <xdr:col>0</xdr:col>
      <xdr:colOff>57150</xdr:colOff>
      <xdr:row>0</xdr:row>
      <xdr:rowOff>38100</xdr:rowOff>
    </xdr:from>
    <xdr:to>
      <xdr:col>6</xdr:col>
      <xdr:colOff>133350</xdr:colOff>
      <xdr:row>69</xdr:row>
      <xdr:rowOff>19050</xdr:rowOff>
    </xdr:to>
    <xdr:sp macro="" textlink="">
      <xdr:nvSpPr>
        <xdr:cNvPr id="35844" name="AutoShape 4"/>
        <xdr:cNvSpPr>
          <a:spLocks noChangeArrowheads="1"/>
        </xdr:cNvSpPr>
      </xdr:nvSpPr>
      <xdr:spPr bwMode="auto">
        <a:xfrm>
          <a:off x="57150" y="38100"/>
          <a:ext cx="5762625" cy="9648825"/>
        </a:xfrm>
        <a:prstGeom prst="roundRect">
          <a:avLst>
            <a:gd name="adj" fmla="val 2514"/>
          </a:avLst>
        </a:prstGeom>
        <a:noFill/>
        <a:ln w="9525">
          <a:solidFill>
            <a:srgbClr val="424242"/>
          </a:solidFill>
          <a:round/>
          <a:headEnd/>
          <a:tailEnd/>
        </a:ln>
        <a:effectLst/>
      </xdr:spPr>
    </xdr:sp>
    <xdr:clientData/>
  </xdr:twoCellAnchor>
</xdr:wsDr>
</file>

<file path=xl/drawings/drawing42.xml><?xml version="1.0" encoding="utf-8"?>
<xdr:wsDr xmlns:xdr="http://schemas.openxmlformats.org/drawingml/2006/spreadsheetDrawing" xmlns:a="http://schemas.openxmlformats.org/drawingml/2006/main">
  <xdr:twoCellAnchor>
    <xdr:from>
      <xdr:col>2</xdr:col>
      <xdr:colOff>809625</xdr:colOff>
      <xdr:row>1</xdr:row>
      <xdr:rowOff>152400</xdr:rowOff>
    </xdr:from>
    <xdr:to>
      <xdr:col>3</xdr:col>
      <xdr:colOff>952500</xdr:colOff>
      <xdr:row>6</xdr:row>
      <xdr:rowOff>19050</xdr:rowOff>
    </xdr:to>
    <xdr:sp macro="" textlink="">
      <xdr:nvSpPr>
        <xdr:cNvPr id="31745" name="AutoShape 1"/>
        <xdr:cNvSpPr>
          <a:spLocks noChangeArrowheads="1"/>
        </xdr:cNvSpPr>
      </xdr:nvSpPr>
      <xdr:spPr bwMode="auto">
        <a:xfrm>
          <a:off x="1819275" y="247650"/>
          <a:ext cx="2705100" cy="666750"/>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BILAN</a:t>
          </a:r>
        </a:p>
      </xdr:txBody>
    </xdr:sp>
    <xdr:clientData/>
  </xdr:twoCellAnchor>
  <xdr:twoCellAnchor>
    <xdr:from>
      <xdr:col>0</xdr:col>
      <xdr:colOff>38100</xdr:colOff>
      <xdr:row>0</xdr:row>
      <xdr:rowOff>38100</xdr:rowOff>
    </xdr:from>
    <xdr:to>
      <xdr:col>5</xdr:col>
      <xdr:colOff>457200</xdr:colOff>
      <xdr:row>66</xdr:row>
      <xdr:rowOff>66675</xdr:rowOff>
    </xdr:to>
    <xdr:sp macro="" textlink="">
      <xdr:nvSpPr>
        <xdr:cNvPr id="31747" name="AutoShape 3"/>
        <xdr:cNvSpPr>
          <a:spLocks noChangeArrowheads="1"/>
        </xdr:cNvSpPr>
      </xdr:nvSpPr>
      <xdr:spPr bwMode="auto">
        <a:xfrm>
          <a:off x="38100" y="38100"/>
          <a:ext cx="5943600" cy="9753600"/>
        </a:xfrm>
        <a:prstGeom prst="roundRect">
          <a:avLst>
            <a:gd name="adj" fmla="val 2514"/>
          </a:avLst>
        </a:prstGeom>
        <a:noFill/>
        <a:ln w="9525">
          <a:solidFill>
            <a:srgbClr val="424242"/>
          </a:solidFill>
          <a:round/>
          <a:headEnd/>
          <a:tailEnd/>
        </a:ln>
        <a:effectLst/>
      </xdr:spPr>
    </xdr:sp>
    <xdr:clientData/>
  </xdr:twoCellAnchor>
</xdr:wsDr>
</file>

<file path=xl/drawings/drawing43.xml><?xml version="1.0" encoding="utf-8"?>
<xdr:wsDr xmlns:xdr="http://schemas.openxmlformats.org/drawingml/2006/spreadsheetDrawing" xmlns:a="http://schemas.openxmlformats.org/drawingml/2006/main">
  <xdr:twoCellAnchor>
    <xdr:from>
      <xdr:col>1</xdr:col>
      <xdr:colOff>1247775</xdr:colOff>
      <xdr:row>2</xdr:row>
      <xdr:rowOff>9525</xdr:rowOff>
    </xdr:from>
    <xdr:to>
      <xdr:col>3</xdr:col>
      <xdr:colOff>114300</xdr:colOff>
      <xdr:row>6</xdr:row>
      <xdr:rowOff>38100</xdr:rowOff>
    </xdr:to>
    <xdr:sp macro="" textlink="">
      <xdr:nvSpPr>
        <xdr:cNvPr id="32769" name="AutoShape 1"/>
        <xdr:cNvSpPr>
          <a:spLocks noChangeArrowheads="1"/>
        </xdr:cNvSpPr>
      </xdr:nvSpPr>
      <xdr:spPr bwMode="auto">
        <a:xfrm>
          <a:off x="1628775" y="333375"/>
          <a:ext cx="2705100" cy="67627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BILAN</a:t>
          </a:r>
        </a:p>
      </xdr:txBody>
    </xdr:sp>
    <xdr:clientData/>
  </xdr:twoCellAnchor>
  <xdr:twoCellAnchor>
    <xdr:from>
      <xdr:col>0</xdr:col>
      <xdr:colOff>38100</xdr:colOff>
      <xdr:row>0</xdr:row>
      <xdr:rowOff>38100</xdr:rowOff>
    </xdr:from>
    <xdr:to>
      <xdr:col>4</xdr:col>
      <xdr:colOff>304800</xdr:colOff>
      <xdr:row>64</xdr:row>
      <xdr:rowOff>85725</xdr:rowOff>
    </xdr:to>
    <xdr:sp macro="" textlink="">
      <xdr:nvSpPr>
        <xdr:cNvPr id="32771" name="AutoShape 3"/>
        <xdr:cNvSpPr>
          <a:spLocks noChangeArrowheads="1"/>
        </xdr:cNvSpPr>
      </xdr:nvSpPr>
      <xdr:spPr bwMode="auto">
        <a:xfrm>
          <a:off x="38100" y="38100"/>
          <a:ext cx="5781675" cy="9725025"/>
        </a:xfrm>
        <a:prstGeom prst="roundRect">
          <a:avLst>
            <a:gd name="adj" fmla="val 2514"/>
          </a:avLst>
        </a:prstGeom>
        <a:noFill/>
        <a:ln w="9525">
          <a:solidFill>
            <a:srgbClr val="424242"/>
          </a:solidFill>
          <a:round/>
          <a:headEnd/>
          <a:tailEnd/>
        </a:ln>
        <a:effectLst/>
      </xdr:spPr>
    </xdr:sp>
    <xdr:clientData/>
  </xdr:twoCellAnchor>
</xdr:wsDr>
</file>

<file path=xl/drawings/drawing44.xml><?xml version="1.0" encoding="utf-8"?>
<xdr:wsDr xmlns:xdr="http://schemas.openxmlformats.org/drawingml/2006/spreadsheetDrawing" xmlns:a="http://schemas.openxmlformats.org/drawingml/2006/main">
  <xdr:twoCellAnchor>
    <xdr:from>
      <xdr:col>1</xdr:col>
      <xdr:colOff>1009650</xdr:colOff>
      <xdr:row>1</xdr:row>
      <xdr:rowOff>9525</xdr:rowOff>
    </xdr:from>
    <xdr:to>
      <xdr:col>3</xdr:col>
      <xdr:colOff>857250</xdr:colOff>
      <xdr:row>5</xdr:row>
      <xdr:rowOff>38100</xdr:rowOff>
    </xdr:to>
    <xdr:sp macro="" textlink="">
      <xdr:nvSpPr>
        <xdr:cNvPr id="33793" name="AutoShape 1"/>
        <xdr:cNvSpPr>
          <a:spLocks noChangeArrowheads="1"/>
        </xdr:cNvSpPr>
      </xdr:nvSpPr>
      <xdr:spPr bwMode="auto">
        <a:xfrm>
          <a:off x="1266825" y="171450"/>
          <a:ext cx="3390900" cy="628650"/>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BILAN</a:t>
          </a:r>
        </a:p>
      </xdr:txBody>
    </xdr:sp>
    <xdr:clientData/>
  </xdr:twoCellAnchor>
  <xdr:twoCellAnchor>
    <xdr:from>
      <xdr:col>0</xdr:col>
      <xdr:colOff>38100</xdr:colOff>
      <xdr:row>0</xdr:row>
      <xdr:rowOff>38100</xdr:rowOff>
    </xdr:from>
    <xdr:to>
      <xdr:col>5</xdr:col>
      <xdr:colOff>219075</xdr:colOff>
      <xdr:row>64</xdr:row>
      <xdr:rowOff>85725</xdr:rowOff>
    </xdr:to>
    <xdr:sp macro="" textlink="">
      <xdr:nvSpPr>
        <xdr:cNvPr id="33795" name="AutoShape 3"/>
        <xdr:cNvSpPr>
          <a:spLocks noChangeArrowheads="1"/>
        </xdr:cNvSpPr>
      </xdr:nvSpPr>
      <xdr:spPr bwMode="auto">
        <a:xfrm>
          <a:off x="38100" y="38100"/>
          <a:ext cx="5943600" cy="9677400"/>
        </a:xfrm>
        <a:prstGeom prst="roundRect">
          <a:avLst>
            <a:gd name="adj" fmla="val 2514"/>
          </a:avLst>
        </a:prstGeom>
        <a:noFill/>
        <a:ln w="9525">
          <a:solidFill>
            <a:srgbClr val="424242"/>
          </a:solidFill>
          <a:round/>
          <a:headEnd/>
          <a:tailEnd/>
        </a:ln>
        <a:effectLst/>
      </xdr:spPr>
    </xdr:sp>
    <xdr:clientData/>
  </xdr:twoCellAnchor>
</xdr:wsDr>
</file>

<file path=xl/drawings/drawing45.xml><?xml version="1.0" encoding="utf-8"?>
<xdr:wsDr xmlns:xdr="http://schemas.openxmlformats.org/drawingml/2006/spreadsheetDrawing" xmlns:a="http://schemas.openxmlformats.org/drawingml/2006/main">
  <xdr:twoCellAnchor>
    <xdr:from>
      <xdr:col>4</xdr:col>
      <xdr:colOff>0</xdr:colOff>
      <xdr:row>6</xdr:row>
      <xdr:rowOff>133350</xdr:rowOff>
    </xdr:from>
    <xdr:to>
      <xdr:col>4</xdr:col>
      <xdr:colOff>457200</xdr:colOff>
      <xdr:row>8</xdr:row>
      <xdr:rowOff>152400</xdr:rowOff>
    </xdr:to>
    <xdr:sp macro="" textlink="">
      <xdr:nvSpPr>
        <xdr:cNvPr id="18433" name="Arc 1"/>
        <xdr:cNvSpPr>
          <a:spLocks/>
        </xdr:cNvSpPr>
      </xdr:nvSpPr>
      <xdr:spPr bwMode="auto">
        <a:xfrm flipH="1">
          <a:off x="4505325" y="1219200"/>
          <a:ext cx="457200" cy="342900"/>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close/>
            </a:path>
          </a:pathLst>
        </a:custGeom>
        <a:solidFill>
          <a:srgbClr val="C0C0C0"/>
        </a:solidFill>
        <a:ln w="17145">
          <a:solidFill>
            <a:srgbClr val="000000"/>
          </a:solidFill>
          <a:round/>
          <a:headEnd/>
          <a:tailEnd/>
        </a:ln>
      </xdr:spPr>
    </xdr:sp>
    <xdr:clientData/>
  </xdr:twoCellAnchor>
  <xdr:twoCellAnchor>
    <xdr:from>
      <xdr:col>4</xdr:col>
      <xdr:colOff>447675</xdr:colOff>
      <xdr:row>6</xdr:row>
      <xdr:rowOff>133350</xdr:rowOff>
    </xdr:from>
    <xdr:to>
      <xdr:col>5</xdr:col>
      <xdr:colOff>0</xdr:colOff>
      <xdr:row>8</xdr:row>
      <xdr:rowOff>152400</xdr:rowOff>
    </xdr:to>
    <xdr:sp macro="" textlink="">
      <xdr:nvSpPr>
        <xdr:cNvPr id="18435" name="Arc 3"/>
        <xdr:cNvSpPr>
          <a:spLocks/>
        </xdr:cNvSpPr>
      </xdr:nvSpPr>
      <xdr:spPr bwMode="auto">
        <a:xfrm>
          <a:off x="4953000" y="1219200"/>
          <a:ext cx="533400" cy="342900"/>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close/>
            </a:path>
          </a:pathLst>
        </a:custGeom>
        <a:solidFill>
          <a:srgbClr val="C0C0C0"/>
        </a:solidFill>
        <a:ln w="17145">
          <a:solidFill>
            <a:srgbClr val="000000"/>
          </a:solidFill>
          <a:round/>
          <a:headEnd/>
          <a:tailEnd/>
        </a:ln>
      </xdr:spPr>
    </xdr:sp>
    <xdr:clientData/>
  </xdr:twoCellAnchor>
  <xdr:twoCellAnchor>
    <xdr:from>
      <xdr:col>4</xdr:col>
      <xdr:colOff>104775</xdr:colOff>
      <xdr:row>7</xdr:row>
      <xdr:rowOff>152400</xdr:rowOff>
    </xdr:from>
    <xdr:to>
      <xdr:col>4</xdr:col>
      <xdr:colOff>876300</xdr:colOff>
      <xdr:row>8</xdr:row>
      <xdr:rowOff>152400</xdr:rowOff>
    </xdr:to>
    <xdr:sp macro="" textlink="G9">
      <xdr:nvSpPr>
        <xdr:cNvPr id="18436" name="Texte 48"/>
        <xdr:cNvSpPr txBox="1">
          <a:spLocks noChangeArrowheads="1"/>
        </xdr:cNvSpPr>
      </xdr:nvSpPr>
      <xdr:spPr bwMode="auto">
        <a:xfrm>
          <a:off x="4610100" y="1400175"/>
          <a:ext cx="771525" cy="161925"/>
        </a:xfrm>
        <a:prstGeom prst="rect">
          <a:avLst/>
        </a:prstGeom>
        <a:noFill/>
        <a:ln w="1">
          <a:noFill/>
          <a:miter lim="800000"/>
          <a:headEnd/>
          <a:tailEnd/>
        </a:ln>
      </xdr:spPr>
      <xdr:txBody>
        <a:bodyPr vertOverflow="clip" wrap="square" lIns="27432" tIns="22860" rIns="27432" bIns="0" anchor="t" upright="1"/>
        <a:lstStyle/>
        <a:p>
          <a:pPr algn="ctr" rtl="0">
            <a:defRPr sz="1000"/>
          </a:pPr>
          <a:fld id="{A9C03281-E705-4ECC-93BE-F141F65CBB23}" type="TxLink">
            <a:rPr lang="fr-FR" sz="1000" b="0" i="0" u="none" strike="noStrike" baseline="0">
              <a:solidFill>
                <a:srgbClr val="000000"/>
              </a:solidFill>
              <a:latin typeface="Tahoma"/>
              <a:ea typeface="Tahoma"/>
              <a:cs typeface="Tahoma"/>
            </a:rPr>
            <a:pPr algn="ctr" rtl="0">
              <a:defRPr sz="1000"/>
            </a:pPr>
            <a:t>30/06/2017</a:t>
          </a:fld>
          <a:endParaRPr lang="fr-FR" sz="1000" b="0" i="0" u="none" strike="noStrike" baseline="0">
            <a:solidFill>
              <a:srgbClr val="000000"/>
            </a:solidFill>
            <a:latin typeface="Tahoma"/>
            <a:ea typeface="Tahoma"/>
            <a:cs typeface="Tahoma"/>
          </a:endParaRPr>
        </a:p>
      </xdr:txBody>
    </xdr:sp>
    <xdr:clientData/>
  </xdr:twoCellAnchor>
  <xdr:twoCellAnchor>
    <xdr:from>
      <xdr:col>2</xdr:col>
      <xdr:colOff>66675</xdr:colOff>
      <xdr:row>1</xdr:row>
      <xdr:rowOff>0</xdr:rowOff>
    </xdr:from>
    <xdr:to>
      <xdr:col>4</xdr:col>
      <xdr:colOff>828675</xdr:colOff>
      <xdr:row>4</xdr:row>
      <xdr:rowOff>76200</xdr:rowOff>
    </xdr:to>
    <xdr:sp macro="" textlink="">
      <xdr:nvSpPr>
        <xdr:cNvPr id="18438" name="AutoShape 6"/>
        <xdr:cNvSpPr>
          <a:spLocks noChangeArrowheads="1"/>
        </xdr:cNvSpPr>
      </xdr:nvSpPr>
      <xdr:spPr bwMode="auto">
        <a:xfrm>
          <a:off x="495300" y="161925"/>
          <a:ext cx="4838700" cy="67627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QUELQUES RATIOS CLES</a:t>
          </a:r>
        </a:p>
      </xdr:txBody>
    </xdr:sp>
    <xdr:clientData/>
  </xdr:twoCellAnchor>
  <xdr:twoCellAnchor>
    <xdr:from>
      <xdr:col>0</xdr:col>
      <xdr:colOff>38100</xdr:colOff>
      <xdr:row>0</xdr:row>
      <xdr:rowOff>38100</xdr:rowOff>
    </xdr:from>
    <xdr:to>
      <xdr:col>5</xdr:col>
      <xdr:colOff>190500</xdr:colOff>
      <xdr:row>53</xdr:row>
      <xdr:rowOff>76200</xdr:rowOff>
    </xdr:to>
    <xdr:sp macro="" textlink="">
      <xdr:nvSpPr>
        <xdr:cNvPr id="18439" name="AutoShape 7"/>
        <xdr:cNvSpPr>
          <a:spLocks noChangeArrowheads="1"/>
        </xdr:cNvSpPr>
      </xdr:nvSpPr>
      <xdr:spPr bwMode="auto">
        <a:xfrm>
          <a:off x="38100" y="38100"/>
          <a:ext cx="5638800" cy="9134475"/>
        </a:xfrm>
        <a:prstGeom prst="roundRect">
          <a:avLst>
            <a:gd name="adj" fmla="val 2514"/>
          </a:avLst>
        </a:prstGeom>
        <a:noFill/>
        <a:ln w="9525">
          <a:solidFill>
            <a:srgbClr val="424242"/>
          </a:solidFill>
          <a:round/>
          <a:headEnd/>
          <a:tailEnd/>
        </a:ln>
        <a:effectLst/>
      </xdr:spPr>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0</xdr:colOff>
      <xdr:row>10</xdr:row>
      <xdr:rowOff>66675</xdr:rowOff>
    </xdr:from>
    <xdr:to>
      <xdr:col>5</xdr:col>
      <xdr:colOff>0</xdr:colOff>
      <xdr:row>12</xdr:row>
      <xdr:rowOff>0</xdr:rowOff>
    </xdr:to>
    <xdr:sp macro="" textlink="">
      <xdr:nvSpPr>
        <xdr:cNvPr id="19457" name="Line 1"/>
        <xdr:cNvSpPr>
          <a:spLocks noChangeShapeType="1"/>
        </xdr:cNvSpPr>
      </xdr:nvSpPr>
      <xdr:spPr bwMode="auto">
        <a:xfrm flipV="1">
          <a:off x="5172075" y="1800225"/>
          <a:ext cx="0" cy="257175"/>
        </a:xfrm>
        <a:prstGeom prst="line">
          <a:avLst/>
        </a:prstGeom>
        <a:noFill/>
        <a:ln w="9525">
          <a:solidFill>
            <a:srgbClr val="000000"/>
          </a:solidFill>
          <a:round/>
          <a:headEnd/>
          <a:tailEnd/>
        </a:ln>
      </xdr:spPr>
    </xdr:sp>
    <xdr:clientData/>
  </xdr:twoCellAnchor>
  <xdr:twoCellAnchor>
    <xdr:from>
      <xdr:col>4</xdr:col>
      <xdr:colOff>0</xdr:colOff>
      <xdr:row>7</xdr:row>
      <xdr:rowOff>161925</xdr:rowOff>
    </xdr:from>
    <xdr:to>
      <xdr:col>5</xdr:col>
      <xdr:colOff>38100</xdr:colOff>
      <xdr:row>11</xdr:row>
      <xdr:rowOff>152400</xdr:rowOff>
    </xdr:to>
    <xdr:sp macro="" textlink="">
      <xdr:nvSpPr>
        <xdr:cNvPr id="19458" name="Arc 2"/>
        <xdr:cNvSpPr>
          <a:spLocks/>
        </xdr:cNvSpPr>
      </xdr:nvSpPr>
      <xdr:spPr bwMode="auto">
        <a:xfrm flipH="1">
          <a:off x="4391025" y="1409700"/>
          <a:ext cx="819150" cy="638175"/>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close/>
            </a:path>
          </a:pathLst>
        </a:custGeom>
        <a:solidFill>
          <a:srgbClr val="C0C0C0"/>
        </a:solidFill>
        <a:ln w="17145">
          <a:solidFill>
            <a:srgbClr val="000000"/>
          </a:solidFill>
          <a:round/>
          <a:headEnd/>
          <a:tailEnd/>
        </a:ln>
      </xdr:spPr>
    </xdr:sp>
    <xdr:clientData/>
  </xdr:twoCellAnchor>
  <xdr:twoCellAnchor>
    <xdr:from>
      <xdr:col>5</xdr:col>
      <xdr:colOff>9525</xdr:colOff>
      <xdr:row>7</xdr:row>
      <xdr:rowOff>161925</xdr:rowOff>
    </xdr:from>
    <xdr:to>
      <xdr:col>6</xdr:col>
      <xdr:colOff>0</xdr:colOff>
      <xdr:row>11</xdr:row>
      <xdr:rowOff>152400</xdr:rowOff>
    </xdr:to>
    <xdr:sp macro="" textlink="">
      <xdr:nvSpPr>
        <xdr:cNvPr id="19459" name="Arc 3"/>
        <xdr:cNvSpPr>
          <a:spLocks/>
        </xdr:cNvSpPr>
      </xdr:nvSpPr>
      <xdr:spPr bwMode="auto">
        <a:xfrm>
          <a:off x="5181600" y="1409700"/>
          <a:ext cx="771525" cy="638175"/>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close/>
            </a:path>
          </a:pathLst>
        </a:custGeom>
        <a:solidFill>
          <a:srgbClr val="C0C0C0"/>
        </a:solidFill>
        <a:ln w="17145">
          <a:solidFill>
            <a:srgbClr val="000000"/>
          </a:solidFill>
          <a:round/>
          <a:headEnd/>
          <a:tailEnd/>
        </a:ln>
      </xdr:spPr>
    </xdr:sp>
    <xdr:clientData/>
  </xdr:twoCellAnchor>
  <xdr:twoCellAnchor>
    <xdr:from>
      <xdr:col>5</xdr:col>
      <xdr:colOff>19050</xdr:colOff>
      <xdr:row>10</xdr:row>
      <xdr:rowOff>104775</xdr:rowOff>
    </xdr:from>
    <xdr:to>
      <xdr:col>5</xdr:col>
      <xdr:colOff>771525</xdr:colOff>
      <xdr:row>11</xdr:row>
      <xdr:rowOff>95250</xdr:rowOff>
    </xdr:to>
    <xdr:sp macro="" textlink="I12">
      <xdr:nvSpPr>
        <xdr:cNvPr id="19460" name="Texte 49"/>
        <xdr:cNvSpPr txBox="1">
          <a:spLocks noChangeArrowheads="1"/>
        </xdr:cNvSpPr>
      </xdr:nvSpPr>
      <xdr:spPr bwMode="auto">
        <a:xfrm>
          <a:off x="5191125" y="1838325"/>
          <a:ext cx="752475" cy="152400"/>
        </a:xfrm>
        <a:prstGeom prst="rect">
          <a:avLst/>
        </a:prstGeom>
        <a:noFill/>
        <a:ln w="1">
          <a:noFill/>
          <a:miter lim="800000"/>
          <a:headEnd/>
          <a:tailEnd/>
        </a:ln>
      </xdr:spPr>
      <xdr:txBody>
        <a:bodyPr vertOverflow="clip" wrap="square" lIns="27432" tIns="22860" rIns="27432" bIns="0" anchor="t" upright="1"/>
        <a:lstStyle/>
        <a:p>
          <a:pPr algn="ctr" rtl="0">
            <a:defRPr sz="1000"/>
          </a:pPr>
          <a:fld id="{CF2F1B2D-BB0C-44DC-9896-78AC69875FEA}" type="TxLink">
            <a:rPr lang="fr-FR" sz="1000" b="0" i="0" u="none" strike="noStrike" baseline="0">
              <a:solidFill>
                <a:srgbClr val="000000"/>
              </a:solidFill>
              <a:latin typeface="Tahoma"/>
              <a:ea typeface="Tahoma"/>
              <a:cs typeface="Tahoma"/>
            </a:rPr>
            <a:pPr algn="ctr" rtl="0">
              <a:defRPr sz="1000"/>
            </a:pPr>
            <a:t>30/06/2016</a:t>
          </a:fld>
          <a:endParaRPr lang="fr-FR" sz="1000" b="0" i="0" u="none" strike="noStrike" baseline="0">
            <a:solidFill>
              <a:srgbClr val="000000"/>
            </a:solidFill>
            <a:latin typeface="Tahoma"/>
            <a:ea typeface="Tahoma"/>
            <a:cs typeface="Tahoma"/>
          </a:endParaRPr>
        </a:p>
      </xdr:txBody>
    </xdr:sp>
    <xdr:clientData/>
  </xdr:twoCellAnchor>
  <xdr:twoCellAnchor>
    <xdr:from>
      <xdr:col>5</xdr:col>
      <xdr:colOff>0</xdr:colOff>
      <xdr:row>10</xdr:row>
      <xdr:rowOff>142875</xdr:rowOff>
    </xdr:from>
    <xdr:to>
      <xdr:col>5</xdr:col>
      <xdr:colOff>0</xdr:colOff>
      <xdr:row>12</xdr:row>
      <xdr:rowOff>38100</xdr:rowOff>
    </xdr:to>
    <xdr:sp macro="" textlink="">
      <xdr:nvSpPr>
        <xdr:cNvPr id="19461" name="Line 5"/>
        <xdr:cNvSpPr>
          <a:spLocks noChangeShapeType="1"/>
        </xdr:cNvSpPr>
      </xdr:nvSpPr>
      <xdr:spPr bwMode="auto">
        <a:xfrm flipV="1">
          <a:off x="5172075" y="1876425"/>
          <a:ext cx="0" cy="219075"/>
        </a:xfrm>
        <a:prstGeom prst="line">
          <a:avLst/>
        </a:prstGeom>
        <a:noFill/>
        <a:ln w="9525">
          <a:solidFill>
            <a:srgbClr val="000000"/>
          </a:solidFill>
          <a:round/>
          <a:headEnd/>
          <a:tailEnd/>
        </a:ln>
      </xdr:spPr>
    </xdr:sp>
    <xdr:clientData/>
  </xdr:twoCellAnchor>
  <xdr:twoCellAnchor>
    <xdr:from>
      <xdr:col>4</xdr:col>
      <xdr:colOff>47625</xdr:colOff>
      <xdr:row>10</xdr:row>
      <xdr:rowOff>114300</xdr:rowOff>
    </xdr:from>
    <xdr:to>
      <xdr:col>5</xdr:col>
      <xdr:colOff>19050</xdr:colOff>
      <xdr:row>11</xdr:row>
      <xdr:rowOff>104775</xdr:rowOff>
    </xdr:to>
    <xdr:sp macro="" textlink="H12">
      <xdr:nvSpPr>
        <xdr:cNvPr id="19463" name="Texte 56"/>
        <xdr:cNvSpPr txBox="1">
          <a:spLocks noChangeArrowheads="1"/>
        </xdr:cNvSpPr>
      </xdr:nvSpPr>
      <xdr:spPr bwMode="auto">
        <a:xfrm>
          <a:off x="4438650" y="1847850"/>
          <a:ext cx="752475" cy="152400"/>
        </a:xfrm>
        <a:prstGeom prst="rect">
          <a:avLst/>
        </a:prstGeom>
        <a:noFill/>
        <a:ln w="1">
          <a:noFill/>
          <a:miter lim="800000"/>
          <a:headEnd/>
          <a:tailEnd/>
        </a:ln>
      </xdr:spPr>
      <xdr:txBody>
        <a:bodyPr vertOverflow="clip" wrap="square" lIns="27432" tIns="22860" rIns="27432" bIns="0" anchor="t" upright="1"/>
        <a:lstStyle/>
        <a:p>
          <a:pPr algn="ctr" rtl="0">
            <a:defRPr sz="1000"/>
          </a:pPr>
          <a:fld id="{7C85D0E1-F6D8-4BE5-9BC4-8170F1C1EBDF}" type="TxLink">
            <a:rPr lang="fr-FR" sz="1000" b="0" i="0" u="none" strike="noStrike" baseline="0">
              <a:solidFill>
                <a:srgbClr val="000000"/>
              </a:solidFill>
              <a:latin typeface="Tahoma"/>
              <a:ea typeface="Tahoma"/>
              <a:cs typeface="Tahoma"/>
            </a:rPr>
            <a:pPr algn="ctr" rtl="0">
              <a:defRPr sz="1000"/>
            </a:pPr>
            <a:t>30/06/2017</a:t>
          </a:fld>
          <a:endParaRPr lang="fr-FR" sz="1000" b="0" i="0" u="none" strike="noStrike" baseline="0">
            <a:solidFill>
              <a:srgbClr val="000000"/>
            </a:solidFill>
            <a:latin typeface="Tahoma"/>
            <a:ea typeface="Tahoma"/>
            <a:cs typeface="Tahoma"/>
          </a:endParaRPr>
        </a:p>
      </xdr:txBody>
    </xdr:sp>
    <xdr:clientData/>
  </xdr:twoCellAnchor>
  <xdr:twoCellAnchor>
    <xdr:from>
      <xdr:col>2</xdr:col>
      <xdr:colOff>228600</xdr:colOff>
      <xdr:row>2</xdr:row>
      <xdr:rowOff>142875</xdr:rowOff>
    </xdr:from>
    <xdr:to>
      <xdr:col>5</xdr:col>
      <xdr:colOff>323850</xdr:colOff>
      <xdr:row>6</xdr:row>
      <xdr:rowOff>171450</xdr:rowOff>
    </xdr:to>
    <xdr:sp macro="" textlink="">
      <xdr:nvSpPr>
        <xdr:cNvPr id="19465" name="AutoShape 9"/>
        <xdr:cNvSpPr>
          <a:spLocks noChangeArrowheads="1"/>
        </xdr:cNvSpPr>
      </xdr:nvSpPr>
      <xdr:spPr bwMode="auto">
        <a:xfrm>
          <a:off x="657225" y="466725"/>
          <a:ext cx="4838700" cy="67627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QUELQUES RATIOS CLES</a:t>
          </a:r>
        </a:p>
      </xdr:txBody>
    </xdr:sp>
    <xdr:clientData/>
  </xdr:twoCellAnchor>
  <xdr:twoCellAnchor>
    <xdr:from>
      <xdr:col>0</xdr:col>
      <xdr:colOff>38100</xdr:colOff>
      <xdr:row>0</xdr:row>
      <xdr:rowOff>38100</xdr:rowOff>
    </xdr:from>
    <xdr:to>
      <xdr:col>6</xdr:col>
      <xdr:colOff>76200</xdr:colOff>
      <xdr:row>55</xdr:row>
      <xdr:rowOff>95250</xdr:rowOff>
    </xdr:to>
    <xdr:sp macro="" textlink="">
      <xdr:nvSpPr>
        <xdr:cNvPr id="19466" name="AutoShape 10"/>
        <xdr:cNvSpPr>
          <a:spLocks noChangeArrowheads="1"/>
        </xdr:cNvSpPr>
      </xdr:nvSpPr>
      <xdr:spPr bwMode="auto">
        <a:xfrm>
          <a:off x="38100" y="38100"/>
          <a:ext cx="5991225" cy="9477375"/>
        </a:xfrm>
        <a:prstGeom prst="roundRect">
          <a:avLst>
            <a:gd name="adj" fmla="val 2514"/>
          </a:avLst>
        </a:prstGeom>
        <a:noFill/>
        <a:ln w="9525">
          <a:solidFill>
            <a:srgbClr val="424242"/>
          </a:solidFill>
          <a:round/>
          <a:headEnd/>
          <a:tailEnd/>
        </a:ln>
        <a:effectLst/>
      </xdr:spPr>
    </xdr:sp>
    <xdr:clientData/>
  </xdr:twoCellAnchor>
</xdr:wsDr>
</file>

<file path=xl/drawings/drawing47.xml><?xml version="1.0" encoding="utf-8"?>
<xdr:wsDr xmlns:xdr="http://schemas.openxmlformats.org/drawingml/2006/spreadsheetDrawing" xmlns:a="http://schemas.openxmlformats.org/drawingml/2006/main">
  <xdr:twoCellAnchor>
    <xdr:from>
      <xdr:col>5</xdr:col>
      <xdr:colOff>0</xdr:colOff>
      <xdr:row>10</xdr:row>
      <xdr:rowOff>66675</xdr:rowOff>
    </xdr:from>
    <xdr:to>
      <xdr:col>5</xdr:col>
      <xdr:colOff>0</xdr:colOff>
      <xdr:row>12</xdr:row>
      <xdr:rowOff>0</xdr:rowOff>
    </xdr:to>
    <xdr:sp macro="" textlink="">
      <xdr:nvSpPr>
        <xdr:cNvPr id="20507" name="Line 27"/>
        <xdr:cNvSpPr>
          <a:spLocks noChangeShapeType="1"/>
        </xdr:cNvSpPr>
      </xdr:nvSpPr>
      <xdr:spPr bwMode="auto">
        <a:xfrm flipV="1">
          <a:off x="4400550" y="1666875"/>
          <a:ext cx="0" cy="257175"/>
        </a:xfrm>
        <a:prstGeom prst="line">
          <a:avLst/>
        </a:prstGeom>
        <a:noFill/>
        <a:ln w="9525">
          <a:solidFill>
            <a:srgbClr val="000000"/>
          </a:solidFill>
          <a:round/>
          <a:headEnd/>
          <a:tailEnd/>
        </a:ln>
      </xdr:spPr>
    </xdr:sp>
    <xdr:clientData/>
  </xdr:twoCellAnchor>
  <xdr:twoCellAnchor>
    <xdr:from>
      <xdr:col>6</xdr:col>
      <xdr:colOff>0</xdr:colOff>
      <xdr:row>10</xdr:row>
      <xdr:rowOff>47625</xdr:rowOff>
    </xdr:from>
    <xdr:to>
      <xdr:col>6</xdr:col>
      <xdr:colOff>0</xdr:colOff>
      <xdr:row>11</xdr:row>
      <xdr:rowOff>152400</xdr:rowOff>
    </xdr:to>
    <xdr:sp macro="" textlink="">
      <xdr:nvSpPr>
        <xdr:cNvPr id="20512" name="Line 32"/>
        <xdr:cNvSpPr>
          <a:spLocks noChangeShapeType="1"/>
        </xdr:cNvSpPr>
      </xdr:nvSpPr>
      <xdr:spPr bwMode="auto">
        <a:xfrm flipV="1">
          <a:off x="5181600" y="1647825"/>
          <a:ext cx="0" cy="266700"/>
        </a:xfrm>
        <a:prstGeom prst="line">
          <a:avLst/>
        </a:prstGeom>
        <a:noFill/>
        <a:ln w="9525">
          <a:solidFill>
            <a:srgbClr val="000000"/>
          </a:solidFill>
          <a:round/>
          <a:headEnd/>
          <a:tailEnd/>
        </a:ln>
      </xdr:spPr>
    </xdr:sp>
    <xdr:clientData/>
  </xdr:twoCellAnchor>
  <xdr:twoCellAnchor>
    <xdr:from>
      <xdr:col>4</xdr:col>
      <xdr:colOff>0</xdr:colOff>
      <xdr:row>7</xdr:row>
      <xdr:rowOff>161925</xdr:rowOff>
    </xdr:from>
    <xdr:to>
      <xdr:col>5</xdr:col>
      <xdr:colOff>390525</xdr:colOff>
      <xdr:row>11</xdr:row>
      <xdr:rowOff>152400</xdr:rowOff>
    </xdr:to>
    <xdr:sp macro="" textlink="">
      <xdr:nvSpPr>
        <xdr:cNvPr id="20526" name="Arc 46"/>
        <xdr:cNvSpPr>
          <a:spLocks/>
        </xdr:cNvSpPr>
      </xdr:nvSpPr>
      <xdr:spPr bwMode="auto">
        <a:xfrm flipH="1">
          <a:off x="3619500" y="1276350"/>
          <a:ext cx="1171575" cy="638175"/>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close/>
            </a:path>
          </a:pathLst>
        </a:custGeom>
        <a:solidFill>
          <a:srgbClr val="C0C0C0"/>
        </a:solidFill>
        <a:ln w="17145">
          <a:solidFill>
            <a:srgbClr val="000000"/>
          </a:solidFill>
          <a:round/>
          <a:headEnd/>
          <a:tailEnd/>
        </a:ln>
      </xdr:spPr>
    </xdr:sp>
    <xdr:clientData/>
  </xdr:twoCellAnchor>
  <xdr:twoCellAnchor>
    <xdr:from>
      <xdr:col>5</xdr:col>
      <xdr:colOff>371475</xdr:colOff>
      <xdr:row>7</xdr:row>
      <xdr:rowOff>161925</xdr:rowOff>
    </xdr:from>
    <xdr:to>
      <xdr:col>7</xdr:col>
      <xdr:colOff>0</xdr:colOff>
      <xdr:row>11</xdr:row>
      <xdr:rowOff>152400</xdr:rowOff>
    </xdr:to>
    <xdr:sp macro="" textlink="">
      <xdr:nvSpPr>
        <xdr:cNvPr id="20527" name="Arc 47"/>
        <xdr:cNvSpPr>
          <a:spLocks/>
        </xdr:cNvSpPr>
      </xdr:nvSpPr>
      <xdr:spPr bwMode="auto">
        <a:xfrm>
          <a:off x="4772025" y="1276350"/>
          <a:ext cx="1190625" cy="638175"/>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close/>
            </a:path>
          </a:pathLst>
        </a:custGeom>
        <a:solidFill>
          <a:srgbClr val="C0C0C0"/>
        </a:solidFill>
        <a:ln w="17145">
          <a:solidFill>
            <a:srgbClr val="000000"/>
          </a:solidFill>
          <a:round/>
          <a:headEnd/>
          <a:tailEnd/>
        </a:ln>
      </xdr:spPr>
    </xdr:sp>
    <xdr:clientData/>
  </xdr:twoCellAnchor>
  <xdr:twoCellAnchor>
    <xdr:from>
      <xdr:col>4</xdr:col>
      <xdr:colOff>28575</xdr:colOff>
      <xdr:row>10</xdr:row>
      <xdr:rowOff>123825</xdr:rowOff>
    </xdr:from>
    <xdr:to>
      <xdr:col>5</xdr:col>
      <xdr:colOff>28575</xdr:colOff>
      <xdr:row>11</xdr:row>
      <xdr:rowOff>142875</xdr:rowOff>
    </xdr:to>
    <xdr:sp macro="" textlink="I12">
      <xdr:nvSpPr>
        <xdr:cNvPr id="20528" name="Texte 48"/>
        <xdr:cNvSpPr txBox="1">
          <a:spLocks noChangeArrowheads="1"/>
        </xdr:cNvSpPr>
      </xdr:nvSpPr>
      <xdr:spPr bwMode="auto">
        <a:xfrm>
          <a:off x="3648075" y="1724025"/>
          <a:ext cx="781050" cy="180975"/>
        </a:xfrm>
        <a:prstGeom prst="rect">
          <a:avLst/>
        </a:prstGeom>
        <a:noFill/>
        <a:ln w="1">
          <a:noFill/>
          <a:miter lim="800000"/>
          <a:headEnd/>
          <a:tailEnd/>
        </a:ln>
      </xdr:spPr>
      <xdr:txBody>
        <a:bodyPr vertOverflow="clip" wrap="square" lIns="27432" tIns="22860" rIns="27432" bIns="0" anchor="t" upright="1"/>
        <a:lstStyle/>
        <a:p>
          <a:pPr algn="ctr" rtl="0">
            <a:defRPr sz="1000"/>
          </a:pPr>
          <a:fld id="{25EE6D2D-A08D-493D-86AB-3DBFACCC995B}" type="TxLink">
            <a:rPr lang="fr-FR" sz="1000" b="0" i="0" u="none" strike="noStrike" baseline="0">
              <a:solidFill>
                <a:srgbClr val="000000"/>
              </a:solidFill>
              <a:latin typeface="Tahoma"/>
              <a:ea typeface="Tahoma"/>
              <a:cs typeface="Tahoma"/>
            </a:rPr>
            <a:pPr algn="ctr" rtl="0">
              <a:defRPr sz="1000"/>
            </a:pPr>
            <a:t>30/06/2017</a:t>
          </a:fld>
          <a:endParaRPr lang="fr-FR" sz="1000" b="0" i="0" u="none" strike="noStrike" baseline="0">
            <a:solidFill>
              <a:srgbClr val="000000"/>
            </a:solidFill>
            <a:latin typeface="Tahoma"/>
            <a:ea typeface="Tahoma"/>
            <a:cs typeface="Tahoma"/>
          </a:endParaRPr>
        </a:p>
      </xdr:txBody>
    </xdr:sp>
    <xdr:clientData/>
  </xdr:twoCellAnchor>
  <xdr:twoCellAnchor>
    <xdr:from>
      <xdr:col>5</xdr:col>
      <xdr:colOff>19050</xdr:colOff>
      <xdr:row>10</xdr:row>
      <xdr:rowOff>114300</xdr:rowOff>
    </xdr:from>
    <xdr:to>
      <xdr:col>6</xdr:col>
      <xdr:colOff>104775</xdr:colOff>
      <xdr:row>11</xdr:row>
      <xdr:rowOff>114300</xdr:rowOff>
    </xdr:to>
    <xdr:sp macro="" textlink="J12">
      <xdr:nvSpPr>
        <xdr:cNvPr id="20529" name="Texte 49"/>
        <xdr:cNvSpPr txBox="1">
          <a:spLocks noChangeArrowheads="1"/>
        </xdr:cNvSpPr>
      </xdr:nvSpPr>
      <xdr:spPr bwMode="auto">
        <a:xfrm>
          <a:off x="4419600" y="1714500"/>
          <a:ext cx="866775" cy="161925"/>
        </a:xfrm>
        <a:prstGeom prst="rect">
          <a:avLst/>
        </a:prstGeom>
        <a:noFill/>
        <a:ln w="1">
          <a:noFill/>
          <a:miter lim="800000"/>
          <a:headEnd/>
          <a:tailEnd/>
        </a:ln>
      </xdr:spPr>
      <xdr:txBody>
        <a:bodyPr vertOverflow="clip" wrap="square" lIns="27432" tIns="22860" rIns="27432" bIns="0" anchor="t" upright="1"/>
        <a:lstStyle/>
        <a:p>
          <a:pPr algn="ctr" rtl="0">
            <a:defRPr sz="1000"/>
          </a:pPr>
          <a:fld id="{6E270700-04B9-4B66-8BF2-65101FD3C391}" type="TxLink">
            <a:rPr lang="fr-FR" sz="1000" b="0" i="0" u="none" strike="noStrike" baseline="0">
              <a:solidFill>
                <a:srgbClr val="000000"/>
              </a:solidFill>
              <a:latin typeface="Tahoma"/>
              <a:ea typeface="Tahoma"/>
              <a:cs typeface="Tahoma"/>
            </a:rPr>
            <a:pPr algn="ctr" rtl="0">
              <a:defRPr sz="1000"/>
            </a:pPr>
            <a:t>30/06/2016</a:t>
          </a:fld>
          <a:endParaRPr lang="fr-FR" sz="1000" b="0" i="0" u="none" strike="noStrike" baseline="0">
            <a:solidFill>
              <a:srgbClr val="000000"/>
            </a:solidFill>
            <a:latin typeface="Tahoma"/>
            <a:ea typeface="Tahoma"/>
            <a:cs typeface="Tahoma"/>
          </a:endParaRPr>
        </a:p>
      </xdr:txBody>
    </xdr:sp>
    <xdr:clientData/>
  </xdr:twoCellAnchor>
  <xdr:twoCellAnchor>
    <xdr:from>
      <xdr:col>5</xdr:col>
      <xdr:colOff>762000</xdr:colOff>
      <xdr:row>10</xdr:row>
      <xdr:rowOff>123825</xdr:rowOff>
    </xdr:from>
    <xdr:to>
      <xdr:col>7</xdr:col>
      <xdr:colOff>0</xdr:colOff>
      <xdr:row>12</xdr:row>
      <xdr:rowOff>0</xdr:rowOff>
    </xdr:to>
    <xdr:sp macro="" textlink="K12">
      <xdr:nvSpPr>
        <xdr:cNvPr id="20530" name="Texte 50"/>
        <xdr:cNvSpPr txBox="1">
          <a:spLocks noChangeArrowheads="1"/>
        </xdr:cNvSpPr>
      </xdr:nvSpPr>
      <xdr:spPr bwMode="auto">
        <a:xfrm>
          <a:off x="5162550" y="1724025"/>
          <a:ext cx="800100" cy="200025"/>
        </a:xfrm>
        <a:prstGeom prst="rect">
          <a:avLst/>
        </a:prstGeom>
        <a:noFill/>
        <a:ln w="1">
          <a:noFill/>
          <a:miter lim="800000"/>
          <a:headEnd/>
          <a:tailEnd/>
        </a:ln>
      </xdr:spPr>
      <xdr:txBody>
        <a:bodyPr vertOverflow="clip" wrap="square" lIns="27432" tIns="22860" rIns="27432" bIns="0" anchor="t" upright="1"/>
        <a:lstStyle/>
        <a:p>
          <a:pPr algn="ctr" rtl="0">
            <a:defRPr sz="1000"/>
          </a:pPr>
          <a:fld id="{76478A59-1030-472C-B7E1-F1DB73E8B6A2}" type="TxLink">
            <a:rPr lang="fr-FR" sz="1000" b="0" i="0" u="none" strike="noStrike" baseline="0">
              <a:solidFill>
                <a:srgbClr val="000000"/>
              </a:solidFill>
              <a:latin typeface="Tahoma"/>
              <a:ea typeface="Tahoma"/>
              <a:cs typeface="Tahoma"/>
            </a:rPr>
            <a:pPr algn="ctr" rtl="0">
              <a:defRPr sz="1000"/>
            </a:pPr>
            <a:t>30/06/2015</a:t>
          </a:fld>
          <a:endParaRPr lang="fr-FR" sz="1000" b="0" i="0" u="none" strike="noStrike" baseline="0">
            <a:solidFill>
              <a:srgbClr val="000000"/>
            </a:solidFill>
            <a:latin typeface="Tahoma"/>
            <a:ea typeface="Tahoma"/>
            <a:cs typeface="Tahoma"/>
          </a:endParaRPr>
        </a:p>
      </xdr:txBody>
    </xdr:sp>
    <xdr:clientData/>
  </xdr:twoCellAnchor>
  <xdr:twoCellAnchor>
    <xdr:from>
      <xdr:col>5</xdr:col>
      <xdr:colOff>0</xdr:colOff>
      <xdr:row>10</xdr:row>
      <xdr:rowOff>142875</xdr:rowOff>
    </xdr:from>
    <xdr:to>
      <xdr:col>5</xdr:col>
      <xdr:colOff>0</xdr:colOff>
      <xdr:row>12</xdr:row>
      <xdr:rowOff>38100</xdr:rowOff>
    </xdr:to>
    <xdr:sp macro="" textlink="">
      <xdr:nvSpPr>
        <xdr:cNvPr id="20533" name="Line 53"/>
        <xdr:cNvSpPr>
          <a:spLocks noChangeShapeType="1"/>
        </xdr:cNvSpPr>
      </xdr:nvSpPr>
      <xdr:spPr bwMode="auto">
        <a:xfrm flipV="1">
          <a:off x="4400550" y="1743075"/>
          <a:ext cx="0" cy="219075"/>
        </a:xfrm>
        <a:prstGeom prst="line">
          <a:avLst/>
        </a:prstGeom>
        <a:noFill/>
        <a:ln w="9525">
          <a:solidFill>
            <a:srgbClr val="000000"/>
          </a:solidFill>
          <a:round/>
          <a:headEnd/>
          <a:tailEnd/>
        </a:ln>
      </xdr:spPr>
    </xdr:sp>
    <xdr:clientData/>
  </xdr:twoCellAnchor>
  <xdr:twoCellAnchor>
    <xdr:from>
      <xdr:col>6</xdr:col>
      <xdr:colOff>0</xdr:colOff>
      <xdr:row>10</xdr:row>
      <xdr:rowOff>142875</xdr:rowOff>
    </xdr:from>
    <xdr:to>
      <xdr:col>6</xdr:col>
      <xdr:colOff>0</xdr:colOff>
      <xdr:row>12</xdr:row>
      <xdr:rowOff>0</xdr:rowOff>
    </xdr:to>
    <xdr:sp macro="" textlink="">
      <xdr:nvSpPr>
        <xdr:cNvPr id="20536" name="Line 56"/>
        <xdr:cNvSpPr>
          <a:spLocks noChangeShapeType="1"/>
        </xdr:cNvSpPr>
      </xdr:nvSpPr>
      <xdr:spPr bwMode="auto">
        <a:xfrm flipV="1">
          <a:off x="5181600" y="1743075"/>
          <a:ext cx="0" cy="180975"/>
        </a:xfrm>
        <a:prstGeom prst="line">
          <a:avLst/>
        </a:prstGeom>
        <a:noFill/>
        <a:ln w="9525">
          <a:solidFill>
            <a:srgbClr val="000000"/>
          </a:solidFill>
          <a:round/>
          <a:headEnd/>
          <a:tailEnd/>
        </a:ln>
      </xdr:spPr>
    </xdr:sp>
    <xdr:clientData/>
  </xdr:twoCellAnchor>
  <xdr:twoCellAnchor>
    <xdr:from>
      <xdr:col>2</xdr:col>
      <xdr:colOff>133350</xdr:colOff>
      <xdr:row>2</xdr:row>
      <xdr:rowOff>19050</xdr:rowOff>
    </xdr:from>
    <xdr:to>
      <xdr:col>6</xdr:col>
      <xdr:colOff>180975</xdr:colOff>
      <xdr:row>6</xdr:row>
      <xdr:rowOff>47625</xdr:rowOff>
    </xdr:to>
    <xdr:sp macro="" textlink="">
      <xdr:nvSpPr>
        <xdr:cNvPr id="20538" name="AutoShape 58"/>
        <xdr:cNvSpPr>
          <a:spLocks noChangeArrowheads="1"/>
        </xdr:cNvSpPr>
      </xdr:nvSpPr>
      <xdr:spPr bwMode="auto">
        <a:xfrm>
          <a:off x="561975" y="266700"/>
          <a:ext cx="4800600" cy="676275"/>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QUELQUES RATIOS CLES</a:t>
          </a:r>
        </a:p>
      </xdr:txBody>
    </xdr:sp>
    <xdr:clientData/>
  </xdr:twoCellAnchor>
  <xdr:twoCellAnchor>
    <xdr:from>
      <xdr:col>0</xdr:col>
      <xdr:colOff>38100</xdr:colOff>
      <xdr:row>0</xdr:row>
      <xdr:rowOff>38100</xdr:rowOff>
    </xdr:from>
    <xdr:to>
      <xdr:col>7</xdr:col>
      <xdr:colOff>76200</xdr:colOff>
      <xdr:row>57</xdr:row>
      <xdr:rowOff>152400</xdr:rowOff>
    </xdr:to>
    <xdr:sp macro="" textlink="">
      <xdr:nvSpPr>
        <xdr:cNvPr id="20540" name="AutoShape 60"/>
        <xdr:cNvSpPr>
          <a:spLocks noChangeArrowheads="1"/>
        </xdr:cNvSpPr>
      </xdr:nvSpPr>
      <xdr:spPr bwMode="auto">
        <a:xfrm>
          <a:off x="38100" y="38100"/>
          <a:ext cx="6000750" cy="9544050"/>
        </a:xfrm>
        <a:prstGeom prst="roundRect">
          <a:avLst>
            <a:gd name="adj" fmla="val 2514"/>
          </a:avLst>
        </a:prstGeom>
        <a:noFill/>
        <a:ln w="9525">
          <a:solidFill>
            <a:srgbClr val="424242"/>
          </a:solidFill>
          <a:round/>
          <a:headEnd/>
          <a:tailEnd/>
        </a:ln>
        <a:effectLst/>
      </xdr:spPr>
    </xdr:sp>
    <xdr:clientData/>
  </xdr:twoCellAnchor>
</xdr:wsDr>
</file>

<file path=xl/drawings/drawing48.xml><?xml version="1.0" encoding="utf-8"?>
<xdr:wsDr xmlns:xdr="http://schemas.openxmlformats.org/drawingml/2006/spreadsheetDrawing" xmlns:a="http://schemas.openxmlformats.org/drawingml/2006/main">
  <xdr:twoCellAnchor>
    <xdr:from>
      <xdr:col>0</xdr:col>
      <xdr:colOff>123265</xdr:colOff>
      <xdr:row>0</xdr:row>
      <xdr:rowOff>168088</xdr:rowOff>
    </xdr:from>
    <xdr:to>
      <xdr:col>14</xdr:col>
      <xdr:colOff>437029</xdr:colOff>
      <xdr:row>3</xdr:row>
      <xdr:rowOff>616323</xdr:rowOff>
    </xdr:to>
    <xdr:sp macro="" textlink="">
      <xdr:nvSpPr>
        <xdr:cNvPr id="2" name="AutoShape 6"/>
        <xdr:cNvSpPr>
          <a:spLocks noChangeArrowheads="1"/>
        </xdr:cNvSpPr>
      </xdr:nvSpPr>
      <xdr:spPr bwMode="auto">
        <a:xfrm>
          <a:off x="123265" y="168088"/>
          <a:ext cx="6308911" cy="1501588"/>
        </a:xfrm>
        <a:prstGeom prst="roundRect">
          <a:avLst>
            <a:gd name="adj" fmla="val 16667"/>
          </a:avLst>
        </a:prstGeom>
        <a:solidFill>
          <a:srgbClr val="FFFFFF"/>
        </a:solidFill>
        <a:ln w="9525">
          <a:solidFill>
            <a:srgbClr val="424242"/>
          </a:solidFill>
          <a:round/>
          <a:headEnd/>
          <a:tailEnd/>
        </a:ln>
        <a:effectLst>
          <a:outerShdw dist="107763" dir="2700000" algn="ctr" rotWithShape="0">
            <a:srgbClr val="808080"/>
          </a:outerShdw>
        </a:effectLst>
      </xdr:spPr>
      <xdr:txBody>
        <a:bodyPr vertOverflow="clip" wrap="square" lIns="54864" tIns="41148" rIns="54864" bIns="41148" anchor="ctr" upright="1"/>
        <a:lstStyle/>
        <a:p>
          <a:pPr algn="ctr" rtl="0">
            <a:defRPr sz="1000"/>
          </a:pPr>
          <a:r>
            <a:rPr lang="fr-FR" sz="2400" b="1" i="0" u="none" strike="noStrike" baseline="0">
              <a:solidFill>
                <a:srgbClr val="008080"/>
              </a:solidFill>
              <a:latin typeface="Tahoma"/>
              <a:ea typeface="Tahoma"/>
              <a:cs typeface="Tahoma"/>
            </a:rPr>
            <a:t>PREVENTION DES DIFFICULTES ECONOMIQUES ET FINANCIERES</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1</xdr:col>
      <xdr:colOff>19050</xdr:colOff>
      <xdr:row>12</xdr:row>
      <xdr:rowOff>381000</xdr:rowOff>
    </xdr:from>
    <xdr:to>
      <xdr:col>15</xdr:col>
      <xdr:colOff>57150</xdr:colOff>
      <xdr:row>12</xdr:row>
      <xdr:rowOff>828675</xdr:rowOff>
    </xdr:to>
    <xdr:sp macro="" textlink="">
      <xdr:nvSpPr>
        <xdr:cNvPr id="52225" name="WordArt 1"/>
        <xdr:cNvSpPr>
          <a:spLocks noChangeArrowheads="1" noChangeShapeType="1" noTextEdit="1"/>
        </xdr:cNvSpPr>
      </xdr:nvSpPr>
      <xdr:spPr bwMode="auto">
        <a:xfrm>
          <a:off x="400050" y="3352800"/>
          <a:ext cx="5372100" cy="447675"/>
        </a:xfrm>
        <a:prstGeom prst="rect">
          <a:avLst/>
        </a:prstGeom>
      </xdr:spPr>
      <xdr:txBody>
        <a:bodyPr wrap="none" fromWordArt="1">
          <a:prstTxWarp prst="textPlain">
            <a:avLst>
              <a:gd name="adj" fmla="val 50000"/>
            </a:avLst>
          </a:prstTxWarp>
        </a:bodyPr>
        <a:lstStyle/>
        <a:p>
          <a:pPr algn="ctr" rtl="0"/>
          <a:r>
            <a:rPr lang="fr-FR" sz="4800" b="1" kern="10" spc="0">
              <a:ln w="9525">
                <a:noFill/>
                <a:round/>
                <a:headEnd/>
                <a:tailEnd/>
              </a:ln>
              <a:solidFill>
                <a:srgbClr val="663300"/>
              </a:solidFill>
              <a:effectLst>
                <a:outerShdw dist="45791" dir="2021404" algn="ctr" rotWithShape="0">
                  <a:srgbClr val="C0C0C0"/>
                </a:outerShdw>
              </a:effectLst>
              <a:latin typeface="Tahoma"/>
              <a:ea typeface="Tahoma"/>
              <a:cs typeface="Tahoma"/>
            </a:rPr>
            <a:t>PREVENTION DES RISQUES</a:t>
          </a:r>
        </a:p>
      </xdr:txBody>
    </xdr:sp>
    <xdr:clientData/>
  </xdr:twoCellAnchor>
  <xdr:twoCellAnchor>
    <xdr:from>
      <xdr:col>0</xdr:col>
      <xdr:colOff>180975</xdr:colOff>
      <xdr:row>13</xdr:row>
      <xdr:rowOff>304800</xdr:rowOff>
    </xdr:from>
    <xdr:to>
      <xdr:col>15</xdr:col>
      <xdr:colOff>180975</xdr:colOff>
      <xdr:row>14</xdr:row>
      <xdr:rowOff>161925</xdr:rowOff>
    </xdr:to>
    <xdr:sp macro="" textlink="">
      <xdr:nvSpPr>
        <xdr:cNvPr id="52226" name="WordArt 2"/>
        <xdr:cNvSpPr>
          <a:spLocks noChangeArrowheads="1" noChangeShapeType="1" noTextEdit="1"/>
        </xdr:cNvSpPr>
      </xdr:nvSpPr>
      <xdr:spPr bwMode="auto">
        <a:xfrm>
          <a:off x="180975" y="4133850"/>
          <a:ext cx="5715000" cy="714375"/>
        </a:xfrm>
        <a:prstGeom prst="rect">
          <a:avLst/>
        </a:prstGeom>
      </xdr:spPr>
      <xdr:txBody>
        <a:bodyPr wrap="none" fromWordArt="1">
          <a:prstTxWarp prst="textPlain">
            <a:avLst>
              <a:gd name="adj" fmla="val 50000"/>
            </a:avLst>
          </a:prstTxWarp>
        </a:bodyPr>
        <a:lstStyle/>
        <a:p>
          <a:pPr algn="ctr" rtl="0"/>
          <a:r>
            <a:rPr lang="fr-FR" sz="2400" b="1" kern="10" spc="0">
              <a:ln w="9525">
                <a:noFill/>
                <a:round/>
                <a:headEnd/>
                <a:tailEnd/>
              </a:ln>
              <a:solidFill>
                <a:srgbClr val="663300"/>
              </a:solidFill>
              <a:effectLst>
                <a:outerShdw dist="45791" dir="2021404" algn="ctr" rotWithShape="0">
                  <a:srgbClr val="C0C0C0"/>
                </a:outerShdw>
              </a:effectLst>
              <a:latin typeface="Tahoma"/>
              <a:ea typeface="Tahoma"/>
              <a:cs typeface="Tahoma"/>
            </a:rPr>
            <a:t>Positionnement économique et financier </a:t>
          </a:r>
        </a:p>
        <a:p>
          <a:pPr algn="ctr" rtl="0"/>
          <a:r>
            <a:rPr lang="fr-FR" sz="2400" b="1" kern="10" spc="0">
              <a:ln w="9525">
                <a:noFill/>
                <a:round/>
                <a:headEnd/>
                <a:tailEnd/>
              </a:ln>
              <a:solidFill>
                <a:srgbClr val="663300"/>
              </a:solidFill>
              <a:effectLst>
                <a:outerShdw dist="45791" dir="2021404" algn="ctr" rotWithShape="0">
                  <a:srgbClr val="C0C0C0"/>
                </a:outerShdw>
              </a:effectLst>
              <a:latin typeface="Tahoma"/>
              <a:ea typeface="Tahoma"/>
              <a:cs typeface="Tahoma"/>
            </a:rPr>
            <a:t>de votre exploitation</a:t>
          </a:r>
        </a:p>
      </xdr:txBody>
    </xdr:sp>
    <xdr:clientData/>
  </xdr:twoCellAnchor>
  <xdr:twoCellAnchor>
    <xdr:from>
      <xdr:col>0</xdr:col>
      <xdr:colOff>257175</xdr:colOff>
      <xdr:row>14</xdr:row>
      <xdr:rowOff>514350</xdr:rowOff>
    </xdr:from>
    <xdr:to>
      <xdr:col>15</xdr:col>
      <xdr:colOff>200025</xdr:colOff>
      <xdr:row>25</xdr:row>
      <xdr:rowOff>219075</xdr:rowOff>
    </xdr:to>
    <xdr:sp macro="" textlink="">
      <xdr:nvSpPr>
        <xdr:cNvPr id="52227" name="Text Box 3"/>
        <xdr:cNvSpPr txBox="1">
          <a:spLocks noChangeArrowheads="1"/>
        </xdr:cNvSpPr>
      </xdr:nvSpPr>
      <xdr:spPr bwMode="auto">
        <a:xfrm>
          <a:off x="257175" y="5200650"/>
          <a:ext cx="5657850" cy="2466975"/>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Les articles 8 et 9 de la loi n° 2005-882 du 2 août 2005 en faveur des petites et moyennes entreprises ont confié aux centres de gestion agréés, une mission en matière de prévention des difficultés économiques et financières des petites et moyennes entreprises. Nous effectuons cette analyse à partir des éléments mis à notre disposition (la liasse fiscale, les renseignements complémentaires).</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C’est une analyse de la situation économique et financière de votre exploitation au regard des données statistiques que nous établissons et de l'évolution des différents indicateurs sur trois années. </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Les éléments en notre possession ne nous permettent pas d’établir une analyse fine de votre situation actuelle. </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Nous vous demandons donc de l’interpréter avec prudence et de vous rapprocher de votre expert-comptable pour tous compléments d’information.</a:t>
          </a:r>
        </a:p>
        <a:p>
          <a:pPr algn="l" rtl="0">
            <a:defRPr sz="1000"/>
          </a:pPr>
          <a:endParaRPr lang="fr-FR" sz="1000" b="0" i="0" u="none" strike="noStrike" baseline="0">
            <a:solidFill>
              <a:srgbClr val="000000"/>
            </a:solidFill>
            <a:latin typeface="Arial"/>
            <a:cs typeface="Arial"/>
          </a:endParaRPr>
        </a:p>
      </xdr:txBody>
    </xdr:sp>
    <xdr:clientData/>
  </xdr:twoCellAnchor>
  <xdr:twoCellAnchor>
    <xdr:from>
      <xdr:col>0</xdr:col>
      <xdr:colOff>57150</xdr:colOff>
      <xdr:row>0</xdr:row>
      <xdr:rowOff>0</xdr:rowOff>
    </xdr:from>
    <xdr:to>
      <xdr:col>15</xdr:col>
      <xdr:colOff>323850</xdr:colOff>
      <xdr:row>35</xdr:row>
      <xdr:rowOff>123825</xdr:rowOff>
    </xdr:to>
    <xdr:sp macro="" textlink="">
      <xdr:nvSpPr>
        <xdr:cNvPr id="52228" name="AutoShape 4"/>
        <xdr:cNvSpPr>
          <a:spLocks noChangeArrowheads="1"/>
        </xdr:cNvSpPr>
      </xdr:nvSpPr>
      <xdr:spPr bwMode="auto">
        <a:xfrm>
          <a:off x="57150" y="0"/>
          <a:ext cx="5981700" cy="9553575"/>
        </a:xfrm>
        <a:prstGeom prst="roundRect">
          <a:avLst>
            <a:gd name="adj" fmla="val 5931"/>
          </a:avLst>
        </a:prstGeom>
        <a:noFill/>
        <a:ln w="9525">
          <a:solidFill>
            <a:srgbClr val="424242"/>
          </a:solidFill>
          <a:round/>
          <a:headEnd/>
          <a:tailEnd/>
        </a:ln>
        <a:effectLst/>
      </xdr:spPr>
    </xdr:sp>
    <xdr:clientData/>
  </xdr:twoCellAnchor>
  <mc:AlternateContent xmlns:mc="http://schemas.openxmlformats.org/markup-compatibility/2006">
    <mc:Choice xmlns:a14="http://schemas.microsoft.com/office/drawing/2010/main" Requires="a14">
      <xdr:twoCellAnchor>
        <xdr:from>
          <xdr:col>1</xdr:col>
          <xdr:colOff>28575</xdr:colOff>
          <xdr:row>1</xdr:row>
          <xdr:rowOff>9525</xdr:rowOff>
        </xdr:from>
        <xdr:to>
          <xdr:col>7</xdr:col>
          <xdr:colOff>95250</xdr:colOff>
          <xdr:row>4</xdr:row>
          <xdr:rowOff>219075</xdr:rowOff>
        </xdr:to>
        <xdr:sp macro="" textlink="">
          <xdr:nvSpPr>
            <xdr:cNvPr id="52229" name="Object 5" hidden="1">
              <a:extLst>
                <a:ext uri="{63B3BB69-23CF-44E3-9099-C40C66FF867C}">
                  <a14:compatExt spid="_x0000_s52229"/>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6.bin"/><Relationship Id="rId5" Type="http://schemas.openxmlformats.org/officeDocument/2006/relationships/image" Target="../media/image1.png"/><Relationship Id="rId4" Type="http://schemas.openxmlformats.org/officeDocument/2006/relationships/oleObject" Target="../embeddings/oleObject1.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4.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9.xml"/><Relationship Id="rId1" Type="http://schemas.openxmlformats.org/officeDocument/2006/relationships/printerSettings" Target="../printerSettings/printerSettings25.bin"/><Relationship Id="rId5" Type="http://schemas.openxmlformats.org/officeDocument/2006/relationships/image" Target="../media/image1.png"/><Relationship Id="rId4" Type="http://schemas.openxmlformats.org/officeDocument/2006/relationships/oleObject" Target="../embeddings/oleObject2.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6.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7.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8.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9.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30.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31.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32.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33.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4.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7.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8.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9.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40.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41.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42.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43.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4.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45.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46.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7.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8.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9.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50.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51.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52.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53.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54.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55.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56.bin"/></Relationships>
</file>

<file path=xl/worksheets/_rels/sheet6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9.xml"/><Relationship Id="rId1" Type="http://schemas.openxmlformats.org/officeDocument/2006/relationships/printerSettings" Target="../printerSettings/printerSettings57.bin"/><Relationship Id="rId5" Type="http://schemas.openxmlformats.org/officeDocument/2006/relationships/image" Target="../media/image1.png"/><Relationship Id="rId4" Type="http://schemas.openxmlformats.org/officeDocument/2006/relationships/oleObject" Target="../embeddings/oleObject3.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D912"/>
  <sheetViews>
    <sheetView topLeftCell="A754" workbookViewId="0">
      <selection activeCell="D789" sqref="D789"/>
    </sheetView>
  </sheetViews>
  <sheetFormatPr baseColWidth="10" defaultRowHeight="12.75"/>
  <sheetData>
    <row r="1" spans="1:4">
      <c r="A1" s="977" t="s">
        <v>1079</v>
      </c>
    </row>
    <row r="2" spans="1:4">
      <c r="A2" s="977" t="s">
        <v>1080</v>
      </c>
    </row>
    <row r="3" spans="1:4">
      <c r="A3" s="977" t="s">
        <v>1081</v>
      </c>
    </row>
    <row r="4" spans="1:4">
      <c r="A4" s="977" t="s">
        <v>1082</v>
      </c>
    </row>
    <row r="5" spans="1:4">
      <c r="A5" s="977" t="s">
        <v>1083</v>
      </c>
      <c r="B5">
        <v>715</v>
      </c>
    </row>
    <row r="6" spans="1:4">
      <c r="A6" s="977" t="s">
        <v>1084</v>
      </c>
      <c r="B6">
        <v>7659</v>
      </c>
      <c r="C6">
        <v>2321</v>
      </c>
      <c r="D6">
        <v>1537</v>
      </c>
    </row>
    <row r="7" spans="1:4">
      <c r="A7" s="977" t="s">
        <v>1085</v>
      </c>
      <c r="B7">
        <v>7659</v>
      </c>
      <c r="C7">
        <v>2321</v>
      </c>
      <c r="D7">
        <v>1537</v>
      </c>
    </row>
    <row r="8" spans="1:4">
      <c r="A8" s="977" t="s">
        <v>1086</v>
      </c>
      <c r="B8">
        <v>212</v>
      </c>
      <c r="C8">
        <v>130</v>
      </c>
    </row>
    <row r="9" spans="1:4">
      <c r="A9" s="977" t="s">
        <v>1087</v>
      </c>
      <c r="B9">
        <v>212</v>
      </c>
      <c r="C9">
        <v>130</v>
      </c>
    </row>
    <row r="10" spans="1:4">
      <c r="A10" s="977" t="s">
        <v>1088</v>
      </c>
    </row>
    <row r="11" spans="1:4">
      <c r="A11" s="977" t="s">
        <v>1089</v>
      </c>
      <c r="B11">
        <v>46633</v>
      </c>
      <c r="C11">
        <v>47139</v>
      </c>
      <c r="D11">
        <v>47824</v>
      </c>
    </row>
    <row r="12" spans="1:4">
      <c r="A12" s="977" t="s">
        <v>1090</v>
      </c>
      <c r="B12">
        <v>46633</v>
      </c>
      <c r="C12">
        <v>47139</v>
      </c>
      <c r="D12">
        <v>47824</v>
      </c>
    </row>
    <row r="13" spans="1:4">
      <c r="A13" s="977" t="s">
        <v>1091</v>
      </c>
    </row>
    <row r="14" spans="1:4">
      <c r="A14" s="977" t="s">
        <v>1092</v>
      </c>
    </row>
    <row r="15" spans="1:4">
      <c r="A15" s="977" t="s">
        <v>1093</v>
      </c>
    </row>
    <row r="16" spans="1:4">
      <c r="A16" s="977" t="s">
        <v>1094</v>
      </c>
      <c r="B16">
        <v>32</v>
      </c>
      <c r="C16">
        <v>956</v>
      </c>
      <c r="D16">
        <v>519</v>
      </c>
    </row>
    <row r="17" spans="1:4">
      <c r="A17" s="977" t="s">
        <v>1095</v>
      </c>
    </row>
    <row r="18" spans="1:4">
      <c r="A18" s="977" t="s">
        <v>1096</v>
      </c>
      <c r="B18">
        <v>112707</v>
      </c>
      <c r="C18">
        <v>88325</v>
      </c>
      <c r="D18">
        <v>110485</v>
      </c>
    </row>
    <row r="19" spans="1:4">
      <c r="A19" s="977" t="s">
        <v>1097</v>
      </c>
    </row>
    <row r="20" spans="1:4">
      <c r="A20" s="977" t="s">
        <v>1098</v>
      </c>
    </row>
    <row r="21" spans="1:4">
      <c r="A21" s="977" t="s">
        <v>1099</v>
      </c>
    </row>
    <row r="22" spans="1:4">
      <c r="A22" s="977" t="s">
        <v>1100</v>
      </c>
    </row>
    <row r="23" spans="1:4">
      <c r="A23" s="977" t="s">
        <v>1101</v>
      </c>
      <c r="B23">
        <v>85086</v>
      </c>
      <c r="C23">
        <v>137528</v>
      </c>
      <c r="D23">
        <v>126954</v>
      </c>
    </row>
    <row r="24" spans="1:4">
      <c r="A24" s="977" t="s">
        <v>1102</v>
      </c>
    </row>
    <row r="25" spans="1:4">
      <c r="A25" s="977" t="s">
        <v>1103</v>
      </c>
    </row>
    <row r="26" spans="1:4">
      <c r="A26" s="977" t="s">
        <v>1104</v>
      </c>
      <c r="B26">
        <v>1079</v>
      </c>
      <c r="C26">
        <v>840</v>
      </c>
      <c r="D26">
        <v>966</v>
      </c>
    </row>
    <row r="27" spans="1:4">
      <c r="A27" s="977" t="s">
        <v>1105</v>
      </c>
    </row>
    <row r="28" spans="1:4">
      <c r="A28" s="977" t="s">
        <v>1106</v>
      </c>
      <c r="B28">
        <v>69934</v>
      </c>
      <c r="C28">
        <v>48045</v>
      </c>
      <c r="D28">
        <v>58876</v>
      </c>
    </row>
    <row r="29" spans="1:4">
      <c r="A29" s="977" t="s">
        <v>1107</v>
      </c>
    </row>
    <row r="30" spans="1:4">
      <c r="A30" s="977" t="s">
        <v>1108</v>
      </c>
      <c r="D30">
        <v>30</v>
      </c>
    </row>
    <row r="31" spans="1:4">
      <c r="A31" s="977" t="s">
        <v>1109</v>
      </c>
    </row>
    <row r="32" spans="1:4">
      <c r="A32" s="977" t="s">
        <v>1110</v>
      </c>
    </row>
    <row r="33" spans="1:4">
      <c r="A33" s="977" t="s">
        <v>1111</v>
      </c>
      <c r="B33">
        <v>70</v>
      </c>
      <c r="C33">
        <v>6200</v>
      </c>
      <c r="D33">
        <v>6400</v>
      </c>
    </row>
    <row r="34" spans="1:4">
      <c r="A34" s="977" t="s">
        <v>1112</v>
      </c>
      <c r="B34">
        <v>51</v>
      </c>
    </row>
    <row r="35" spans="1:4">
      <c r="A35" s="977" t="s">
        <v>1113</v>
      </c>
      <c r="B35">
        <v>121</v>
      </c>
      <c r="C35">
        <v>6200</v>
      </c>
      <c r="D35">
        <v>6400</v>
      </c>
    </row>
    <row r="36" spans="1:4">
      <c r="A36" s="977" t="s">
        <v>1114</v>
      </c>
    </row>
    <row r="37" spans="1:4">
      <c r="A37" s="977" t="s">
        <v>1115</v>
      </c>
    </row>
    <row r="38" spans="1:4">
      <c r="A38" s="977" t="s">
        <v>1116</v>
      </c>
    </row>
    <row r="39" spans="1:4">
      <c r="A39" s="977" t="s">
        <v>1117</v>
      </c>
      <c r="B39">
        <v>7420</v>
      </c>
      <c r="C39">
        <v>7934</v>
      </c>
      <c r="D39">
        <v>8132</v>
      </c>
    </row>
    <row r="40" spans="1:4">
      <c r="A40" s="977" t="s">
        <v>1118</v>
      </c>
    </row>
    <row r="41" spans="1:4">
      <c r="A41" s="977" t="s">
        <v>1119</v>
      </c>
      <c r="B41">
        <v>19625</v>
      </c>
    </row>
    <row r="42" spans="1:4">
      <c r="A42" s="977" t="s">
        <v>1120</v>
      </c>
    </row>
    <row r="43" spans="1:4">
      <c r="A43" s="977" t="s">
        <v>1121</v>
      </c>
      <c r="B43">
        <v>261511</v>
      </c>
      <c r="C43">
        <v>206165</v>
      </c>
      <c r="D43">
        <v>252430</v>
      </c>
    </row>
    <row r="44" spans="1:4">
      <c r="A44" s="977" t="s">
        <v>1122</v>
      </c>
    </row>
    <row r="45" spans="1:4">
      <c r="A45" s="977" t="s">
        <v>1123</v>
      </c>
    </row>
    <row r="46" spans="1:4">
      <c r="A46" s="977" t="s">
        <v>1124</v>
      </c>
      <c r="B46">
        <v>346597</v>
      </c>
      <c r="C46">
        <v>343693</v>
      </c>
      <c r="D46">
        <v>379383</v>
      </c>
    </row>
    <row r="47" spans="1:4">
      <c r="A47" s="977" t="s">
        <v>1125</v>
      </c>
    </row>
    <row r="48" spans="1:4">
      <c r="A48" s="977" t="s">
        <v>1126</v>
      </c>
      <c r="B48">
        <v>36027</v>
      </c>
      <c r="C48">
        <v>39444</v>
      </c>
      <c r="D48">
        <v>85764</v>
      </c>
    </row>
    <row r="49" spans="1:4">
      <c r="A49" s="977" t="s">
        <v>1127</v>
      </c>
    </row>
    <row r="50" spans="1:4">
      <c r="A50" s="977" t="s">
        <v>1128</v>
      </c>
    </row>
    <row r="51" spans="1:4">
      <c r="A51" s="977" t="s">
        <v>1129</v>
      </c>
      <c r="B51">
        <v>7431</v>
      </c>
      <c r="C51">
        <v>6383</v>
      </c>
      <c r="D51">
        <v>961</v>
      </c>
    </row>
    <row r="52" spans="1:4">
      <c r="A52" s="977" t="s">
        <v>1130</v>
      </c>
      <c r="B52">
        <v>98534</v>
      </c>
      <c r="C52">
        <v>91029</v>
      </c>
      <c r="D52">
        <v>104157</v>
      </c>
    </row>
    <row r="53" spans="1:4">
      <c r="A53" s="977" t="s">
        <v>1131</v>
      </c>
      <c r="B53">
        <v>974</v>
      </c>
      <c r="C53">
        <v>490</v>
      </c>
      <c r="D53">
        <v>-1521</v>
      </c>
    </row>
    <row r="54" spans="1:4">
      <c r="A54" s="977" t="s">
        <v>1132</v>
      </c>
    </row>
    <row r="55" spans="1:4">
      <c r="A55" s="977" t="s">
        <v>1133</v>
      </c>
      <c r="B55">
        <v>71744</v>
      </c>
      <c r="C55">
        <v>77772</v>
      </c>
      <c r="D55">
        <v>65664</v>
      </c>
    </row>
    <row r="56" spans="1:4">
      <c r="A56" s="977" t="s">
        <v>1134</v>
      </c>
      <c r="B56">
        <v>1302</v>
      </c>
      <c r="C56">
        <v>3174</v>
      </c>
      <c r="D56">
        <v>1887</v>
      </c>
    </row>
    <row r="57" spans="1:4">
      <c r="A57" s="977" t="s">
        <v>1135</v>
      </c>
      <c r="B57">
        <v>10766</v>
      </c>
      <c r="C57">
        <v>23096</v>
      </c>
      <c r="D57">
        <v>31508</v>
      </c>
    </row>
    <row r="58" spans="1:4">
      <c r="A58" s="977" t="s">
        <v>1136</v>
      </c>
      <c r="B58">
        <v>19537</v>
      </c>
      <c r="C58">
        <v>24646</v>
      </c>
      <c r="D58">
        <v>42105</v>
      </c>
    </row>
    <row r="59" spans="1:4">
      <c r="A59" s="977" t="s">
        <v>1137</v>
      </c>
    </row>
    <row r="60" spans="1:4">
      <c r="A60" s="977" t="s">
        <v>1138</v>
      </c>
    </row>
    <row r="61" spans="1:4">
      <c r="A61" s="977" t="s">
        <v>1139</v>
      </c>
    </row>
    <row r="62" spans="1:4">
      <c r="A62" s="977" t="s">
        <v>1140</v>
      </c>
    </row>
    <row r="63" spans="1:4">
      <c r="A63" s="977" t="s">
        <v>1141</v>
      </c>
    </row>
    <row r="64" spans="1:4">
      <c r="A64" s="977" t="s">
        <v>1142</v>
      </c>
      <c r="B64">
        <v>-1</v>
      </c>
      <c r="C64">
        <v>1</v>
      </c>
      <c r="D64">
        <v>2</v>
      </c>
    </row>
    <row r="65" spans="1:4">
      <c r="A65" s="977" t="s">
        <v>1143</v>
      </c>
    </row>
    <row r="66" spans="1:4">
      <c r="A66" s="977" t="s">
        <v>1144</v>
      </c>
      <c r="B66">
        <v>132</v>
      </c>
      <c r="C66">
        <v>102</v>
      </c>
      <c r="D66">
        <v>163</v>
      </c>
    </row>
    <row r="67" spans="1:4">
      <c r="A67" s="977" t="s">
        <v>1145</v>
      </c>
    </row>
    <row r="68" spans="1:4">
      <c r="A68" s="977" t="s">
        <v>1146</v>
      </c>
      <c r="B68">
        <v>3722</v>
      </c>
      <c r="C68">
        <v>3511</v>
      </c>
      <c r="D68">
        <v>4343</v>
      </c>
    </row>
    <row r="69" spans="1:4">
      <c r="A69" s="977" t="s">
        <v>1147</v>
      </c>
    </row>
    <row r="70" spans="1:4">
      <c r="A70" s="977" t="s">
        <v>1148</v>
      </c>
    </row>
    <row r="71" spans="1:4">
      <c r="A71" s="977" t="s">
        <v>1149</v>
      </c>
      <c r="D71">
        <v>1394</v>
      </c>
    </row>
    <row r="72" spans="1:4">
      <c r="A72" s="977" t="s">
        <v>1150</v>
      </c>
    </row>
    <row r="73" spans="1:4">
      <c r="A73" s="977" t="s">
        <v>1151</v>
      </c>
    </row>
    <row r="74" spans="1:4">
      <c r="A74" s="977" t="s">
        <v>1152</v>
      </c>
    </row>
    <row r="75" spans="1:4">
      <c r="A75" s="977" t="s">
        <v>1153</v>
      </c>
      <c r="B75">
        <v>111666</v>
      </c>
      <c r="C75">
        <v>228392</v>
      </c>
      <c r="D75">
        <v>196436</v>
      </c>
    </row>
    <row r="76" spans="1:4">
      <c r="A76" s="977" t="s">
        <v>1154</v>
      </c>
    </row>
    <row r="77" spans="1:4">
      <c r="A77" s="977" t="s">
        <v>1155</v>
      </c>
    </row>
    <row r="78" spans="1:4">
      <c r="A78" s="977" t="s">
        <v>1156</v>
      </c>
    </row>
    <row r="79" spans="1:4">
      <c r="A79" s="977" t="s">
        <v>1157</v>
      </c>
    </row>
    <row r="80" spans="1:4">
      <c r="A80" s="977" t="s">
        <v>1158</v>
      </c>
    </row>
    <row r="81" spans="1:4">
      <c r="A81" s="977" t="s">
        <v>1159</v>
      </c>
      <c r="B81">
        <v>6855</v>
      </c>
      <c r="C81">
        <v>5681</v>
      </c>
      <c r="D81">
        <v>7083</v>
      </c>
    </row>
    <row r="82" spans="1:4">
      <c r="A82" s="977" t="s">
        <v>1160</v>
      </c>
      <c r="B82">
        <v>12397</v>
      </c>
      <c r="C82">
        <v>13446</v>
      </c>
      <c r="D82">
        <v>13330</v>
      </c>
    </row>
    <row r="83" spans="1:4">
      <c r="A83" s="977" t="s">
        <v>1161</v>
      </c>
      <c r="B83">
        <v>35.58</v>
      </c>
      <c r="C83">
        <v>35.58</v>
      </c>
      <c r="D83">
        <v>35.58</v>
      </c>
    </row>
    <row r="84" spans="1:4">
      <c r="A84" s="977" t="s">
        <v>1162</v>
      </c>
    </row>
    <row r="85" spans="1:4">
      <c r="A85" s="977" t="s">
        <v>1163</v>
      </c>
      <c r="B85">
        <v>108.42</v>
      </c>
      <c r="C85">
        <v>108.28</v>
      </c>
      <c r="D85">
        <v>108.28</v>
      </c>
    </row>
    <row r="86" spans="1:4">
      <c r="A86" s="977" t="s">
        <v>1164</v>
      </c>
    </row>
    <row r="87" spans="1:4">
      <c r="A87" s="977" t="s">
        <v>1165</v>
      </c>
      <c r="B87">
        <v>480419</v>
      </c>
      <c r="C87">
        <v>460882</v>
      </c>
      <c r="D87">
        <v>436237</v>
      </c>
    </row>
    <row r="88" spans="1:4">
      <c r="A88" s="977" t="s">
        <v>1166</v>
      </c>
    </row>
    <row r="89" spans="1:4">
      <c r="A89" s="977" t="s">
        <v>1167</v>
      </c>
    </row>
    <row r="90" spans="1:4">
      <c r="A90" s="977" t="s">
        <v>1168</v>
      </c>
    </row>
    <row r="91" spans="1:4">
      <c r="A91" s="977" t="s">
        <v>1169</v>
      </c>
    </row>
    <row r="92" spans="1:4">
      <c r="A92" s="977" t="s">
        <v>1170</v>
      </c>
    </row>
    <row r="93" spans="1:4">
      <c r="A93" s="977" t="s">
        <v>1171</v>
      </c>
    </row>
    <row r="94" spans="1:4">
      <c r="A94" s="977" t="s">
        <v>1172</v>
      </c>
    </row>
    <row r="95" spans="1:4">
      <c r="A95" s="977" t="s">
        <v>1173</v>
      </c>
    </row>
    <row r="96" spans="1:4">
      <c r="A96" s="977" t="s">
        <v>1174</v>
      </c>
    </row>
    <row r="97" spans="1:4">
      <c r="A97" s="977" t="s">
        <v>1175</v>
      </c>
    </row>
    <row r="98" spans="1:4">
      <c r="A98" s="977" t="s">
        <v>1176</v>
      </c>
    </row>
    <row r="99" spans="1:4">
      <c r="A99" s="977" t="s">
        <v>1177</v>
      </c>
    </row>
    <row r="100" spans="1:4">
      <c r="A100" s="977" t="s">
        <v>1178</v>
      </c>
      <c r="D100">
        <v>8993</v>
      </c>
    </row>
    <row r="101" spans="1:4">
      <c r="A101" s="977" t="s">
        <v>1179</v>
      </c>
      <c r="B101">
        <v>15030</v>
      </c>
      <c r="C101">
        <v>19808</v>
      </c>
      <c r="D101">
        <v>26816</v>
      </c>
    </row>
    <row r="102" spans="1:4">
      <c r="A102" s="977" t="s">
        <v>1180</v>
      </c>
      <c r="B102">
        <v>2449</v>
      </c>
      <c r="C102">
        <v>2779</v>
      </c>
      <c r="D102">
        <v>4238</v>
      </c>
    </row>
    <row r="103" spans="1:4">
      <c r="A103" s="977" t="s">
        <v>1181</v>
      </c>
      <c r="B103">
        <v>19537</v>
      </c>
      <c r="C103">
        <v>24646</v>
      </c>
      <c r="D103">
        <v>42106</v>
      </c>
    </row>
    <row r="104" spans="1:4">
      <c r="A104" s="977" t="s">
        <v>1182</v>
      </c>
    </row>
    <row r="105" spans="1:4">
      <c r="A105" s="977" t="s">
        <v>1183</v>
      </c>
    </row>
    <row r="106" spans="1:4">
      <c r="A106" s="977" t="s">
        <v>1184</v>
      </c>
    </row>
    <row r="107" spans="1:4">
      <c r="A107" s="977" t="s">
        <v>1185</v>
      </c>
    </row>
    <row r="108" spans="1:4">
      <c r="A108" s="977" t="s">
        <v>1186</v>
      </c>
    </row>
    <row r="109" spans="1:4">
      <c r="A109" s="977" t="s">
        <v>1187</v>
      </c>
    </row>
    <row r="110" spans="1:4">
      <c r="A110" s="977" t="s">
        <v>1188</v>
      </c>
    </row>
    <row r="111" spans="1:4">
      <c r="A111" s="977" t="s">
        <v>1189</v>
      </c>
    </row>
    <row r="112" spans="1:4">
      <c r="A112" s="977" t="s">
        <v>1190</v>
      </c>
    </row>
    <row r="113" spans="1:1">
      <c r="A113" s="977" t="s">
        <v>1191</v>
      </c>
    </row>
    <row r="114" spans="1:1">
      <c r="A114" s="977" t="s">
        <v>1192</v>
      </c>
    </row>
    <row r="115" spans="1:1">
      <c r="A115" s="977" t="s">
        <v>1193</v>
      </c>
    </row>
    <row r="116" spans="1:1">
      <c r="A116" s="977" t="s">
        <v>1194</v>
      </c>
    </row>
    <row r="117" spans="1:1">
      <c r="A117" s="977" t="s">
        <v>1195</v>
      </c>
    </row>
    <row r="118" spans="1:1">
      <c r="A118" s="977" t="s">
        <v>1196</v>
      </c>
    </row>
    <row r="119" spans="1:1">
      <c r="A119" s="977" t="s">
        <v>1197</v>
      </c>
    </row>
    <row r="120" spans="1:1">
      <c r="A120" s="977" t="s">
        <v>1198</v>
      </c>
    </row>
    <row r="121" spans="1:1">
      <c r="A121" s="977" t="s">
        <v>1199</v>
      </c>
    </row>
    <row r="122" spans="1:1">
      <c r="A122" s="977" t="s">
        <v>1200</v>
      </c>
    </row>
    <row r="123" spans="1:1">
      <c r="A123" s="977" t="s">
        <v>1201</v>
      </c>
    </row>
    <row r="124" spans="1:1">
      <c r="A124" s="977" t="s">
        <v>1202</v>
      </c>
    </row>
    <row r="125" spans="1:1">
      <c r="A125" s="977" t="s">
        <v>1203</v>
      </c>
    </row>
    <row r="126" spans="1:1">
      <c r="A126" s="977" t="s">
        <v>1204</v>
      </c>
    </row>
    <row r="127" spans="1:1">
      <c r="A127" s="977" t="s">
        <v>1205</v>
      </c>
    </row>
    <row r="128" spans="1:1">
      <c r="A128" s="977" t="s">
        <v>1206</v>
      </c>
    </row>
    <row r="129" spans="1:4">
      <c r="A129" s="977" t="s">
        <v>1207</v>
      </c>
    </row>
    <row r="130" spans="1:4">
      <c r="A130" s="977" t="s">
        <v>1208</v>
      </c>
    </row>
    <row r="131" spans="1:4">
      <c r="A131" s="977" t="s">
        <v>1209</v>
      </c>
    </row>
    <row r="132" spans="1:4">
      <c r="A132" s="977" t="s">
        <v>1210</v>
      </c>
    </row>
    <row r="133" spans="1:4">
      <c r="A133" s="977" t="s">
        <v>1211</v>
      </c>
      <c r="B133">
        <v>7420</v>
      </c>
      <c r="C133">
        <v>7934</v>
      </c>
      <c r="D133">
        <v>8132</v>
      </c>
    </row>
    <row r="134" spans="1:4">
      <c r="A134" s="977" t="s">
        <v>1212</v>
      </c>
      <c r="C134">
        <v>60000</v>
      </c>
    </row>
    <row r="135" spans="1:4">
      <c r="A135" s="977" t="s">
        <v>1213</v>
      </c>
      <c r="B135">
        <v>26230</v>
      </c>
      <c r="C135">
        <v>21067</v>
      </c>
      <c r="D135">
        <v>29058</v>
      </c>
    </row>
    <row r="136" spans="1:4">
      <c r="A136" s="977" t="s">
        <v>1214</v>
      </c>
    </row>
    <row r="137" spans="1:4">
      <c r="A137" s="977" t="s">
        <v>1215</v>
      </c>
    </row>
    <row r="138" spans="1:4">
      <c r="A138" s="977" t="s">
        <v>1216</v>
      </c>
    </row>
    <row r="139" spans="1:4">
      <c r="A139" s="977" t="s">
        <v>1217</v>
      </c>
    </row>
    <row r="140" spans="1:4">
      <c r="A140" s="977" t="s">
        <v>1218</v>
      </c>
    </row>
    <row r="141" spans="1:4">
      <c r="A141" s="977" t="s">
        <v>1219</v>
      </c>
    </row>
    <row r="142" spans="1:4">
      <c r="A142" s="977" t="s">
        <v>1220</v>
      </c>
    </row>
    <row r="143" spans="1:4">
      <c r="A143" s="977" t="s">
        <v>1221</v>
      </c>
    </row>
    <row r="144" spans="1:4">
      <c r="A144" s="977" t="s">
        <v>1222</v>
      </c>
    </row>
    <row r="145" spans="1:4">
      <c r="A145" s="977" t="s">
        <v>1223</v>
      </c>
    </row>
    <row r="146" spans="1:4">
      <c r="A146" s="977" t="s">
        <v>1224</v>
      </c>
    </row>
    <row r="147" spans="1:4">
      <c r="A147" s="977" t="s">
        <v>1225</v>
      </c>
    </row>
    <row r="148" spans="1:4">
      <c r="A148" s="977" t="s">
        <v>1226</v>
      </c>
    </row>
    <row r="149" spans="1:4">
      <c r="A149" s="977" t="s">
        <v>1227</v>
      </c>
    </row>
    <row r="150" spans="1:4">
      <c r="A150" s="977" t="s">
        <v>1228</v>
      </c>
      <c r="B150">
        <v>4592</v>
      </c>
      <c r="C150">
        <v>8410</v>
      </c>
      <c r="D150">
        <v>3473</v>
      </c>
    </row>
    <row r="151" spans="1:4">
      <c r="A151" s="977" t="s">
        <v>1229</v>
      </c>
    </row>
    <row r="152" spans="1:4">
      <c r="A152" s="977" t="s">
        <v>1230</v>
      </c>
    </row>
    <row r="153" spans="1:4">
      <c r="A153" s="977" t="s">
        <v>1231</v>
      </c>
    </row>
    <row r="154" spans="1:4">
      <c r="A154" s="977" t="s">
        <v>1232</v>
      </c>
      <c r="B154">
        <v>144</v>
      </c>
      <c r="C154">
        <v>143.86000000000001</v>
      </c>
      <c r="D154">
        <v>143.86000000000001</v>
      </c>
    </row>
    <row r="155" spans="1:4">
      <c r="A155" s="977" t="s">
        <v>1233</v>
      </c>
      <c r="B155">
        <v>116258</v>
      </c>
      <c r="C155">
        <v>236802</v>
      </c>
      <c r="D155">
        <v>199909</v>
      </c>
    </row>
    <row r="156" spans="1:4">
      <c r="A156" s="977" t="s">
        <v>1234</v>
      </c>
      <c r="B156">
        <v>150</v>
      </c>
      <c r="D156">
        <v>502</v>
      </c>
    </row>
    <row r="157" spans="1:4">
      <c r="A157" s="977" t="s">
        <v>1235</v>
      </c>
      <c r="C157">
        <v>1650</v>
      </c>
    </row>
    <row r="158" spans="1:4">
      <c r="A158" s="977" t="s">
        <v>1236</v>
      </c>
      <c r="B158">
        <v>91782</v>
      </c>
      <c r="C158">
        <v>118012</v>
      </c>
      <c r="D158">
        <v>79079</v>
      </c>
    </row>
    <row r="159" spans="1:4">
      <c r="A159" s="977" t="s">
        <v>1237</v>
      </c>
    </row>
    <row r="160" spans="1:4">
      <c r="A160" s="977" t="s">
        <v>1238</v>
      </c>
      <c r="B160">
        <v>144</v>
      </c>
      <c r="C160">
        <v>143.86000000000001</v>
      </c>
      <c r="D160">
        <v>143.86000000000001</v>
      </c>
    </row>
    <row r="161" spans="1:4">
      <c r="A161" s="977" t="s">
        <v>1239</v>
      </c>
      <c r="B161">
        <v>35.58</v>
      </c>
      <c r="C161">
        <v>35.58</v>
      </c>
      <c r="D161">
        <v>35.58</v>
      </c>
    </row>
    <row r="162" spans="1:4">
      <c r="A162" s="977" t="s">
        <v>1240</v>
      </c>
    </row>
    <row r="163" spans="1:4">
      <c r="A163" s="977" t="s">
        <v>1241</v>
      </c>
      <c r="B163">
        <v>108.42</v>
      </c>
      <c r="C163">
        <v>108.28</v>
      </c>
      <c r="D163">
        <v>108.28</v>
      </c>
    </row>
    <row r="164" spans="1:4">
      <c r="A164" s="977" t="s">
        <v>1242</v>
      </c>
    </row>
    <row r="165" spans="1:4">
      <c r="A165" s="977" t="s">
        <v>1243</v>
      </c>
      <c r="B165">
        <v>4573</v>
      </c>
      <c r="C165">
        <v>4573</v>
      </c>
      <c r="D165">
        <v>4573</v>
      </c>
    </row>
    <row r="166" spans="1:4">
      <c r="A166" s="977" t="s">
        <v>1244</v>
      </c>
      <c r="B166">
        <v>128704</v>
      </c>
      <c r="C166">
        <v>128704</v>
      </c>
      <c r="D166">
        <v>128704</v>
      </c>
    </row>
    <row r="167" spans="1:4">
      <c r="A167" s="977" t="s">
        <v>1245</v>
      </c>
    </row>
    <row r="168" spans="1:4">
      <c r="A168" s="977" t="s">
        <v>1246</v>
      </c>
    </row>
    <row r="169" spans="1:4">
      <c r="A169" s="977" t="s">
        <v>1247</v>
      </c>
    </row>
    <row r="170" spans="1:4">
      <c r="A170" s="977" t="s">
        <v>1248</v>
      </c>
    </row>
    <row r="171" spans="1:4">
      <c r="A171" s="977" t="s">
        <v>1249</v>
      </c>
    </row>
    <row r="172" spans="1:4">
      <c r="A172" s="977" t="s">
        <v>1250</v>
      </c>
      <c r="B172">
        <v>32</v>
      </c>
      <c r="C172">
        <v>956</v>
      </c>
      <c r="D172">
        <v>519</v>
      </c>
    </row>
    <row r="173" spans="1:4">
      <c r="A173" s="977" t="s">
        <v>1251</v>
      </c>
    </row>
    <row r="174" spans="1:4">
      <c r="A174" s="977" t="s">
        <v>1252</v>
      </c>
    </row>
    <row r="175" spans="1:4">
      <c r="A175" s="977" t="s">
        <v>1253</v>
      </c>
    </row>
    <row r="176" spans="1:4">
      <c r="A176" s="977" t="s">
        <v>1254</v>
      </c>
    </row>
    <row r="177" spans="1:1">
      <c r="A177" s="977" t="s">
        <v>1255</v>
      </c>
    </row>
    <row r="178" spans="1:1">
      <c r="A178" s="977" t="s">
        <v>1256</v>
      </c>
    </row>
    <row r="179" spans="1:1">
      <c r="A179" s="977" t="s">
        <v>1257</v>
      </c>
    </row>
    <row r="180" spans="1:1">
      <c r="A180" s="977" t="s">
        <v>1258</v>
      </c>
    </row>
    <row r="181" spans="1:1">
      <c r="A181" s="977" t="s">
        <v>1259</v>
      </c>
    </row>
    <row r="182" spans="1:1">
      <c r="A182" s="977" t="s">
        <v>1260</v>
      </c>
    </row>
    <row r="183" spans="1:1">
      <c r="A183" s="977" t="s">
        <v>1261</v>
      </c>
    </row>
    <row r="184" spans="1:1">
      <c r="A184" s="977" t="s">
        <v>1262</v>
      </c>
    </row>
    <row r="185" spans="1:1">
      <c r="A185" s="977" t="s">
        <v>1263</v>
      </c>
    </row>
    <row r="186" spans="1:1">
      <c r="A186" s="977" t="s">
        <v>1264</v>
      </c>
    </row>
    <row r="187" spans="1:1">
      <c r="A187" s="977" t="s">
        <v>1265</v>
      </c>
    </row>
    <row r="188" spans="1:1">
      <c r="A188" s="977" t="s">
        <v>1266</v>
      </c>
    </row>
    <row r="189" spans="1:1">
      <c r="A189" s="977" t="s">
        <v>1267</v>
      </c>
    </row>
    <row r="190" spans="1:1">
      <c r="A190" s="977" t="s">
        <v>1268</v>
      </c>
    </row>
    <row r="191" spans="1:1">
      <c r="A191" s="977" t="s">
        <v>1269</v>
      </c>
    </row>
    <row r="192" spans="1:1">
      <c r="A192" s="977" t="s">
        <v>1270</v>
      </c>
    </row>
    <row r="193" spans="1:1">
      <c r="A193" s="977" t="s">
        <v>1271</v>
      </c>
    </row>
    <row r="194" spans="1:1">
      <c r="A194" s="977" t="s">
        <v>1272</v>
      </c>
    </row>
    <row r="195" spans="1:1">
      <c r="A195" s="977" t="s">
        <v>1273</v>
      </c>
    </row>
    <row r="196" spans="1:1">
      <c r="A196" s="977" t="s">
        <v>1274</v>
      </c>
    </row>
    <row r="197" spans="1:1">
      <c r="A197" s="977" t="s">
        <v>1275</v>
      </c>
    </row>
    <row r="198" spans="1:1">
      <c r="A198" s="977" t="s">
        <v>1276</v>
      </c>
    </row>
    <row r="199" spans="1:1">
      <c r="A199" s="977" t="s">
        <v>1277</v>
      </c>
    </row>
    <row r="200" spans="1:1">
      <c r="A200" s="977" t="s">
        <v>1278</v>
      </c>
    </row>
    <row r="201" spans="1:1">
      <c r="A201" s="977" t="s">
        <v>1279</v>
      </c>
    </row>
    <row r="202" spans="1:1">
      <c r="A202" s="977" t="s">
        <v>1280</v>
      </c>
    </row>
    <row r="203" spans="1:1">
      <c r="A203" s="977" t="s">
        <v>1281</v>
      </c>
    </row>
    <row r="204" spans="1:1">
      <c r="A204" s="977" t="s">
        <v>1282</v>
      </c>
    </row>
    <row r="205" spans="1:1">
      <c r="A205" s="977" t="s">
        <v>1283</v>
      </c>
    </row>
    <row r="206" spans="1:1">
      <c r="A206" s="977" t="s">
        <v>1284</v>
      </c>
    </row>
    <row r="207" spans="1:1">
      <c r="A207" s="977" t="s">
        <v>1285</v>
      </c>
    </row>
    <row r="208" spans="1:1">
      <c r="A208" s="977" t="s">
        <v>1286</v>
      </c>
    </row>
    <row r="209" spans="1:4">
      <c r="A209" s="977" t="s">
        <v>1287</v>
      </c>
    </row>
    <row r="210" spans="1:4">
      <c r="A210" s="977" t="s">
        <v>1288</v>
      </c>
    </row>
    <row r="211" spans="1:4">
      <c r="A211" s="977" t="s">
        <v>1289</v>
      </c>
    </row>
    <row r="212" spans="1:4">
      <c r="A212" s="977" t="s">
        <v>1290</v>
      </c>
    </row>
    <row r="213" spans="1:4">
      <c r="A213" s="977" t="s">
        <v>1291</v>
      </c>
    </row>
    <row r="215" spans="1:4">
      <c r="A215" s="977" t="s">
        <v>1292</v>
      </c>
      <c r="B215">
        <v>289.95999999999998</v>
      </c>
      <c r="C215">
        <v>980.67</v>
      </c>
      <c r="D215">
        <v>869.69</v>
      </c>
    </row>
    <row r="434" spans="1:4">
      <c r="A434" s="977" t="s">
        <v>1293</v>
      </c>
    </row>
    <row r="435" spans="1:4">
      <c r="A435" s="977" t="s">
        <v>1294</v>
      </c>
      <c r="B435">
        <v>156860</v>
      </c>
      <c r="C435">
        <v>176398</v>
      </c>
      <c r="D435">
        <v>201043</v>
      </c>
    </row>
    <row r="436" spans="1:4">
      <c r="A436" s="977" t="s">
        <v>1295</v>
      </c>
      <c r="B436">
        <v>4494</v>
      </c>
      <c r="C436">
        <v>4494</v>
      </c>
      <c r="D436">
        <v>4494</v>
      </c>
    </row>
    <row r="437" spans="1:4">
      <c r="A437" s="977" t="s">
        <v>1296</v>
      </c>
      <c r="B437">
        <v>161354</v>
      </c>
      <c r="C437">
        <v>180892</v>
      </c>
      <c r="D437">
        <v>205537</v>
      </c>
    </row>
    <row r="438" spans="1:4">
      <c r="A438" s="977" t="s">
        <v>1297</v>
      </c>
      <c r="B438">
        <v>129992</v>
      </c>
      <c r="C438">
        <v>112255</v>
      </c>
      <c r="D438">
        <v>123966</v>
      </c>
    </row>
    <row r="439" spans="1:4">
      <c r="A439" s="977" t="s">
        <v>1298</v>
      </c>
      <c r="B439">
        <v>7871</v>
      </c>
      <c r="C439">
        <v>2451</v>
      </c>
      <c r="D439">
        <v>1537</v>
      </c>
    </row>
    <row r="440" spans="1:4">
      <c r="A440" s="977" t="s">
        <v>1299</v>
      </c>
      <c r="B440">
        <v>47348</v>
      </c>
      <c r="C440">
        <v>47139</v>
      </c>
      <c r="D440">
        <v>47824</v>
      </c>
    </row>
    <row r="441" spans="1:4">
      <c r="A441" s="977" t="s">
        <v>1300</v>
      </c>
      <c r="B441">
        <v>32</v>
      </c>
      <c r="C441">
        <v>956</v>
      </c>
      <c r="D441">
        <v>519</v>
      </c>
    </row>
    <row r="442" spans="1:4">
      <c r="A442" s="977" t="s">
        <v>1301</v>
      </c>
    </row>
    <row r="443" spans="1:4">
      <c r="A443" s="977" t="s">
        <v>1302</v>
      </c>
      <c r="B443">
        <v>-27621</v>
      </c>
      <c r="C443">
        <v>49204</v>
      </c>
      <c r="D443">
        <v>16468</v>
      </c>
    </row>
    <row r="444" spans="1:4">
      <c r="A444" s="977" t="s">
        <v>1303</v>
      </c>
      <c r="B444">
        <v>91782</v>
      </c>
      <c r="C444">
        <v>118012</v>
      </c>
      <c r="D444">
        <v>79079</v>
      </c>
    </row>
    <row r="445" spans="1:4">
      <c r="A445" s="977" t="s">
        <v>1304</v>
      </c>
      <c r="B445">
        <v>1079</v>
      </c>
      <c r="C445">
        <v>840</v>
      </c>
      <c r="D445">
        <v>966</v>
      </c>
    </row>
    <row r="446" spans="1:4">
      <c r="A446" s="977" t="s">
        <v>1305</v>
      </c>
      <c r="B446">
        <v>69934</v>
      </c>
      <c r="C446">
        <v>48045</v>
      </c>
      <c r="D446">
        <v>58906</v>
      </c>
    </row>
    <row r="447" spans="1:4">
      <c r="A447" s="977" t="s">
        <v>1306</v>
      </c>
      <c r="B447">
        <v>7541</v>
      </c>
      <c r="C447">
        <v>14134</v>
      </c>
      <c r="D447">
        <v>14532</v>
      </c>
    </row>
    <row r="448" spans="1:4">
      <c r="A448" s="977" t="s">
        <v>1307</v>
      </c>
      <c r="B448">
        <v>71549</v>
      </c>
      <c r="C448">
        <v>25134</v>
      </c>
      <c r="D448">
        <v>98947</v>
      </c>
    </row>
    <row r="449" spans="1:4">
      <c r="A449" s="977" t="s">
        <v>1308</v>
      </c>
      <c r="B449">
        <v>150103</v>
      </c>
      <c r="C449">
        <v>88153</v>
      </c>
      <c r="D449">
        <v>173351</v>
      </c>
    </row>
    <row r="450" spans="1:4">
      <c r="A450" s="977" t="s">
        <v>1309</v>
      </c>
      <c r="B450">
        <v>19625</v>
      </c>
    </row>
    <row r="451" spans="1:4">
      <c r="A451" s="977" t="s">
        <v>1310</v>
      </c>
      <c r="B451">
        <v>33816</v>
      </c>
      <c r="C451">
        <v>39322</v>
      </c>
      <c r="D451">
        <v>46406</v>
      </c>
    </row>
    <row r="452" spans="1:4">
      <c r="A452" s="977" t="s">
        <v>1311</v>
      </c>
      <c r="B452">
        <v>6046</v>
      </c>
      <c r="C452">
        <v>5604</v>
      </c>
      <c r="D452">
        <v>7912</v>
      </c>
    </row>
    <row r="453" spans="1:4">
      <c r="A453" s="977" t="s">
        <v>1312</v>
      </c>
      <c r="B453">
        <v>14629</v>
      </c>
      <c r="C453">
        <v>16624</v>
      </c>
      <c r="D453">
        <v>14924</v>
      </c>
    </row>
    <row r="454" spans="1:4">
      <c r="A454" s="977" t="s">
        <v>1313</v>
      </c>
      <c r="D454">
        <v>2096</v>
      </c>
    </row>
    <row r="455" spans="1:4">
      <c r="A455" s="977" t="s">
        <v>1314</v>
      </c>
      <c r="B455">
        <v>17479</v>
      </c>
      <c r="C455">
        <v>22587</v>
      </c>
      <c r="D455">
        <v>31054</v>
      </c>
    </row>
    <row r="456" spans="1:4">
      <c r="A456" s="977" t="s">
        <v>1315</v>
      </c>
    </row>
    <row r="457" spans="1:4">
      <c r="A457" s="977" t="s">
        <v>1316</v>
      </c>
    </row>
    <row r="458" spans="1:4">
      <c r="A458" s="977" t="s">
        <v>1317</v>
      </c>
      <c r="B458">
        <v>7501</v>
      </c>
      <c r="C458">
        <v>6994</v>
      </c>
      <c r="D458">
        <v>8838</v>
      </c>
    </row>
    <row r="459" spans="1:4">
      <c r="A459" s="977" t="s">
        <v>1318</v>
      </c>
      <c r="D459">
        <v>2750</v>
      </c>
    </row>
    <row r="460" spans="1:4">
      <c r="A460" s="977" t="s">
        <v>1319</v>
      </c>
      <c r="B460">
        <v>9586</v>
      </c>
      <c r="C460">
        <v>8720</v>
      </c>
      <c r="D460">
        <v>8759</v>
      </c>
    </row>
    <row r="461" spans="1:4">
      <c r="A461" s="977" t="s">
        <v>1320</v>
      </c>
      <c r="B461">
        <v>-3590</v>
      </c>
      <c r="C461">
        <v>-3409</v>
      </c>
      <c r="D461">
        <v>-4180</v>
      </c>
    </row>
    <row r="462" spans="1:4">
      <c r="A462" s="977" t="s">
        <v>1321</v>
      </c>
      <c r="C462">
        <v>60000</v>
      </c>
    </row>
    <row r="463" spans="1:4">
      <c r="A463" s="977" t="s">
        <v>1322</v>
      </c>
    </row>
    <row r="464" spans="1:4">
      <c r="A464" s="977" t="s">
        <v>1323</v>
      </c>
      <c r="B464">
        <v>5420</v>
      </c>
      <c r="C464">
        <v>914</v>
      </c>
      <c r="D464">
        <v>882</v>
      </c>
    </row>
    <row r="465" spans="1:4">
      <c r="A465" s="977" t="s">
        <v>1324</v>
      </c>
    </row>
    <row r="466" spans="1:4">
      <c r="A466" s="977" t="s">
        <v>1325</v>
      </c>
      <c r="B466">
        <v>715</v>
      </c>
    </row>
    <row r="467" spans="1:4">
      <c r="A467" s="977" t="s">
        <v>1326</v>
      </c>
      <c r="B467">
        <v>17737</v>
      </c>
      <c r="C467">
        <v>-11711</v>
      </c>
      <c r="D467">
        <v>123966</v>
      </c>
    </row>
    <row r="468" spans="1:4">
      <c r="A468" s="977" t="s">
        <v>1327</v>
      </c>
      <c r="B468">
        <v>120850</v>
      </c>
      <c r="C468">
        <v>245212</v>
      </c>
      <c r="D468">
        <v>203382</v>
      </c>
    </row>
    <row r="469" spans="1:4">
      <c r="A469" s="977" t="s">
        <v>1328</v>
      </c>
      <c r="D469">
        <v>143.86000000000001</v>
      </c>
    </row>
    <row r="470" spans="1:4">
      <c r="A470" s="977" t="s">
        <v>1329</v>
      </c>
    </row>
    <row r="471" spans="1:4">
      <c r="A471" s="977" t="s">
        <v>1330</v>
      </c>
      <c r="B471">
        <v>144</v>
      </c>
      <c r="C471">
        <v>143.86000000000001</v>
      </c>
    </row>
    <row r="472" spans="1:4">
      <c r="A472" s="977" t="s">
        <v>1331</v>
      </c>
      <c r="B472">
        <v>24.71</v>
      </c>
      <c r="C472">
        <v>24.73</v>
      </c>
      <c r="D472">
        <v>24.73</v>
      </c>
    </row>
    <row r="473" spans="1:4">
      <c r="A473" s="977" t="s">
        <v>1332</v>
      </c>
      <c r="B473">
        <v>75.290000000000006</v>
      </c>
      <c r="C473">
        <v>75.27</v>
      </c>
      <c r="D473">
        <v>75.27</v>
      </c>
    </row>
    <row r="474" spans="1:4">
      <c r="A474" s="977" t="s">
        <v>1333</v>
      </c>
      <c r="B474">
        <v>98877</v>
      </c>
      <c r="C474">
        <v>186681</v>
      </c>
      <c r="D474">
        <v>196436</v>
      </c>
    </row>
    <row r="475" spans="1:4">
      <c r="A475" s="977" t="s">
        <v>1334</v>
      </c>
    </row>
    <row r="476" spans="1:4">
      <c r="A476" s="977" t="s">
        <v>1335</v>
      </c>
    </row>
    <row r="477" spans="1:4">
      <c r="A477" s="977" t="s">
        <v>1336</v>
      </c>
      <c r="B477">
        <v>12789</v>
      </c>
      <c r="C477">
        <v>41711</v>
      </c>
    </row>
    <row r="478" spans="1:4">
      <c r="A478" s="977" t="s">
        <v>1337</v>
      </c>
    </row>
    <row r="479" spans="1:4">
      <c r="A479" s="977" t="s">
        <v>1338</v>
      </c>
      <c r="B479">
        <v>4839</v>
      </c>
      <c r="C479">
        <v>9823</v>
      </c>
      <c r="D479">
        <v>4153</v>
      </c>
    </row>
    <row r="480" spans="1:4">
      <c r="A480" s="977" t="s">
        <v>1339</v>
      </c>
    </row>
    <row r="481" spans="1:4">
      <c r="A481" s="977" t="s">
        <v>1340</v>
      </c>
    </row>
    <row r="482" spans="1:4">
      <c r="A482" s="977" t="s">
        <v>1341</v>
      </c>
    </row>
    <row r="483" spans="1:4">
      <c r="A483" s="977" t="s">
        <v>1342</v>
      </c>
    </row>
    <row r="484" spans="1:4">
      <c r="A484" s="977" t="s">
        <v>1343</v>
      </c>
    </row>
    <row r="485" spans="1:4">
      <c r="A485" s="977" t="s">
        <v>1344</v>
      </c>
      <c r="B485" s="977" t="s">
        <v>1345</v>
      </c>
    </row>
    <row r="486" spans="1:4">
      <c r="A486" s="977" t="s">
        <v>1346</v>
      </c>
      <c r="B486">
        <v>6</v>
      </c>
      <c r="C486">
        <v>6</v>
      </c>
      <c r="D486">
        <v>6</v>
      </c>
    </row>
    <row r="487" spans="1:4">
      <c r="A487" s="977" t="s">
        <v>1347</v>
      </c>
    </row>
    <row r="488" spans="1:4">
      <c r="A488" s="977" t="s">
        <v>1348</v>
      </c>
    </row>
    <row r="489" spans="1:4">
      <c r="A489" s="977" t="s">
        <v>1349</v>
      </c>
      <c r="B489">
        <v>27166</v>
      </c>
      <c r="C489">
        <v>14134</v>
      </c>
      <c r="D489">
        <v>14532</v>
      </c>
    </row>
    <row r="490" spans="1:4">
      <c r="A490" s="977" t="s">
        <v>1350</v>
      </c>
      <c r="B490">
        <v>24.55</v>
      </c>
      <c r="C490">
        <v>40.01</v>
      </c>
      <c r="D490">
        <v>33.46</v>
      </c>
    </row>
    <row r="491" spans="1:4">
      <c r="A491" s="977" t="s">
        <v>1351</v>
      </c>
    </row>
    <row r="492" spans="1:4">
      <c r="A492" s="977" t="s">
        <v>1352</v>
      </c>
      <c r="B492">
        <v>-27621</v>
      </c>
      <c r="C492">
        <v>49204</v>
      </c>
      <c r="D492">
        <v>16468</v>
      </c>
    </row>
    <row r="493" spans="1:4">
      <c r="A493" s="977" t="s">
        <v>1353</v>
      </c>
      <c r="B493">
        <v>19537</v>
      </c>
      <c r="C493">
        <v>24646</v>
      </c>
      <c r="D493">
        <v>42105</v>
      </c>
    </row>
    <row r="494" spans="1:4">
      <c r="A494" s="977" t="s">
        <v>1354</v>
      </c>
    </row>
    <row r="495" spans="1:4">
      <c r="A495" s="977" t="s">
        <v>1355</v>
      </c>
    </row>
    <row r="496" spans="1:4">
      <c r="A496" s="977" t="s">
        <v>1356</v>
      </c>
      <c r="B496">
        <v>69219</v>
      </c>
      <c r="C496">
        <v>48045</v>
      </c>
      <c r="D496">
        <v>58906</v>
      </c>
    </row>
    <row r="497" spans="1:4">
      <c r="A497" s="977" t="s">
        <v>1357</v>
      </c>
    </row>
    <row r="498" spans="1:4">
      <c r="A498" s="977" t="s">
        <v>1358</v>
      </c>
      <c r="B498">
        <v>14400</v>
      </c>
      <c r="C498">
        <v>14386</v>
      </c>
      <c r="D498">
        <v>14386</v>
      </c>
    </row>
    <row r="499" spans="1:4">
      <c r="A499" s="977" t="s">
        <v>1359</v>
      </c>
    </row>
    <row r="500" spans="1:4">
      <c r="A500" s="977" t="s">
        <v>1360</v>
      </c>
    </row>
    <row r="501" spans="1:4">
      <c r="A501" s="977" t="s">
        <v>1361</v>
      </c>
      <c r="B501">
        <v>23562</v>
      </c>
      <c r="C501">
        <v>15824</v>
      </c>
      <c r="D501">
        <v>14486</v>
      </c>
    </row>
    <row r="502" spans="1:4">
      <c r="A502" s="977" t="s">
        <v>1362</v>
      </c>
      <c r="B502">
        <v>35791</v>
      </c>
      <c r="C502">
        <v>30505</v>
      </c>
      <c r="D502">
        <v>33359</v>
      </c>
    </row>
    <row r="503" spans="1:4">
      <c r="A503" s="977" t="s">
        <v>1363</v>
      </c>
      <c r="B503">
        <v>14</v>
      </c>
      <c r="C503">
        <v>10</v>
      </c>
      <c r="D503">
        <v>14</v>
      </c>
    </row>
    <row r="504" spans="1:4">
      <c r="A504" s="977" t="s">
        <v>1364</v>
      </c>
    </row>
    <row r="505" spans="1:4">
      <c r="A505" s="977" t="s">
        <v>1365</v>
      </c>
    </row>
    <row r="506" spans="1:4">
      <c r="A506" s="977" t="s">
        <v>1366</v>
      </c>
      <c r="C506">
        <v>11711</v>
      </c>
    </row>
    <row r="507" spans="1:4">
      <c r="A507" s="977" t="s">
        <v>1367</v>
      </c>
      <c r="B507">
        <v>17737</v>
      </c>
      <c r="D507">
        <v>123966</v>
      </c>
    </row>
    <row r="508" spans="1:4">
      <c r="A508" s="977" t="s">
        <v>1368</v>
      </c>
    </row>
    <row r="509" spans="1:4">
      <c r="A509" s="977" t="s">
        <v>1369</v>
      </c>
      <c r="B509">
        <v>5420</v>
      </c>
      <c r="C509">
        <v>914</v>
      </c>
      <c r="D509">
        <v>882</v>
      </c>
    </row>
    <row r="510" spans="1:4">
      <c r="A510" s="977" t="s">
        <v>1370</v>
      </c>
    </row>
    <row r="511" spans="1:4">
      <c r="A511" s="977" t="s">
        <v>1371</v>
      </c>
    </row>
    <row r="512" spans="1:4">
      <c r="A512" s="977" t="s">
        <v>1372</v>
      </c>
    </row>
    <row r="513" spans="1:4">
      <c r="A513" s="977" t="s">
        <v>1373</v>
      </c>
      <c r="B513">
        <v>715</v>
      </c>
    </row>
    <row r="514" spans="1:4">
      <c r="A514" s="977" t="s">
        <v>1374</v>
      </c>
      <c r="B514">
        <v>21889</v>
      </c>
      <c r="C514">
        <v>-10861</v>
      </c>
      <c r="D514">
        <v>17931</v>
      </c>
    </row>
    <row r="515" spans="1:4">
      <c r="A515" s="977" t="s">
        <v>1375</v>
      </c>
      <c r="B515">
        <v>21889</v>
      </c>
      <c r="D515">
        <v>17931</v>
      </c>
    </row>
    <row r="516" spans="1:4">
      <c r="A516" s="977" t="s">
        <v>1376</v>
      </c>
      <c r="C516">
        <v>10861</v>
      </c>
    </row>
    <row r="517" spans="1:4">
      <c r="A517" s="977" t="s">
        <v>1377</v>
      </c>
      <c r="B517">
        <v>13032</v>
      </c>
      <c r="C517">
        <v>-1628</v>
      </c>
      <c r="D517">
        <v>-8009</v>
      </c>
    </row>
    <row r="518" spans="1:4">
      <c r="A518" s="977" t="s">
        <v>1378</v>
      </c>
      <c r="B518">
        <v>13032</v>
      </c>
    </row>
    <row r="519" spans="1:4">
      <c r="A519" s="977" t="s">
        <v>1379</v>
      </c>
      <c r="C519">
        <v>1628</v>
      </c>
      <c r="D519">
        <v>8009</v>
      </c>
    </row>
    <row r="520" spans="1:4">
      <c r="A520" s="977" t="s">
        <v>1380</v>
      </c>
      <c r="B520">
        <v>20675</v>
      </c>
      <c r="C520">
        <v>22228</v>
      </c>
      <c r="D520">
        <v>24932</v>
      </c>
    </row>
    <row r="521" spans="1:4">
      <c r="A521" s="977" t="s">
        <v>1381</v>
      </c>
      <c r="B521">
        <v>143.58000000000001</v>
      </c>
      <c r="C521">
        <v>154.51</v>
      </c>
      <c r="D521">
        <v>173.31</v>
      </c>
    </row>
    <row r="522" spans="1:4">
      <c r="A522" s="977" t="s">
        <v>1382</v>
      </c>
      <c r="B522">
        <v>40028</v>
      </c>
      <c r="C522">
        <v>45434</v>
      </c>
      <c r="D522">
        <v>28297</v>
      </c>
    </row>
    <row r="523" spans="1:4">
      <c r="A523" s="977" t="s">
        <v>1383</v>
      </c>
      <c r="B523">
        <v>57115</v>
      </c>
      <c r="C523">
        <v>61148</v>
      </c>
      <c r="D523">
        <v>48644</v>
      </c>
    </row>
    <row r="524" spans="1:4">
      <c r="A524" s="977" t="s">
        <v>1384</v>
      </c>
      <c r="B524">
        <v>12397</v>
      </c>
      <c r="C524">
        <v>13446</v>
      </c>
      <c r="D524">
        <v>13330</v>
      </c>
    </row>
    <row r="525" spans="1:4">
      <c r="A525" s="977" t="s">
        <v>1385</v>
      </c>
      <c r="B525">
        <v>44718</v>
      </c>
      <c r="C525">
        <v>47702</v>
      </c>
      <c r="D525">
        <v>35314</v>
      </c>
    </row>
    <row r="526" spans="1:4">
      <c r="A526" s="977" t="s">
        <v>1386</v>
      </c>
      <c r="B526">
        <v>310.54000000000002</v>
      </c>
      <c r="C526">
        <v>331.59</v>
      </c>
      <c r="D526">
        <v>245.47</v>
      </c>
    </row>
    <row r="527" spans="1:4">
      <c r="A527" s="977" t="s">
        <v>1387</v>
      </c>
    </row>
    <row r="528" spans="1:4">
      <c r="A528" s="977" t="s">
        <v>1388</v>
      </c>
      <c r="B528">
        <v>95.32</v>
      </c>
      <c r="C528">
        <v>91.44</v>
      </c>
      <c r="D528">
        <v>86.55</v>
      </c>
    </row>
    <row r="529" spans="1:4">
      <c r="A529" s="977" t="s">
        <v>1389</v>
      </c>
    </row>
    <row r="530" spans="1:4">
      <c r="A530" s="977" t="s">
        <v>1390</v>
      </c>
    </row>
    <row r="531" spans="1:4">
      <c r="A531" s="977" t="s">
        <v>1391</v>
      </c>
    </row>
    <row r="532" spans="1:4">
      <c r="A532" s="977" t="s">
        <v>1392</v>
      </c>
    </row>
    <row r="533" spans="1:4">
      <c r="A533" s="977" t="s">
        <v>1393</v>
      </c>
      <c r="B533">
        <v>111666</v>
      </c>
      <c r="C533">
        <v>228392</v>
      </c>
      <c r="D533">
        <v>196436</v>
      </c>
    </row>
    <row r="534" spans="1:4">
      <c r="A534" s="977" t="s">
        <v>1394</v>
      </c>
    </row>
    <row r="535" spans="1:4">
      <c r="A535" s="977" t="s">
        <v>1395</v>
      </c>
      <c r="B535">
        <v>4839</v>
      </c>
      <c r="C535">
        <v>9823</v>
      </c>
      <c r="D535">
        <v>4153</v>
      </c>
    </row>
    <row r="536" spans="1:4">
      <c r="A536" s="977" t="s">
        <v>1396</v>
      </c>
      <c r="B536">
        <v>775.46</v>
      </c>
      <c r="C536">
        <v>1587.6</v>
      </c>
      <c r="D536">
        <v>1365.47</v>
      </c>
    </row>
    <row r="537" spans="1:4">
      <c r="A537" s="977" t="s">
        <v>1397</v>
      </c>
    </row>
    <row r="538" spans="1:4">
      <c r="A538" s="977" t="s">
        <v>1398</v>
      </c>
    </row>
    <row r="539" spans="1:4">
      <c r="A539" s="977" t="s">
        <v>1399</v>
      </c>
    </row>
    <row r="540" spans="1:4">
      <c r="A540" s="977" t="s">
        <v>1400</v>
      </c>
    </row>
    <row r="541" spans="1:4">
      <c r="A541" s="977" t="s">
        <v>1401</v>
      </c>
    </row>
    <row r="542" spans="1:4">
      <c r="A542" s="977" t="s">
        <v>1402</v>
      </c>
      <c r="B542">
        <v>261511</v>
      </c>
      <c r="C542">
        <v>206165</v>
      </c>
      <c r="D542">
        <v>252430</v>
      </c>
    </row>
    <row r="543" spans="1:4">
      <c r="A543" s="977" t="s">
        <v>1403</v>
      </c>
      <c r="B543">
        <v>37.07</v>
      </c>
      <c r="C543">
        <v>57.89</v>
      </c>
      <c r="D543">
        <v>28.77</v>
      </c>
    </row>
    <row r="544" spans="1:4">
      <c r="A544" s="977" t="s">
        <v>1404</v>
      </c>
      <c r="B544">
        <v>69.790000000000006</v>
      </c>
      <c r="C544">
        <v>59.99</v>
      </c>
      <c r="D544">
        <v>66.540000000000006</v>
      </c>
    </row>
    <row r="545" spans="1:4">
      <c r="A545" s="977" t="s">
        <v>1405</v>
      </c>
      <c r="B545">
        <v>33.6</v>
      </c>
      <c r="C545">
        <v>68.28</v>
      </c>
      <c r="D545">
        <v>28.87</v>
      </c>
    </row>
    <row r="546" spans="1:4">
      <c r="A546" s="977" t="s">
        <v>1406</v>
      </c>
      <c r="B546">
        <v>112707</v>
      </c>
      <c r="C546">
        <v>88325</v>
      </c>
      <c r="D546">
        <v>110485</v>
      </c>
    </row>
    <row r="547" spans="1:4">
      <c r="A547" s="977" t="s">
        <v>1407</v>
      </c>
      <c r="B547">
        <v>85086</v>
      </c>
      <c r="C547">
        <v>137529</v>
      </c>
      <c r="D547">
        <v>126953</v>
      </c>
    </row>
    <row r="548" spans="1:4">
      <c r="A548" s="977" t="s">
        <v>1408</v>
      </c>
      <c r="B548">
        <v>7871</v>
      </c>
      <c r="C548">
        <v>2451</v>
      </c>
      <c r="D548">
        <v>1537</v>
      </c>
    </row>
    <row r="549" spans="1:4">
      <c r="A549" s="977" t="s">
        <v>1409</v>
      </c>
      <c r="B549">
        <v>346596</v>
      </c>
      <c r="C549">
        <v>343694</v>
      </c>
      <c r="D549">
        <v>379383</v>
      </c>
    </row>
    <row r="550" spans="1:4">
      <c r="A550" s="977" t="s">
        <v>1410</v>
      </c>
      <c r="B550">
        <v>130377</v>
      </c>
      <c r="C550">
        <v>217171</v>
      </c>
      <c r="D550">
        <v>259691</v>
      </c>
    </row>
    <row r="551" spans="1:4">
      <c r="A551" s="977" t="s">
        <v>1411</v>
      </c>
    </row>
    <row r="552" spans="1:4">
      <c r="A552" s="977" t="s">
        <v>1412</v>
      </c>
      <c r="B552">
        <v>905.4</v>
      </c>
      <c r="C552">
        <v>1509.6</v>
      </c>
      <c r="D552">
        <v>1805.16</v>
      </c>
    </row>
    <row r="553" spans="1:4">
      <c r="A553" s="977" t="s">
        <v>1413</v>
      </c>
    </row>
    <row r="554" spans="1:4">
      <c r="A554" s="977" t="s">
        <v>1414</v>
      </c>
      <c r="B554">
        <v>18711</v>
      </c>
      <c r="C554">
        <v>-11221</v>
      </c>
      <c r="D554">
        <v>19248</v>
      </c>
    </row>
    <row r="555" spans="1:4">
      <c r="A555" s="977" t="s">
        <v>1415</v>
      </c>
    </row>
    <row r="556" spans="1:4">
      <c r="A556" s="977" t="s">
        <v>1416</v>
      </c>
      <c r="B556">
        <v>129.94</v>
      </c>
      <c r="C556">
        <v>-78</v>
      </c>
      <c r="D556">
        <v>133.80000000000001</v>
      </c>
    </row>
    <row r="557" spans="1:4">
      <c r="A557" s="977" t="s">
        <v>1417</v>
      </c>
    </row>
    <row r="558" spans="1:4">
      <c r="A558" s="977" t="s">
        <v>1418</v>
      </c>
      <c r="B558">
        <v>93462</v>
      </c>
      <c r="C558">
        <v>85915</v>
      </c>
      <c r="D558">
        <v>94724</v>
      </c>
    </row>
    <row r="559" spans="1:4">
      <c r="A559" s="977" t="s">
        <v>1419</v>
      </c>
      <c r="B559">
        <v>649.04</v>
      </c>
      <c r="C559">
        <v>597.21</v>
      </c>
      <c r="D559">
        <v>658.45</v>
      </c>
    </row>
    <row r="560" spans="1:4">
      <c r="A560" s="977" t="s">
        <v>1420</v>
      </c>
      <c r="B560">
        <v>46665</v>
      </c>
      <c r="C560">
        <v>48095</v>
      </c>
      <c r="D560">
        <v>48343</v>
      </c>
    </row>
    <row r="561" spans="1:4">
      <c r="A561" s="977" t="s">
        <v>1421</v>
      </c>
      <c r="B561">
        <v>88143</v>
      </c>
      <c r="C561">
        <v>100622</v>
      </c>
      <c r="D561">
        <v>100408</v>
      </c>
    </row>
    <row r="562" spans="1:4">
      <c r="A562" s="977" t="s">
        <v>1422</v>
      </c>
      <c r="B562">
        <v>46665</v>
      </c>
      <c r="C562">
        <v>48095</v>
      </c>
      <c r="D562">
        <v>48343</v>
      </c>
    </row>
    <row r="563" spans="1:4">
      <c r="A563" s="977" t="s">
        <v>1423</v>
      </c>
      <c r="B563">
        <v>-1430</v>
      </c>
      <c r="C563">
        <v>-248</v>
      </c>
      <c r="D563">
        <v>48343</v>
      </c>
    </row>
    <row r="564" spans="1:4">
      <c r="A564" s="977" t="s">
        <v>1424</v>
      </c>
      <c r="B564">
        <v>1430</v>
      </c>
      <c r="C564">
        <v>248</v>
      </c>
    </row>
    <row r="565" spans="1:4">
      <c r="A565" s="977" t="s">
        <v>1425</v>
      </c>
      <c r="D565">
        <v>48343</v>
      </c>
    </row>
    <row r="566" spans="1:4">
      <c r="A566" s="977" t="s">
        <v>1426</v>
      </c>
      <c r="B566">
        <v>25991</v>
      </c>
      <c r="C566">
        <v>20227</v>
      </c>
      <c r="D566">
        <v>29058</v>
      </c>
    </row>
    <row r="567" spans="1:4">
      <c r="A567" s="977" t="s">
        <v>1427</v>
      </c>
      <c r="B567">
        <v>24821</v>
      </c>
      <c r="C567">
        <v>38629</v>
      </c>
      <c r="D567">
        <v>58327</v>
      </c>
    </row>
    <row r="568" spans="1:4">
      <c r="A568" s="977" t="s">
        <v>1428</v>
      </c>
      <c r="D568">
        <v>100</v>
      </c>
    </row>
    <row r="569" spans="1:4">
      <c r="A569" s="977" t="s">
        <v>1429</v>
      </c>
    </row>
    <row r="570" spans="1:4">
      <c r="A570" s="977" t="s">
        <v>1430</v>
      </c>
      <c r="B570">
        <v>1</v>
      </c>
      <c r="C570">
        <v>1</v>
      </c>
    </row>
    <row r="571" spans="1:4">
      <c r="A571" s="977" t="s">
        <v>1431</v>
      </c>
      <c r="B571">
        <v>84.87</v>
      </c>
      <c r="C571">
        <v>78.37</v>
      </c>
      <c r="D571">
        <v>97.93</v>
      </c>
    </row>
    <row r="572" spans="1:4">
      <c r="A572" s="977" t="s">
        <v>1432</v>
      </c>
    </row>
    <row r="573" spans="1:4">
      <c r="A573" s="977" t="s">
        <v>1433</v>
      </c>
    </row>
    <row r="574" spans="1:4">
      <c r="A574" s="977" t="s">
        <v>1434</v>
      </c>
      <c r="B574">
        <v>10.98</v>
      </c>
      <c r="C574">
        <v>17.510000000000002</v>
      </c>
    </row>
    <row r="575" spans="1:4">
      <c r="A575" s="977" t="s">
        <v>1435</v>
      </c>
      <c r="B575">
        <v>4.1500000000000004</v>
      </c>
      <c r="C575">
        <v>4.12</v>
      </c>
      <c r="D575">
        <v>2.0699999999999998</v>
      </c>
    </row>
    <row r="576" spans="1:4">
      <c r="A576" s="977" t="s">
        <v>1436</v>
      </c>
      <c r="B576">
        <v>41551</v>
      </c>
      <c r="C576">
        <v>43767</v>
      </c>
      <c r="D576">
        <v>-8933</v>
      </c>
    </row>
    <row r="577" spans="1:4">
      <c r="A577" s="977" t="s">
        <v>1437</v>
      </c>
      <c r="B577">
        <v>135216</v>
      </c>
      <c r="C577">
        <v>226994</v>
      </c>
      <c r="D577">
        <v>263844</v>
      </c>
    </row>
    <row r="578" spans="1:4">
      <c r="A578" s="977" t="s">
        <v>1438</v>
      </c>
      <c r="B578">
        <v>939</v>
      </c>
      <c r="C578">
        <v>1577.88</v>
      </c>
      <c r="D578">
        <v>1834.03</v>
      </c>
    </row>
    <row r="579" spans="1:4">
      <c r="A579" s="977" t="s">
        <v>1439</v>
      </c>
    </row>
    <row r="580" spans="1:4">
      <c r="A580" s="977" t="s">
        <v>1440</v>
      </c>
    </row>
    <row r="581" spans="1:4">
      <c r="A581" s="977" t="s">
        <v>1441</v>
      </c>
    </row>
    <row r="582" spans="1:4">
      <c r="A582" s="977" t="s">
        <v>1442</v>
      </c>
      <c r="B582">
        <v>-31346</v>
      </c>
      <c r="C582">
        <v>-25018</v>
      </c>
      <c r="D582">
        <v>-98683</v>
      </c>
    </row>
    <row r="583" spans="1:4">
      <c r="A583" s="977" t="s">
        <v>1443</v>
      </c>
      <c r="B583">
        <v>185211</v>
      </c>
      <c r="C583">
        <v>161845</v>
      </c>
      <c r="D583">
        <v>173327</v>
      </c>
    </row>
    <row r="584" spans="1:4">
      <c r="A584" s="977" t="s">
        <v>1444</v>
      </c>
      <c r="B584">
        <v>346597</v>
      </c>
      <c r="C584">
        <v>343693</v>
      </c>
      <c r="D584">
        <v>379383</v>
      </c>
    </row>
    <row r="585" spans="1:4">
      <c r="A585" s="977" t="s">
        <v>1445</v>
      </c>
      <c r="B585">
        <v>56797</v>
      </c>
      <c r="C585">
        <v>75604</v>
      </c>
      <c r="D585">
        <v>495</v>
      </c>
    </row>
    <row r="586" spans="1:4">
      <c r="A586" s="977" t="s">
        <v>1446</v>
      </c>
      <c r="B586">
        <v>1408.72</v>
      </c>
      <c r="C586">
        <v>1530.71</v>
      </c>
      <c r="D586">
        <v>1694.72</v>
      </c>
    </row>
    <row r="587" spans="1:4">
      <c r="A587" s="977" t="s">
        <v>1447</v>
      </c>
      <c r="B587">
        <v>93183</v>
      </c>
      <c r="C587">
        <v>85661</v>
      </c>
      <c r="D587">
        <v>94265</v>
      </c>
    </row>
    <row r="588" spans="1:4">
      <c r="A588" s="977" t="s">
        <v>1448</v>
      </c>
      <c r="B588">
        <v>647.1</v>
      </c>
      <c r="C588">
        <v>595.45000000000005</v>
      </c>
      <c r="D588">
        <v>655.26</v>
      </c>
    </row>
    <row r="589" spans="1:4">
      <c r="A589" s="977" t="s">
        <v>1449</v>
      </c>
      <c r="B589">
        <v>163.63</v>
      </c>
      <c r="C589">
        <v>110</v>
      </c>
      <c r="D589">
        <v>100.7</v>
      </c>
    </row>
    <row r="590" spans="1:4">
      <c r="A590" s="977" t="s">
        <v>1450</v>
      </c>
      <c r="B590">
        <v>248.55</v>
      </c>
      <c r="C590">
        <v>212.05</v>
      </c>
      <c r="D590">
        <v>231.89</v>
      </c>
    </row>
    <row r="591" spans="1:4">
      <c r="A591" s="977" t="s">
        <v>1451</v>
      </c>
      <c r="B591">
        <v>0.1</v>
      </c>
      <c r="C591">
        <v>7.0000000000000007E-2</v>
      </c>
      <c r="D591">
        <v>0.1</v>
      </c>
    </row>
    <row r="592" spans="1:4">
      <c r="A592" s="977" t="s">
        <v>1452</v>
      </c>
    </row>
    <row r="593" spans="1:4">
      <c r="A593" s="977" t="s">
        <v>1453</v>
      </c>
    </row>
    <row r="594" spans="1:4">
      <c r="A594" s="977" t="s">
        <v>1454</v>
      </c>
    </row>
    <row r="595" spans="1:4">
      <c r="A595" s="977" t="s">
        <v>1455</v>
      </c>
      <c r="D595">
        <v>305.89999999999998</v>
      </c>
    </row>
    <row r="596" spans="1:4">
      <c r="A596" s="977" t="s">
        <v>1456</v>
      </c>
      <c r="B596">
        <v>41754</v>
      </c>
      <c r="C596">
        <v>141079</v>
      </c>
      <c r="D596">
        <v>169120</v>
      </c>
    </row>
    <row r="597" spans="1:4">
      <c r="A597" s="977" t="s">
        <v>1457</v>
      </c>
      <c r="B597">
        <v>41754</v>
      </c>
      <c r="C597">
        <v>141079</v>
      </c>
      <c r="D597">
        <v>169120</v>
      </c>
    </row>
    <row r="598" spans="1:4">
      <c r="A598" s="977" t="s">
        <v>1458</v>
      </c>
      <c r="B598">
        <v>-36036</v>
      </c>
      <c r="C598">
        <v>57703</v>
      </c>
      <c r="D598">
        <v>95544</v>
      </c>
    </row>
    <row r="599" spans="1:4">
      <c r="A599" s="977" t="s">
        <v>1459</v>
      </c>
      <c r="B599">
        <v>-48104</v>
      </c>
      <c r="C599">
        <v>31433</v>
      </c>
      <c r="D599">
        <v>62149</v>
      </c>
    </row>
    <row r="600" spans="1:4">
      <c r="A600" s="977" t="s">
        <v>1460</v>
      </c>
      <c r="B600">
        <v>-35.58</v>
      </c>
      <c r="C600">
        <v>13.85</v>
      </c>
      <c r="D600">
        <v>23.56</v>
      </c>
    </row>
    <row r="601" spans="1:4">
      <c r="A601" s="977" t="s">
        <v>1461</v>
      </c>
      <c r="B601">
        <v>-27622</v>
      </c>
      <c r="C601">
        <v>49204</v>
      </c>
      <c r="D601">
        <v>17982</v>
      </c>
    </row>
    <row r="602" spans="1:4">
      <c r="A602" s="977" t="s">
        <v>1462</v>
      </c>
      <c r="B602">
        <v>-27622</v>
      </c>
      <c r="C602">
        <v>49204</v>
      </c>
      <c r="D602">
        <v>16469</v>
      </c>
    </row>
    <row r="603" spans="1:4">
      <c r="A603" s="977" t="s">
        <v>1463</v>
      </c>
      <c r="B603">
        <v>27622</v>
      </c>
    </row>
    <row r="604" spans="1:4">
      <c r="A604" s="977" t="s">
        <v>1464</v>
      </c>
      <c r="C604">
        <v>49204</v>
      </c>
      <c r="D604">
        <v>16469</v>
      </c>
    </row>
    <row r="605" spans="1:4">
      <c r="A605" s="977" t="s">
        <v>1465</v>
      </c>
      <c r="B605">
        <v>55888</v>
      </c>
      <c r="C605">
        <v>145809</v>
      </c>
      <c r="D605">
        <v>76505</v>
      </c>
    </row>
    <row r="606" spans="1:4">
      <c r="A606" s="977" t="s">
        <v>1466</v>
      </c>
      <c r="B606">
        <v>102306</v>
      </c>
      <c r="C606">
        <v>72259</v>
      </c>
      <c r="D606">
        <v>268585</v>
      </c>
    </row>
    <row r="607" spans="1:4">
      <c r="A607" s="977" t="s">
        <v>1467</v>
      </c>
      <c r="B607">
        <v>-8085</v>
      </c>
      <c r="C607">
        <v>73850</v>
      </c>
      <c r="D607">
        <v>58574</v>
      </c>
    </row>
    <row r="608" spans="1:4">
      <c r="A608" s="977" t="s">
        <v>1468</v>
      </c>
      <c r="B608">
        <v>-32906</v>
      </c>
      <c r="C608">
        <v>35221</v>
      </c>
      <c r="D608">
        <v>247</v>
      </c>
    </row>
    <row r="609" spans="1:4">
      <c r="A609" s="977" t="s">
        <v>1469</v>
      </c>
      <c r="B609">
        <v>-58897</v>
      </c>
      <c r="C609">
        <v>74994</v>
      </c>
      <c r="D609">
        <v>-28811</v>
      </c>
    </row>
    <row r="610" spans="1:4">
      <c r="A610" s="977" t="s">
        <v>1470</v>
      </c>
      <c r="B610">
        <v>289.95999999999998</v>
      </c>
      <c r="C610">
        <v>980.67</v>
      </c>
      <c r="D610">
        <v>1175.5899999999999</v>
      </c>
    </row>
    <row r="611" spans="1:4">
      <c r="A611" s="977" t="s">
        <v>1471</v>
      </c>
      <c r="B611">
        <v>-690.71</v>
      </c>
      <c r="C611">
        <v>-194.92</v>
      </c>
      <c r="D611">
        <v>1175.5899999999999</v>
      </c>
    </row>
    <row r="612" spans="1:4">
      <c r="A612" s="977" t="s">
        <v>1472</v>
      </c>
      <c r="B612">
        <v>-70.430000000000007</v>
      </c>
      <c r="C612">
        <v>-16.579999999999998</v>
      </c>
    </row>
    <row r="613" spans="1:4">
      <c r="A613" s="977" t="s">
        <v>1473</v>
      </c>
      <c r="B613">
        <v>-250.25</v>
      </c>
      <c r="C613">
        <v>401.11</v>
      </c>
      <c r="D613">
        <v>664.15</v>
      </c>
    </row>
    <row r="614" spans="1:4">
      <c r="A614" s="977" t="s">
        <v>1474</v>
      </c>
      <c r="B614">
        <v>41754</v>
      </c>
      <c r="C614">
        <v>141079</v>
      </c>
      <c r="D614">
        <v>125113</v>
      </c>
    </row>
    <row r="615" spans="1:4">
      <c r="A615" s="977" t="s">
        <v>1475</v>
      </c>
      <c r="B615">
        <v>2.75</v>
      </c>
      <c r="C615">
        <v>1.55</v>
      </c>
      <c r="D615">
        <v>1.65</v>
      </c>
    </row>
    <row r="616" spans="1:4">
      <c r="A616" s="977" t="s">
        <v>1476</v>
      </c>
    </row>
    <row r="617" spans="1:4">
      <c r="A617" s="977" t="s">
        <v>1477</v>
      </c>
      <c r="B617">
        <v>74.760000000000005</v>
      </c>
      <c r="C617">
        <v>160.54</v>
      </c>
      <c r="D617">
        <v>219.02</v>
      </c>
    </row>
    <row r="618" spans="1:4">
      <c r="A618" s="977" t="s">
        <v>1478</v>
      </c>
      <c r="B618">
        <v>9.0399999999999991</v>
      </c>
      <c r="C618">
        <v>22.06</v>
      </c>
      <c r="D618">
        <v>13.12</v>
      </c>
    </row>
    <row r="619" spans="1:4">
      <c r="A619" s="977" t="s">
        <v>1479</v>
      </c>
      <c r="B619">
        <v>-334.06</v>
      </c>
      <c r="C619">
        <v>218.5</v>
      </c>
      <c r="D619">
        <v>432.01</v>
      </c>
    </row>
    <row r="620" spans="1:4">
      <c r="A620" s="977" t="s">
        <v>1480</v>
      </c>
      <c r="B620">
        <v>25.85</v>
      </c>
      <c r="C620">
        <v>24.41</v>
      </c>
      <c r="D620">
        <v>30.19</v>
      </c>
    </row>
    <row r="621" spans="1:4">
      <c r="A621" s="977" t="s">
        <v>1481</v>
      </c>
      <c r="B621">
        <v>0.92</v>
      </c>
      <c r="C621">
        <v>0.71</v>
      </c>
      <c r="D621">
        <v>1.1299999999999999</v>
      </c>
    </row>
    <row r="622" spans="1:4">
      <c r="A622" s="977" t="s">
        <v>1482</v>
      </c>
      <c r="B622">
        <v>135.66999999999999</v>
      </c>
      <c r="C622">
        <v>171.32</v>
      </c>
      <c r="D622">
        <v>292.68</v>
      </c>
    </row>
    <row r="623" spans="1:4">
      <c r="A623" s="977" t="s">
        <v>1483</v>
      </c>
      <c r="B623">
        <v>-0.01</v>
      </c>
      <c r="C623">
        <v>0.01</v>
      </c>
      <c r="D623">
        <v>0.01</v>
      </c>
    </row>
    <row r="624" spans="1:4">
      <c r="A624" s="977" t="s">
        <v>1484</v>
      </c>
      <c r="B624">
        <v>302.83</v>
      </c>
      <c r="C624">
        <v>318.55</v>
      </c>
      <c r="D624">
        <v>14.74</v>
      </c>
    </row>
    <row r="625" spans="1:4">
      <c r="A625" s="977" t="s">
        <v>1485</v>
      </c>
      <c r="B625">
        <v>-191.82</v>
      </c>
      <c r="C625">
        <v>342.03</v>
      </c>
      <c r="D625">
        <v>125</v>
      </c>
    </row>
    <row r="626" spans="1:4">
      <c r="A626" s="977" t="s">
        <v>1486</v>
      </c>
      <c r="D626">
        <v>295.38</v>
      </c>
    </row>
    <row r="627" spans="1:4">
      <c r="A627" s="977" t="s">
        <v>1487</v>
      </c>
      <c r="D627">
        <v>305.89999999999998</v>
      </c>
    </row>
    <row r="628" spans="1:4">
      <c r="A628" s="977" t="s">
        <v>1488</v>
      </c>
      <c r="B628">
        <v>-191.82</v>
      </c>
      <c r="C628">
        <v>342.03</v>
      </c>
      <c r="D628">
        <v>114.48</v>
      </c>
    </row>
    <row r="629" spans="1:4">
      <c r="A629" s="977" t="s">
        <v>1489</v>
      </c>
      <c r="B629">
        <v>41.99</v>
      </c>
      <c r="C629">
        <v>38.950000000000003</v>
      </c>
      <c r="D629">
        <v>55</v>
      </c>
    </row>
    <row r="630" spans="1:4">
      <c r="A630" s="977" t="s">
        <v>1490</v>
      </c>
      <c r="B630">
        <v>101.59</v>
      </c>
      <c r="C630">
        <v>115.56</v>
      </c>
      <c r="D630">
        <v>103.74</v>
      </c>
    </row>
    <row r="631" spans="1:4">
      <c r="A631" s="977" t="s">
        <v>1491</v>
      </c>
      <c r="D631">
        <v>14.57</v>
      </c>
    </row>
    <row r="632" spans="1:4">
      <c r="A632" s="977" t="s">
        <v>1492</v>
      </c>
      <c r="B632">
        <v>121.38</v>
      </c>
      <c r="C632">
        <v>157.01</v>
      </c>
      <c r="D632">
        <v>215.86</v>
      </c>
    </row>
    <row r="633" spans="1:4">
      <c r="A633" s="977" t="s">
        <v>1493</v>
      </c>
    </row>
    <row r="634" spans="1:4">
      <c r="A634" s="977" t="s">
        <v>1494</v>
      </c>
      <c r="B634">
        <v>86.09</v>
      </c>
      <c r="C634">
        <v>93.47</v>
      </c>
      <c r="D634">
        <v>92.66</v>
      </c>
    </row>
    <row r="635" spans="1:4">
      <c r="A635" s="977" t="s">
        <v>1495</v>
      </c>
      <c r="B635">
        <v>52.09</v>
      </c>
      <c r="C635">
        <v>48.62</v>
      </c>
      <c r="D635">
        <v>61.43</v>
      </c>
    </row>
    <row r="636" spans="1:4">
      <c r="A636" s="977" t="s">
        <v>1496</v>
      </c>
      <c r="D636">
        <v>19.12</v>
      </c>
    </row>
    <row r="637" spans="1:4">
      <c r="A637" s="977" t="s">
        <v>1497</v>
      </c>
      <c r="B637">
        <v>66.569999999999993</v>
      </c>
      <c r="C637">
        <v>60.61</v>
      </c>
      <c r="D637">
        <v>60.89</v>
      </c>
    </row>
    <row r="638" spans="1:4">
      <c r="A638" s="977" t="s">
        <v>1498</v>
      </c>
      <c r="B638">
        <v>-24.93</v>
      </c>
      <c r="C638">
        <v>-23.7</v>
      </c>
      <c r="D638">
        <v>-29.06</v>
      </c>
    </row>
    <row r="639" spans="1:4">
      <c r="A639" s="977" t="s">
        <v>1499</v>
      </c>
      <c r="B639">
        <v>288.55</v>
      </c>
      <c r="C639">
        <v>304.23</v>
      </c>
      <c r="D639">
        <v>-62.1</v>
      </c>
    </row>
    <row r="640" spans="1:4">
      <c r="A640" s="977" t="s">
        <v>1500</v>
      </c>
      <c r="B640">
        <v>234.83</v>
      </c>
      <c r="C640">
        <v>273.33999999999997</v>
      </c>
      <c r="D640">
        <v>322.58</v>
      </c>
    </row>
    <row r="641" spans="1:4">
      <c r="A641" s="977" t="s">
        <v>1501</v>
      </c>
      <c r="B641">
        <v>396.63</v>
      </c>
      <c r="C641">
        <v>425.05</v>
      </c>
      <c r="D641">
        <v>338.13</v>
      </c>
    </row>
    <row r="642" spans="1:4">
      <c r="A642" s="977" t="s">
        <v>1502</v>
      </c>
      <c r="B642">
        <v>277.97000000000003</v>
      </c>
      <c r="C642">
        <v>315.82</v>
      </c>
      <c r="D642">
        <v>196.7</v>
      </c>
    </row>
    <row r="643" spans="1:4">
      <c r="A643" s="977" t="s">
        <v>1503</v>
      </c>
      <c r="B643">
        <v>394.42</v>
      </c>
      <c r="C643">
        <v>525.54</v>
      </c>
      <c r="D643">
        <v>3.44</v>
      </c>
    </row>
    <row r="644" spans="1:4">
      <c r="A644" s="977" t="s">
        <v>1504</v>
      </c>
    </row>
    <row r="645" spans="1:4">
      <c r="A645" s="977" t="s">
        <v>1505</v>
      </c>
      <c r="B645">
        <v>91386</v>
      </c>
      <c r="C645">
        <v>85084</v>
      </c>
      <c r="D645">
        <v>96601</v>
      </c>
    </row>
    <row r="646" spans="1:4">
      <c r="A646" s="977" t="s">
        <v>1506</v>
      </c>
      <c r="B646">
        <v>293</v>
      </c>
      <c r="C646">
        <v>264</v>
      </c>
      <c r="D646">
        <v>473</v>
      </c>
    </row>
    <row r="647" spans="1:4">
      <c r="A647" s="977" t="s">
        <v>1507</v>
      </c>
      <c r="B647">
        <v>91679</v>
      </c>
      <c r="C647">
        <v>85348</v>
      </c>
      <c r="D647">
        <v>97074</v>
      </c>
    </row>
    <row r="648" spans="1:4">
      <c r="A648" s="977" t="s">
        <v>1508</v>
      </c>
    </row>
    <row r="649" spans="1:4">
      <c r="A649" s="977" t="s">
        <v>1509</v>
      </c>
    </row>
    <row r="650" spans="1:4">
      <c r="A650" s="977" t="s">
        <v>1510</v>
      </c>
    </row>
    <row r="651" spans="1:4">
      <c r="A651" s="977" t="s">
        <v>1511</v>
      </c>
    </row>
    <row r="652" spans="1:4">
      <c r="A652" s="977" t="s">
        <v>1512</v>
      </c>
    </row>
    <row r="653" spans="1:4">
      <c r="A653" s="977" t="s">
        <v>1513</v>
      </c>
    </row>
    <row r="654" spans="1:4">
      <c r="A654" s="977" t="s">
        <v>1514</v>
      </c>
    </row>
    <row r="655" spans="1:4">
      <c r="A655" s="977" t="s">
        <v>1515</v>
      </c>
    </row>
    <row r="656" spans="1:4">
      <c r="A656" s="977" t="s">
        <v>1516</v>
      </c>
    </row>
    <row r="657" spans="1:1">
      <c r="A657" s="977" t="s">
        <v>1517</v>
      </c>
    </row>
    <row r="658" spans="1:1">
      <c r="A658" s="977" t="s">
        <v>1518</v>
      </c>
    </row>
    <row r="659" spans="1:1">
      <c r="A659" s="977" t="s">
        <v>1519</v>
      </c>
    </row>
    <row r="660" spans="1:1">
      <c r="A660" s="977" t="s">
        <v>1520</v>
      </c>
    </row>
    <row r="661" spans="1:1">
      <c r="A661" s="977" t="s">
        <v>1521</v>
      </c>
    </row>
    <row r="662" spans="1:1">
      <c r="A662" s="977" t="s">
        <v>1522</v>
      </c>
    </row>
    <row r="663" spans="1:1">
      <c r="A663" s="977" t="s">
        <v>1523</v>
      </c>
    </row>
    <row r="664" spans="1:1">
      <c r="A664" s="977" t="s">
        <v>1524</v>
      </c>
    </row>
    <row r="665" spans="1:1">
      <c r="A665" s="977" t="s">
        <v>1525</v>
      </c>
    </row>
    <row r="666" spans="1:1">
      <c r="A666" s="977" t="s">
        <v>1526</v>
      </c>
    </row>
    <row r="667" spans="1:1">
      <c r="A667" s="977" t="s">
        <v>1527</v>
      </c>
    </row>
    <row r="668" spans="1:1">
      <c r="A668" s="977" t="s">
        <v>1528</v>
      </c>
    </row>
    <row r="669" spans="1:1">
      <c r="A669" s="977" t="s">
        <v>1529</v>
      </c>
    </row>
    <row r="670" spans="1:1">
      <c r="A670" s="977" t="s">
        <v>1530</v>
      </c>
    </row>
    <row r="671" spans="1:1">
      <c r="A671" s="977" t="s">
        <v>1531</v>
      </c>
    </row>
    <row r="672" spans="1:1">
      <c r="A672" s="977" t="s">
        <v>1532</v>
      </c>
    </row>
    <row r="673" spans="1:1">
      <c r="A673" s="977" t="s">
        <v>1533</v>
      </c>
    </row>
    <row r="674" spans="1:1">
      <c r="A674" s="977" t="s">
        <v>1534</v>
      </c>
    </row>
    <row r="675" spans="1:1">
      <c r="A675" s="977" t="s">
        <v>1535</v>
      </c>
    </row>
    <row r="676" spans="1:1">
      <c r="A676" s="977" t="s">
        <v>1536</v>
      </c>
    </row>
    <row r="677" spans="1:1">
      <c r="A677" s="977" t="s">
        <v>1537</v>
      </c>
    </row>
    <row r="678" spans="1:1">
      <c r="A678" s="977" t="s">
        <v>1538</v>
      </c>
    </row>
    <row r="679" spans="1:1">
      <c r="A679" s="977" t="s">
        <v>1539</v>
      </c>
    </row>
    <row r="680" spans="1:1">
      <c r="A680" s="977" t="s">
        <v>1540</v>
      </c>
    </row>
    <row r="681" spans="1:1">
      <c r="A681" s="977" t="s">
        <v>1541</v>
      </c>
    </row>
    <row r="682" spans="1:1">
      <c r="A682" s="977" t="s">
        <v>1542</v>
      </c>
    </row>
    <row r="683" spans="1:1">
      <c r="A683" s="977" t="s">
        <v>1543</v>
      </c>
    </row>
    <row r="684" spans="1:1">
      <c r="A684" s="977" t="s">
        <v>1544</v>
      </c>
    </row>
    <row r="685" spans="1:1">
      <c r="A685" s="977" t="s">
        <v>1545</v>
      </c>
    </row>
    <row r="686" spans="1:1">
      <c r="A686" s="977" t="s">
        <v>1546</v>
      </c>
    </row>
    <row r="687" spans="1:1">
      <c r="A687" s="977" t="s">
        <v>1547</v>
      </c>
    </row>
    <row r="688" spans="1:1">
      <c r="A688" s="977" t="s">
        <v>1548</v>
      </c>
    </row>
    <row r="689" spans="1:4">
      <c r="A689" s="977" t="s">
        <v>1549</v>
      </c>
    </row>
    <row r="690" spans="1:4">
      <c r="A690" s="977" t="s">
        <v>1550</v>
      </c>
    </row>
    <row r="691" spans="1:4">
      <c r="A691" s="977" t="s">
        <v>1551</v>
      </c>
    </row>
    <row r="692" spans="1:4">
      <c r="A692" s="977" t="s">
        <v>1552</v>
      </c>
    </row>
    <row r="693" spans="1:4">
      <c r="A693" s="977" t="s">
        <v>1553</v>
      </c>
      <c r="B693">
        <v>-93462</v>
      </c>
      <c r="C693">
        <v>-85915</v>
      </c>
      <c r="D693">
        <v>-94724</v>
      </c>
    </row>
    <row r="694" spans="1:4">
      <c r="A694" s="977" t="s">
        <v>1554</v>
      </c>
      <c r="B694">
        <v>-171252</v>
      </c>
      <c r="C694">
        <v>-169291</v>
      </c>
      <c r="D694">
        <v>-168300</v>
      </c>
    </row>
    <row r="695" spans="1:4">
      <c r="A695" s="977" t="s">
        <v>1555</v>
      </c>
      <c r="B695">
        <v>-183320</v>
      </c>
      <c r="C695">
        <v>-195561</v>
      </c>
      <c r="D695">
        <v>-201695</v>
      </c>
    </row>
    <row r="696" spans="1:4">
      <c r="A696" s="977" t="s">
        <v>1556</v>
      </c>
      <c r="B696">
        <v>-162838</v>
      </c>
      <c r="C696">
        <v>-177790</v>
      </c>
      <c r="D696">
        <v>-245862</v>
      </c>
    </row>
    <row r="697" spans="1:4">
      <c r="A697" s="977" t="s">
        <v>1557</v>
      </c>
      <c r="B697">
        <v>-162838</v>
      </c>
      <c r="C697">
        <v>-177790</v>
      </c>
      <c r="D697">
        <v>-247375</v>
      </c>
    </row>
    <row r="698" spans="1:4">
      <c r="A698" s="977" t="s">
        <v>1558</v>
      </c>
    </row>
    <row r="699" spans="1:4">
      <c r="A699" s="977" t="s">
        <v>1559</v>
      </c>
      <c r="B699">
        <v>55888</v>
      </c>
      <c r="C699">
        <v>96605</v>
      </c>
      <c r="D699">
        <v>60036</v>
      </c>
    </row>
    <row r="700" spans="1:4">
      <c r="A700" s="977" t="s">
        <v>1560</v>
      </c>
      <c r="B700">
        <v>237522</v>
      </c>
      <c r="C700">
        <v>250049</v>
      </c>
      <c r="D700">
        <v>515960</v>
      </c>
    </row>
    <row r="701" spans="1:4">
      <c r="A701" s="977" t="s">
        <v>1561</v>
      </c>
      <c r="B701">
        <v>162838</v>
      </c>
      <c r="C701">
        <v>177790</v>
      </c>
      <c r="D701">
        <v>247375</v>
      </c>
    </row>
    <row r="702" spans="1:4">
      <c r="A702" s="977" t="s">
        <v>1562</v>
      </c>
      <c r="B702">
        <v>-143301</v>
      </c>
      <c r="C702">
        <v>-153144</v>
      </c>
      <c r="D702">
        <v>-205270</v>
      </c>
    </row>
    <row r="703" spans="1:4">
      <c r="A703" s="977" t="s">
        <v>1563</v>
      </c>
    </row>
    <row r="704" spans="1:4">
      <c r="A704" s="977" t="s">
        <v>1564</v>
      </c>
      <c r="B704">
        <v>-649.04</v>
      </c>
      <c r="C704">
        <v>-597.21</v>
      </c>
      <c r="D704">
        <v>-658.45</v>
      </c>
    </row>
    <row r="705" spans="1:4">
      <c r="A705" s="977" t="s">
        <v>1565</v>
      </c>
    </row>
    <row r="706" spans="1:4">
      <c r="A706" s="977" t="s">
        <v>1566</v>
      </c>
    </row>
    <row r="707" spans="1:4">
      <c r="A707" s="977" t="s">
        <v>1567</v>
      </c>
      <c r="B707">
        <v>-168122</v>
      </c>
      <c r="C707">
        <v>-191773</v>
      </c>
      <c r="D707">
        <v>-263597</v>
      </c>
    </row>
    <row r="708" spans="1:4">
      <c r="A708" s="977" t="s">
        <v>1568</v>
      </c>
      <c r="B708">
        <v>-194113</v>
      </c>
      <c r="C708">
        <v>-152000</v>
      </c>
      <c r="D708">
        <v>-292655</v>
      </c>
    </row>
    <row r="709" spans="1:4">
      <c r="A709" s="977" t="s">
        <v>1569</v>
      </c>
      <c r="B709">
        <v>715</v>
      </c>
    </row>
    <row r="710" spans="1:4">
      <c r="A710" s="977" t="s">
        <v>1570</v>
      </c>
      <c r="B710">
        <v>46633</v>
      </c>
      <c r="C710">
        <v>47139</v>
      </c>
      <c r="D710">
        <v>47824</v>
      </c>
    </row>
    <row r="711" spans="1:4">
      <c r="A711" s="977" t="s">
        <v>1571</v>
      </c>
      <c r="B711">
        <v>46633</v>
      </c>
      <c r="C711">
        <v>47139</v>
      </c>
      <c r="D711">
        <v>47824</v>
      </c>
    </row>
    <row r="712" spans="1:4">
      <c r="A712" s="977" t="s">
        <v>1572</v>
      </c>
    </row>
    <row r="713" spans="1:4">
      <c r="A713" s="977" t="s">
        <v>1573</v>
      </c>
    </row>
    <row r="714" spans="1:4">
      <c r="A714" s="977" t="s">
        <v>1574</v>
      </c>
    </row>
    <row r="715" spans="1:4">
      <c r="A715" s="977" t="s">
        <v>1575</v>
      </c>
      <c r="B715">
        <v>112707</v>
      </c>
      <c r="C715">
        <v>88325</v>
      </c>
      <c r="D715">
        <v>110485</v>
      </c>
    </row>
    <row r="716" spans="1:4">
      <c r="A716" s="977" t="s">
        <v>1576</v>
      </c>
    </row>
    <row r="717" spans="1:4">
      <c r="A717" s="977" t="s">
        <v>1577</v>
      </c>
      <c r="B717">
        <v>85086</v>
      </c>
      <c r="C717">
        <v>137528</v>
      </c>
      <c r="D717">
        <v>126954</v>
      </c>
    </row>
    <row r="718" spans="1:4">
      <c r="A718" s="977" t="s">
        <v>1578</v>
      </c>
    </row>
    <row r="719" spans="1:4">
      <c r="A719" s="977" t="s">
        <v>1579</v>
      </c>
    </row>
    <row r="720" spans="1:4">
      <c r="A720" s="977" t="s">
        <v>1580</v>
      </c>
      <c r="B720">
        <v>346597</v>
      </c>
      <c r="C720">
        <v>343693</v>
      </c>
      <c r="D720">
        <v>379383</v>
      </c>
    </row>
    <row r="721" spans="1:4">
      <c r="A721" s="977" t="s">
        <v>1581</v>
      </c>
    </row>
    <row r="722" spans="1:4">
      <c r="A722" s="977" t="s">
        <v>1582</v>
      </c>
      <c r="B722">
        <v>36027</v>
      </c>
      <c r="C722">
        <v>39444</v>
      </c>
      <c r="D722">
        <v>85764</v>
      </c>
    </row>
    <row r="723" spans="1:4">
      <c r="A723" s="977" t="s">
        <v>1583</v>
      </c>
      <c r="B723">
        <v>98534</v>
      </c>
      <c r="C723">
        <v>91029</v>
      </c>
      <c r="D723">
        <v>104157</v>
      </c>
    </row>
    <row r="724" spans="1:4">
      <c r="A724" s="977" t="s">
        <v>1584</v>
      </c>
      <c r="B724">
        <v>974</v>
      </c>
      <c r="C724">
        <v>490</v>
      </c>
      <c r="D724">
        <v>-1521</v>
      </c>
    </row>
    <row r="725" spans="1:4">
      <c r="A725" s="977" t="s">
        <v>1585</v>
      </c>
    </row>
    <row r="726" spans="1:4">
      <c r="A726" s="977" t="s">
        <v>1586</v>
      </c>
      <c r="B726">
        <v>1302</v>
      </c>
      <c r="C726">
        <v>3174</v>
      </c>
      <c r="D726">
        <v>1887</v>
      </c>
    </row>
    <row r="727" spans="1:4">
      <c r="A727" s="977" t="s">
        <v>1587</v>
      </c>
      <c r="B727">
        <v>10766</v>
      </c>
      <c r="C727">
        <v>23096</v>
      </c>
      <c r="D727">
        <v>31508</v>
      </c>
    </row>
    <row r="728" spans="1:4">
      <c r="A728" s="977" t="s">
        <v>1588</v>
      </c>
      <c r="B728">
        <v>19537</v>
      </c>
      <c r="C728">
        <v>24646</v>
      </c>
      <c r="D728">
        <v>42105</v>
      </c>
    </row>
    <row r="729" spans="1:4">
      <c r="A729" s="977" t="s">
        <v>1589</v>
      </c>
    </row>
    <row r="730" spans="1:4">
      <c r="A730" s="977" t="s">
        <v>1590</v>
      </c>
      <c r="B730">
        <v>132</v>
      </c>
      <c r="C730">
        <v>102</v>
      </c>
      <c r="D730">
        <v>163</v>
      </c>
    </row>
    <row r="731" spans="1:4">
      <c r="A731" s="977" t="s">
        <v>1591</v>
      </c>
      <c r="B731">
        <v>3722</v>
      </c>
      <c r="C731">
        <v>3511</v>
      </c>
      <c r="D731">
        <v>4343</v>
      </c>
    </row>
    <row r="732" spans="1:4">
      <c r="A732" s="977" t="s">
        <v>1592</v>
      </c>
    </row>
    <row r="733" spans="1:4">
      <c r="A733" s="977" t="s">
        <v>1593</v>
      </c>
    </row>
    <row r="734" spans="1:4">
      <c r="A734" s="977" t="s">
        <v>1594</v>
      </c>
      <c r="B734">
        <v>35.58</v>
      </c>
      <c r="C734">
        <v>35.58</v>
      </c>
      <c r="D734">
        <v>35.58</v>
      </c>
    </row>
    <row r="735" spans="1:4">
      <c r="A735" s="977" t="s">
        <v>1595</v>
      </c>
    </row>
    <row r="736" spans="1:4">
      <c r="A736" s="977" t="s">
        <v>1596</v>
      </c>
      <c r="B736">
        <v>108.42</v>
      </c>
      <c r="C736">
        <v>108.28</v>
      </c>
      <c r="D736">
        <v>108.28</v>
      </c>
    </row>
    <row r="737" spans="1:4">
      <c r="A737" s="977" t="s">
        <v>1597</v>
      </c>
    </row>
    <row r="738" spans="1:4">
      <c r="A738" s="977" t="s">
        <v>1598</v>
      </c>
    </row>
    <row r="739" spans="1:4">
      <c r="A739" s="977" t="s">
        <v>1599</v>
      </c>
      <c r="B739">
        <v>4592</v>
      </c>
      <c r="C739">
        <v>8410</v>
      </c>
      <c r="D739">
        <v>3473</v>
      </c>
    </row>
    <row r="740" spans="1:4">
      <c r="A740" s="977" t="s">
        <v>1600</v>
      </c>
      <c r="B740">
        <v>144</v>
      </c>
      <c r="C740">
        <v>143.86000000000001</v>
      </c>
      <c r="D740">
        <v>143.86000000000001</v>
      </c>
    </row>
    <row r="741" spans="1:4">
      <c r="A741" s="977" t="s">
        <v>1601</v>
      </c>
      <c r="B741">
        <v>144</v>
      </c>
      <c r="C741">
        <v>143.86000000000001</v>
      </c>
      <c r="D741">
        <v>143.86000000000001</v>
      </c>
    </row>
    <row r="742" spans="1:4">
      <c r="A742" s="977" t="s">
        <v>1602</v>
      </c>
      <c r="B742">
        <v>35.58</v>
      </c>
      <c r="C742">
        <v>35.58</v>
      </c>
      <c r="D742">
        <v>35.58</v>
      </c>
    </row>
    <row r="743" spans="1:4">
      <c r="A743" s="977" t="s">
        <v>1603</v>
      </c>
    </row>
    <row r="744" spans="1:4">
      <c r="A744" s="977" t="s">
        <v>1604</v>
      </c>
      <c r="B744">
        <v>108.42</v>
      </c>
      <c r="C744">
        <v>108.28</v>
      </c>
      <c r="D744">
        <v>108.28</v>
      </c>
    </row>
    <row r="745" spans="1:4">
      <c r="A745" s="977" t="s">
        <v>1605</v>
      </c>
    </row>
    <row r="746" spans="1:4">
      <c r="A746" s="977" t="s">
        <v>1606</v>
      </c>
    </row>
    <row r="747" spans="1:4">
      <c r="A747" s="977" t="s">
        <v>1607</v>
      </c>
    </row>
    <row r="748" spans="1:4">
      <c r="A748" s="977" t="s">
        <v>1608</v>
      </c>
    </row>
    <row r="749" spans="1:4">
      <c r="A749" s="977" t="s">
        <v>1609</v>
      </c>
    </row>
    <row r="750" spans="1:4">
      <c r="A750" s="977" t="s">
        <v>1610</v>
      </c>
    </row>
    <row r="751" spans="1:4">
      <c r="A751" s="977" t="s">
        <v>1611</v>
      </c>
    </row>
    <row r="752" spans="1:4">
      <c r="A752" s="977" t="s">
        <v>1612</v>
      </c>
    </row>
    <row r="753" spans="1:2">
      <c r="A753" s="977" t="s">
        <v>1613</v>
      </c>
    </row>
    <row r="754" spans="1:2">
      <c r="A754" s="977" t="s">
        <v>1614</v>
      </c>
    </row>
    <row r="755" spans="1:2">
      <c r="A755" s="977" t="s">
        <v>1615</v>
      </c>
    </row>
    <row r="756" spans="1:2">
      <c r="A756" s="977" t="s">
        <v>1616</v>
      </c>
    </row>
    <row r="757" spans="1:2">
      <c r="A757" s="977" t="s">
        <v>1617</v>
      </c>
    </row>
    <row r="758" spans="1:2">
      <c r="A758" s="977" t="s">
        <v>1618</v>
      </c>
    </row>
    <row r="759" spans="1:2">
      <c r="A759" s="977" t="s">
        <v>1619</v>
      </c>
    </row>
    <row r="760" spans="1:2">
      <c r="A760" s="977" t="s">
        <v>1620</v>
      </c>
    </row>
    <row r="761" spans="1:2">
      <c r="A761" s="977" t="s">
        <v>1621</v>
      </c>
    </row>
    <row r="762" spans="1:2">
      <c r="A762" s="977" t="s">
        <v>1622</v>
      </c>
    </row>
    <row r="763" spans="1:2">
      <c r="A763" s="977" t="s">
        <v>1623</v>
      </c>
    </row>
    <row r="764" spans="1:2">
      <c r="A764" s="977" t="s">
        <v>1624</v>
      </c>
    </row>
    <row r="765" spans="1:2">
      <c r="A765" s="977" t="s">
        <v>1625</v>
      </c>
    </row>
    <row r="766" spans="1:2">
      <c r="A766" s="977" t="s">
        <v>1626</v>
      </c>
    </row>
    <row r="767" spans="1:2">
      <c r="A767" s="977" t="s">
        <v>459</v>
      </c>
      <c r="B767">
        <v>20170630</v>
      </c>
    </row>
    <row r="768" spans="1:2">
      <c r="A768" s="977" t="s">
        <v>460</v>
      </c>
      <c r="B768">
        <v>20160630</v>
      </c>
    </row>
    <row r="769" spans="1:2">
      <c r="A769" s="977" t="s">
        <v>461</v>
      </c>
      <c r="B769">
        <v>20150630</v>
      </c>
    </row>
    <row r="770" spans="1:2">
      <c r="A770" s="977" t="s">
        <v>464</v>
      </c>
      <c r="B770">
        <v>20160701</v>
      </c>
    </row>
    <row r="771" spans="1:2">
      <c r="A771" s="977" t="s">
        <v>462</v>
      </c>
      <c r="B771">
        <v>20150701</v>
      </c>
    </row>
    <row r="772" spans="1:2">
      <c r="A772" s="977" t="s">
        <v>463</v>
      </c>
      <c r="B772">
        <v>20140701</v>
      </c>
    </row>
    <row r="773" spans="1:2">
      <c r="A773" s="977" t="s">
        <v>1627</v>
      </c>
      <c r="B773" s="977" t="s">
        <v>1628</v>
      </c>
    </row>
    <row r="774" spans="1:2">
      <c r="A774" s="977" t="s">
        <v>1629</v>
      </c>
      <c r="B774">
        <v>12</v>
      </c>
    </row>
    <row r="775" spans="1:2">
      <c r="A775" s="977" t="s">
        <v>1630</v>
      </c>
      <c r="B775">
        <v>12</v>
      </c>
    </row>
    <row r="776" spans="1:2">
      <c r="A776" s="977" t="s">
        <v>1631</v>
      </c>
      <c r="B776">
        <v>12</v>
      </c>
    </row>
    <row r="777" spans="1:2">
      <c r="A777" s="977" t="s">
        <v>1632</v>
      </c>
      <c r="B777" s="977"/>
    </row>
    <row r="778" spans="1:2">
      <c r="A778" s="977" t="s">
        <v>1633</v>
      </c>
    </row>
    <row r="779" spans="1:2">
      <c r="A779" s="977" t="s">
        <v>1634</v>
      </c>
      <c r="B779" s="977"/>
    </row>
    <row r="780" spans="1:2">
      <c r="A780" s="977" t="s">
        <v>1635</v>
      </c>
      <c r="B780" s="977"/>
    </row>
    <row r="781" spans="1:2">
      <c r="A781" s="977" t="s">
        <v>1636</v>
      </c>
    </row>
    <row r="782" spans="1:2">
      <c r="A782" s="977" t="s">
        <v>1637</v>
      </c>
      <c r="B782" s="977"/>
    </row>
    <row r="783" spans="1:2">
      <c r="A783" s="977" t="s">
        <v>1638</v>
      </c>
    </row>
    <row r="784" spans="1:2">
      <c r="A784" s="977" t="s">
        <v>1639</v>
      </c>
    </row>
    <row r="785" spans="1:4">
      <c r="A785" s="977" t="s">
        <v>1640</v>
      </c>
      <c r="B785" s="977"/>
    </row>
    <row r="786" spans="1:4">
      <c r="A786" s="977" t="s">
        <v>1641</v>
      </c>
      <c r="B786" s="977"/>
    </row>
    <row r="787" spans="1:4">
      <c r="A787" s="977" t="s">
        <v>1642</v>
      </c>
      <c r="B787" s="977"/>
    </row>
    <row r="789" spans="1:4">
      <c r="A789" s="977" t="s">
        <v>1643</v>
      </c>
      <c r="B789" s="977"/>
      <c r="C789" s="977"/>
      <c r="D789" s="977"/>
    </row>
    <row r="800" spans="1:4">
      <c r="A800" s="977" t="s">
        <v>1644</v>
      </c>
    </row>
    <row r="801" spans="1:4">
      <c r="A801" s="977" t="s">
        <v>1645</v>
      </c>
    </row>
    <row r="802" spans="1:4">
      <c r="A802" s="977" t="s">
        <v>1646</v>
      </c>
      <c r="D802">
        <v>44007</v>
      </c>
    </row>
    <row r="803" spans="1:4">
      <c r="A803" s="977" t="s">
        <v>1647</v>
      </c>
    </row>
    <row r="804" spans="1:4">
      <c r="A804" s="977" t="s">
        <v>1648</v>
      </c>
      <c r="D804">
        <v>41100</v>
      </c>
    </row>
    <row r="805" spans="1:4">
      <c r="A805" s="977" t="s">
        <v>1649</v>
      </c>
    </row>
    <row r="806" spans="1:4">
      <c r="A806" s="977" t="s">
        <v>1650</v>
      </c>
      <c r="D806">
        <v>1230</v>
      </c>
    </row>
    <row r="807" spans="1:4">
      <c r="A807" s="977" t="s">
        <v>1651</v>
      </c>
      <c r="B807">
        <v>31346</v>
      </c>
      <c r="C807">
        <v>25018</v>
      </c>
      <c r="D807">
        <v>98683</v>
      </c>
    </row>
    <row r="808" spans="1:4">
      <c r="A808" s="977" t="s">
        <v>1652</v>
      </c>
      <c r="B808">
        <v>92861</v>
      </c>
      <c r="C808">
        <v>118852</v>
      </c>
      <c r="D808">
        <v>79079</v>
      </c>
    </row>
    <row r="809" spans="1:4">
      <c r="A809" s="977" t="s">
        <v>1653</v>
      </c>
    </row>
    <row r="810" spans="1:4">
      <c r="A810" s="977" t="s">
        <v>1654</v>
      </c>
    </row>
    <row r="811" spans="1:4">
      <c r="A811" s="977" t="s">
        <v>1655</v>
      </c>
    </row>
    <row r="812" spans="1:4">
      <c r="A812" s="977" t="s">
        <v>1656</v>
      </c>
    </row>
    <row r="813" spans="1:4">
      <c r="A813" s="977" t="s">
        <v>1657</v>
      </c>
      <c r="B813">
        <v>18711</v>
      </c>
      <c r="C813">
        <v>-11221</v>
      </c>
      <c r="D813">
        <v>19248</v>
      </c>
    </row>
    <row r="814" spans="1:4">
      <c r="A814" s="977" t="s">
        <v>1658</v>
      </c>
    </row>
    <row r="815" spans="1:4">
      <c r="A815" s="977" t="s">
        <v>1659</v>
      </c>
    </row>
    <row r="816" spans="1:4">
      <c r="A816" s="977" t="s">
        <v>1660</v>
      </c>
    </row>
    <row r="817" spans="1:1">
      <c r="A817" s="977" t="s">
        <v>1661</v>
      </c>
    </row>
    <row r="818" spans="1:1">
      <c r="A818" s="977" t="s">
        <v>1662</v>
      </c>
    </row>
    <row r="819" spans="1:1">
      <c r="A819" s="977" t="s">
        <v>1663</v>
      </c>
    </row>
    <row r="820" spans="1:1">
      <c r="A820" s="977" t="s">
        <v>1664</v>
      </c>
    </row>
    <row r="821" spans="1:1">
      <c r="A821" s="977" t="s">
        <v>1665</v>
      </c>
    </row>
    <row r="822" spans="1:1">
      <c r="A822" s="977" t="s">
        <v>1666</v>
      </c>
    </row>
    <row r="823" spans="1:1">
      <c r="A823" s="977" t="s">
        <v>1667</v>
      </c>
    </row>
    <row r="824" spans="1:1">
      <c r="A824" s="977" t="s">
        <v>1668</v>
      </c>
    </row>
    <row r="825" spans="1:1">
      <c r="A825" s="977" t="s">
        <v>1669</v>
      </c>
    </row>
    <row r="826" spans="1:1">
      <c r="A826" s="977" t="s">
        <v>1670</v>
      </c>
    </row>
    <row r="827" spans="1:1">
      <c r="A827" s="977" t="s">
        <v>1671</v>
      </c>
    </row>
    <row r="900" spans="1:4">
      <c r="A900" s="977" t="s">
        <v>1672</v>
      </c>
      <c r="B900">
        <v>10766</v>
      </c>
      <c r="C900">
        <v>23096</v>
      </c>
      <c r="D900">
        <v>31508</v>
      </c>
    </row>
    <row r="901" spans="1:4">
      <c r="A901" s="977" t="s">
        <v>1673</v>
      </c>
    </row>
    <row r="902" spans="1:4">
      <c r="A902" s="977" t="s">
        <v>1674</v>
      </c>
      <c r="B902">
        <v>43608</v>
      </c>
      <c r="C902">
        <v>45827</v>
      </c>
      <c r="D902">
        <v>2120</v>
      </c>
    </row>
    <row r="903" spans="1:4">
      <c r="A903" s="977" t="s">
        <v>1675</v>
      </c>
      <c r="D903">
        <v>42494</v>
      </c>
    </row>
    <row r="904" spans="1:4">
      <c r="A904" s="977" t="s">
        <v>1676</v>
      </c>
      <c r="D904">
        <v>44007</v>
      </c>
    </row>
    <row r="905" spans="1:4">
      <c r="A905" s="977" t="s">
        <v>1677</v>
      </c>
      <c r="B905">
        <v>19537</v>
      </c>
      <c r="C905">
        <v>24646</v>
      </c>
      <c r="D905">
        <v>42105</v>
      </c>
    </row>
    <row r="906" spans="1:4">
      <c r="A906" s="977" t="s">
        <v>1678</v>
      </c>
      <c r="B906">
        <v>86.09</v>
      </c>
      <c r="C906">
        <v>93.47</v>
      </c>
      <c r="D906">
        <v>92.66</v>
      </c>
    </row>
    <row r="907" spans="1:4">
      <c r="A907" s="977" t="s">
        <v>1679</v>
      </c>
      <c r="B907">
        <v>74.760000000000005</v>
      </c>
      <c r="C907">
        <v>160.54</v>
      </c>
      <c r="D907">
        <v>219.02</v>
      </c>
    </row>
    <row r="908" spans="1:4">
      <c r="A908" s="977" t="s">
        <v>1680</v>
      </c>
      <c r="B908">
        <v>135.66999999999999</v>
      </c>
      <c r="C908">
        <v>171.32</v>
      </c>
      <c r="D908">
        <v>292.68</v>
      </c>
    </row>
    <row r="909" spans="1:4">
      <c r="A909" s="977" t="s">
        <v>1679</v>
      </c>
      <c r="B909">
        <v>-0.01</v>
      </c>
      <c r="C909">
        <v>0.01</v>
      </c>
      <c r="D909">
        <v>0.01</v>
      </c>
    </row>
    <row r="910" spans="1:4">
      <c r="A910" s="977" t="s">
        <v>1681</v>
      </c>
      <c r="D910">
        <v>295.38</v>
      </c>
    </row>
    <row r="911" spans="1:4">
      <c r="A911" s="977" t="s">
        <v>1682</v>
      </c>
      <c r="D911">
        <v>305.89999999999998</v>
      </c>
    </row>
    <row r="912" spans="1:4">
      <c r="A912" s="977" t="s">
        <v>1683</v>
      </c>
      <c r="B912">
        <v>-56.15</v>
      </c>
      <c r="C912">
        <v>513.35</v>
      </c>
      <c r="D912">
        <v>407.16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9">
    <tabColor theme="5" tint="0.39997558519241921"/>
  </sheetPr>
  <dimension ref="A6:U69"/>
  <sheetViews>
    <sheetView topLeftCell="A22" workbookViewId="0">
      <selection activeCell="H8" sqref="H8"/>
    </sheetView>
  </sheetViews>
  <sheetFormatPr baseColWidth="10" defaultRowHeight="12.75"/>
  <cols>
    <col min="1" max="1" width="1.7109375" style="877" customWidth="1"/>
    <col min="2" max="2" width="15.85546875" customWidth="1"/>
    <col min="3" max="3" width="26" customWidth="1"/>
    <col min="5" max="5" width="11.85546875" customWidth="1"/>
    <col min="7" max="7" width="5.7109375" customWidth="1"/>
    <col min="8" max="8" width="8.28515625" customWidth="1"/>
    <col min="9" max="9" width="5.7109375" customWidth="1"/>
    <col min="10" max="10" width="7.5703125" customWidth="1"/>
    <col min="11" max="11" width="5.7109375" customWidth="1"/>
    <col min="12" max="12" width="8.140625" customWidth="1"/>
    <col min="13" max="13" width="1.7109375" customWidth="1"/>
  </cols>
  <sheetData>
    <row r="6" spans="2:5">
      <c r="B6" t="s">
        <v>895</v>
      </c>
    </row>
    <row r="8" spans="2:5">
      <c r="C8" t="s">
        <v>894</v>
      </c>
    </row>
    <row r="9" spans="2:5">
      <c r="B9" s="11" t="s">
        <v>900</v>
      </c>
    </row>
    <row r="10" spans="2:5">
      <c r="C10" s="865" t="s">
        <v>897</v>
      </c>
      <c r="D10" s="866">
        <f>'1_INFO_C'!D45+'1_INFO_C'!D48+'1_INFO_C'!D49+'1_INFO_C'!D50</f>
        <v>164207.07</v>
      </c>
    </row>
    <row r="11" spans="2:5">
      <c r="C11" s="672" t="s">
        <v>896</v>
      </c>
      <c r="D11" s="864"/>
      <c r="E11" s="867">
        <f>D10-D12</f>
        <v>-202.92999999999302</v>
      </c>
    </row>
    <row r="12" spans="2:5">
      <c r="C12" s="865" t="s">
        <v>898</v>
      </c>
      <c r="D12" s="12">
        <f>DONNEES_LIASSE_RN!D326+DONNEES_LIASSE_RN!D327+DONNEES_LIASSE_RN!D328+DONNEES_LIASSE_RN!D329</f>
        <v>164410</v>
      </c>
    </row>
    <row r="13" spans="2:5">
      <c r="C13" s="671" t="s">
        <v>899</v>
      </c>
    </row>
    <row r="14" spans="2:5">
      <c r="C14" s="868" t="s">
        <v>902</v>
      </c>
      <c r="D14" s="12">
        <f>'1_INFO_C'!D41</f>
        <v>0</v>
      </c>
      <c r="E14" s="867">
        <f>D14+E11</f>
        <v>-202.92999999999302</v>
      </c>
    </row>
    <row r="15" spans="2:5">
      <c r="C15" s="867" t="str">
        <f>IF(ABS(E11)&lt;10," CC dans DX ou egal 0"," CC sont dans DR")</f>
        <v xml:space="preserve"> CC sont dans DR</v>
      </c>
    </row>
    <row r="16" spans="2:5">
      <c r="C16" s="867">
        <f>IF(ABS(E11)&lt;10,1,0)</f>
        <v>0</v>
      </c>
    </row>
    <row r="18" spans="1:13">
      <c r="B18" s="11" t="s">
        <v>901</v>
      </c>
    </row>
    <row r="19" spans="1:13">
      <c r="C19" s="865" t="s">
        <v>897</v>
      </c>
      <c r="D19" s="866">
        <f>'1_INFO_C'!E45+'1_INFO_C'!E48+'1_INFO_C'!E49+'1_INFO_C'!E50</f>
        <v>143869.63</v>
      </c>
    </row>
    <row r="20" spans="1:13">
      <c r="C20" s="672" t="s">
        <v>896</v>
      </c>
      <c r="D20" s="864"/>
      <c r="E20" s="867">
        <f>D19-D21</f>
        <v>-116.36999999999534</v>
      </c>
    </row>
    <row r="21" spans="1:13">
      <c r="C21" s="865" t="s">
        <v>898</v>
      </c>
      <c r="D21" s="12">
        <f>DONNEES_LIASSE_RN!E326+DONNEES_LIASSE_RN!E327+DONNEES_LIASSE_RN!E328+DONNEES_LIASSE_RN!E329</f>
        <v>143986</v>
      </c>
    </row>
    <row r="22" spans="1:13">
      <c r="C22" s="671" t="s">
        <v>899</v>
      </c>
    </row>
    <row r="23" spans="1:13">
      <c r="C23" s="868" t="s">
        <v>902</v>
      </c>
      <c r="D23" s="12">
        <f>'1_INFO_C'!E41</f>
        <v>0</v>
      </c>
      <c r="E23" s="867">
        <f>D23+E20</f>
        <v>-116.36999999999534</v>
      </c>
    </row>
    <row r="24" spans="1:13">
      <c r="C24" s="867" t="str">
        <f>IF(ABS(E20)&lt;10,"CC dans DX ou egal 0"," CC sont dans DR")</f>
        <v xml:space="preserve"> CC sont dans DR</v>
      </c>
    </row>
    <row r="25" spans="1:13" ht="13.5" thickBot="1">
      <c r="C25" s="867">
        <f>IF(ABS(E20)&lt;10,1,0)</f>
        <v>0</v>
      </c>
    </row>
    <row r="26" spans="1:13" ht="13.5" thickTop="1">
      <c r="A26" s="880"/>
      <c r="B26" s="881"/>
      <c r="C26" s="881"/>
      <c r="D26" s="881"/>
      <c r="E26" s="999" t="s">
        <v>939</v>
      </c>
      <c r="F26" s="999"/>
      <c r="G26" s="999"/>
      <c r="H26" s="999"/>
      <c r="I26" s="999"/>
      <c r="J26" s="999"/>
      <c r="K26" s="881"/>
      <c r="L26" s="881"/>
      <c r="M26" s="882"/>
    </row>
    <row r="27" spans="1:13">
      <c r="A27" s="883"/>
      <c r="B27" s="884" t="s">
        <v>925</v>
      </c>
      <c r="C27" s="4"/>
      <c r="D27" s="4"/>
      <c r="E27" s="1000"/>
      <c r="F27" s="1000"/>
      <c r="G27" s="1000"/>
      <c r="H27" s="1000"/>
      <c r="I27" s="1000"/>
      <c r="J27" s="1000"/>
      <c r="K27" s="4"/>
      <c r="L27" s="4"/>
      <c r="M27" s="885"/>
    </row>
    <row r="28" spans="1:13">
      <c r="A28" s="883"/>
      <c r="B28" s="4"/>
      <c r="C28" s="4"/>
      <c r="D28" s="4"/>
      <c r="E28" s="4"/>
      <c r="F28" s="4"/>
      <c r="G28" s="4"/>
      <c r="H28" s="4"/>
      <c r="I28" s="4"/>
      <c r="J28" s="4"/>
      <c r="K28" s="4"/>
      <c r="L28" s="4"/>
      <c r="M28" s="885"/>
    </row>
    <row r="29" spans="1:13">
      <c r="A29" s="883"/>
      <c r="B29" s="4"/>
      <c r="C29" s="12" t="s">
        <v>906</v>
      </c>
      <c r="D29" s="901">
        <f>'A_Caractéristiques de votre ex'!G26</f>
        <v>144</v>
      </c>
      <c r="E29" s="1005">
        <f>D29-D30</f>
        <v>0</v>
      </c>
      <c r="F29" s="4"/>
      <c r="G29" s="1012" t="s">
        <v>940</v>
      </c>
      <c r="H29" s="1013"/>
      <c r="I29" s="1013"/>
      <c r="J29" s="1014"/>
      <c r="K29" s="893"/>
      <c r="L29" s="893"/>
      <c r="M29" s="885"/>
    </row>
    <row r="30" spans="1:13">
      <c r="A30" s="883"/>
      <c r="B30" s="4"/>
      <c r="C30" s="69" t="s">
        <v>905</v>
      </c>
      <c r="D30" s="902">
        <f>CHX_INFO_C!D13</f>
        <v>144</v>
      </c>
      <c r="E30" s="1003"/>
      <c r="F30" s="4"/>
      <c r="G30" s="1015"/>
      <c r="H30" s="1016"/>
      <c r="I30" s="1016"/>
      <c r="J30" s="1017"/>
      <c r="K30" s="1006">
        <v>0</v>
      </c>
      <c r="L30" s="1007"/>
      <c r="M30" s="885"/>
    </row>
    <row r="31" spans="1:13" ht="15">
      <c r="A31" s="883"/>
      <c r="B31" s="4"/>
      <c r="C31" s="893" t="s">
        <v>978</v>
      </c>
      <c r="D31" s="974">
        <f>'A_Caractéristiques de votre ex'!G25</f>
        <v>1.75</v>
      </c>
      <c r="E31" s="4"/>
      <c r="F31" s="4"/>
      <c r="G31" s="1015"/>
      <c r="H31" s="1016"/>
      <c r="I31" s="1016"/>
      <c r="J31" s="1017"/>
      <c r="K31" s="1008"/>
      <c r="L31" s="1009"/>
      <c r="M31" s="885"/>
    </row>
    <row r="32" spans="1:13" ht="13.5" thickBot="1">
      <c r="A32" s="883"/>
      <c r="B32" s="4"/>
      <c r="C32" s="69" t="s">
        <v>907</v>
      </c>
      <c r="D32" s="901">
        <f>'A_Caractéristiques de votre ex'!G32</f>
        <v>144</v>
      </c>
      <c r="E32" s="1005">
        <f>D32-D33</f>
        <v>0</v>
      </c>
      <c r="F32" s="4"/>
      <c r="G32" s="1015"/>
      <c r="H32" s="1016"/>
      <c r="I32" s="1016"/>
      <c r="J32" s="1017"/>
      <c r="K32" s="1010"/>
      <c r="L32" s="1011"/>
      <c r="M32" s="885"/>
    </row>
    <row r="33" spans="1:21" ht="13.5" thickTop="1">
      <c r="A33" s="883"/>
      <c r="B33" s="4"/>
      <c r="C33" s="69" t="s">
        <v>905</v>
      </c>
      <c r="D33" s="902">
        <f>UT_N</f>
        <v>144</v>
      </c>
      <c r="E33" s="1003"/>
      <c r="F33" s="4"/>
      <c r="G33" s="1018"/>
      <c r="H33" s="1019"/>
      <c r="I33" s="1019"/>
      <c r="J33" s="1020"/>
      <c r="K33" s="893"/>
      <c r="L33" s="893"/>
      <c r="M33" s="885"/>
      <c r="O33" s="992" t="s">
        <v>1057</v>
      </c>
      <c r="P33" s="881"/>
      <c r="Q33" s="881"/>
      <c r="R33" s="881"/>
      <c r="S33" s="881"/>
      <c r="T33" s="881"/>
      <c r="U33" s="882"/>
    </row>
    <row r="34" spans="1:21" ht="6.75" customHeight="1">
      <c r="A34" s="883"/>
      <c r="B34" s="4"/>
      <c r="C34" s="4"/>
      <c r="D34" s="4"/>
      <c r="E34" s="4"/>
      <c r="F34" s="4"/>
      <c r="G34" s="4"/>
      <c r="H34" s="4"/>
      <c r="I34" s="4"/>
      <c r="J34" s="4"/>
      <c r="K34" s="4"/>
      <c r="L34" s="4"/>
      <c r="M34" s="885"/>
      <c r="O34" s="883"/>
      <c r="P34" s="893"/>
      <c r="Q34" s="893"/>
      <c r="R34" s="893"/>
      <c r="S34" s="893"/>
      <c r="T34" s="893"/>
      <c r="U34" s="885"/>
    </row>
    <row r="35" spans="1:21">
      <c r="A35" s="883"/>
      <c r="B35" s="884" t="s">
        <v>926</v>
      </c>
      <c r="C35" s="4"/>
      <c r="D35" s="4"/>
      <c r="E35" s="4"/>
      <c r="F35" s="4"/>
      <c r="G35" s="4"/>
      <c r="H35" s="4"/>
      <c r="I35" s="4"/>
      <c r="J35" s="4"/>
      <c r="K35" s="4"/>
      <c r="L35" s="4"/>
      <c r="M35" s="885"/>
      <c r="O35" s="993" t="s">
        <v>1055</v>
      </c>
      <c r="P35" s="893"/>
      <c r="Q35" s="893"/>
      <c r="R35" s="893"/>
      <c r="S35" s="893"/>
      <c r="T35" s="893"/>
      <c r="U35" s="885"/>
    </row>
    <row r="36" spans="1:21">
      <c r="A36" s="883"/>
      <c r="B36" s="4"/>
      <c r="C36" s="4"/>
      <c r="D36" s="4"/>
      <c r="E36" s="4"/>
      <c r="F36" s="4"/>
      <c r="G36" s="1001" t="s">
        <v>938</v>
      </c>
      <c r="H36" s="1001"/>
      <c r="I36" s="1001"/>
      <c r="J36" s="1001"/>
      <c r="K36" s="1001"/>
      <c r="L36" s="1001"/>
      <c r="M36" s="885"/>
      <c r="O36" s="883"/>
      <c r="P36" s="893"/>
      <c r="Q36" s="893"/>
      <c r="R36" s="893"/>
      <c r="S36" s="893"/>
      <c r="T36" s="893"/>
      <c r="U36" s="885"/>
    </row>
    <row r="37" spans="1:21">
      <c r="A37" s="883"/>
      <c r="B37" s="4"/>
      <c r="C37" s="6" t="s">
        <v>912</v>
      </c>
      <c r="D37" s="4"/>
      <c r="E37" s="4"/>
      <c r="F37" s="4"/>
      <c r="G37" s="4"/>
      <c r="H37" s="4"/>
      <c r="I37" s="4"/>
      <c r="J37" s="4"/>
      <c r="K37" s="4"/>
      <c r="L37" s="4"/>
      <c r="M37" s="885"/>
      <c r="O37" s="1021" t="s">
        <v>1056</v>
      </c>
      <c r="P37" s="1022"/>
      <c r="Q37" s="1022"/>
      <c r="R37" s="1022"/>
      <c r="S37" s="1022"/>
      <c r="T37" s="893"/>
      <c r="U37" s="885"/>
    </row>
    <row r="38" spans="1:21" ht="13.5" thickBot="1">
      <c r="A38" s="883"/>
      <c r="B38" s="4"/>
      <c r="C38" s="4"/>
      <c r="D38" s="886" t="s">
        <v>579</v>
      </c>
      <c r="E38" s="886" t="s">
        <v>927</v>
      </c>
      <c r="F38" s="886" t="s">
        <v>928</v>
      </c>
      <c r="G38" s="1024" t="s">
        <v>579</v>
      </c>
      <c r="H38" s="1025"/>
      <c r="I38" s="1024" t="s">
        <v>927</v>
      </c>
      <c r="J38" s="1025"/>
      <c r="K38" s="1024" t="s">
        <v>928</v>
      </c>
      <c r="L38" s="1025"/>
      <c r="M38" s="885"/>
      <c r="O38" s="1023"/>
      <c r="P38" s="1022"/>
      <c r="Q38" s="1022"/>
      <c r="R38" s="1022"/>
      <c r="S38" s="1022"/>
      <c r="T38" s="893"/>
      <c r="U38" s="885"/>
    </row>
    <row r="39" spans="1:21">
      <c r="A39" s="883"/>
      <c r="B39" s="4"/>
      <c r="C39" s="4" t="s">
        <v>913</v>
      </c>
      <c r="D39" s="872">
        <f>GN_N+GY_N</f>
        <v>-27621</v>
      </c>
      <c r="E39" s="872">
        <f>GN_N1+GY_N1</f>
        <v>49203</v>
      </c>
      <c r="F39" s="872">
        <f>GN_N2+GY_N2</f>
        <v>15075</v>
      </c>
      <c r="G39" s="1026">
        <f>D39-D40</f>
        <v>0</v>
      </c>
      <c r="H39" s="878"/>
      <c r="I39" s="1026">
        <f>E39-E40</f>
        <v>-1.0000000000218279</v>
      </c>
      <c r="J39" s="878"/>
      <c r="K39" s="1026">
        <f>F39-F40</f>
        <v>0</v>
      </c>
      <c r="L39" s="878"/>
      <c r="M39" s="885"/>
      <c r="O39" s="1023"/>
      <c r="P39" s="1022"/>
      <c r="Q39" s="1022"/>
      <c r="R39" s="1022"/>
      <c r="S39" s="1022"/>
      <c r="T39" s="893"/>
      <c r="U39" s="885"/>
    </row>
    <row r="40" spans="1:21" ht="13.5" thickBot="1">
      <c r="A40" s="883"/>
      <c r="B40" s="4"/>
      <c r="C40" s="4" t="s">
        <v>914</v>
      </c>
      <c r="D40" s="872">
        <f>'A_Compte Résultat &amp; SIG NEX '!C47</f>
        <v>-27620.999999999993</v>
      </c>
      <c r="E40" s="872">
        <f>'A_Compte Résultat &amp; SIG NEX '!E47</f>
        <v>49204.000000000022</v>
      </c>
      <c r="F40" s="872">
        <f>'A_Compte Résultat &amp; SIG NEX '!G47</f>
        <v>15074.999999999993</v>
      </c>
      <c r="G40" s="1027"/>
      <c r="H40" s="1028">
        <f>D40-D41</f>
        <v>0</v>
      </c>
      <c r="I40" s="1027"/>
      <c r="J40" s="1028">
        <f>E40-E41</f>
        <v>0</v>
      </c>
      <c r="K40" s="1027"/>
      <c r="L40" s="1030"/>
      <c r="M40" s="885"/>
      <c r="O40" s="1023"/>
      <c r="P40" s="1022"/>
      <c r="Q40" s="1022"/>
      <c r="R40" s="1022"/>
      <c r="S40" s="1022"/>
      <c r="T40" s="893"/>
      <c r="U40" s="885"/>
    </row>
    <row r="41" spans="1:21" ht="13.5" thickBot="1">
      <c r="A41" s="883"/>
      <c r="B41" s="4"/>
      <c r="C41" s="4" t="s">
        <v>915</v>
      </c>
      <c r="D41" s="872">
        <f>FY_N-(FW_N-CHX_INFO_C!D27)-FX_N-GZ_N-('A_Evolution chges'!C16+'A_Evolution chges'!C22+'A_Evolution chges'!C23+'A_Evolution chges'!C27+'A_Evolution chges'!C33+'A_Evolution chges'!C35+'A_Evolution chges'!C41+'A_Evolution chges'!C42)+'A_Evolution chges'!C43-'A_Evolution chges'!C44+'A_Evolution chges'!C45-HV_N-GB_N</f>
        <v>-27620.999999999993</v>
      </c>
      <c r="E41" s="872">
        <f>FY_N1-(FW_N1-CHX_INFO_C!E27)-FX_N1-GZ_N1-('A_Evolution chges'!E16+'A_Evolution chges'!E22+'A_Evolution chges'!E23+'A_Evolution chges'!E27+'A_Evolution chges'!E33+'A_Evolution chges'!E35+'A_Evolution chges'!E41+'A_Evolution chges'!E42)+'A_Evolution chges'!E43-'A_Evolution chges'!E44+'A_Evolution chges'!E45-HV_N1-GB_N1</f>
        <v>49204.000000000022</v>
      </c>
      <c r="F41" s="872"/>
      <c r="G41" s="879"/>
      <c r="H41" s="1029"/>
      <c r="I41" s="879"/>
      <c r="J41" s="1029"/>
      <c r="K41" s="879"/>
      <c r="L41" s="1029"/>
      <c r="M41" s="885"/>
      <c r="O41" s="993" t="s">
        <v>1063</v>
      </c>
      <c r="P41" s="6"/>
      <c r="Q41" s="6"/>
      <c r="R41" s="6"/>
      <c r="S41" s="6"/>
      <c r="T41" s="981">
        <v>0</v>
      </c>
      <c r="U41" s="885"/>
    </row>
    <row r="42" spans="1:21" s="877" customFormat="1" ht="8.25" customHeight="1">
      <c r="A42" s="883"/>
      <c r="B42" s="4"/>
      <c r="C42" s="4"/>
      <c r="D42" s="4"/>
      <c r="E42" s="4"/>
      <c r="F42" s="4"/>
      <c r="G42" s="4"/>
      <c r="H42" s="4"/>
      <c r="I42" s="4"/>
      <c r="J42" s="4"/>
      <c r="K42" s="4"/>
      <c r="L42" s="4"/>
      <c r="M42" s="885"/>
      <c r="O42" s="883"/>
      <c r="P42" s="893"/>
      <c r="Q42" s="893"/>
      <c r="R42" s="893"/>
      <c r="S42" s="893"/>
      <c r="T42" s="893"/>
      <c r="U42" s="885"/>
    </row>
    <row r="43" spans="1:21" s="877" customFormat="1" ht="13.5" thickBot="1">
      <c r="A43" s="883"/>
      <c r="B43" s="884" t="s">
        <v>53</v>
      </c>
      <c r="C43" s="4"/>
      <c r="D43" s="4"/>
      <c r="E43" s="4"/>
      <c r="F43" s="4"/>
      <c r="G43" s="996" t="s">
        <v>1053</v>
      </c>
      <c r="H43" s="996"/>
      <c r="I43" s="978">
        <v>0</v>
      </c>
      <c r="J43" s="4"/>
      <c r="K43" s="4"/>
      <c r="L43" s="4"/>
      <c r="M43" s="885"/>
      <c r="O43" s="887"/>
      <c r="P43" s="888"/>
      <c r="Q43" s="888"/>
      <c r="R43" s="888"/>
      <c r="S43" s="888"/>
      <c r="T43" s="888"/>
      <c r="U43" s="889"/>
    </row>
    <row r="44" spans="1:21" ht="13.5" thickTop="1">
      <c r="A44" s="883"/>
      <c r="B44" s="4"/>
      <c r="C44" s="4"/>
      <c r="D44" s="4"/>
      <c r="E44" s="4"/>
      <c r="F44" s="4"/>
      <c r="G44" s="4"/>
      <c r="H44" s="4"/>
      <c r="I44" s="4"/>
      <c r="J44" s="4"/>
      <c r="K44" s="4"/>
      <c r="L44" s="4"/>
      <c r="M44" s="885"/>
    </row>
    <row r="45" spans="1:21">
      <c r="A45" s="883"/>
      <c r="B45" s="4"/>
      <c r="C45" s="675" t="s">
        <v>916</v>
      </c>
      <c r="D45" s="872">
        <f>'A_Résult à Trésor'!D14</f>
        <v>-25017.65</v>
      </c>
      <c r="E45" s="1004">
        <f>D45-D46</f>
        <v>0</v>
      </c>
      <c r="F45" s="4"/>
      <c r="G45" s="4"/>
      <c r="H45" s="4"/>
      <c r="I45" s="4"/>
      <c r="J45" s="4"/>
      <c r="K45" s="4"/>
      <c r="L45" s="4"/>
      <c r="M45" s="885"/>
    </row>
    <row r="46" spans="1:21">
      <c r="A46" s="883"/>
      <c r="B46" s="4"/>
      <c r="C46" s="4" t="s">
        <v>917</v>
      </c>
      <c r="D46" s="872">
        <f>DONNEES_LIASSE_RN!E281+DONNEES_LIASSE_RN!E280-DONNEES_LIASSE_RN!E328+'1_INFO_C'!E46</f>
        <v>-25017.65</v>
      </c>
      <c r="E46" s="1004"/>
      <c r="F46" s="4"/>
      <c r="G46" s="995" t="s">
        <v>944</v>
      </c>
      <c r="H46" s="995"/>
      <c r="I46" s="995"/>
      <c r="J46" s="995"/>
      <c r="K46" s="995"/>
      <c r="L46" s="995"/>
      <c r="M46" s="885"/>
      <c r="N46" s="977"/>
      <c r="P46" s="978" t="s">
        <v>577</v>
      </c>
      <c r="Q46" s="978" t="s">
        <v>829</v>
      </c>
    </row>
    <row r="47" spans="1:21">
      <c r="A47" s="883"/>
      <c r="B47" s="4"/>
      <c r="C47" s="4"/>
      <c r="D47" s="4"/>
      <c r="E47" s="88"/>
      <c r="F47" s="4"/>
      <c r="G47" s="997" t="s">
        <v>579</v>
      </c>
      <c r="H47" s="996"/>
      <c r="I47" s="997" t="s">
        <v>927</v>
      </c>
      <c r="J47" s="996"/>
      <c r="K47" s="997" t="s">
        <v>928</v>
      </c>
      <c r="L47" s="996"/>
      <c r="M47" s="893"/>
      <c r="N47" s="978" t="s">
        <v>1065</v>
      </c>
      <c r="O47" s="978"/>
      <c r="P47" s="978">
        <f>DONNEES_LIASSE_RN!D404</f>
        <v>0</v>
      </c>
      <c r="Q47" s="862">
        <f>'A_Variat fds de R'!D29</f>
        <v>181.54</v>
      </c>
    </row>
    <row r="48" spans="1:21">
      <c r="A48" s="883"/>
      <c r="B48" s="4"/>
      <c r="C48" s="4" t="s">
        <v>918</v>
      </c>
      <c r="D48" s="872">
        <f>'A_Résult à Trésor'!D60</f>
        <v>-71346.75</v>
      </c>
      <c r="E48" s="1004">
        <f>D48-D49</f>
        <v>-1.2200000000011642</v>
      </c>
      <c r="F48" s="900" t="s">
        <v>601</v>
      </c>
      <c r="G48" s="997">
        <f>DONNEES_LIASSE_RN!D17</f>
        <v>974</v>
      </c>
      <c r="H48" s="997"/>
      <c r="I48" s="997">
        <f>DONNEES_LIASSE_RN!E17</f>
        <v>490</v>
      </c>
      <c r="J48" s="997"/>
      <c r="K48" s="997">
        <f>DONNEES_LIASSE_RN!F17</f>
        <v>-1521</v>
      </c>
      <c r="L48" s="997"/>
      <c r="M48" s="893"/>
      <c r="N48" s="978" t="s">
        <v>1066</v>
      </c>
      <c r="O48" s="978"/>
      <c r="P48" s="978">
        <f>DONNEES_LIASSE_RN!D405</f>
        <v>26230</v>
      </c>
      <c r="Q48" s="862">
        <f>'A_Variat fds de R'!D31</f>
        <v>26411.15</v>
      </c>
    </row>
    <row r="49" spans="1:17">
      <c r="A49" s="883"/>
      <c r="B49" s="4"/>
      <c r="C49" s="4" t="s">
        <v>919</v>
      </c>
      <c r="D49" s="872">
        <f>DONNEES_LIASSE_RN!D280+DONNEES_LIASSE_RN!D281-DONNEES_LIASSE_RN!D328+'1_INFO_C'!D46</f>
        <v>-71345.53</v>
      </c>
      <c r="E49" s="1004"/>
      <c r="F49" s="900" t="s">
        <v>945</v>
      </c>
      <c r="G49" s="997">
        <f>CHX_INFO_C!D16+CHX_INFO_C!D17+CHX_INFO_C!D18+CHX_INFO_C!D19+CHX_INFO_C!D20+CHX_INFO_C!D21+CHX_INFO_C!D22</f>
        <v>974</v>
      </c>
      <c r="H49" s="997"/>
      <c r="I49" s="996">
        <f>CHX_INFO_C!E16+CHX_INFO_C!E17+CHX_INFO_C!E18+CHX_INFO_C!E19+CHX_INFO_C!E20+CHX_INFO_C!E21+CHX_INFO_C!E22</f>
        <v>490</v>
      </c>
      <c r="J49" s="996"/>
      <c r="K49" s="996">
        <f>CHX_INFO_C!F16+CHX_INFO_C!F17+CHX_INFO_C!F18+CHX_INFO_C!F19+CHX_INFO_C!F20+CHX_INFO_C!F21+CHX_INFO_C!F22</f>
        <v>-1521</v>
      </c>
      <c r="L49" s="996"/>
      <c r="M49" s="885"/>
      <c r="P49" s="978"/>
      <c r="Q49" s="978"/>
    </row>
    <row r="50" spans="1:17">
      <c r="A50" s="883"/>
      <c r="B50" s="4"/>
      <c r="C50" s="4"/>
      <c r="D50" s="4"/>
      <c r="E50" s="88"/>
      <c r="F50" s="4"/>
      <c r="G50" s="998">
        <f>G48-G49</f>
        <v>0</v>
      </c>
      <c r="H50" s="998"/>
      <c r="I50" s="998">
        <f>I48-I49</f>
        <v>0</v>
      </c>
      <c r="J50" s="998"/>
      <c r="K50" s="998">
        <f>K48-K49</f>
        <v>0</v>
      </c>
      <c r="L50" s="998"/>
      <c r="M50" s="885"/>
      <c r="O50" s="978" t="s">
        <v>223</v>
      </c>
      <c r="P50" s="994">
        <f>P47-P48</f>
        <v>-26230</v>
      </c>
      <c r="Q50" s="994">
        <f>Q47-Q48</f>
        <v>-26229.61</v>
      </c>
    </row>
    <row r="51" spans="1:17">
      <c r="A51" s="883"/>
      <c r="B51" s="884" t="s">
        <v>929</v>
      </c>
      <c r="C51" s="4"/>
      <c r="D51" s="4"/>
      <c r="E51" s="88"/>
      <c r="F51" s="4"/>
      <c r="G51" s="4"/>
      <c r="H51" s="4"/>
      <c r="I51" s="4"/>
      <c r="J51" s="4"/>
      <c r="K51" s="4"/>
      <c r="L51" s="4"/>
      <c r="M51" s="885"/>
    </row>
    <row r="52" spans="1:17">
      <c r="A52" s="883"/>
      <c r="B52" s="4"/>
      <c r="C52" s="4"/>
      <c r="D52" s="4"/>
      <c r="E52" s="88"/>
      <c r="F52" s="69" t="s">
        <v>946</v>
      </c>
      <c r="G52" s="996">
        <f>CHX_INFO_C!D24</f>
        <v>9586</v>
      </c>
      <c r="H52" s="996"/>
      <c r="I52" s="996">
        <f>CHX_INFO_C!E24</f>
        <v>8720</v>
      </c>
      <c r="J52" s="996"/>
      <c r="K52" s="996">
        <f>CHX_INFO_C!F24</f>
        <v>8759</v>
      </c>
      <c r="L52" s="996"/>
      <c r="M52" s="885"/>
    </row>
    <row r="53" spans="1:17">
      <c r="A53" s="883"/>
      <c r="B53" s="4"/>
      <c r="C53" s="675" t="s">
        <v>931</v>
      </c>
      <c r="D53" s="872">
        <f>'A_Variat fds de R'!D39</f>
        <v>-59134.61</v>
      </c>
      <c r="E53" s="1004">
        <f>D53-D54</f>
        <v>-1.2200000000011642</v>
      </c>
      <c r="F53" s="4"/>
      <c r="G53" s="4"/>
      <c r="H53" s="4"/>
      <c r="I53" s="4"/>
      <c r="J53" s="4"/>
      <c r="K53" s="4"/>
      <c r="L53" s="4"/>
      <c r="M53" s="885"/>
    </row>
    <row r="54" spans="1:17">
      <c r="A54" s="883"/>
      <c r="B54" s="4"/>
      <c r="C54" s="675" t="s">
        <v>930</v>
      </c>
      <c r="D54" s="872">
        <f>'A_Variat fds de R'!D63-'A_Variat fds de R'!C63</f>
        <v>-59133.39</v>
      </c>
      <c r="E54" s="1004"/>
      <c r="F54" s="4"/>
      <c r="G54" s="4"/>
      <c r="H54" s="4"/>
      <c r="I54" s="4"/>
      <c r="J54" s="4"/>
      <c r="K54" s="4"/>
      <c r="L54" s="4"/>
      <c r="M54" s="885"/>
    </row>
    <row r="55" spans="1:17" ht="5.25" customHeight="1">
      <c r="A55" s="883"/>
      <c r="B55" s="4"/>
      <c r="C55" s="4"/>
      <c r="D55" s="4"/>
      <c r="E55" s="88"/>
      <c r="F55" s="4"/>
      <c r="G55" s="4"/>
      <c r="H55" s="4"/>
      <c r="I55" s="4"/>
      <c r="J55" s="4"/>
      <c r="K55" s="4"/>
      <c r="L55" s="4"/>
      <c r="M55" s="885"/>
    </row>
    <row r="56" spans="1:17">
      <c r="A56" s="883"/>
      <c r="B56" s="4"/>
      <c r="C56" s="675" t="s">
        <v>932</v>
      </c>
      <c r="D56" s="872">
        <f>'A_Variat fds de R'!C58</f>
        <v>-25017.65</v>
      </c>
      <c r="E56" s="1004">
        <f>D56-D57</f>
        <v>0</v>
      </c>
      <c r="F56" s="4"/>
      <c r="G56" s="4"/>
      <c r="H56" s="4"/>
      <c r="I56" s="4"/>
      <c r="J56" s="4"/>
      <c r="K56" s="4"/>
      <c r="L56" s="4"/>
      <c r="M56" s="885"/>
    </row>
    <row r="57" spans="1:17" ht="12" customHeight="1">
      <c r="A57" s="883"/>
      <c r="B57" s="4"/>
      <c r="C57" s="4" t="s">
        <v>917</v>
      </c>
      <c r="D57" s="872">
        <f>DONNEES_LIASSE_RN!E281+DONNEES_LIASSE_RN!E280-DONNEES_LIASSE_RN!E328+'1_INFO_C'!E46</f>
        <v>-25017.65</v>
      </c>
      <c r="E57" s="1004"/>
      <c r="F57" s="4"/>
      <c r="G57" s="4"/>
      <c r="H57" s="4"/>
      <c r="I57" s="4"/>
      <c r="J57" s="4"/>
      <c r="K57" s="4"/>
      <c r="L57" s="4"/>
      <c r="M57" s="885"/>
    </row>
    <row r="58" spans="1:17" ht="4.5" customHeight="1">
      <c r="A58" s="883"/>
      <c r="B58" s="4"/>
      <c r="C58" s="4"/>
      <c r="D58" s="4"/>
      <c r="E58" s="88"/>
      <c r="F58" s="4"/>
      <c r="G58" s="4"/>
      <c r="H58" s="4"/>
      <c r="I58" s="4"/>
      <c r="J58" s="4"/>
      <c r="K58" s="4"/>
      <c r="L58" s="4"/>
      <c r="M58" s="885"/>
    </row>
    <row r="59" spans="1:17">
      <c r="A59" s="883"/>
      <c r="B59" s="4"/>
      <c r="C59" s="675" t="s">
        <v>933</v>
      </c>
      <c r="D59" s="872">
        <f>'A_Variat fds de R'!D58</f>
        <v>-71345.53</v>
      </c>
      <c r="E59" s="1004">
        <f>D59-D60</f>
        <v>0</v>
      </c>
      <c r="F59" s="4"/>
      <c r="G59" s="4"/>
      <c r="H59" s="4"/>
      <c r="I59" s="4"/>
      <c r="J59" s="4"/>
      <c r="K59" s="4"/>
      <c r="L59" s="4"/>
      <c r="M59" s="885"/>
    </row>
    <row r="60" spans="1:17">
      <c r="A60" s="883"/>
      <c r="B60" s="4"/>
      <c r="C60" s="4" t="s">
        <v>919</v>
      </c>
      <c r="D60" s="872">
        <f>DONNEES_LIASSE_RN!D280+DONNEES_LIASSE_RN!D281-DONNEES_LIASSE_RN!D328+'1_INFO_C'!D46</f>
        <v>-71345.53</v>
      </c>
      <c r="E60" s="1004"/>
      <c r="F60" s="4"/>
      <c r="G60" s="4"/>
      <c r="H60" s="4"/>
      <c r="I60" s="4"/>
      <c r="J60" s="4"/>
      <c r="K60" s="4"/>
      <c r="L60" s="4"/>
      <c r="M60" s="885"/>
    </row>
    <row r="61" spans="1:17">
      <c r="A61" s="883"/>
      <c r="B61" s="4"/>
      <c r="C61" s="4"/>
      <c r="D61" s="4"/>
      <c r="E61" s="4"/>
      <c r="F61" s="4"/>
      <c r="G61" s="1001" t="s">
        <v>938</v>
      </c>
      <c r="H61" s="1001"/>
      <c r="I61" s="1001"/>
      <c r="J61" s="1001"/>
      <c r="K61" s="1001"/>
      <c r="L61" s="1001"/>
      <c r="M61" s="885"/>
    </row>
    <row r="62" spans="1:17">
      <c r="A62" s="883"/>
      <c r="B62" s="884" t="s">
        <v>55</v>
      </c>
      <c r="C62" s="4"/>
      <c r="D62" s="886" t="s">
        <v>579</v>
      </c>
      <c r="E62" s="886" t="s">
        <v>927</v>
      </c>
      <c r="F62" s="886" t="s">
        <v>928</v>
      </c>
      <c r="G62" s="4"/>
      <c r="H62" s="4"/>
      <c r="I62" s="4"/>
      <c r="J62" s="4"/>
      <c r="K62" s="4"/>
      <c r="L62" s="4"/>
      <c r="M62" s="885"/>
    </row>
    <row r="63" spans="1:17">
      <c r="A63" s="883"/>
      <c r="B63" s="4"/>
      <c r="C63" s="675" t="s">
        <v>934</v>
      </c>
      <c r="D63" s="872">
        <f>'A_Bilan NEX'!C31</f>
        <v>346597</v>
      </c>
      <c r="E63" s="872">
        <f>'A_Bilan NEX'!D31</f>
        <v>343693</v>
      </c>
      <c r="F63" s="872">
        <f>'A_Bilan NEX'!E31</f>
        <v>379383</v>
      </c>
      <c r="G63" s="1002">
        <f>D63-D64</f>
        <v>0</v>
      </c>
      <c r="H63" s="1003"/>
      <c r="I63" s="1002">
        <f>E63-E64</f>
        <v>0</v>
      </c>
      <c r="J63" s="1003"/>
      <c r="K63" s="1002">
        <f>F63-F64</f>
        <v>0</v>
      </c>
      <c r="L63" s="1003"/>
      <c r="M63" s="885"/>
    </row>
    <row r="64" spans="1:17">
      <c r="A64" s="883"/>
      <c r="B64" s="4"/>
      <c r="C64" s="675" t="s">
        <v>935</v>
      </c>
      <c r="D64" s="872">
        <f>DONNEES_LIASSE_RN!D284</f>
        <v>346597</v>
      </c>
      <c r="E64" s="872">
        <f>DONNEES_LIASSE_RN!E284</f>
        <v>343693</v>
      </c>
      <c r="F64" s="872">
        <f>DONNEES_LIASSE_RN!F284</f>
        <v>379383</v>
      </c>
      <c r="G64" s="1003"/>
      <c r="H64" s="1003"/>
      <c r="I64" s="1003"/>
      <c r="J64" s="1003"/>
      <c r="K64" s="1003"/>
      <c r="L64" s="1003"/>
      <c r="M64" s="885"/>
    </row>
    <row r="65" spans="1:13" ht="3" customHeight="1">
      <c r="A65" s="883"/>
      <c r="B65" s="4"/>
      <c r="C65" s="4"/>
      <c r="D65" s="4"/>
      <c r="E65" s="4"/>
      <c r="F65" s="4"/>
      <c r="G65" s="4"/>
      <c r="H65" s="4"/>
      <c r="I65" s="4"/>
      <c r="J65" s="4"/>
      <c r="K65" s="4"/>
      <c r="L65" s="4"/>
      <c r="M65" s="885"/>
    </row>
    <row r="66" spans="1:13">
      <c r="A66" s="883"/>
      <c r="B66" s="4"/>
      <c r="C66" s="675" t="s">
        <v>936</v>
      </c>
      <c r="D66" s="872">
        <f>'A_Bilan NEX'!C60</f>
        <v>346596</v>
      </c>
      <c r="E66" s="872">
        <f>'A_Bilan NEX'!D60</f>
        <v>343694</v>
      </c>
      <c r="F66" s="872">
        <f>'A_Bilan NEX'!E60</f>
        <v>379383</v>
      </c>
      <c r="G66" s="1002">
        <f>D66-D67</f>
        <v>-1</v>
      </c>
      <c r="H66" s="1003"/>
      <c r="I66" s="1002">
        <f>E66-E67</f>
        <v>1</v>
      </c>
      <c r="J66" s="1003"/>
      <c r="K66" s="1002">
        <f>F66-F67</f>
        <v>0</v>
      </c>
      <c r="L66" s="1003"/>
      <c r="M66" s="885"/>
    </row>
    <row r="67" spans="1:13">
      <c r="A67" s="883"/>
      <c r="B67" s="4"/>
      <c r="C67" s="675" t="s">
        <v>937</v>
      </c>
      <c r="D67" s="872">
        <f>DONNEES_LIASSE_RN!D339</f>
        <v>346597</v>
      </c>
      <c r="E67" s="872">
        <f>DONNEES_LIASSE_RN!E339</f>
        <v>343693</v>
      </c>
      <c r="F67" s="872">
        <f>DONNEES_LIASSE_RN!F339</f>
        <v>379383</v>
      </c>
      <c r="G67" s="1003"/>
      <c r="H67" s="1003"/>
      <c r="I67" s="1003"/>
      <c r="J67" s="1003"/>
      <c r="K67" s="1003"/>
      <c r="L67" s="1003"/>
      <c r="M67" s="885"/>
    </row>
    <row r="68" spans="1:13" ht="13.5" thickBot="1">
      <c r="A68" s="887"/>
      <c r="B68" s="888"/>
      <c r="C68" s="888"/>
      <c r="D68" s="888"/>
      <c r="E68" s="888"/>
      <c r="F68" s="888"/>
      <c r="G68" s="888"/>
      <c r="H68" s="888"/>
      <c r="I68" s="888"/>
      <c r="J68" s="888"/>
      <c r="K68" s="888"/>
      <c r="L68" s="888"/>
      <c r="M68" s="889"/>
    </row>
    <row r="69" spans="1:13" ht="13.5" thickTop="1"/>
  </sheetData>
  <mergeCells count="45">
    <mergeCell ref="O37:S40"/>
    <mergeCell ref="G66:H67"/>
    <mergeCell ref="I66:J67"/>
    <mergeCell ref="K66:L67"/>
    <mergeCell ref="I38:J38"/>
    <mergeCell ref="K38:L38"/>
    <mergeCell ref="I39:I40"/>
    <mergeCell ref="J40:J41"/>
    <mergeCell ref="K39:K40"/>
    <mergeCell ref="L40:L41"/>
    <mergeCell ref="G39:G40"/>
    <mergeCell ref="H40:H41"/>
    <mergeCell ref="G38:H38"/>
    <mergeCell ref="G48:H48"/>
    <mergeCell ref="G49:H49"/>
    <mergeCell ref="G52:H52"/>
    <mergeCell ref="E26:J27"/>
    <mergeCell ref="G36:L36"/>
    <mergeCell ref="G61:L61"/>
    <mergeCell ref="G63:H64"/>
    <mergeCell ref="I63:J64"/>
    <mergeCell ref="K63:L64"/>
    <mergeCell ref="E56:E57"/>
    <mergeCell ref="E59:E60"/>
    <mergeCell ref="E29:E30"/>
    <mergeCell ref="E32:E33"/>
    <mergeCell ref="E45:E46"/>
    <mergeCell ref="E48:E49"/>
    <mergeCell ref="E53:E54"/>
    <mergeCell ref="K30:L32"/>
    <mergeCell ref="G29:J33"/>
    <mergeCell ref="G43:H43"/>
    <mergeCell ref="G46:L46"/>
    <mergeCell ref="K52:L52"/>
    <mergeCell ref="G47:H47"/>
    <mergeCell ref="I47:J47"/>
    <mergeCell ref="K47:L47"/>
    <mergeCell ref="G50:H50"/>
    <mergeCell ref="I50:J50"/>
    <mergeCell ref="K50:L50"/>
    <mergeCell ref="I48:J48"/>
    <mergeCell ref="I49:J49"/>
    <mergeCell ref="K48:L48"/>
    <mergeCell ref="K49:L49"/>
    <mergeCell ref="I52:J52"/>
  </mergeCells>
  <conditionalFormatting sqref="D31">
    <cfRule type="cellIs" dxfId="36" priority="1" operator="lessThan">
      <formula>0</formula>
    </cfRule>
  </conditionalFormatting>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0">
    <tabColor theme="5" tint="0.39997558519241921"/>
  </sheetPr>
  <dimension ref="A5:O126"/>
  <sheetViews>
    <sheetView workbookViewId="0">
      <selection activeCell="H8" sqref="H8"/>
    </sheetView>
  </sheetViews>
  <sheetFormatPr baseColWidth="10" defaultRowHeight="12.75"/>
  <cols>
    <col min="1" max="1" width="28.7109375" style="899" customWidth="1"/>
    <col min="2" max="2" width="11.42578125" style="899"/>
    <col min="3" max="3" width="11" style="899" customWidth="1"/>
    <col min="4" max="16384" width="11.42578125" style="899"/>
  </cols>
  <sheetData>
    <row r="5" spans="1:15">
      <c r="D5" s="997" t="s">
        <v>941</v>
      </c>
      <c r="E5" s="996"/>
      <c r="F5" s="996"/>
      <c r="G5" s="1031" t="s">
        <v>942</v>
      </c>
      <c r="H5" s="1032"/>
      <c r="I5" s="1032"/>
      <c r="J5" s="1033" t="s">
        <v>943</v>
      </c>
      <c r="K5" s="1034"/>
      <c r="L5" s="1034"/>
      <c r="M5" s="1035" t="str">
        <f>"CAB  "&amp;CONTROLE_DG!I43</f>
        <v>CAB  0</v>
      </c>
      <c r="N5" s="1036"/>
      <c r="O5" s="1036"/>
    </row>
    <row r="6" spans="1:15">
      <c r="A6" s="899" t="s">
        <v>576</v>
      </c>
      <c r="B6" s="899" t="s">
        <v>699</v>
      </c>
      <c r="C6" s="899" t="s">
        <v>700</v>
      </c>
      <c r="D6" s="898" t="s">
        <v>579</v>
      </c>
      <c r="E6" s="898" t="s">
        <v>580</v>
      </c>
      <c r="F6" s="898" t="s">
        <v>581</v>
      </c>
      <c r="G6" s="895" t="s">
        <v>579</v>
      </c>
      <c r="H6" s="895" t="s">
        <v>580</v>
      </c>
      <c r="I6" s="895" t="s">
        <v>581</v>
      </c>
      <c r="J6" s="896" t="s">
        <v>579</v>
      </c>
      <c r="K6" s="896" t="s">
        <v>580</v>
      </c>
      <c r="L6" s="896" t="s">
        <v>581</v>
      </c>
      <c r="M6" s="979" t="s">
        <v>579</v>
      </c>
      <c r="N6" s="979" t="s">
        <v>580</v>
      </c>
      <c r="O6" s="979" t="s">
        <v>581</v>
      </c>
    </row>
    <row r="7" spans="1:15">
      <c r="A7" s="860"/>
      <c r="B7" s="860"/>
      <c r="C7" s="860"/>
      <c r="D7" s="860"/>
      <c r="E7" s="860"/>
      <c r="F7" s="860"/>
      <c r="G7" s="897"/>
      <c r="H7" s="897"/>
      <c r="I7" s="897"/>
      <c r="J7" s="894"/>
      <c r="K7" s="894"/>
      <c r="L7" s="894"/>
      <c r="M7" s="980"/>
      <c r="N7" s="980"/>
      <c r="O7" s="980"/>
    </row>
    <row r="8" spans="1:15">
      <c r="A8" s="860"/>
      <c r="B8" s="860"/>
      <c r="C8" s="860"/>
      <c r="D8" s="860"/>
      <c r="E8" s="860"/>
      <c r="F8" s="860"/>
      <c r="G8" s="897"/>
      <c r="H8" s="897"/>
      <c r="I8" s="897"/>
      <c r="J8" s="894"/>
      <c r="K8" s="894"/>
      <c r="L8" s="894"/>
      <c r="M8" s="980"/>
      <c r="N8" s="980"/>
      <c r="O8" s="980"/>
    </row>
    <row r="9" spans="1:15">
      <c r="A9" s="860"/>
      <c r="B9" s="860"/>
      <c r="C9" s="860"/>
      <c r="D9" s="860"/>
      <c r="E9" s="860"/>
      <c r="F9" s="860"/>
      <c r="G9" s="897"/>
      <c r="H9" s="897"/>
      <c r="I9" s="897"/>
      <c r="J9" s="894"/>
      <c r="K9" s="894"/>
      <c r="L9" s="894"/>
      <c r="M9" s="980"/>
      <c r="N9" s="980"/>
      <c r="O9" s="980"/>
    </row>
    <row r="10" spans="1:15">
      <c r="A10" s="899" t="s">
        <v>701</v>
      </c>
      <c r="B10" s="899" t="s">
        <v>702</v>
      </c>
      <c r="C10" s="899" t="s">
        <v>703</v>
      </c>
      <c r="D10" s="899">
        <f t="shared" ref="D10:F13" si="0">IF(CHOIX=1,G10,J10)</f>
        <v>142.25</v>
      </c>
      <c r="E10" s="899">
        <f t="shared" si="0"/>
        <v>138.22</v>
      </c>
      <c r="F10" s="899">
        <f t="shared" si="0"/>
        <v>143.86000000000001</v>
      </c>
      <c r="G10" s="897">
        <f>'1_INFO_C'!G10</f>
        <v>0</v>
      </c>
      <c r="H10" s="897">
        <f>'1_INFO_C'!H10</f>
        <v>0</v>
      </c>
      <c r="I10" s="897">
        <f>'1_INFO_C'!I10</f>
        <v>0</v>
      </c>
      <c r="J10" s="894">
        <f>'1_INFO_C'!J10</f>
        <v>142.25</v>
      </c>
      <c r="K10" s="894">
        <f>'1_INFO_C'!K10</f>
        <v>138.22</v>
      </c>
      <c r="L10" s="894">
        <f>'1_INFO_C'!L10</f>
        <v>143.86000000000001</v>
      </c>
      <c r="M10" s="980"/>
      <c r="N10" s="980"/>
      <c r="O10" s="980"/>
    </row>
    <row r="11" spans="1:15">
      <c r="A11" s="899" t="s">
        <v>704</v>
      </c>
      <c r="B11" s="899" t="s">
        <v>702</v>
      </c>
      <c r="C11" s="899" t="s">
        <v>705</v>
      </c>
      <c r="D11" s="899">
        <f t="shared" si="0"/>
        <v>0</v>
      </c>
      <c r="E11" s="899">
        <f t="shared" si="0"/>
        <v>0</v>
      </c>
      <c r="F11" s="899">
        <f t="shared" si="0"/>
        <v>0</v>
      </c>
      <c r="G11" s="897">
        <f>'1_INFO_C'!G11</f>
        <v>0</v>
      </c>
      <c r="H11" s="897">
        <f>'1_INFO_C'!H11</f>
        <v>0</v>
      </c>
      <c r="I11" s="897">
        <f>'1_INFO_C'!I11</f>
        <v>0</v>
      </c>
      <c r="J11" s="894">
        <f>'1_INFO_C'!J11</f>
        <v>0</v>
      </c>
      <c r="K11" s="894">
        <f>'1_INFO_C'!K11</f>
        <v>0</v>
      </c>
      <c r="L11" s="894">
        <f>'1_INFO_C'!L11</f>
        <v>0</v>
      </c>
      <c r="M11" s="980"/>
      <c r="N11" s="980"/>
      <c r="O11" s="980"/>
    </row>
    <row r="12" spans="1:15">
      <c r="A12" s="899" t="s">
        <v>706</v>
      </c>
      <c r="B12" s="899" t="s">
        <v>707</v>
      </c>
      <c r="C12" s="899" t="s">
        <v>708</v>
      </c>
      <c r="D12" s="899">
        <f t="shared" si="0"/>
        <v>1.75</v>
      </c>
      <c r="E12" s="899">
        <f t="shared" si="0"/>
        <v>5.64</v>
      </c>
      <c r="F12" s="899">
        <f t="shared" si="0"/>
        <v>0</v>
      </c>
      <c r="G12" s="897">
        <f>'1_INFO_C'!G12</f>
        <v>144</v>
      </c>
      <c r="H12" s="897">
        <f>'1_INFO_C'!H12</f>
        <v>143.86000000000001</v>
      </c>
      <c r="I12" s="897">
        <f>'1_INFO_C'!I12</f>
        <v>0</v>
      </c>
      <c r="J12" s="894">
        <f>'1_INFO_C'!J12</f>
        <v>1.75</v>
      </c>
      <c r="K12" s="894">
        <f>'1_INFO_C'!K12</f>
        <v>5.64</v>
      </c>
      <c r="L12" s="894">
        <f>'1_INFO_C'!L12</f>
        <v>0</v>
      </c>
      <c r="M12" s="980"/>
      <c r="N12" s="980"/>
      <c r="O12" s="980"/>
    </row>
    <row r="13" spans="1:15">
      <c r="A13" s="899" t="s">
        <v>709</v>
      </c>
      <c r="B13" s="899" t="s">
        <v>710</v>
      </c>
      <c r="C13" s="899" t="s">
        <v>711</v>
      </c>
      <c r="D13" s="899">
        <f t="shared" si="0"/>
        <v>144</v>
      </c>
      <c r="E13" s="899">
        <f t="shared" si="0"/>
        <v>143.86000000000001</v>
      </c>
      <c r="F13" s="899">
        <f t="shared" si="0"/>
        <v>143.86000000000001</v>
      </c>
      <c r="G13" s="897">
        <f>'1_INFO_C'!G13</f>
        <v>144</v>
      </c>
      <c r="H13" s="897">
        <f>'1_INFO_C'!H13</f>
        <v>143.86000000000001</v>
      </c>
      <c r="I13" s="897">
        <f>'1_INFO_C'!I13</f>
        <v>0</v>
      </c>
      <c r="J13" s="894">
        <f>'1_INFO_C'!J13</f>
        <v>144</v>
      </c>
      <c r="K13" s="894">
        <f>'1_INFO_C'!K13</f>
        <v>143.86000000000001</v>
      </c>
      <c r="L13" s="894">
        <f>'1_INFO_C'!L13</f>
        <v>143.86000000000001</v>
      </c>
      <c r="M13" s="980"/>
      <c r="N13" s="980"/>
      <c r="O13" s="980"/>
    </row>
    <row r="14" spans="1:15">
      <c r="G14" s="897"/>
      <c r="H14" s="897"/>
      <c r="I14" s="897"/>
      <c r="J14" s="894"/>
      <c r="K14" s="894"/>
      <c r="L14" s="894"/>
      <c r="M14" s="980"/>
      <c r="N14" s="980"/>
      <c r="O14" s="980"/>
    </row>
    <row r="15" spans="1:15">
      <c r="G15" s="897"/>
      <c r="H15" s="897"/>
      <c r="I15" s="897"/>
      <c r="J15" s="894"/>
      <c r="K15" s="894"/>
      <c r="L15" s="894"/>
      <c r="M15" s="980"/>
      <c r="N15" s="980"/>
      <c r="O15" s="980"/>
    </row>
    <row r="16" spans="1:15">
      <c r="A16" s="899" t="s">
        <v>712</v>
      </c>
      <c r="B16" s="899">
        <v>60311</v>
      </c>
      <c r="C16" s="899" t="s">
        <v>713</v>
      </c>
      <c r="D16" s="899">
        <f t="shared" ref="D16:E18" si="1">IF(CAB=65,M16,IF(CHOIX=1,G16,J16))</f>
        <v>1783</v>
      </c>
      <c r="E16" s="977">
        <f t="shared" si="1"/>
        <v>567</v>
      </c>
      <c r="F16" s="899">
        <f t="shared" ref="D16:F27" si="2">IF(CHOIX=1,I16,L16)</f>
        <v>-2350</v>
      </c>
      <c r="G16" s="897">
        <f>'1_INFO_C'!G16</f>
        <v>1783</v>
      </c>
      <c r="H16" s="897">
        <f>'1_INFO_C'!H16</f>
        <v>567</v>
      </c>
      <c r="I16" s="897">
        <f>'1_INFO_C'!I16</f>
        <v>0</v>
      </c>
      <c r="J16" s="894">
        <f>'1_INFO_C'!J16</f>
        <v>1783</v>
      </c>
      <c r="K16" s="894">
        <f>'1_INFO_C'!K16</f>
        <v>567</v>
      </c>
      <c r="L16" s="894">
        <f>'1_INFO_C'!L16</f>
        <v>-2350</v>
      </c>
      <c r="M16" s="980">
        <f>-'1_INFO_C'!D61+'1_INFO_C'!B61</f>
        <v>1782.78</v>
      </c>
      <c r="N16" s="980">
        <f>'1_INFO_C'!C61-'1_INFO_C'!B61</f>
        <v>567.22</v>
      </c>
      <c r="O16" s="980"/>
    </row>
    <row r="17" spans="1:15">
      <c r="A17" s="899" t="s">
        <v>714</v>
      </c>
      <c r="B17" s="899">
        <v>60313</v>
      </c>
      <c r="C17" s="899" t="s">
        <v>715</v>
      </c>
      <c r="D17" s="977">
        <f t="shared" si="1"/>
        <v>0</v>
      </c>
      <c r="E17" s="977">
        <f t="shared" si="1"/>
        <v>0</v>
      </c>
      <c r="F17" s="899">
        <f t="shared" si="2"/>
        <v>0</v>
      </c>
      <c r="G17" s="897">
        <f>'1_INFO_C'!G17</f>
        <v>0</v>
      </c>
      <c r="H17" s="897">
        <f>'1_INFO_C'!H17</f>
        <v>0</v>
      </c>
      <c r="I17" s="897">
        <f>'1_INFO_C'!I17</f>
        <v>0</v>
      </c>
      <c r="J17" s="894">
        <f>'1_INFO_C'!J17</f>
        <v>0</v>
      </c>
      <c r="K17" s="894">
        <f>'1_INFO_C'!K17</f>
        <v>0</v>
      </c>
      <c r="L17" s="894">
        <f>'1_INFO_C'!L17</f>
        <v>0</v>
      </c>
      <c r="M17" s="980">
        <f>-'1_INFO_C'!D63+'1_INFO_C'!B63</f>
        <v>0</v>
      </c>
      <c r="N17" s="980">
        <f>'1_INFO_C'!C63-'1_INFO_C'!B63</f>
        <v>0</v>
      </c>
      <c r="O17" s="980"/>
    </row>
    <row r="18" spans="1:15">
      <c r="A18" s="899" t="s">
        <v>716</v>
      </c>
      <c r="B18" s="899">
        <v>60312</v>
      </c>
      <c r="C18" s="899" t="s">
        <v>717</v>
      </c>
      <c r="D18" s="977">
        <f t="shared" si="1"/>
        <v>0</v>
      </c>
      <c r="E18" s="977">
        <f t="shared" si="1"/>
        <v>0</v>
      </c>
      <c r="F18" s="899">
        <f t="shared" si="2"/>
        <v>0</v>
      </c>
      <c r="G18" s="897">
        <f>'1_INFO_C'!G18</f>
        <v>0</v>
      </c>
      <c r="H18" s="897">
        <f>'1_INFO_C'!H18</f>
        <v>0</v>
      </c>
      <c r="I18" s="897">
        <f>'1_INFO_C'!I18</f>
        <v>0</v>
      </c>
      <c r="J18" s="894">
        <f>'1_INFO_C'!J18</f>
        <v>0</v>
      </c>
      <c r="K18" s="894">
        <f>'1_INFO_C'!K18</f>
        <v>0</v>
      </c>
      <c r="L18" s="894">
        <f>'1_INFO_C'!L18</f>
        <v>0</v>
      </c>
      <c r="M18" s="980">
        <f>-'1_INFO_C'!D62+'1_INFO_C'!B62</f>
        <v>0</v>
      </c>
      <c r="N18" s="980">
        <f>'1_INFO_C'!C62-'1_INFO_C'!B62</f>
        <v>0</v>
      </c>
      <c r="O18" s="980"/>
    </row>
    <row r="19" spans="1:15">
      <c r="A19" s="899" t="s">
        <v>718</v>
      </c>
      <c r="B19" s="899">
        <v>60314</v>
      </c>
      <c r="C19" s="899" t="s">
        <v>719</v>
      </c>
      <c r="D19" s="899">
        <f t="shared" si="2"/>
        <v>0</v>
      </c>
      <c r="E19" s="899">
        <f t="shared" si="2"/>
        <v>0</v>
      </c>
      <c r="F19" s="899">
        <f t="shared" si="2"/>
        <v>0</v>
      </c>
      <c r="G19" s="897">
        <f>'1_INFO_C'!G19</f>
        <v>0</v>
      </c>
      <c r="H19" s="897">
        <f>'1_INFO_C'!H19</f>
        <v>0</v>
      </c>
      <c r="I19" s="897">
        <f>'1_INFO_C'!I19</f>
        <v>0</v>
      </c>
      <c r="J19" s="894">
        <f>'1_INFO_C'!J19</f>
        <v>0</v>
      </c>
      <c r="K19" s="894">
        <f>'1_INFO_C'!K19</f>
        <v>0</v>
      </c>
      <c r="L19" s="894">
        <f>'1_INFO_C'!L19</f>
        <v>0</v>
      </c>
      <c r="M19" s="980"/>
      <c r="N19" s="980"/>
      <c r="O19" s="980"/>
    </row>
    <row r="20" spans="1:15">
      <c r="A20" s="899" t="s">
        <v>720</v>
      </c>
      <c r="B20" s="899" t="s">
        <v>721</v>
      </c>
      <c r="C20" s="899" t="s">
        <v>722</v>
      </c>
      <c r="D20" s="899">
        <f t="shared" si="2"/>
        <v>0</v>
      </c>
      <c r="E20" s="899">
        <f t="shared" si="2"/>
        <v>0</v>
      </c>
      <c r="F20" s="899">
        <f t="shared" si="2"/>
        <v>0</v>
      </c>
      <c r="G20" s="897">
        <f>'1_INFO_C'!G20</f>
        <v>0</v>
      </c>
      <c r="H20" s="897">
        <f>'1_INFO_C'!H20</f>
        <v>0</v>
      </c>
      <c r="I20" s="897">
        <f>'1_INFO_C'!I20</f>
        <v>0</v>
      </c>
      <c r="J20" s="894">
        <f>'1_INFO_C'!J20</f>
        <v>0</v>
      </c>
      <c r="K20" s="894">
        <f>'1_INFO_C'!K20</f>
        <v>0</v>
      </c>
      <c r="L20" s="894">
        <f>'1_INFO_C'!L20</f>
        <v>0</v>
      </c>
      <c r="M20" s="980"/>
      <c r="N20" s="980"/>
      <c r="O20" s="980"/>
    </row>
    <row r="21" spans="1:15">
      <c r="A21" s="899" t="s">
        <v>723</v>
      </c>
      <c r="B21" s="899" t="s">
        <v>721</v>
      </c>
      <c r="C21" s="899" t="s">
        <v>724</v>
      </c>
      <c r="D21" s="899">
        <f t="shared" si="2"/>
        <v>0</v>
      </c>
      <c r="E21" s="899">
        <f t="shared" si="2"/>
        <v>0</v>
      </c>
      <c r="F21" s="899">
        <f t="shared" si="2"/>
        <v>0</v>
      </c>
      <c r="G21" s="897">
        <f>'1_INFO_C'!G21</f>
        <v>0</v>
      </c>
      <c r="H21" s="897">
        <f>'1_INFO_C'!H21</f>
        <v>0</v>
      </c>
      <c r="I21" s="897">
        <f>'1_INFO_C'!I21</f>
        <v>0</v>
      </c>
      <c r="J21" s="894">
        <f>'1_INFO_C'!J21</f>
        <v>0</v>
      </c>
      <c r="K21" s="894">
        <f>'1_INFO_C'!K21</f>
        <v>0</v>
      </c>
      <c r="L21" s="894">
        <f>'1_INFO_C'!L21</f>
        <v>0</v>
      </c>
      <c r="M21" s="980"/>
      <c r="N21" s="980"/>
      <c r="O21" s="980"/>
    </row>
    <row r="22" spans="1:15">
      <c r="A22" s="899" t="s">
        <v>725</v>
      </c>
      <c r="B22" s="899">
        <v>60321</v>
      </c>
      <c r="C22" s="899" t="s">
        <v>726</v>
      </c>
      <c r="D22" s="977">
        <f>IF(CAB=65,M22,IF(CHOIX=1,G22,J22))</f>
        <v>-809</v>
      </c>
      <c r="E22" s="977">
        <f>IF(CAB=65,N22,IF(CHOIX=1,H22,K22))</f>
        <v>-77</v>
      </c>
      <c r="F22" s="899">
        <f t="shared" si="2"/>
        <v>829</v>
      </c>
      <c r="G22" s="897">
        <f>'1_INFO_C'!G22</f>
        <v>-809</v>
      </c>
      <c r="H22" s="897">
        <f>'1_INFO_C'!H22</f>
        <v>-77</v>
      </c>
      <c r="I22" s="897">
        <f>'1_INFO_C'!I22</f>
        <v>0</v>
      </c>
      <c r="J22" s="894">
        <f>'1_INFO_C'!J22</f>
        <v>-809</v>
      </c>
      <c r="K22" s="894">
        <f>'1_INFO_C'!K22</f>
        <v>-77</v>
      </c>
      <c r="L22" s="894">
        <f>'1_INFO_C'!L22</f>
        <v>829</v>
      </c>
      <c r="M22" s="980">
        <f>-'1_INFO_C'!D64+'1_INFO_C'!B64</f>
        <v>-808.8</v>
      </c>
      <c r="N22" s="980">
        <f>'1_INFO_C'!C64-'1_INFO_C'!B64</f>
        <v>-77.200000000000045</v>
      </c>
      <c r="O22" s="980"/>
    </row>
    <row r="23" spans="1:15">
      <c r="A23" s="899" t="s">
        <v>727</v>
      </c>
      <c r="B23" s="899">
        <v>606</v>
      </c>
      <c r="C23" s="899" t="s">
        <v>728</v>
      </c>
      <c r="D23" s="899">
        <f t="shared" si="2"/>
        <v>7501</v>
      </c>
      <c r="E23" s="899">
        <f t="shared" si="2"/>
        <v>6994</v>
      </c>
      <c r="F23" s="899">
        <f t="shared" si="2"/>
        <v>8838</v>
      </c>
      <c r="G23" s="897">
        <f>'1_INFO_C'!G23</f>
        <v>7501</v>
      </c>
      <c r="H23" s="897">
        <f>'1_INFO_C'!H23</f>
        <v>6994</v>
      </c>
      <c r="I23" s="897">
        <f>'1_INFO_C'!I23</f>
        <v>0</v>
      </c>
      <c r="J23" s="894">
        <f>'1_INFO_C'!J23</f>
        <v>7501</v>
      </c>
      <c r="K23" s="894">
        <f>'1_INFO_C'!K23</f>
        <v>6994</v>
      </c>
      <c r="L23" s="894">
        <f>'1_INFO_C'!L23</f>
        <v>8838</v>
      </c>
      <c r="M23" s="980"/>
      <c r="N23" s="980"/>
      <c r="O23" s="980"/>
    </row>
    <row r="24" spans="1:15">
      <c r="A24" s="899" t="s">
        <v>729</v>
      </c>
      <c r="B24" s="899">
        <v>616</v>
      </c>
      <c r="C24" s="899" t="s">
        <v>730</v>
      </c>
      <c r="D24" s="899">
        <f t="shared" si="2"/>
        <v>9586</v>
      </c>
      <c r="E24" s="899">
        <f t="shared" si="2"/>
        <v>8720</v>
      </c>
      <c r="F24" s="899">
        <f t="shared" si="2"/>
        <v>8759</v>
      </c>
      <c r="G24" s="897">
        <f>'1_INFO_C'!G24</f>
        <v>9586</v>
      </c>
      <c r="H24" s="897">
        <f>'1_INFO_C'!H24</f>
        <v>8720</v>
      </c>
      <c r="I24" s="897">
        <f>'1_INFO_C'!I24</f>
        <v>0</v>
      </c>
      <c r="J24" s="894">
        <f>'1_INFO_C'!J24</f>
        <v>9586</v>
      </c>
      <c r="K24" s="894">
        <f>'1_INFO_C'!K24</f>
        <v>8720</v>
      </c>
      <c r="L24" s="894">
        <f>'1_INFO_C'!L24</f>
        <v>8759</v>
      </c>
      <c r="M24" s="980"/>
      <c r="N24" s="980"/>
      <c r="O24" s="980"/>
    </row>
    <row r="25" spans="1:15">
      <c r="A25" s="899" t="s">
        <v>731</v>
      </c>
      <c r="B25" s="899">
        <v>615</v>
      </c>
      <c r="C25" s="899" t="s">
        <v>732</v>
      </c>
      <c r="D25" s="899">
        <f t="shared" si="2"/>
        <v>15543.11</v>
      </c>
      <c r="E25" s="899">
        <f t="shared" si="2"/>
        <v>15556.92</v>
      </c>
      <c r="F25" s="899">
        <f t="shared" si="2"/>
        <v>6641.16</v>
      </c>
      <c r="G25" s="897">
        <f>'1_INFO_C'!G25</f>
        <v>15543.11</v>
      </c>
      <c r="H25" s="897">
        <f>'1_INFO_C'!H25</f>
        <v>15556.92</v>
      </c>
      <c r="I25" s="897">
        <f>'1_INFO_C'!I25</f>
        <v>0</v>
      </c>
      <c r="J25" s="894">
        <f>'1_INFO_C'!J25</f>
        <v>15543.11</v>
      </c>
      <c r="K25" s="894">
        <f>'1_INFO_C'!K25</f>
        <v>15556.92</v>
      </c>
      <c r="L25" s="894">
        <f>'1_INFO_C'!L25</f>
        <v>6641.16</v>
      </c>
      <c r="M25" s="980"/>
      <c r="N25" s="980"/>
      <c r="O25" s="980"/>
    </row>
    <row r="26" spans="1:15">
      <c r="A26" s="899" t="s">
        <v>733</v>
      </c>
      <c r="B26" s="899">
        <v>6155</v>
      </c>
      <c r="C26" s="899" t="s">
        <v>734</v>
      </c>
      <c r="D26" s="899">
        <f t="shared" si="2"/>
        <v>9105.86</v>
      </c>
      <c r="E26" s="899">
        <f t="shared" si="2"/>
        <v>13540.55</v>
      </c>
      <c r="F26" s="899">
        <f t="shared" si="2"/>
        <v>3495.6</v>
      </c>
      <c r="G26" s="897">
        <f>'1_INFO_C'!G26</f>
        <v>9105.86</v>
      </c>
      <c r="H26" s="897">
        <f>'1_INFO_C'!H26</f>
        <v>13540.55</v>
      </c>
      <c r="I26" s="897">
        <f>'1_INFO_C'!I26</f>
        <v>0</v>
      </c>
      <c r="J26" s="894">
        <f>'1_INFO_C'!J26</f>
        <v>9105.86</v>
      </c>
      <c r="K26" s="894">
        <f>'1_INFO_C'!K26</f>
        <v>13540.55</v>
      </c>
      <c r="L26" s="894">
        <f>'1_INFO_C'!L26</f>
        <v>3495.6</v>
      </c>
      <c r="M26" s="980"/>
      <c r="N26" s="980"/>
      <c r="O26" s="980"/>
    </row>
    <row r="27" spans="1:15">
      <c r="A27" s="899" t="s">
        <v>738</v>
      </c>
      <c r="B27" s="899" t="s">
        <v>746</v>
      </c>
      <c r="C27" s="899" t="s">
        <v>739</v>
      </c>
      <c r="D27" s="899">
        <f t="shared" si="2"/>
        <v>36027.480000000003</v>
      </c>
      <c r="E27" s="899">
        <f t="shared" si="2"/>
        <v>39443.769999999997</v>
      </c>
      <c r="F27" s="899">
        <f t="shared" si="2"/>
        <v>41756.620000000003</v>
      </c>
      <c r="G27" s="897">
        <f>'1_INFO_C'!G27</f>
        <v>36027.480000000003</v>
      </c>
      <c r="H27" s="897">
        <f>'1_INFO_C'!H27</f>
        <v>0</v>
      </c>
      <c r="I27" s="897">
        <f>'1_INFO_C'!I27</f>
        <v>0</v>
      </c>
      <c r="J27" s="894">
        <f>'1_INFO_C'!J27</f>
        <v>36027.480000000003</v>
      </c>
      <c r="K27" s="894">
        <f>'1_INFO_C'!K27</f>
        <v>39443.769999999997</v>
      </c>
      <c r="L27" s="894">
        <f>'1_INFO_C'!L27</f>
        <v>41756.620000000003</v>
      </c>
      <c r="M27" s="980"/>
      <c r="N27" s="980"/>
      <c r="O27" s="980"/>
    </row>
    <row r="28" spans="1:15">
      <c r="A28" s="860"/>
      <c r="B28" s="860"/>
      <c r="C28" s="860"/>
      <c r="D28" s="860"/>
      <c r="E28" s="860"/>
      <c r="F28" s="860"/>
    </row>
    <row r="29" spans="1:15" s="977" customFormat="1">
      <c r="A29" s="860"/>
      <c r="B29" s="860"/>
      <c r="C29" s="860"/>
      <c r="D29" s="860"/>
      <c r="E29" s="860"/>
      <c r="F29" s="860"/>
      <c r="G29" s="1037" t="s">
        <v>1061</v>
      </c>
      <c r="H29" s="1038"/>
      <c r="I29" s="1038"/>
      <c r="J29" s="1039" t="s">
        <v>1062</v>
      </c>
      <c r="K29" s="1040"/>
      <c r="L29" s="1040"/>
    </row>
    <row r="30" spans="1:15">
      <c r="A30" s="860"/>
      <c r="B30" s="860"/>
      <c r="C30" s="860"/>
      <c r="D30" s="982" t="s">
        <v>579</v>
      </c>
      <c r="E30" s="982" t="s">
        <v>580</v>
      </c>
      <c r="F30" s="860"/>
      <c r="G30" s="988" t="s">
        <v>579</v>
      </c>
      <c r="H30" s="988" t="s">
        <v>580</v>
      </c>
      <c r="I30" s="989"/>
      <c r="J30" s="990" t="s">
        <v>579</v>
      </c>
      <c r="K30" s="990" t="s">
        <v>580</v>
      </c>
      <c r="L30" s="991"/>
    </row>
    <row r="31" spans="1:15">
      <c r="A31" s="984" t="s">
        <v>1058</v>
      </c>
      <c r="B31" s="3"/>
      <c r="C31" s="985"/>
      <c r="D31" s="978">
        <f>IF(PAS_MONTANT_BAL=1,J31,G31)</f>
        <v>181.54</v>
      </c>
      <c r="E31" s="978">
        <f>IF(PAS_MONTANT_BAL=1,K31,H31)</f>
        <v>60108.95</v>
      </c>
      <c r="G31" s="989">
        <f>'1_INFO_C'!D44</f>
        <v>181.54</v>
      </c>
      <c r="H31" s="989">
        <f>'1_INFO_C'!E44</f>
        <v>60108.95</v>
      </c>
      <c r="I31" s="989"/>
      <c r="J31" s="991">
        <f>'1_INFO_C'!D44-'1_INFO_C'!E44+DONNEES_LIASSE_RN!D404</f>
        <v>-59927.409999999996</v>
      </c>
      <c r="K31" s="991">
        <f>'1_INFO_C'!E44-'1_INFO_C'!F44+DONNEES_LIASSE_RN!E404</f>
        <v>119791.87</v>
      </c>
      <c r="L31" s="991"/>
    </row>
    <row r="32" spans="1:15">
      <c r="A32" s="986" t="s">
        <v>1059</v>
      </c>
      <c r="B32" s="987"/>
      <c r="C32" s="983"/>
      <c r="D32" s="978">
        <f>IF(PAS_MONTANT_BAL=1,J32,G32)</f>
        <v>0</v>
      </c>
      <c r="E32" s="978">
        <f>IF(PAS_MONTANT_BAL=1,K32,H32)</f>
        <v>0</v>
      </c>
      <c r="F32" s="860"/>
      <c r="G32" s="989">
        <f>'1_INFO_C'!D43</f>
        <v>0</v>
      </c>
      <c r="H32" s="989">
        <f>'1_INFO_C'!E43</f>
        <v>0</v>
      </c>
      <c r="I32" s="989"/>
      <c r="J32" s="991">
        <f>DONNEES_LIASSE_RN!D320-DONNEES_LIASSE_RN!E320+'1_INFO_C'!D51</f>
        <v>0</v>
      </c>
      <c r="K32" s="991">
        <f>DONNEES_LIASSE_RN!E320-DONNEES_LIASSE_RN!F320+'1_INFO_C'!E51</f>
        <v>0</v>
      </c>
      <c r="L32" s="991"/>
    </row>
    <row r="39" spans="1:6">
      <c r="A39" s="860"/>
      <c r="B39" s="860"/>
      <c r="C39" s="860"/>
      <c r="D39" s="860"/>
      <c r="E39" s="860"/>
      <c r="F39" s="860"/>
    </row>
    <row r="50" spans="1:6">
      <c r="E50" s="860"/>
      <c r="F50" s="860"/>
    </row>
    <row r="51" spans="1:6">
      <c r="E51" s="860"/>
      <c r="F51" s="860"/>
    </row>
    <row r="52" spans="1:6">
      <c r="E52" s="860"/>
      <c r="F52" s="860"/>
    </row>
    <row r="53" spans="1:6">
      <c r="A53" s="860"/>
      <c r="B53" s="860"/>
      <c r="C53" s="860"/>
      <c r="D53" s="860"/>
      <c r="E53" s="860"/>
      <c r="F53" s="860"/>
    </row>
    <row r="54" spans="1:6">
      <c r="A54" s="860"/>
      <c r="B54" s="860"/>
      <c r="C54" s="860"/>
      <c r="D54" s="860"/>
      <c r="E54" s="860"/>
      <c r="F54" s="860"/>
    </row>
    <row r="55" spans="1:6">
      <c r="A55" s="892"/>
    </row>
    <row r="56" spans="1:6">
      <c r="A56" s="860"/>
      <c r="B56" s="860"/>
      <c r="C56" s="860"/>
      <c r="D56" s="860"/>
      <c r="E56" s="860"/>
      <c r="F56" s="860"/>
    </row>
    <row r="57" spans="1:6">
      <c r="A57" s="860"/>
      <c r="B57" s="860"/>
      <c r="C57" s="860"/>
      <c r="D57" s="860"/>
      <c r="E57" s="860"/>
      <c r="F57" s="860"/>
    </row>
    <row r="60" spans="1:6">
      <c r="A60" s="860"/>
      <c r="B60" s="860"/>
      <c r="C60" s="860"/>
      <c r="D60" s="860"/>
      <c r="E60" s="860"/>
      <c r="F60" s="860"/>
    </row>
    <row r="61" spans="1:6">
      <c r="A61" s="860"/>
      <c r="B61" s="860"/>
      <c r="C61" s="860"/>
      <c r="D61" s="860"/>
      <c r="E61" s="860"/>
      <c r="F61" s="860"/>
    </row>
    <row r="71" spans="1:6">
      <c r="A71" s="860"/>
      <c r="B71" s="860"/>
      <c r="C71" s="860"/>
      <c r="D71" s="860"/>
      <c r="E71" s="860"/>
      <c r="F71" s="860"/>
    </row>
    <row r="72" spans="1:6">
      <c r="A72" s="860"/>
      <c r="B72" s="860"/>
      <c r="C72" s="860"/>
      <c r="D72" s="860"/>
      <c r="E72" s="860"/>
      <c r="F72" s="860"/>
    </row>
    <row r="77" spans="1:6">
      <c r="A77" s="860"/>
      <c r="B77" s="860"/>
      <c r="C77" s="860"/>
      <c r="D77" s="860"/>
      <c r="E77" s="860"/>
      <c r="F77" s="860"/>
    </row>
    <row r="78" spans="1:6">
      <c r="A78" s="860"/>
      <c r="B78" s="860"/>
      <c r="C78" s="860"/>
      <c r="D78" s="860"/>
      <c r="E78" s="860"/>
      <c r="F78" s="860"/>
    </row>
    <row r="79" spans="1:6">
      <c r="A79" s="860"/>
      <c r="B79" s="860"/>
      <c r="C79" s="860"/>
      <c r="D79" s="860"/>
      <c r="E79" s="860"/>
      <c r="F79" s="860"/>
    </row>
    <row r="80" spans="1:6">
      <c r="A80" s="860"/>
      <c r="B80" s="860"/>
      <c r="C80" s="860"/>
      <c r="D80" s="860"/>
      <c r="E80" s="860"/>
      <c r="F80" s="860"/>
    </row>
    <row r="81" spans="1:6">
      <c r="A81" s="860"/>
      <c r="B81" s="860"/>
      <c r="C81" s="860"/>
      <c r="D81" s="860"/>
      <c r="E81" s="860"/>
      <c r="F81" s="860"/>
    </row>
    <row r="82" spans="1:6">
      <c r="A82" s="860"/>
      <c r="B82" s="860"/>
      <c r="C82" s="860"/>
      <c r="D82" s="860"/>
      <c r="E82" s="860"/>
      <c r="F82" s="860"/>
    </row>
    <row r="83" spans="1:6">
      <c r="A83" s="860"/>
      <c r="B83" s="860"/>
      <c r="C83" s="860"/>
      <c r="D83" s="860"/>
      <c r="E83" s="860"/>
      <c r="F83" s="860"/>
    </row>
    <row r="84" spans="1:6">
      <c r="A84" s="860"/>
      <c r="B84" s="860"/>
      <c r="C84" s="860"/>
      <c r="D84" s="860"/>
      <c r="E84" s="860"/>
      <c r="F84" s="860"/>
    </row>
    <row r="85" spans="1:6">
      <c r="A85" s="860"/>
      <c r="B85" s="860"/>
      <c r="C85" s="860"/>
      <c r="D85" s="860"/>
      <c r="E85" s="860"/>
      <c r="F85" s="860"/>
    </row>
    <row r="86" spans="1:6">
      <c r="A86" s="860"/>
      <c r="B86" s="860"/>
      <c r="C86" s="860"/>
      <c r="D86" s="860"/>
      <c r="E86" s="860"/>
      <c r="F86" s="860"/>
    </row>
    <row r="87" spans="1:6">
      <c r="A87" s="860"/>
      <c r="B87" s="860"/>
      <c r="C87" s="860"/>
      <c r="D87" s="860"/>
      <c r="E87" s="860"/>
      <c r="F87" s="860"/>
    </row>
    <row r="103" spans="1:6">
      <c r="A103" s="860"/>
      <c r="B103" s="860"/>
      <c r="C103" s="860"/>
      <c r="D103" s="860"/>
      <c r="E103" s="860"/>
      <c r="F103" s="860"/>
    </row>
    <row r="106" spans="1:6">
      <c r="A106" s="860"/>
      <c r="B106" s="860"/>
      <c r="C106" s="860"/>
      <c r="D106" s="860"/>
      <c r="E106" s="860"/>
      <c r="F106" s="860"/>
    </row>
    <row r="107" spans="1:6">
      <c r="A107" s="860"/>
      <c r="B107" s="860"/>
      <c r="C107" s="860"/>
      <c r="D107" s="860"/>
      <c r="E107" s="860"/>
      <c r="F107" s="860"/>
    </row>
    <row r="108" spans="1:6">
      <c r="A108" s="860"/>
      <c r="B108" s="860"/>
      <c r="C108" s="860"/>
      <c r="D108" s="860"/>
      <c r="E108" s="860"/>
      <c r="F108" s="860"/>
    </row>
    <row r="109" spans="1:6">
      <c r="A109" s="860"/>
      <c r="B109" s="860"/>
      <c r="C109" s="860"/>
      <c r="D109" s="860"/>
      <c r="E109" s="860"/>
      <c r="F109" s="860"/>
    </row>
    <row r="110" spans="1:6">
      <c r="A110" s="860"/>
      <c r="B110" s="860"/>
      <c r="C110" s="860"/>
      <c r="D110" s="860"/>
      <c r="E110" s="860"/>
      <c r="F110" s="860"/>
    </row>
    <row r="111" spans="1:6">
      <c r="A111" s="860"/>
      <c r="B111" s="860"/>
      <c r="C111" s="860"/>
      <c r="D111" s="860"/>
      <c r="E111" s="860"/>
      <c r="F111" s="860"/>
    </row>
    <row r="116" spans="1:6">
      <c r="A116" s="860"/>
      <c r="B116" s="860"/>
      <c r="C116" s="860"/>
      <c r="D116" s="860"/>
      <c r="E116" s="860"/>
      <c r="F116" s="860"/>
    </row>
    <row r="117" spans="1:6">
      <c r="A117" s="860"/>
      <c r="B117" s="860"/>
      <c r="C117" s="860"/>
      <c r="D117" s="860"/>
      <c r="E117" s="860"/>
      <c r="F117" s="860"/>
    </row>
    <row r="122" spans="1:6">
      <c r="A122" s="860"/>
      <c r="B122" s="860"/>
      <c r="C122" s="860"/>
      <c r="D122" s="860"/>
      <c r="E122" s="860"/>
      <c r="F122" s="860"/>
    </row>
    <row r="123" spans="1:6">
      <c r="A123" s="860"/>
      <c r="B123" s="860"/>
      <c r="C123" s="860"/>
      <c r="D123" s="860"/>
      <c r="E123" s="860"/>
      <c r="F123" s="860"/>
    </row>
    <row r="126" spans="1:6">
      <c r="A126" s="860"/>
      <c r="B126" s="860"/>
      <c r="C126" s="860"/>
      <c r="D126" s="860"/>
      <c r="E126" s="860"/>
      <c r="F126" s="860"/>
    </row>
  </sheetData>
  <mergeCells count="6">
    <mergeCell ref="D5:F5"/>
    <mergeCell ref="G5:I5"/>
    <mergeCell ref="J5:L5"/>
    <mergeCell ref="M5:O5"/>
    <mergeCell ref="G29:I29"/>
    <mergeCell ref="J29:L29"/>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1">
    <tabColor theme="5" tint="0.39997558519241921"/>
  </sheetPr>
  <dimension ref="A5:L64"/>
  <sheetViews>
    <sheetView topLeftCell="A31" workbookViewId="0">
      <selection activeCell="D43" sqref="D43"/>
    </sheetView>
  </sheetViews>
  <sheetFormatPr baseColWidth="10" defaultRowHeight="12.75"/>
  <cols>
    <col min="1" max="1" width="28.7109375" customWidth="1"/>
    <col min="2" max="2" width="16" customWidth="1"/>
    <col min="3" max="3" width="20.140625" bestFit="1" customWidth="1"/>
    <col min="4" max="4" width="12.42578125" bestFit="1" customWidth="1"/>
    <col min="5" max="5" width="20.42578125" bestFit="1" customWidth="1"/>
  </cols>
  <sheetData>
    <row r="5" spans="1:12">
      <c r="H5" s="977" t="s">
        <v>942</v>
      </c>
      <c r="K5" s="977" t="s">
        <v>1067</v>
      </c>
    </row>
    <row r="6" spans="1:12">
      <c r="A6" s="977" t="s">
        <v>576</v>
      </c>
      <c r="B6" s="977" t="s">
        <v>699</v>
      </c>
      <c r="C6" s="977" t="s">
        <v>700</v>
      </c>
      <c r="D6" s="977" t="s">
        <v>579</v>
      </c>
      <c r="E6" s="977" t="s">
        <v>580</v>
      </c>
      <c r="F6" s="977" t="s">
        <v>581</v>
      </c>
      <c r="G6" s="977" t="s">
        <v>579</v>
      </c>
      <c r="H6" s="977" t="s">
        <v>580</v>
      </c>
      <c r="I6" s="977" t="s">
        <v>581</v>
      </c>
      <c r="J6" s="977" t="s">
        <v>579</v>
      </c>
      <c r="K6" s="977" t="s">
        <v>580</v>
      </c>
      <c r="L6" s="977" t="s">
        <v>581</v>
      </c>
    </row>
    <row r="10" spans="1:12">
      <c r="A10" s="977" t="s">
        <v>701</v>
      </c>
      <c r="B10" s="977" t="s">
        <v>702</v>
      </c>
      <c r="C10" s="977" t="s">
        <v>703</v>
      </c>
      <c r="J10">
        <v>142.25</v>
      </c>
      <c r="K10">
        <v>138.22</v>
      </c>
      <c r="L10">
        <v>143.86000000000001</v>
      </c>
    </row>
    <row r="11" spans="1:12">
      <c r="A11" s="977" t="s">
        <v>704</v>
      </c>
      <c r="B11" s="977" t="s">
        <v>702</v>
      </c>
      <c r="C11" s="977" t="s">
        <v>705</v>
      </c>
    </row>
    <row r="12" spans="1:12">
      <c r="A12" s="977" t="s">
        <v>706</v>
      </c>
      <c r="B12" s="977" t="s">
        <v>707</v>
      </c>
      <c r="C12" s="977" t="s">
        <v>708</v>
      </c>
      <c r="G12">
        <v>144</v>
      </c>
      <c r="H12">
        <v>143.86000000000001</v>
      </c>
      <c r="J12">
        <v>1.75</v>
      </c>
      <c r="K12">
        <v>5.64</v>
      </c>
    </row>
    <row r="13" spans="1:12">
      <c r="A13" s="977" t="s">
        <v>709</v>
      </c>
      <c r="B13" s="977" t="s">
        <v>710</v>
      </c>
      <c r="C13" s="977" t="s">
        <v>711</v>
      </c>
      <c r="G13">
        <v>144</v>
      </c>
      <c r="H13">
        <v>143.86000000000001</v>
      </c>
      <c r="J13">
        <v>144</v>
      </c>
      <c r="K13">
        <v>143.86000000000001</v>
      </c>
      <c r="L13">
        <v>143.86000000000001</v>
      </c>
    </row>
    <row r="16" spans="1:12">
      <c r="A16" s="977" t="s">
        <v>712</v>
      </c>
      <c r="B16">
        <v>60311</v>
      </c>
      <c r="C16" s="977" t="s">
        <v>713</v>
      </c>
      <c r="G16">
        <v>1783</v>
      </c>
      <c r="H16">
        <v>567</v>
      </c>
      <c r="J16">
        <v>1783</v>
      </c>
      <c r="K16">
        <v>567</v>
      </c>
      <c r="L16">
        <v>-2350</v>
      </c>
    </row>
    <row r="17" spans="1:12">
      <c r="A17" s="977" t="s">
        <v>714</v>
      </c>
      <c r="B17">
        <v>60313</v>
      </c>
      <c r="C17" s="977" t="s">
        <v>715</v>
      </c>
    </row>
    <row r="18" spans="1:12">
      <c r="A18" s="977" t="s">
        <v>716</v>
      </c>
      <c r="B18">
        <v>60312</v>
      </c>
      <c r="C18" s="977" t="s">
        <v>717</v>
      </c>
    </row>
    <row r="19" spans="1:12">
      <c r="A19" s="977" t="s">
        <v>718</v>
      </c>
      <c r="B19">
        <v>60314</v>
      </c>
      <c r="C19" s="977" t="s">
        <v>719</v>
      </c>
    </row>
    <row r="20" spans="1:12">
      <c r="A20" s="977" t="s">
        <v>720</v>
      </c>
      <c r="B20" s="977" t="s">
        <v>721</v>
      </c>
      <c r="C20" s="977" t="s">
        <v>722</v>
      </c>
    </row>
    <row r="21" spans="1:12">
      <c r="A21" s="977" t="s">
        <v>723</v>
      </c>
      <c r="B21" s="977" t="s">
        <v>721</v>
      </c>
      <c r="C21" s="977" t="s">
        <v>724</v>
      </c>
    </row>
    <row r="22" spans="1:12">
      <c r="A22" s="977" t="s">
        <v>725</v>
      </c>
      <c r="B22">
        <v>60321</v>
      </c>
      <c r="C22" s="977" t="s">
        <v>726</v>
      </c>
      <c r="G22">
        <v>-809</v>
      </c>
      <c r="H22">
        <v>-77</v>
      </c>
      <c r="J22">
        <v>-809</v>
      </c>
      <c r="K22">
        <v>-77</v>
      </c>
      <c r="L22">
        <v>829</v>
      </c>
    </row>
    <row r="23" spans="1:12">
      <c r="A23" s="977" t="s">
        <v>727</v>
      </c>
      <c r="B23">
        <v>606</v>
      </c>
      <c r="C23" s="977" t="s">
        <v>728</v>
      </c>
      <c r="G23">
        <v>7501</v>
      </c>
      <c r="H23">
        <v>6994</v>
      </c>
      <c r="J23">
        <v>7501</v>
      </c>
      <c r="K23">
        <v>6994</v>
      </c>
      <c r="L23">
        <v>8838</v>
      </c>
    </row>
    <row r="24" spans="1:12">
      <c r="A24" s="977" t="s">
        <v>729</v>
      </c>
      <c r="B24">
        <v>616</v>
      </c>
      <c r="C24" s="977" t="s">
        <v>730</v>
      </c>
      <c r="G24">
        <v>9586</v>
      </c>
      <c r="H24">
        <v>8720</v>
      </c>
      <c r="J24">
        <v>9586</v>
      </c>
      <c r="K24">
        <v>8720</v>
      </c>
      <c r="L24">
        <v>8759</v>
      </c>
    </row>
    <row r="25" spans="1:12">
      <c r="A25" s="977" t="s">
        <v>731</v>
      </c>
      <c r="B25">
        <v>615</v>
      </c>
      <c r="C25" s="977" t="s">
        <v>732</v>
      </c>
      <c r="G25">
        <v>15543.11</v>
      </c>
      <c r="H25">
        <v>15556.92</v>
      </c>
      <c r="J25">
        <v>15543.11</v>
      </c>
      <c r="K25">
        <v>15556.92</v>
      </c>
      <c r="L25">
        <v>6641.16</v>
      </c>
    </row>
    <row r="26" spans="1:12">
      <c r="A26" s="977" t="s">
        <v>733</v>
      </c>
      <c r="B26">
        <v>6155</v>
      </c>
      <c r="C26" s="977" t="s">
        <v>734</v>
      </c>
      <c r="G26">
        <v>9105.86</v>
      </c>
      <c r="H26">
        <v>13540.55</v>
      </c>
      <c r="J26">
        <v>9105.86</v>
      </c>
      <c r="K26">
        <v>13540.55</v>
      </c>
      <c r="L26">
        <v>3495.6</v>
      </c>
    </row>
    <row r="27" spans="1:12">
      <c r="A27" s="977" t="s">
        <v>738</v>
      </c>
      <c r="B27" s="977" t="s">
        <v>746</v>
      </c>
      <c r="C27" s="977" t="s">
        <v>739</v>
      </c>
      <c r="G27">
        <v>36027.480000000003</v>
      </c>
      <c r="J27">
        <v>36027.480000000003</v>
      </c>
      <c r="K27">
        <v>39443.769999999997</v>
      </c>
      <c r="L27">
        <v>41756.620000000003</v>
      </c>
    </row>
    <row r="40" spans="1:7">
      <c r="A40" s="977" t="s">
        <v>576</v>
      </c>
      <c r="B40" s="977" t="s">
        <v>699</v>
      </c>
      <c r="C40" s="977" t="s">
        <v>700</v>
      </c>
      <c r="D40" s="977" t="s">
        <v>579</v>
      </c>
      <c r="E40" s="977" t="s">
        <v>580</v>
      </c>
      <c r="F40" s="977" t="s">
        <v>581</v>
      </c>
    </row>
    <row r="41" spans="1:7">
      <c r="A41" s="977" t="s">
        <v>873</v>
      </c>
      <c r="B41" s="977" t="s">
        <v>874</v>
      </c>
      <c r="C41" s="977" t="s">
        <v>873</v>
      </c>
    </row>
    <row r="42" spans="1:7">
      <c r="A42" s="977" t="s">
        <v>875</v>
      </c>
      <c r="B42" s="977" t="s">
        <v>874</v>
      </c>
      <c r="C42" s="977" t="s">
        <v>875</v>
      </c>
    </row>
    <row r="43" spans="1:7">
      <c r="A43" s="977" t="s">
        <v>876</v>
      </c>
      <c r="B43" s="977" t="s">
        <v>874</v>
      </c>
      <c r="C43" s="977" t="s">
        <v>876</v>
      </c>
    </row>
    <row r="44" spans="1:7">
      <c r="A44" s="977" t="s">
        <v>877</v>
      </c>
      <c r="B44" s="977" t="s">
        <v>874</v>
      </c>
      <c r="C44" s="977" t="s">
        <v>877</v>
      </c>
      <c r="D44">
        <v>181.54</v>
      </c>
      <c r="E44">
        <v>60108.95</v>
      </c>
      <c r="F44">
        <v>317.08</v>
      </c>
      <c r="G44">
        <v>661.03</v>
      </c>
    </row>
    <row r="45" spans="1:7">
      <c r="A45" s="977" t="s">
        <v>878</v>
      </c>
      <c r="B45" s="977" t="s">
        <v>874</v>
      </c>
      <c r="C45" s="977" t="s">
        <v>878</v>
      </c>
      <c r="D45">
        <v>91782.25</v>
      </c>
      <c r="E45">
        <v>118011.86</v>
      </c>
      <c r="F45">
        <v>79078.720000000001</v>
      </c>
      <c r="G45">
        <v>108136.51</v>
      </c>
    </row>
    <row r="46" spans="1:7">
      <c r="A46" s="977" t="s">
        <v>1068</v>
      </c>
      <c r="B46" s="977" t="s">
        <v>874</v>
      </c>
      <c r="C46" s="977" t="s">
        <v>879</v>
      </c>
      <c r="D46">
        <v>203.47</v>
      </c>
      <c r="E46">
        <v>116.35</v>
      </c>
      <c r="F46">
        <v>263.98</v>
      </c>
      <c r="G46">
        <v>142.53</v>
      </c>
    </row>
    <row r="47" spans="1:7">
      <c r="A47" s="977" t="s">
        <v>880</v>
      </c>
      <c r="B47" s="977" t="s">
        <v>874</v>
      </c>
      <c r="C47" s="977" t="s">
        <v>881</v>
      </c>
      <c r="D47">
        <v>1079.23</v>
      </c>
      <c r="E47">
        <v>839.84</v>
      </c>
      <c r="F47">
        <v>966.19</v>
      </c>
      <c r="G47">
        <v>1403.1</v>
      </c>
    </row>
    <row r="48" spans="1:7">
      <c r="A48" s="977" t="s">
        <v>882</v>
      </c>
      <c r="B48" s="977" t="s">
        <v>874</v>
      </c>
      <c r="C48" s="977" t="s">
        <v>882</v>
      </c>
      <c r="D48">
        <v>1079.23</v>
      </c>
      <c r="E48">
        <v>839.84</v>
      </c>
      <c r="F48">
        <v>966.19</v>
      </c>
      <c r="G48">
        <v>1403.1</v>
      </c>
    </row>
    <row r="49" spans="1:7">
      <c r="A49" s="977" t="s">
        <v>883</v>
      </c>
      <c r="B49" s="977" t="s">
        <v>874</v>
      </c>
      <c r="C49" s="977" t="s">
        <v>883</v>
      </c>
      <c r="D49">
        <v>31345.59</v>
      </c>
      <c r="E49">
        <v>25017.93</v>
      </c>
      <c r="F49">
        <v>43682.95</v>
      </c>
      <c r="G49">
        <v>23187.599999999999</v>
      </c>
    </row>
    <row r="50" spans="1:7">
      <c r="A50" s="977" t="s">
        <v>884</v>
      </c>
      <c r="B50" s="977" t="s">
        <v>874</v>
      </c>
      <c r="C50" s="977" t="s">
        <v>884</v>
      </c>
      <c r="D50">
        <v>40000</v>
      </c>
      <c r="F50">
        <v>55000</v>
      </c>
      <c r="G50">
        <v>40000</v>
      </c>
    </row>
    <row r="51" spans="1:7">
      <c r="A51" s="977" t="s">
        <v>885</v>
      </c>
      <c r="B51" s="977" t="s">
        <v>874</v>
      </c>
      <c r="C51" s="977" t="s">
        <v>885</v>
      </c>
    </row>
    <row r="52" spans="1:7">
      <c r="A52" s="977" t="s">
        <v>1069</v>
      </c>
      <c r="B52" s="977" t="s">
        <v>874</v>
      </c>
      <c r="C52" s="977" t="s">
        <v>1069</v>
      </c>
    </row>
    <row r="60" spans="1:7">
      <c r="A60" s="977" t="s">
        <v>1047</v>
      </c>
      <c r="B60" s="977" t="s">
        <v>1048</v>
      </c>
      <c r="C60" s="977" t="s">
        <v>1054</v>
      </c>
      <c r="D60" s="977" t="s">
        <v>1049</v>
      </c>
      <c r="E60" s="977" t="s">
        <v>1050</v>
      </c>
    </row>
    <row r="61" spans="1:7">
      <c r="A61" s="977" t="s">
        <v>660</v>
      </c>
      <c r="B61">
        <v>1782.78</v>
      </c>
      <c r="C61">
        <v>2350</v>
      </c>
    </row>
    <row r="62" spans="1:7">
      <c r="A62" s="977" t="s">
        <v>662</v>
      </c>
    </row>
    <row r="63" spans="1:7">
      <c r="A63" s="977" t="s">
        <v>1051</v>
      </c>
    </row>
    <row r="64" spans="1:7">
      <c r="A64" s="977" t="s">
        <v>1052</v>
      </c>
      <c r="B64">
        <v>571.20000000000005</v>
      </c>
      <c r="C64">
        <v>494</v>
      </c>
      <c r="D64">
        <v>1380</v>
      </c>
    </row>
  </sheetData>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2">
    <tabColor theme="5" tint="0.39997558519241921"/>
  </sheetPr>
  <dimension ref="A5:F405"/>
  <sheetViews>
    <sheetView topLeftCell="A46" workbookViewId="0">
      <selection activeCell="C26" sqref="C26"/>
    </sheetView>
  </sheetViews>
  <sheetFormatPr baseColWidth="10" defaultRowHeight="12.75"/>
  <cols>
    <col min="1" max="1" width="39" customWidth="1"/>
  </cols>
  <sheetData>
    <row r="5" spans="1:6">
      <c r="A5" s="977" t="s">
        <v>575</v>
      </c>
    </row>
    <row r="6" spans="1:6">
      <c r="A6" s="977" t="s">
        <v>576</v>
      </c>
      <c r="B6" s="977" t="s">
        <v>577</v>
      </c>
      <c r="C6" s="977" t="s">
        <v>578</v>
      </c>
      <c r="D6" s="977" t="s">
        <v>579</v>
      </c>
      <c r="E6" s="977" t="s">
        <v>580</v>
      </c>
      <c r="F6" s="977" t="s">
        <v>581</v>
      </c>
    </row>
    <row r="7" spans="1:6">
      <c r="A7" s="977" t="s">
        <v>582</v>
      </c>
      <c r="B7">
        <v>2146</v>
      </c>
      <c r="C7" s="977" t="s">
        <v>583</v>
      </c>
      <c r="D7">
        <v>111666</v>
      </c>
      <c r="E7">
        <v>228392</v>
      </c>
      <c r="F7">
        <v>196436</v>
      </c>
    </row>
    <row r="8" spans="1:6">
      <c r="A8" s="977" t="s">
        <v>584</v>
      </c>
      <c r="B8">
        <v>2146</v>
      </c>
      <c r="C8" s="977" t="s">
        <v>585</v>
      </c>
    </row>
    <row r="9" spans="1:6">
      <c r="A9" s="977" t="s">
        <v>586</v>
      </c>
      <c r="B9">
        <v>2146</v>
      </c>
      <c r="C9" s="977" t="s">
        <v>587</v>
      </c>
    </row>
    <row r="10" spans="1:6">
      <c r="A10" s="977" t="s">
        <v>588</v>
      </c>
      <c r="B10">
        <v>2146</v>
      </c>
      <c r="C10" s="977" t="s">
        <v>589</v>
      </c>
    </row>
    <row r="11" spans="1:6">
      <c r="A11" s="977" t="s">
        <v>590</v>
      </c>
      <c r="B11">
        <v>2146</v>
      </c>
      <c r="C11" s="977" t="s">
        <v>591</v>
      </c>
      <c r="D11">
        <v>18711</v>
      </c>
      <c r="E11">
        <v>-11221</v>
      </c>
      <c r="F11">
        <v>19248</v>
      </c>
    </row>
    <row r="12" spans="1:6">
      <c r="A12" s="977" t="s">
        <v>592</v>
      </c>
      <c r="B12">
        <v>2146</v>
      </c>
      <c r="C12" s="977" t="s">
        <v>593</v>
      </c>
      <c r="D12">
        <v>36027</v>
      </c>
      <c r="E12">
        <v>39444</v>
      </c>
      <c r="F12">
        <v>41757</v>
      </c>
    </row>
    <row r="13" spans="1:6">
      <c r="A13" s="977" t="s">
        <v>594</v>
      </c>
      <c r="B13">
        <v>2146</v>
      </c>
      <c r="C13" s="977" t="s">
        <v>595</v>
      </c>
      <c r="D13">
        <v>7431</v>
      </c>
      <c r="E13">
        <v>6383</v>
      </c>
      <c r="F13">
        <v>961</v>
      </c>
    </row>
    <row r="14" spans="1:6">
      <c r="A14" s="977" t="s">
        <v>596</v>
      </c>
      <c r="B14">
        <v>2146</v>
      </c>
      <c r="C14" s="977" t="s">
        <v>597</v>
      </c>
      <c r="D14">
        <v>178825</v>
      </c>
      <c r="E14">
        <v>272821</v>
      </c>
      <c r="F14">
        <v>263057</v>
      </c>
    </row>
    <row r="15" spans="1:6">
      <c r="A15" s="977" t="s">
        <v>742</v>
      </c>
      <c r="B15">
        <v>2146</v>
      </c>
      <c r="C15" s="977" t="s">
        <v>737</v>
      </c>
      <c r="D15">
        <v>150</v>
      </c>
      <c r="F15">
        <v>502</v>
      </c>
    </row>
    <row r="16" spans="1:6">
      <c r="A16" s="977" t="s">
        <v>598</v>
      </c>
      <c r="B16">
        <v>2146</v>
      </c>
      <c r="C16" s="977" t="s">
        <v>599</v>
      </c>
      <c r="D16">
        <v>98534</v>
      </c>
      <c r="E16">
        <v>91029</v>
      </c>
      <c r="F16">
        <v>104157</v>
      </c>
    </row>
    <row r="17" spans="1:6">
      <c r="A17" s="977" t="s">
        <v>600</v>
      </c>
      <c r="B17">
        <v>2146</v>
      </c>
      <c r="C17" s="977" t="s">
        <v>601</v>
      </c>
      <c r="D17">
        <v>974</v>
      </c>
      <c r="E17">
        <v>490</v>
      </c>
      <c r="F17">
        <v>-1521</v>
      </c>
    </row>
    <row r="18" spans="1:6">
      <c r="A18" s="977" t="s">
        <v>602</v>
      </c>
      <c r="B18">
        <v>2146</v>
      </c>
      <c r="C18" s="977" t="s">
        <v>603</v>
      </c>
    </row>
    <row r="19" spans="1:6">
      <c r="A19" s="977" t="s">
        <v>604</v>
      </c>
      <c r="B19">
        <v>2146</v>
      </c>
      <c r="C19" s="977" t="s">
        <v>605</v>
      </c>
      <c r="D19">
        <v>71744</v>
      </c>
      <c r="E19">
        <v>77772</v>
      </c>
      <c r="F19">
        <v>65664</v>
      </c>
    </row>
    <row r="20" spans="1:6">
      <c r="A20" s="977" t="s">
        <v>606</v>
      </c>
      <c r="B20">
        <v>2146</v>
      </c>
      <c r="C20" s="977" t="s">
        <v>607</v>
      </c>
      <c r="D20">
        <v>1302</v>
      </c>
      <c r="E20">
        <v>3174</v>
      </c>
      <c r="F20">
        <v>1887</v>
      </c>
    </row>
    <row r="21" spans="1:6">
      <c r="A21" s="977" t="s">
        <v>608</v>
      </c>
      <c r="B21">
        <v>2146</v>
      </c>
      <c r="C21" s="977" t="s">
        <v>609</v>
      </c>
    </row>
    <row r="22" spans="1:6">
      <c r="A22" s="977" t="s">
        <v>610</v>
      </c>
      <c r="B22">
        <v>2146</v>
      </c>
      <c r="C22" s="977" t="s">
        <v>611</v>
      </c>
      <c r="D22">
        <v>10766</v>
      </c>
      <c r="E22">
        <v>23096</v>
      </c>
      <c r="F22">
        <v>31508</v>
      </c>
    </row>
    <row r="23" spans="1:6">
      <c r="A23" s="977" t="s">
        <v>612</v>
      </c>
      <c r="B23">
        <v>2146</v>
      </c>
      <c r="C23" s="977" t="s">
        <v>613</v>
      </c>
    </row>
    <row r="24" spans="1:6">
      <c r="A24" s="977" t="s">
        <v>614</v>
      </c>
      <c r="B24">
        <v>2146</v>
      </c>
      <c r="C24" s="977" t="s">
        <v>615</v>
      </c>
      <c r="D24">
        <v>19537</v>
      </c>
      <c r="E24">
        <v>24646</v>
      </c>
      <c r="F24">
        <v>42105</v>
      </c>
    </row>
    <row r="25" spans="1:6">
      <c r="A25" s="977" t="s">
        <v>616</v>
      </c>
      <c r="B25">
        <v>2146</v>
      </c>
      <c r="C25" s="977" t="s">
        <v>617</v>
      </c>
    </row>
    <row r="26" spans="1:6">
      <c r="A26" s="977" t="s">
        <v>618</v>
      </c>
      <c r="B26">
        <v>2146</v>
      </c>
      <c r="C26" s="977" t="s">
        <v>619</v>
      </c>
    </row>
    <row r="27" spans="1:6">
      <c r="A27" s="977" t="s">
        <v>620</v>
      </c>
      <c r="B27">
        <v>2146</v>
      </c>
      <c r="C27" s="977" t="s">
        <v>621</v>
      </c>
    </row>
    <row r="28" spans="1:6">
      <c r="A28" s="977" t="s">
        <v>622</v>
      </c>
      <c r="B28">
        <v>2146</v>
      </c>
      <c r="C28" s="977" t="s">
        <v>623</v>
      </c>
      <c r="D28">
        <v>-1</v>
      </c>
      <c r="E28">
        <v>1</v>
      </c>
      <c r="F28">
        <v>2</v>
      </c>
    </row>
    <row r="29" spans="1:6">
      <c r="A29" s="977" t="s">
        <v>624</v>
      </c>
      <c r="B29">
        <v>2146</v>
      </c>
      <c r="C29" s="977" t="s">
        <v>625</v>
      </c>
      <c r="D29">
        <v>202856</v>
      </c>
      <c r="E29">
        <v>220209</v>
      </c>
      <c r="F29">
        <v>243802</v>
      </c>
    </row>
    <row r="31" spans="1:6">
      <c r="A31" s="977" t="s">
        <v>626</v>
      </c>
      <c r="B31">
        <v>2146</v>
      </c>
      <c r="C31" s="977" t="s">
        <v>627</v>
      </c>
      <c r="D31">
        <v>-24031</v>
      </c>
      <c r="E31">
        <v>52612</v>
      </c>
      <c r="F31">
        <v>19255</v>
      </c>
    </row>
    <row r="38" spans="1:6">
      <c r="A38" s="977" t="s">
        <v>628</v>
      </c>
      <c r="B38">
        <v>2146</v>
      </c>
      <c r="C38" s="977" t="s">
        <v>629</v>
      </c>
      <c r="D38">
        <v>132</v>
      </c>
      <c r="E38">
        <v>102</v>
      </c>
      <c r="F38">
        <v>163</v>
      </c>
    </row>
    <row r="42" spans="1:6">
      <c r="A42" s="977" t="s">
        <v>628</v>
      </c>
      <c r="B42">
        <v>2146</v>
      </c>
      <c r="C42" s="977" t="s">
        <v>630</v>
      </c>
      <c r="D42">
        <v>3722</v>
      </c>
      <c r="E42">
        <v>3511</v>
      </c>
      <c r="F42">
        <v>4343</v>
      </c>
    </row>
    <row r="43" spans="1:6">
      <c r="A43" s="977" t="s">
        <v>631</v>
      </c>
      <c r="B43">
        <v>2146</v>
      </c>
      <c r="C43" s="977" t="s">
        <v>632</v>
      </c>
      <c r="D43">
        <v>-3590</v>
      </c>
      <c r="E43">
        <v>-3409</v>
      </c>
      <c r="F43">
        <v>-4180</v>
      </c>
    </row>
    <row r="44" spans="1:6">
      <c r="A44" s="977" t="s">
        <v>633</v>
      </c>
      <c r="B44" s="977" t="s">
        <v>634</v>
      </c>
      <c r="C44" s="977" t="s">
        <v>635</v>
      </c>
      <c r="F44">
        <v>1394</v>
      </c>
    </row>
    <row r="45" spans="1:6">
      <c r="A45" s="977" t="s">
        <v>636</v>
      </c>
      <c r="B45" s="977" t="s">
        <v>634</v>
      </c>
      <c r="C45" s="977" t="s">
        <v>637</v>
      </c>
    </row>
    <row r="47" spans="1:6">
      <c r="A47" s="977" t="s">
        <v>638</v>
      </c>
      <c r="B47" s="977" t="s">
        <v>634</v>
      </c>
      <c r="C47" s="977" t="s">
        <v>639</v>
      </c>
    </row>
    <row r="48" spans="1:6">
      <c r="A48" s="977" t="s">
        <v>640</v>
      </c>
      <c r="B48" s="977" t="s">
        <v>634</v>
      </c>
      <c r="C48" s="977" t="s">
        <v>641</v>
      </c>
      <c r="F48">
        <v>1394</v>
      </c>
    </row>
    <row r="49" spans="1:6">
      <c r="A49" s="977" t="s">
        <v>642</v>
      </c>
      <c r="B49" s="977" t="s">
        <v>634</v>
      </c>
      <c r="C49" s="977" t="s">
        <v>643</v>
      </c>
    </row>
    <row r="50" spans="1:6">
      <c r="A50" s="977" t="s">
        <v>644</v>
      </c>
      <c r="B50" s="977" t="s">
        <v>634</v>
      </c>
      <c r="C50" s="977" t="s">
        <v>645</v>
      </c>
    </row>
    <row r="51" spans="1:6">
      <c r="A51" s="977" t="s">
        <v>646</v>
      </c>
      <c r="B51" s="977" t="s">
        <v>634</v>
      </c>
      <c r="C51" s="977" t="s">
        <v>647</v>
      </c>
    </row>
    <row r="52" spans="1:6">
      <c r="A52" s="977" t="s">
        <v>648</v>
      </c>
      <c r="B52" s="977" t="s">
        <v>634</v>
      </c>
      <c r="C52" s="977" t="s">
        <v>649</v>
      </c>
    </row>
    <row r="53" spans="1:6">
      <c r="A53" s="977" t="s">
        <v>650</v>
      </c>
      <c r="B53" s="977" t="s">
        <v>634</v>
      </c>
      <c r="C53" s="977" t="s">
        <v>651</v>
      </c>
    </row>
    <row r="55" spans="1:6">
      <c r="A55" s="977" t="s">
        <v>652</v>
      </c>
      <c r="B55" s="977" t="s">
        <v>634</v>
      </c>
      <c r="C55" s="977" t="s">
        <v>653</v>
      </c>
      <c r="F55">
        <v>1394</v>
      </c>
    </row>
    <row r="56" spans="1:6">
      <c r="A56" s="977" t="s">
        <v>654</v>
      </c>
      <c r="B56" s="977" t="s">
        <v>634</v>
      </c>
      <c r="C56" s="977" t="s">
        <v>655</v>
      </c>
    </row>
    <row r="59" spans="1:6">
      <c r="A59" s="977" t="s">
        <v>656</v>
      </c>
      <c r="B59" s="977" t="s">
        <v>634</v>
      </c>
      <c r="C59" s="977" t="s">
        <v>657</v>
      </c>
      <c r="D59">
        <v>-27621</v>
      </c>
      <c r="E59">
        <v>49204</v>
      </c>
      <c r="F59">
        <v>16468</v>
      </c>
    </row>
    <row r="60" spans="1:6">
      <c r="A60" s="977" t="s">
        <v>743</v>
      </c>
      <c r="B60" s="977" t="s">
        <v>634</v>
      </c>
      <c r="C60" s="977" t="s">
        <v>744</v>
      </c>
    </row>
    <row r="70" spans="1:6">
      <c r="A70" s="977" t="s">
        <v>658</v>
      </c>
      <c r="B70" s="977" t="s">
        <v>659</v>
      </c>
    </row>
    <row r="71" spans="1:6">
      <c r="A71" s="977" t="s">
        <v>576</v>
      </c>
      <c r="B71" s="977" t="s">
        <v>577</v>
      </c>
      <c r="C71" s="977" t="s">
        <v>578</v>
      </c>
      <c r="D71" s="977" t="s">
        <v>579</v>
      </c>
      <c r="E71" s="977" t="s">
        <v>580</v>
      </c>
      <c r="F71" s="977" t="s">
        <v>581</v>
      </c>
    </row>
    <row r="76" spans="1:6">
      <c r="A76" s="977" t="s">
        <v>660</v>
      </c>
      <c r="B76" s="977" t="s">
        <v>659</v>
      </c>
      <c r="C76" s="977" t="s">
        <v>661</v>
      </c>
      <c r="D76">
        <v>32033</v>
      </c>
      <c r="E76">
        <v>38755</v>
      </c>
      <c r="F76">
        <v>48756</v>
      </c>
    </row>
    <row r="77" spans="1:6">
      <c r="A77" s="977" t="s">
        <v>662</v>
      </c>
      <c r="B77" s="977" t="s">
        <v>659</v>
      </c>
      <c r="C77" s="977" t="s">
        <v>663</v>
      </c>
      <c r="D77">
        <v>23562</v>
      </c>
      <c r="E77">
        <v>15824</v>
      </c>
      <c r="F77">
        <v>14486</v>
      </c>
    </row>
    <row r="78" spans="1:6">
      <c r="A78" s="977" t="s">
        <v>664</v>
      </c>
      <c r="B78" s="977" t="s">
        <v>659</v>
      </c>
      <c r="C78" s="977" t="s">
        <v>665</v>
      </c>
      <c r="D78">
        <v>35791</v>
      </c>
      <c r="E78">
        <v>30505</v>
      </c>
      <c r="F78">
        <v>33359</v>
      </c>
    </row>
    <row r="79" spans="1:6">
      <c r="A79" s="977" t="s">
        <v>666</v>
      </c>
      <c r="B79" s="977" t="s">
        <v>659</v>
      </c>
      <c r="C79" s="977" t="s">
        <v>667</v>
      </c>
    </row>
    <row r="80" spans="1:6">
      <c r="A80" s="977" t="s">
        <v>668</v>
      </c>
      <c r="B80" s="977" t="s">
        <v>659</v>
      </c>
      <c r="C80" s="977" t="s">
        <v>669</v>
      </c>
    </row>
    <row r="81" spans="1:6">
      <c r="A81" s="977" t="s">
        <v>670</v>
      </c>
      <c r="B81" s="977" t="s">
        <v>659</v>
      </c>
      <c r="C81" s="977" t="s">
        <v>671</v>
      </c>
      <c r="D81">
        <v>6855</v>
      </c>
      <c r="E81">
        <v>5681</v>
      </c>
      <c r="F81">
        <v>7083</v>
      </c>
    </row>
    <row r="82" spans="1:6">
      <c r="A82" s="977" t="s">
        <v>672</v>
      </c>
      <c r="B82" s="977" t="s">
        <v>659</v>
      </c>
      <c r="C82" s="977" t="s">
        <v>673</v>
      </c>
      <c r="D82">
        <v>293</v>
      </c>
      <c r="E82">
        <v>264</v>
      </c>
      <c r="F82">
        <v>473</v>
      </c>
    </row>
    <row r="83" spans="1:6">
      <c r="A83" s="977" t="s">
        <v>674</v>
      </c>
      <c r="B83" s="977" t="s">
        <v>659</v>
      </c>
      <c r="C83" s="977" t="s">
        <v>675</v>
      </c>
      <c r="D83">
        <v>98534</v>
      </c>
      <c r="E83">
        <v>91029</v>
      </c>
      <c r="F83">
        <v>104157</v>
      </c>
    </row>
    <row r="84" spans="1:6">
      <c r="A84" s="977" t="s">
        <v>676</v>
      </c>
      <c r="B84" s="977" t="s">
        <v>659</v>
      </c>
      <c r="C84" s="977" t="s">
        <v>677</v>
      </c>
      <c r="D84">
        <v>14873</v>
      </c>
      <c r="E84">
        <v>16754</v>
      </c>
      <c r="F84">
        <v>15168</v>
      </c>
    </row>
    <row r="85" spans="1:6">
      <c r="A85" s="977" t="s">
        <v>212</v>
      </c>
      <c r="B85" s="977" t="s">
        <v>659</v>
      </c>
      <c r="C85" s="977" t="s">
        <v>740</v>
      </c>
      <c r="D85">
        <v>12397</v>
      </c>
      <c r="E85">
        <v>13446</v>
      </c>
      <c r="F85">
        <v>13330</v>
      </c>
    </row>
    <row r="86" spans="1:6">
      <c r="A86" s="977" t="s">
        <v>745</v>
      </c>
      <c r="B86" s="977" t="s">
        <v>659</v>
      </c>
      <c r="C86" s="977" t="s">
        <v>741</v>
      </c>
      <c r="F86" s="977" t="s">
        <v>1070</v>
      </c>
    </row>
    <row r="102" spans="1:6">
      <c r="A102" s="977" t="s">
        <v>678</v>
      </c>
      <c r="B102" s="977" t="s">
        <v>659</v>
      </c>
      <c r="C102" s="977" t="s">
        <v>679</v>
      </c>
    </row>
    <row r="105" spans="1:6">
      <c r="A105" s="977" t="s">
        <v>680</v>
      </c>
      <c r="B105" s="977" t="s">
        <v>659</v>
      </c>
      <c r="C105" s="977" t="s">
        <v>681</v>
      </c>
    </row>
    <row r="106" spans="1:6">
      <c r="A106" s="977" t="s">
        <v>682</v>
      </c>
      <c r="B106" s="977" t="s">
        <v>659</v>
      </c>
      <c r="C106" s="977" t="s">
        <v>683</v>
      </c>
      <c r="D106">
        <v>144</v>
      </c>
      <c r="E106">
        <v>143.86000000000001</v>
      </c>
      <c r="F106">
        <v>143.86000000000001</v>
      </c>
    </row>
    <row r="107" spans="1:6">
      <c r="A107" s="977" t="s">
        <v>684</v>
      </c>
      <c r="B107" s="977" t="s">
        <v>659</v>
      </c>
      <c r="C107" s="977" t="s">
        <v>685</v>
      </c>
      <c r="D107">
        <v>35.58</v>
      </c>
      <c r="E107">
        <v>35.58</v>
      </c>
      <c r="F107">
        <v>35.58</v>
      </c>
    </row>
    <row r="108" spans="1:6">
      <c r="A108" s="977" t="s">
        <v>686</v>
      </c>
      <c r="B108" s="977" t="s">
        <v>659</v>
      </c>
      <c r="C108" s="977" t="s">
        <v>687</v>
      </c>
    </row>
    <row r="109" spans="1:6">
      <c r="A109" s="977" t="s">
        <v>688</v>
      </c>
      <c r="B109" s="977" t="s">
        <v>659</v>
      </c>
      <c r="C109" s="977" t="s">
        <v>689</v>
      </c>
      <c r="D109">
        <v>108.42</v>
      </c>
      <c r="E109">
        <v>108.28</v>
      </c>
      <c r="F109">
        <v>108.28</v>
      </c>
    </row>
    <row r="110" spans="1:6">
      <c r="A110" s="977" t="s">
        <v>690</v>
      </c>
      <c r="B110" s="977" t="s">
        <v>659</v>
      </c>
      <c r="C110" s="977" t="s">
        <v>691</v>
      </c>
    </row>
    <row r="115" spans="1:6">
      <c r="A115" s="977" t="s">
        <v>692</v>
      </c>
      <c r="B115">
        <v>2148</v>
      </c>
    </row>
    <row r="116" spans="1:6">
      <c r="A116" s="977" t="s">
        <v>576</v>
      </c>
      <c r="B116" s="977" t="s">
        <v>577</v>
      </c>
      <c r="C116" s="977" t="s">
        <v>578</v>
      </c>
      <c r="D116" s="977" t="s">
        <v>579</v>
      </c>
      <c r="E116" s="977" t="s">
        <v>580</v>
      </c>
      <c r="F116" s="977" t="s">
        <v>581</v>
      </c>
    </row>
    <row r="121" spans="1:6">
      <c r="A121" s="977" t="s">
        <v>693</v>
      </c>
      <c r="B121" s="977" t="s">
        <v>659</v>
      </c>
      <c r="C121" s="977" t="s">
        <v>694</v>
      </c>
      <c r="D121">
        <v>15030</v>
      </c>
      <c r="E121">
        <v>19808</v>
      </c>
      <c r="F121">
        <v>26816</v>
      </c>
    </row>
    <row r="122" spans="1:6">
      <c r="A122" s="977" t="s">
        <v>695</v>
      </c>
      <c r="B122" s="977" t="s">
        <v>659</v>
      </c>
      <c r="C122" s="977" t="s">
        <v>696</v>
      </c>
      <c r="D122">
        <v>2449</v>
      </c>
      <c r="E122">
        <v>2779</v>
      </c>
      <c r="F122">
        <v>4238</v>
      </c>
    </row>
    <row r="125" spans="1:6">
      <c r="A125" s="977" t="s">
        <v>697</v>
      </c>
      <c r="B125" s="977" t="s">
        <v>659</v>
      </c>
      <c r="C125" s="977" t="s">
        <v>698</v>
      </c>
      <c r="D125">
        <v>19537</v>
      </c>
      <c r="E125">
        <v>24646</v>
      </c>
      <c r="F125">
        <v>42106</v>
      </c>
    </row>
    <row r="130" spans="1:3">
      <c r="A130" s="977" t="s">
        <v>886</v>
      </c>
      <c r="B130">
        <v>2149</v>
      </c>
      <c r="C130" s="977" t="s">
        <v>887</v>
      </c>
    </row>
    <row r="131" spans="1:3">
      <c r="A131" s="977" t="s">
        <v>888</v>
      </c>
      <c r="B131">
        <v>2149</v>
      </c>
      <c r="C131" s="977" t="s">
        <v>889</v>
      </c>
    </row>
    <row r="133" spans="1:3">
      <c r="A133" s="977" t="s">
        <v>890</v>
      </c>
      <c r="B133">
        <v>2147</v>
      </c>
      <c r="C133" s="977" t="s">
        <v>891</v>
      </c>
    </row>
    <row r="134" spans="1:3">
      <c r="A134" s="977" t="s">
        <v>892</v>
      </c>
      <c r="B134">
        <v>2147</v>
      </c>
      <c r="C134" s="977" t="s">
        <v>893</v>
      </c>
    </row>
    <row r="249" spans="1:6">
      <c r="A249" s="977" t="s">
        <v>147</v>
      </c>
    </row>
    <row r="250" spans="1:6">
      <c r="A250" s="977" t="s">
        <v>576</v>
      </c>
      <c r="B250" s="977" t="s">
        <v>577</v>
      </c>
      <c r="C250" s="977" t="s">
        <v>578</v>
      </c>
      <c r="D250" s="977" t="s">
        <v>579</v>
      </c>
      <c r="E250" s="977" t="s">
        <v>580</v>
      </c>
      <c r="F250" s="977" t="s">
        <v>581</v>
      </c>
    </row>
    <row r="251" spans="1:6">
      <c r="A251" s="977" t="s">
        <v>751</v>
      </c>
      <c r="B251">
        <v>2144</v>
      </c>
      <c r="C251" s="977" t="s">
        <v>752</v>
      </c>
    </row>
    <row r="252" spans="1:6">
      <c r="A252" s="977" t="s">
        <v>753</v>
      </c>
      <c r="B252">
        <v>2144</v>
      </c>
      <c r="C252" s="977" t="s">
        <v>754</v>
      </c>
    </row>
    <row r="253" spans="1:6">
      <c r="A253" s="977" t="s">
        <v>755</v>
      </c>
      <c r="B253">
        <v>2144</v>
      </c>
      <c r="C253" s="977" t="s">
        <v>756</v>
      </c>
    </row>
    <row r="254" spans="1:6">
      <c r="A254" s="977" t="s">
        <v>757</v>
      </c>
      <c r="B254">
        <v>2144</v>
      </c>
      <c r="C254" s="977" t="s">
        <v>758</v>
      </c>
    </row>
    <row r="255" spans="1:6">
      <c r="A255" s="977" t="s">
        <v>759</v>
      </c>
      <c r="B255">
        <v>2144</v>
      </c>
      <c r="C255" s="977" t="s">
        <v>760</v>
      </c>
      <c r="D255">
        <v>4573</v>
      </c>
      <c r="E255">
        <v>4573</v>
      </c>
      <c r="F255">
        <v>4573</v>
      </c>
    </row>
    <row r="256" spans="1:6">
      <c r="A256" s="977" t="s">
        <v>761</v>
      </c>
      <c r="B256">
        <v>2144</v>
      </c>
      <c r="C256" s="977" t="s">
        <v>762</v>
      </c>
    </row>
    <row r="257" spans="1:6">
      <c r="A257" s="977" t="s">
        <v>763</v>
      </c>
      <c r="B257">
        <v>2144</v>
      </c>
      <c r="C257" s="977" t="s">
        <v>764</v>
      </c>
      <c r="D257">
        <v>128704</v>
      </c>
      <c r="E257">
        <v>128704</v>
      </c>
      <c r="F257">
        <v>128704</v>
      </c>
    </row>
    <row r="258" spans="1:6">
      <c r="A258" s="977" t="s">
        <v>765</v>
      </c>
      <c r="B258">
        <v>2144</v>
      </c>
      <c r="C258" s="977" t="s">
        <v>766</v>
      </c>
      <c r="D258">
        <v>19483</v>
      </c>
      <c r="E258">
        <v>21541</v>
      </c>
      <c r="F258">
        <v>23599</v>
      </c>
    </row>
    <row r="259" spans="1:6">
      <c r="A259" s="977" t="s">
        <v>767</v>
      </c>
      <c r="B259">
        <v>2144</v>
      </c>
      <c r="C259" s="977" t="s">
        <v>768</v>
      </c>
      <c r="E259">
        <v>15030</v>
      </c>
      <c r="F259">
        <v>34838</v>
      </c>
    </row>
    <row r="260" spans="1:6">
      <c r="A260" s="977" t="s">
        <v>769</v>
      </c>
      <c r="B260">
        <v>2144</v>
      </c>
      <c r="C260" s="977" t="s">
        <v>770</v>
      </c>
      <c r="D260">
        <v>4100</v>
      </c>
      <c r="E260">
        <v>6550</v>
      </c>
      <c r="F260">
        <v>9329</v>
      </c>
    </row>
    <row r="261" spans="1:6">
      <c r="A261" s="977" t="s">
        <v>771</v>
      </c>
      <c r="B261">
        <v>2144</v>
      </c>
      <c r="C261" s="977" t="s">
        <v>772</v>
      </c>
    </row>
    <row r="262" spans="1:6">
      <c r="A262" s="977" t="s">
        <v>773</v>
      </c>
      <c r="B262">
        <v>2144</v>
      </c>
      <c r="C262" s="977" t="s">
        <v>774</v>
      </c>
    </row>
    <row r="263" spans="1:6">
      <c r="A263" s="977" t="s">
        <v>775</v>
      </c>
      <c r="B263">
        <v>2144</v>
      </c>
      <c r="C263" s="977" t="s">
        <v>776</v>
      </c>
    </row>
    <row r="264" spans="1:6">
      <c r="A264" s="977" t="s">
        <v>777</v>
      </c>
      <c r="B264">
        <v>2144</v>
      </c>
      <c r="C264" s="977" t="s">
        <v>778</v>
      </c>
    </row>
    <row r="265" spans="1:6">
      <c r="A265" s="977" t="s">
        <v>779</v>
      </c>
      <c r="B265">
        <v>2144</v>
      </c>
      <c r="C265" s="977" t="s">
        <v>780</v>
      </c>
    </row>
    <row r="266" spans="1:6">
      <c r="A266" s="977" t="s">
        <v>781</v>
      </c>
      <c r="B266">
        <v>2144</v>
      </c>
      <c r="C266" s="977" t="s">
        <v>782</v>
      </c>
      <c r="D266">
        <v>1704</v>
      </c>
      <c r="E266">
        <v>1704</v>
      </c>
      <c r="F266">
        <v>1704</v>
      </c>
    </row>
    <row r="267" spans="1:6">
      <c r="A267" s="977" t="s">
        <v>783</v>
      </c>
      <c r="B267">
        <v>2144</v>
      </c>
      <c r="C267" s="977" t="s">
        <v>784</v>
      </c>
    </row>
    <row r="268" spans="1:6">
      <c r="A268" s="977" t="s">
        <v>785</v>
      </c>
      <c r="B268">
        <v>2144</v>
      </c>
      <c r="C268" s="977" t="s">
        <v>786</v>
      </c>
      <c r="D268">
        <v>2790</v>
      </c>
      <c r="E268">
        <v>2790</v>
      </c>
      <c r="F268">
        <v>2790</v>
      </c>
    </row>
    <row r="269" spans="1:6">
      <c r="A269" s="977" t="s">
        <v>787</v>
      </c>
      <c r="B269">
        <v>2144</v>
      </c>
      <c r="C269" s="977" t="s">
        <v>788</v>
      </c>
      <c r="D269">
        <v>161354</v>
      </c>
      <c r="E269">
        <v>180892</v>
      </c>
      <c r="F269">
        <v>205537</v>
      </c>
    </row>
    <row r="270" spans="1:6">
      <c r="A270" s="977" t="s">
        <v>789</v>
      </c>
      <c r="B270">
        <v>2144</v>
      </c>
      <c r="C270" s="977" t="s">
        <v>790</v>
      </c>
      <c r="D270">
        <v>1380</v>
      </c>
      <c r="E270">
        <v>2354</v>
      </c>
      <c r="F270">
        <v>2844</v>
      </c>
    </row>
    <row r="271" spans="1:6">
      <c r="A271" s="977" t="s">
        <v>791</v>
      </c>
      <c r="B271">
        <v>2144</v>
      </c>
      <c r="C271" s="977" t="s">
        <v>792</v>
      </c>
    </row>
    <row r="272" spans="1:6">
      <c r="A272" s="977" t="s">
        <v>793</v>
      </c>
      <c r="B272">
        <v>2144</v>
      </c>
      <c r="C272" s="977" t="s">
        <v>794</v>
      </c>
    </row>
    <row r="273" spans="1:6">
      <c r="A273" s="977" t="s">
        <v>795</v>
      </c>
      <c r="B273">
        <v>2144</v>
      </c>
      <c r="C273" s="977" t="s">
        <v>796</v>
      </c>
      <c r="D273">
        <v>128612</v>
      </c>
      <c r="E273">
        <v>109901</v>
      </c>
      <c r="F273">
        <v>121122</v>
      </c>
    </row>
    <row r="274" spans="1:6">
      <c r="A274" s="977" t="s">
        <v>793</v>
      </c>
      <c r="B274">
        <v>2144</v>
      </c>
      <c r="C274" s="977" t="s">
        <v>797</v>
      </c>
    </row>
    <row r="275" spans="1:6">
      <c r="A275" s="977" t="s">
        <v>798</v>
      </c>
      <c r="B275">
        <v>2144</v>
      </c>
      <c r="C275" s="977" t="s">
        <v>799</v>
      </c>
    </row>
    <row r="276" spans="1:6">
      <c r="A276" s="977" t="s">
        <v>800</v>
      </c>
      <c r="B276">
        <v>2144</v>
      </c>
      <c r="C276" s="977" t="s">
        <v>801</v>
      </c>
      <c r="D276">
        <v>715</v>
      </c>
    </row>
    <row r="277" spans="1:6">
      <c r="A277" s="977" t="s">
        <v>802</v>
      </c>
      <c r="B277">
        <v>2144</v>
      </c>
      <c r="C277" s="977" t="s">
        <v>387</v>
      </c>
      <c r="D277">
        <v>7659</v>
      </c>
      <c r="E277">
        <v>2321</v>
      </c>
      <c r="F277">
        <v>1537</v>
      </c>
    </row>
    <row r="278" spans="1:6">
      <c r="A278" s="977" t="s">
        <v>803</v>
      </c>
      <c r="B278">
        <v>2144</v>
      </c>
      <c r="C278" s="977" t="s">
        <v>804</v>
      </c>
      <c r="D278">
        <v>212</v>
      </c>
      <c r="E278">
        <v>130</v>
      </c>
    </row>
    <row r="279" spans="1:6">
      <c r="A279" s="977" t="s">
        <v>805</v>
      </c>
      <c r="B279">
        <v>2144</v>
      </c>
      <c r="C279" s="977" t="s">
        <v>806</v>
      </c>
      <c r="D279">
        <v>46633</v>
      </c>
      <c r="E279">
        <v>47139</v>
      </c>
      <c r="F279">
        <v>47824</v>
      </c>
    </row>
    <row r="280" spans="1:6">
      <c r="A280" s="977" t="s">
        <v>807</v>
      </c>
      <c r="B280">
        <v>2144</v>
      </c>
      <c r="C280" s="977" t="s">
        <v>808</v>
      </c>
    </row>
    <row r="281" spans="1:6">
      <c r="A281" s="977" t="s">
        <v>809</v>
      </c>
      <c r="B281">
        <v>2144</v>
      </c>
      <c r="C281" s="977" t="s">
        <v>810</v>
      </c>
    </row>
    <row r="282" spans="1:6">
      <c r="A282" s="977" t="s">
        <v>811</v>
      </c>
      <c r="B282">
        <v>2144</v>
      </c>
      <c r="C282" s="977" t="s">
        <v>812</v>
      </c>
      <c r="D282">
        <v>32</v>
      </c>
      <c r="E282">
        <v>956</v>
      </c>
      <c r="F282">
        <v>519</v>
      </c>
    </row>
    <row r="283" spans="1:6">
      <c r="A283" s="977" t="s">
        <v>813</v>
      </c>
      <c r="B283">
        <v>2144</v>
      </c>
      <c r="C283" s="977" t="s">
        <v>814</v>
      </c>
      <c r="D283">
        <v>185243</v>
      </c>
      <c r="E283">
        <v>162802</v>
      </c>
      <c r="F283">
        <v>173846</v>
      </c>
    </row>
    <row r="284" spans="1:6">
      <c r="A284" s="977" t="s">
        <v>815</v>
      </c>
      <c r="B284">
        <v>2144</v>
      </c>
      <c r="C284" s="977" t="s">
        <v>816</v>
      </c>
      <c r="D284">
        <v>346597</v>
      </c>
      <c r="E284">
        <v>343693</v>
      </c>
      <c r="F284">
        <v>379383</v>
      </c>
    </row>
    <row r="285" spans="1:6">
      <c r="A285" s="977" t="s">
        <v>920</v>
      </c>
    </row>
    <row r="286" spans="1:6">
      <c r="A286" s="977" t="s">
        <v>576</v>
      </c>
      <c r="B286" s="977" t="s">
        <v>577</v>
      </c>
      <c r="C286" s="977" t="s">
        <v>578</v>
      </c>
      <c r="D286" s="977" t="s">
        <v>579</v>
      </c>
      <c r="E286" s="977" t="s">
        <v>580</v>
      </c>
      <c r="F286" s="977" t="s">
        <v>581</v>
      </c>
    </row>
    <row r="287" spans="1:6">
      <c r="A287" s="977" t="s">
        <v>921</v>
      </c>
      <c r="B287">
        <v>2144</v>
      </c>
      <c r="C287" s="977" t="s">
        <v>922</v>
      </c>
      <c r="D287">
        <v>7659</v>
      </c>
      <c r="E287">
        <v>2321</v>
      </c>
      <c r="F287">
        <v>1537</v>
      </c>
    </row>
    <row r="288" spans="1:6">
      <c r="A288" s="977" t="s">
        <v>923</v>
      </c>
      <c r="B288">
        <v>2144</v>
      </c>
      <c r="C288" s="977" t="s">
        <v>924</v>
      </c>
      <c r="D288">
        <v>212</v>
      </c>
      <c r="E288">
        <v>130</v>
      </c>
    </row>
    <row r="310" spans="1:6">
      <c r="A310" s="977" t="s">
        <v>817</v>
      </c>
    </row>
    <row r="311" spans="1:6">
      <c r="A311" s="977" t="s">
        <v>576</v>
      </c>
      <c r="B311" s="977" t="s">
        <v>577</v>
      </c>
      <c r="C311" s="977" t="s">
        <v>578</v>
      </c>
      <c r="D311" s="977" t="s">
        <v>579</v>
      </c>
      <c r="E311" s="977" t="s">
        <v>580</v>
      </c>
      <c r="F311" s="977" t="s">
        <v>581</v>
      </c>
    </row>
    <row r="312" spans="1:6">
      <c r="A312" s="977" t="s">
        <v>818</v>
      </c>
      <c r="B312">
        <v>2145</v>
      </c>
      <c r="C312" s="977" t="s">
        <v>819</v>
      </c>
      <c r="D312">
        <v>112707</v>
      </c>
      <c r="E312">
        <v>88325</v>
      </c>
      <c r="F312">
        <v>110485</v>
      </c>
    </row>
    <row r="313" spans="1:6">
      <c r="A313" s="977" t="s">
        <v>820</v>
      </c>
      <c r="B313">
        <v>2145</v>
      </c>
      <c r="C313" s="977" t="s">
        <v>821</v>
      </c>
    </row>
    <row r="314" spans="1:6">
      <c r="A314" s="977" t="s">
        <v>822</v>
      </c>
      <c r="B314">
        <v>2145</v>
      </c>
      <c r="C314" s="977" t="s">
        <v>823</v>
      </c>
    </row>
    <row r="315" spans="1:6">
      <c r="A315" s="977" t="s">
        <v>824</v>
      </c>
      <c r="B315">
        <v>2145</v>
      </c>
      <c r="C315" s="977" t="s">
        <v>825</v>
      </c>
    </row>
    <row r="316" spans="1:6">
      <c r="A316" s="977" t="s">
        <v>826</v>
      </c>
      <c r="B316">
        <v>2145</v>
      </c>
      <c r="C316" s="977" t="s">
        <v>827</v>
      </c>
    </row>
    <row r="317" spans="1:6">
      <c r="A317" s="977" t="s">
        <v>828</v>
      </c>
      <c r="B317">
        <v>2145</v>
      </c>
      <c r="C317" s="977" t="s">
        <v>829</v>
      </c>
    </row>
    <row r="318" spans="1:6">
      <c r="A318" s="977" t="s">
        <v>830</v>
      </c>
      <c r="B318">
        <v>2145</v>
      </c>
      <c r="C318" s="977" t="s">
        <v>831</v>
      </c>
    </row>
    <row r="319" spans="1:6">
      <c r="A319" s="977" t="s">
        <v>832</v>
      </c>
      <c r="B319">
        <v>2145</v>
      </c>
      <c r="C319" s="977" t="s">
        <v>833</v>
      </c>
      <c r="D319">
        <v>-27621</v>
      </c>
      <c r="E319">
        <v>49204</v>
      </c>
      <c r="F319">
        <v>16468</v>
      </c>
    </row>
    <row r="320" spans="1:6">
      <c r="A320" s="977" t="s">
        <v>834</v>
      </c>
      <c r="B320">
        <v>2145</v>
      </c>
      <c r="C320" s="977" t="s">
        <v>835</v>
      </c>
    </row>
    <row r="321" spans="1:6">
      <c r="A321" s="977" t="s">
        <v>836</v>
      </c>
      <c r="B321">
        <v>2145</v>
      </c>
      <c r="C321" s="977" t="s">
        <v>837</v>
      </c>
    </row>
    <row r="322" spans="1:6">
      <c r="A322" s="977" t="s">
        <v>838</v>
      </c>
      <c r="B322">
        <v>2145</v>
      </c>
      <c r="C322" s="977" t="s">
        <v>839</v>
      </c>
      <c r="D322">
        <v>85086</v>
      </c>
      <c r="E322">
        <v>137528</v>
      </c>
      <c r="F322">
        <v>126954</v>
      </c>
    </row>
    <row r="323" spans="1:6">
      <c r="A323" s="977" t="s">
        <v>840</v>
      </c>
      <c r="B323">
        <v>2145</v>
      </c>
      <c r="C323" s="977" t="s">
        <v>841</v>
      </c>
    </row>
    <row r="324" spans="1:6">
      <c r="A324" s="977" t="s">
        <v>842</v>
      </c>
      <c r="B324">
        <v>2145</v>
      </c>
      <c r="C324" s="977" t="s">
        <v>843</v>
      </c>
    </row>
    <row r="325" spans="1:6">
      <c r="A325" s="977" t="s">
        <v>844</v>
      </c>
      <c r="B325">
        <v>2145</v>
      </c>
      <c r="C325" s="977" t="s">
        <v>845</v>
      </c>
    </row>
    <row r="326" spans="1:6">
      <c r="A326" s="977" t="s">
        <v>846</v>
      </c>
      <c r="B326">
        <v>2145</v>
      </c>
      <c r="C326" s="977" t="s">
        <v>847</v>
      </c>
      <c r="D326">
        <v>91782</v>
      </c>
      <c r="E326">
        <v>118012</v>
      </c>
      <c r="F326">
        <v>79079</v>
      </c>
    </row>
    <row r="327" spans="1:6">
      <c r="A327" s="977" t="s">
        <v>848</v>
      </c>
      <c r="B327">
        <v>2145</v>
      </c>
      <c r="C327" s="977" t="s">
        <v>849</v>
      </c>
    </row>
    <row r="328" spans="1:6">
      <c r="A328" s="977" t="s">
        <v>850</v>
      </c>
      <c r="B328">
        <v>2145</v>
      </c>
      <c r="C328" s="977" t="s">
        <v>851</v>
      </c>
      <c r="D328">
        <v>71549</v>
      </c>
      <c r="E328">
        <v>25134</v>
      </c>
      <c r="F328">
        <v>98947</v>
      </c>
    </row>
    <row r="329" spans="1:6">
      <c r="A329" s="977" t="s">
        <v>852</v>
      </c>
      <c r="B329">
        <v>2145</v>
      </c>
      <c r="C329" s="977" t="s">
        <v>853</v>
      </c>
      <c r="D329">
        <v>1079</v>
      </c>
      <c r="E329">
        <v>840</v>
      </c>
      <c r="F329">
        <v>966</v>
      </c>
    </row>
    <row r="330" spans="1:6">
      <c r="A330" s="977" t="s">
        <v>854</v>
      </c>
      <c r="B330">
        <v>2145</v>
      </c>
      <c r="C330" s="977" t="s">
        <v>855</v>
      </c>
    </row>
    <row r="331" spans="1:6">
      <c r="A331" s="977" t="s">
        <v>856</v>
      </c>
      <c r="B331">
        <v>2145</v>
      </c>
      <c r="C331" s="977" t="s">
        <v>857</v>
      </c>
      <c r="D331">
        <v>69934</v>
      </c>
      <c r="E331">
        <v>48045</v>
      </c>
      <c r="F331">
        <v>58876</v>
      </c>
    </row>
    <row r="332" spans="1:6">
      <c r="A332" s="977" t="s">
        <v>858</v>
      </c>
      <c r="B332">
        <v>2145</v>
      </c>
      <c r="C332" s="977" t="s">
        <v>859</v>
      </c>
      <c r="F332">
        <v>30</v>
      </c>
    </row>
    <row r="333" spans="1:6">
      <c r="A333" s="977" t="s">
        <v>860</v>
      </c>
      <c r="B333">
        <v>2145</v>
      </c>
      <c r="C333" s="977" t="s">
        <v>861</v>
      </c>
      <c r="D333">
        <v>121</v>
      </c>
      <c r="E333">
        <v>6200</v>
      </c>
      <c r="F333">
        <v>6400</v>
      </c>
    </row>
    <row r="334" spans="1:6">
      <c r="A334" s="977" t="s">
        <v>862</v>
      </c>
      <c r="B334">
        <v>2145</v>
      </c>
      <c r="C334" s="977" t="s">
        <v>863</v>
      </c>
    </row>
    <row r="335" spans="1:6">
      <c r="A335" s="977" t="s">
        <v>164</v>
      </c>
      <c r="B335">
        <v>2145</v>
      </c>
      <c r="C335" s="977" t="s">
        <v>864</v>
      </c>
      <c r="D335">
        <v>7420</v>
      </c>
      <c r="E335">
        <v>7934</v>
      </c>
      <c r="F335">
        <v>8132</v>
      </c>
    </row>
    <row r="336" spans="1:6">
      <c r="A336" s="977" t="s">
        <v>865</v>
      </c>
      <c r="B336">
        <v>2145</v>
      </c>
      <c r="C336" s="977" t="s">
        <v>866</v>
      </c>
      <c r="D336">
        <v>19625</v>
      </c>
    </row>
    <row r="337" spans="1:6">
      <c r="A337" s="977" t="s">
        <v>867</v>
      </c>
      <c r="B337">
        <v>2145</v>
      </c>
      <c r="C337" s="977" t="s">
        <v>868</v>
      </c>
      <c r="D337">
        <v>261511</v>
      </c>
      <c r="E337">
        <v>206165</v>
      </c>
      <c r="F337">
        <v>252430</v>
      </c>
    </row>
    <row r="338" spans="1:6">
      <c r="A338" s="977" t="s">
        <v>869</v>
      </c>
      <c r="B338">
        <v>2145</v>
      </c>
      <c r="C338" s="977" t="s">
        <v>870</v>
      </c>
    </row>
    <row r="339" spans="1:6">
      <c r="A339" s="977" t="s">
        <v>871</v>
      </c>
      <c r="B339">
        <v>2145</v>
      </c>
      <c r="C339" s="977" t="s">
        <v>872</v>
      </c>
      <c r="D339">
        <v>346597</v>
      </c>
      <c r="E339">
        <v>343693</v>
      </c>
      <c r="F339">
        <v>379383</v>
      </c>
    </row>
    <row r="380" spans="1:6">
      <c r="A380" s="977" t="s">
        <v>948</v>
      </c>
    </row>
    <row r="381" spans="1:6">
      <c r="A381" s="977" t="s">
        <v>576</v>
      </c>
      <c r="B381" s="977" t="s">
        <v>577</v>
      </c>
      <c r="C381" s="977" t="s">
        <v>578</v>
      </c>
      <c r="D381" s="977" t="s">
        <v>579</v>
      </c>
      <c r="E381" s="977" t="s">
        <v>580</v>
      </c>
      <c r="F381" s="977" t="s">
        <v>581</v>
      </c>
    </row>
    <row r="382" spans="1:6">
      <c r="A382" s="977" t="s">
        <v>949</v>
      </c>
      <c r="B382">
        <v>2148</v>
      </c>
      <c r="C382" s="977" t="s">
        <v>950</v>
      </c>
      <c r="D382">
        <v>480419</v>
      </c>
      <c r="E382">
        <v>460882</v>
      </c>
      <c r="F382">
        <v>436237</v>
      </c>
    </row>
    <row r="383" spans="1:6">
      <c r="A383" s="977" t="s">
        <v>951</v>
      </c>
      <c r="B383">
        <v>2148</v>
      </c>
      <c r="C383" s="977" t="s">
        <v>952</v>
      </c>
    </row>
    <row r="384" spans="1:6">
      <c r="A384" s="977" t="s">
        <v>953</v>
      </c>
      <c r="B384">
        <v>2148</v>
      </c>
      <c r="C384" s="977" t="s">
        <v>954</v>
      </c>
    </row>
    <row r="385" spans="1:6">
      <c r="A385" s="977" t="s">
        <v>955</v>
      </c>
      <c r="B385">
        <v>2148</v>
      </c>
      <c r="C385" s="977" t="s">
        <v>956</v>
      </c>
    </row>
    <row r="386" spans="1:6">
      <c r="A386" s="977" t="s">
        <v>957</v>
      </c>
      <c r="B386">
        <v>2148</v>
      </c>
      <c r="C386" s="977" t="s">
        <v>958</v>
      </c>
    </row>
    <row r="390" spans="1:6">
      <c r="A390" s="977" t="s">
        <v>959</v>
      </c>
    </row>
    <row r="391" spans="1:6">
      <c r="A391" s="977" t="s">
        <v>576</v>
      </c>
      <c r="B391" s="977" t="s">
        <v>577</v>
      </c>
      <c r="C391" s="977" t="s">
        <v>578</v>
      </c>
      <c r="D391" s="977" t="s">
        <v>579</v>
      </c>
      <c r="E391" s="977" t="s">
        <v>580</v>
      </c>
      <c r="F391" s="977" t="s">
        <v>581</v>
      </c>
    </row>
    <row r="392" spans="1:6">
      <c r="A392" s="977" t="s">
        <v>960</v>
      </c>
      <c r="B392">
        <v>2147</v>
      </c>
      <c r="C392" s="977" t="s">
        <v>961</v>
      </c>
    </row>
    <row r="393" spans="1:6">
      <c r="A393" s="977" t="s">
        <v>962</v>
      </c>
      <c r="B393">
        <v>2147</v>
      </c>
      <c r="C393" s="977" t="s">
        <v>963</v>
      </c>
      <c r="D393">
        <v>41162</v>
      </c>
      <c r="E393">
        <v>41162</v>
      </c>
      <c r="F393">
        <v>41162</v>
      </c>
    </row>
    <row r="394" spans="1:6">
      <c r="A394" s="977" t="s">
        <v>964</v>
      </c>
      <c r="B394">
        <v>2147</v>
      </c>
      <c r="C394" s="977" t="s">
        <v>965</v>
      </c>
      <c r="D394">
        <v>365638</v>
      </c>
      <c r="E394">
        <v>365638</v>
      </c>
      <c r="F394">
        <v>365638</v>
      </c>
    </row>
    <row r="395" spans="1:6">
      <c r="A395" s="977" t="s">
        <v>966</v>
      </c>
      <c r="B395">
        <v>2147</v>
      </c>
      <c r="C395" s="977" t="s">
        <v>967</v>
      </c>
      <c r="D395">
        <v>97203</v>
      </c>
      <c r="E395">
        <v>97203</v>
      </c>
    </row>
    <row r="400" spans="1:6">
      <c r="A400" s="977" t="s">
        <v>968</v>
      </c>
    </row>
    <row r="401" spans="1:6">
      <c r="A401" s="977" t="s">
        <v>576</v>
      </c>
      <c r="B401" s="977" t="s">
        <v>577</v>
      </c>
      <c r="C401" s="977" t="s">
        <v>578</v>
      </c>
      <c r="D401" s="977" t="s">
        <v>579</v>
      </c>
      <c r="E401" s="977" t="s">
        <v>580</v>
      </c>
      <c r="F401" s="977" t="s">
        <v>581</v>
      </c>
    </row>
    <row r="402" spans="1:6">
      <c r="A402" s="977" t="s">
        <v>969</v>
      </c>
      <c r="B402">
        <v>2150</v>
      </c>
      <c r="C402" s="977" t="s">
        <v>970</v>
      </c>
    </row>
    <row r="403" spans="1:6">
      <c r="A403" s="977" t="s">
        <v>971</v>
      </c>
      <c r="B403">
        <v>2150</v>
      </c>
      <c r="C403" s="977" t="s">
        <v>972</v>
      </c>
    </row>
    <row r="404" spans="1:6">
      <c r="A404" s="977" t="s">
        <v>1071</v>
      </c>
      <c r="B404">
        <v>2150</v>
      </c>
      <c r="C404" s="977" t="s">
        <v>1064</v>
      </c>
      <c r="E404">
        <v>60000</v>
      </c>
    </row>
    <row r="405" spans="1:6">
      <c r="A405" s="977" t="s">
        <v>1072</v>
      </c>
      <c r="B405">
        <v>2150</v>
      </c>
      <c r="C405" s="977" t="s">
        <v>1060</v>
      </c>
      <c r="D405">
        <v>26230</v>
      </c>
      <c r="E405">
        <v>21067</v>
      </c>
      <c r="F405">
        <v>29058</v>
      </c>
    </row>
  </sheetData>
  <pageMargins left="0.70866141732283472" right="0.70866141732283472" top="0.74803149606299213" bottom="0.74803149606299213" header="0.31496062992125984" footer="0.31496062992125984"/>
  <pageSetup paperSize="9"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3">
    <tabColor theme="5" tint="0.39997558519241921"/>
  </sheetPr>
  <dimension ref="A1:E58"/>
  <sheetViews>
    <sheetView workbookViewId="0">
      <selection activeCell="H41" sqref="H41"/>
    </sheetView>
  </sheetViews>
  <sheetFormatPr baseColWidth="10" defaultRowHeight="12.75"/>
  <sheetData>
    <row r="1" spans="1:5">
      <c r="A1" s="11" t="s">
        <v>1042</v>
      </c>
    </row>
    <row r="2" spans="1:5">
      <c r="A2" s="11" t="s">
        <v>985</v>
      </c>
      <c r="B2" s="11" t="s">
        <v>1043</v>
      </c>
      <c r="C2" s="976" t="s">
        <v>1044</v>
      </c>
      <c r="D2" t="str">
        <f>LEFT(C2,2)</f>
        <v>=C</v>
      </c>
      <c r="E2" t="e">
        <f>VLOOKUP(D2,A2:B58,2,1)</f>
        <v>#N/A</v>
      </c>
    </row>
    <row r="3" spans="1:5">
      <c r="A3" s="11" t="s">
        <v>986</v>
      </c>
      <c r="B3" s="11" t="s">
        <v>303</v>
      </c>
    </row>
    <row r="4" spans="1:5">
      <c r="A4" s="11" t="s">
        <v>987</v>
      </c>
    </row>
    <row r="5" spans="1:5">
      <c r="A5" s="11" t="s">
        <v>988</v>
      </c>
      <c r="B5" s="11" t="s">
        <v>1045</v>
      </c>
    </row>
    <row r="6" spans="1:5">
      <c r="A6" s="11" t="s">
        <v>989</v>
      </c>
    </row>
    <row r="7" spans="1:5">
      <c r="A7" s="11" t="s">
        <v>990</v>
      </c>
    </row>
    <row r="8" spans="1:5">
      <c r="A8" s="11" t="s">
        <v>991</v>
      </c>
    </row>
    <row r="9" spans="1:5">
      <c r="A9" s="11" t="s">
        <v>992</v>
      </c>
    </row>
    <row r="10" spans="1:5">
      <c r="A10" s="11" t="s">
        <v>993</v>
      </c>
    </row>
    <row r="11" spans="1:5">
      <c r="A11" s="11" t="s">
        <v>994</v>
      </c>
    </row>
    <row r="12" spans="1:5">
      <c r="A12" s="11" t="s">
        <v>995</v>
      </c>
    </row>
    <row r="13" spans="1:5">
      <c r="A13" s="11" t="s">
        <v>996</v>
      </c>
    </row>
    <row r="14" spans="1:5">
      <c r="A14" s="11" t="s">
        <v>997</v>
      </c>
    </row>
    <row r="15" spans="1:5">
      <c r="A15" s="11" t="s">
        <v>998</v>
      </c>
    </row>
    <row r="16" spans="1:5">
      <c r="A16" s="11" t="s">
        <v>999</v>
      </c>
    </row>
    <row r="17" spans="1:1">
      <c r="A17" s="11" t="s">
        <v>1000</v>
      </c>
    </row>
    <row r="18" spans="1:1">
      <c r="A18" s="11" t="s">
        <v>1001</v>
      </c>
    </row>
    <row r="19" spans="1:1">
      <c r="A19" s="11" t="s">
        <v>1002</v>
      </c>
    </row>
    <row r="20" spans="1:1">
      <c r="A20" s="11" t="s">
        <v>1003</v>
      </c>
    </row>
    <row r="21" spans="1:1">
      <c r="A21" s="11" t="s">
        <v>1004</v>
      </c>
    </row>
    <row r="22" spans="1:1">
      <c r="A22" s="11" t="s">
        <v>1005</v>
      </c>
    </row>
    <row r="23" spans="1:1">
      <c r="A23" s="11" t="s">
        <v>1006</v>
      </c>
    </row>
    <row r="24" spans="1:1">
      <c r="A24" s="11" t="s">
        <v>1007</v>
      </c>
    </row>
    <row r="25" spans="1:1">
      <c r="A25" s="11" t="s">
        <v>1008</v>
      </c>
    </row>
    <row r="26" spans="1:1">
      <c r="A26" s="11" t="s">
        <v>1009</v>
      </c>
    </row>
    <row r="27" spans="1:1">
      <c r="A27" s="11" t="s">
        <v>1010</v>
      </c>
    </row>
    <row r="28" spans="1:1">
      <c r="A28" s="11" t="s">
        <v>1011</v>
      </c>
    </row>
    <row r="29" spans="1:1">
      <c r="A29" s="11" t="s">
        <v>1012</v>
      </c>
    </row>
    <row r="30" spans="1:1">
      <c r="A30" s="11" t="s">
        <v>1013</v>
      </c>
    </row>
    <row r="31" spans="1:1">
      <c r="A31" s="11" t="s">
        <v>1014</v>
      </c>
    </row>
    <row r="32" spans="1:1">
      <c r="A32" s="11" t="s">
        <v>1015</v>
      </c>
    </row>
    <row r="33" spans="1:1">
      <c r="A33" s="11" t="s">
        <v>1016</v>
      </c>
    </row>
    <row r="34" spans="1:1">
      <c r="A34" s="11" t="s">
        <v>1017</v>
      </c>
    </row>
    <row r="35" spans="1:1">
      <c r="A35" s="11" t="s">
        <v>1018</v>
      </c>
    </row>
    <row r="36" spans="1:1">
      <c r="A36" s="11" t="s">
        <v>1019</v>
      </c>
    </row>
    <row r="37" spans="1:1">
      <c r="A37" s="11" t="s">
        <v>1020</v>
      </c>
    </row>
    <row r="38" spans="1:1">
      <c r="A38" s="11" t="s">
        <v>1021</v>
      </c>
    </row>
    <row r="39" spans="1:1">
      <c r="A39" s="11" t="s">
        <v>1022</v>
      </c>
    </row>
    <row r="40" spans="1:1">
      <c r="A40" s="11" t="s">
        <v>1023</v>
      </c>
    </row>
    <row r="41" spans="1:1">
      <c r="A41" s="11" t="s">
        <v>1024</v>
      </c>
    </row>
    <row r="42" spans="1:1">
      <c r="A42" s="11" t="s">
        <v>1025</v>
      </c>
    </row>
    <row r="43" spans="1:1">
      <c r="A43" s="11" t="s">
        <v>1026</v>
      </c>
    </row>
    <row r="44" spans="1:1">
      <c r="A44" s="11" t="s">
        <v>1027</v>
      </c>
    </row>
    <row r="45" spans="1:1">
      <c r="A45" s="11" t="s">
        <v>1028</v>
      </c>
    </row>
    <row r="46" spans="1:1">
      <c r="A46" s="11" t="s">
        <v>1029</v>
      </c>
    </row>
    <row r="47" spans="1:1">
      <c r="A47" s="11" t="s">
        <v>1030</v>
      </c>
    </row>
    <row r="48" spans="1:1">
      <c r="A48" s="11" t="s">
        <v>1031</v>
      </c>
    </row>
    <row r="49" spans="1:1">
      <c r="A49" s="11" t="s">
        <v>1032</v>
      </c>
    </row>
    <row r="50" spans="1:1">
      <c r="A50" s="11" t="s">
        <v>1033</v>
      </c>
    </row>
    <row r="51" spans="1:1">
      <c r="A51" s="11" t="s">
        <v>1034</v>
      </c>
    </row>
    <row r="52" spans="1:1">
      <c r="A52" s="11" t="s">
        <v>1035</v>
      </c>
    </row>
    <row r="53" spans="1:1">
      <c r="A53" s="11" t="s">
        <v>1036</v>
      </c>
    </row>
    <row r="54" spans="1:1">
      <c r="A54" s="11" t="s">
        <v>1037</v>
      </c>
    </row>
    <row r="55" spans="1:1">
      <c r="A55" s="11" t="s">
        <v>1038</v>
      </c>
    </row>
    <row r="56" spans="1:1">
      <c r="A56" s="11" t="s">
        <v>1039</v>
      </c>
    </row>
    <row r="57" spans="1:1">
      <c r="A57" s="11" t="s">
        <v>1040</v>
      </c>
    </row>
    <row r="58" spans="1:1">
      <c r="A58" s="11" t="s">
        <v>1041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6">
    <tabColor theme="5" tint="0.39997558519241921"/>
  </sheetPr>
  <dimension ref="A11:F98"/>
  <sheetViews>
    <sheetView topLeftCell="A78" workbookViewId="0">
      <selection activeCell="D43" sqref="D43"/>
    </sheetView>
  </sheetViews>
  <sheetFormatPr baseColWidth="10" defaultRowHeight="12.75"/>
  <sheetData>
    <row r="11" spans="1:6">
      <c r="A11">
        <v>1</v>
      </c>
    </row>
    <row r="12" spans="1:6">
      <c r="A12">
        <v>27</v>
      </c>
      <c r="B12" s="977" t="s">
        <v>1073</v>
      </c>
      <c r="C12">
        <v>58.23</v>
      </c>
      <c r="D12">
        <v>294.93900000000002</v>
      </c>
      <c r="E12">
        <v>38365.129999999997</v>
      </c>
      <c r="F12" s="977" t="s">
        <v>1074</v>
      </c>
    </row>
    <row r="13" spans="1:6">
      <c r="A13">
        <v>26</v>
      </c>
    </row>
    <row r="14" spans="1:6">
      <c r="A14">
        <v>48</v>
      </c>
    </row>
    <row r="15" spans="1:6">
      <c r="A15">
        <v>99</v>
      </c>
    </row>
    <row r="16" spans="1:6">
      <c r="A16">
        <v>20</v>
      </c>
      <c r="B16" s="977" t="s">
        <v>1075</v>
      </c>
      <c r="C16">
        <v>14.56</v>
      </c>
      <c r="D16">
        <v>43.762</v>
      </c>
      <c r="E16">
        <v>9709.57</v>
      </c>
      <c r="F16" s="977" t="s">
        <v>1074</v>
      </c>
    </row>
    <row r="17" spans="1:6">
      <c r="A17">
        <v>21</v>
      </c>
      <c r="B17" s="977" t="s">
        <v>1076</v>
      </c>
      <c r="C17">
        <v>43.29</v>
      </c>
      <c r="D17">
        <v>139.96199999999999</v>
      </c>
      <c r="E17">
        <v>51049.64</v>
      </c>
      <c r="F17" s="977" t="s">
        <v>1074</v>
      </c>
    </row>
    <row r="18" spans="1:6">
      <c r="A18">
        <v>22</v>
      </c>
    </row>
    <row r="19" spans="1:6">
      <c r="A19">
        <v>23</v>
      </c>
    </row>
    <row r="20" spans="1:6">
      <c r="A20">
        <v>24</v>
      </c>
    </row>
    <row r="21" spans="1:6">
      <c r="A21">
        <v>25</v>
      </c>
    </row>
    <row r="22" spans="1:6">
      <c r="A22">
        <v>2</v>
      </c>
    </row>
    <row r="23" spans="1:6">
      <c r="A23">
        <v>3</v>
      </c>
    </row>
    <row r="24" spans="1:6">
      <c r="A24">
        <v>4</v>
      </c>
    </row>
    <row r="25" spans="1:6">
      <c r="A25">
        <v>5</v>
      </c>
    </row>
    <row r="26" spans="1:6">
      <c r="A26">
        <v>6</v>
      </c>
    </row>
    <row r="27" spans="1:6">
      <c r="A27">
        <v>7</v>
      </c>
    </row>
    <row r="28" spans="1:6">
      <c r="A28">
        <v>8</v>
      </c>
    </row>
    <row r="29" spans="1:6">
      <c r="A29">
        <v>9</v>
      </c>
    </row>
    <row r="30" spans="1:6">
      <c r="A30">
        <v>10</v>
      </c>
    </row>
    <row r="31" spans="1:6">
      <c r="A31">
        <v>11</v>
      </c>
    </row>
    <row r="32" spans="1:6">
      <c r="A32">
        <v>12</v>
      </c>
    </row>
    <row r="33" spans="1:6">
      <c r="A33">
        <v>13</v>
      </c>
    </row>
    <row r="34" spans="1:6">
      <c r="A34">
        <v>14</v>
      </c>
    </row>
    <row r="35" spans="1:6">
      <c r="A35">
        <v>15</v>
      </c>
    </row>
    <row r="36" spans="1:6">
      <c r="A36">
        <v>16</v>
      </c>
    </row>
    <row r="37" spans="1:6">
      <c r="A37">
        <v>17</v>
      </c>
    </row>
    <row r="38" spans="1:6">
      <c r="A38">
        <v>18</v>
      </c>
    </row>
    <row r="39" spans="1:6">
      <c r="A39">
        <v>19</v>
      </c>
    </row>
    <row r="40" spans="1:6">
      <c r="A40">
        <v>30</v>
      </c>
    </row>
    <row r="41" spans="1:6">
      <c r="A41">
        <v>31</v>
      </c>
    </row>
    <row r="42" spans="1:6">
      <c r="A42">
        <v>32</v>
      </c>
      <c r="B42" s="977" t="s">
        <v>1077</v>
      </c>
      <c r="C42">
        <v>22.62</v>
      </c>
      <c r="D42">
        <v>126.28</v>
      </c>
      <c r="E42">
        <v>12789.14</v>
      </c>
      <c r="F42" s="977" t="s">
        <v>1074</v>
      </c>
    </row>
    <row r="43" spans="1:6">
      <c r="A43">
        <v>33</v>
      </c>
    </row>
    <row r="44" spans="1:6">
      <c r="A44">
        <v>34</v>
      </c>
    </row>
    <row r="45" spans="1:6">
      <c r="A45">
        <v>35</v>
      </c>
    </row>
    <row r="46" spans="1:6">
      <c r="A46">
        <v>36</v>
      </c>
    </row>
    <row r="47" spans="1:6">
      <c r="A47">
        <v>37</v>
      </c>
    </row>
    <row r="48" spans="1:6">
      <c r="A48">
        <v>38</v>
      </c>
    </row>
    <row r="49" spans="1:6">
      <c r="A49">
        <v>39</v>
      </c>
    </row>
    <row r="50" spans="1:6">
      <c r="A50">
        <v>40</v>
      </c>
    </row>
    <row r="51" spans="1:6">
      <c r="A51">
        <v>41</v>
      </c>
    </row>
    <row r="52" spans="1:6">
      <c r="A52">
        <v>42</v>
      </c>
    </row>
    <row r="53" spans="1:6">
      <c r="A53">
        <v>43</v>
      </c>
    </row>
    <row r="54" spans="1:6">
      <c r="A54">
        <v>44</v>
      </c>
    </row>
    <row r="55" spans="1:6">
      <c r="A55">
        <v>45</v>
      </c>
    </row>
    <row r="56" spans="1:6">
      <c r="A56">
        <v>46</v>
      </c>
    </row>
    <row r="57" spans="1:6">
      <c r="A57">
        <v>47</v>
      </c>
      <c r="B57" s="977" t="s">
        <v>1078</v>
      </c>
      <c r="C57">
        <v>3.55</v>
      </c>
      <c r="F57" s="977" t="s">
        <v>1074</v>
      </c>
    </row>
    <row r="58" spans="1:6">
      <c r="A58">
        <v>28</v>
      </c>
    </row>
    <row r="59" spans="1:6">
      <c r="A59">
        <v>49</v>
      </c>
    </row>
    <row r="60" spans="1:6">
      <c r="A60">
        <v>50</v>
      </c>
    </row>
    <row r="61" spans="1:6">
      <c r="A61">
        <v>51</v>
      </c>
    </row>
    <row r="62" spans="1:6">
      <c r="A62">
        <v>52</v>
      </c>
    </row>
    <row r="63" spans="1:6">
      <c r="A63">
        <v>53</v>
      </c>
    </row>
    <row r="64" spans="1:6">
      <c r="A64">
        <v>54</v>
      </c>
    </row>
    <row r="65" spans="1:1">
      <c r="A65">
        <v>55</v>
      </c>
    </row>
    <row r="66" spans="1:1">
      <c r="A66">
        <v>56</v>
      </c>
    </row>
    <row r="67" spans="1:1">
      <c r="A67">
        <v>57</v>
      </c>
    </row>
    <row r="68" spans="1:1">
      <c r="A68">
        <v>58</v>
      </c>
    </row>
    <row r="69" spans="1:1">
      <c r="A69">
        <v>59</v>
      </c>
    </row>
    <row r="70" spans="1:1">
      <c r="A70">
        <v>60</v>
      </c>
    </row>
    <row r="71" spans="1:1">
      <c r="A71">
        <v>61</v>
      </c>
    </row>
    <row r="72" spans="1:1">
      <c r="A72">
        <v>62</v>
      </c>
    </row>
    <row r="73" spans="1:1">
      <c r="A73">
        <v>63</v>
      </c>
    </row>
    <row r="74" spans="1:1">
      <c r="A74">
        <v>64</v>
      </c>
    </row>
    <row r="75" spans="1:1">
      <c r="A75">
        <v>65</v>
      </c>
    </row>
    <row r="76" spans="1:1">
      <c r="A76">
        <v>66</v>
      </c>
    </row>
    <row r="77" spans="1:1">
      <c r="A77">
        <v>67</v>
      </c>
    </row>
    <row r="78" spans="1:1">
      <c r="A78">
        <v>68</v>
      </c>
    </row>
    <row r="79" spans="1:1">
      <c r="A79">
        <v>69</v>
      </c>
    </row>
    <row r="80" spans="1:1">
      <c r="A80">
        <v>70</v>
      </c>
    </row>
    <row r="81" spans="1:1">
      <c r="A81">
        <v>71</v>
      </c>
    </row>
    <row r="82" spans="1:1">
      <c r="A82">
        <v>72</v>
      </c>
    </row>
    <row r="83" spans="1:1">
      <c r="A83">
        <v>73</v>
      </c>
    </row>
    <row r="84" spans="1:1">
      <c r="A84">
        <v>74</v>
      </c>
    </row>
    <row r="85" spans="1:1">
      <c r="A85">
        <v>75</v>
      </c>
    </row>
    <row r="86" spans="1:1">
      <c r="A86">
        <v>76</v>
      </c>
    </row>
    <row r="87" spans="1:1">
      <c r="A87">
        <v>77</v>
      </c>
    </row>
    <row r="88" spans="1:1">
      <c r="A88">
        <v>78</v>
      </c>
    </row>
    <row r="89" spans="1:1">
      <c r="A89">
        <v>79</v>
      </c>
    </row>
    <row r="90" spans="1:1">
      <c r="A90">
        <v>80</v>
      </c>
    </row>
    <row r="91" spans="1:1">
      <c r="A91">
        <v>81</v>
      </c>
    </row>
    <row r="92" spans="1:1">
      <c r="A92">
        <v>82</v>
      </c>
    </row>
    <row r="93" spans="1:1">
      <c r="A93">
        <v>29</v>
      </c>
    </row>
    <row r="98" spans="1:1">
      <c r="A98">
        <v>98</v>
      </c>
    </row>
  </sheetData>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1">
    <tabColor theme="6"/>
  </sheetPr>
  <dimension ref="B4:AE53"/>
  <sheetViews>
    <sheetView tabSelected="1" view="pageLayout" zoomScaleNormal="100" workbookViewId="0">
      <selection activeCell="G14" sqref="G14"/>
    </sheetView>
  </sheetViews>
  <sheetFormatPr baseColWidth="10" defaultRowHeight="12.75" outlineLevelCol="1"/>
  <cols>
    <col min="1" max="4" width="5.7109375" style="877" customWidth="1"/>
    <col min="5" max="5" width="4.7109375" style="877" customWidth="1"/>
    <col min="6" max="6" width="5.7109375" style="877" customWidth="1"/>
    <col min="7" max="7" width="6.7109375" style="877" customWidth="1"/>
    <col min="8" max="8" width="5.7109375" style="877" customWidth="1"/>
    <col min="9" max="9" width="2.7109375" style="877" customWidth="1"/>
    <col min="10" max="14" width="5.7109375" style="877" customWidth="1"/>
    <col min="15" max="15" width="8.7109375" style="877" customWidth="1"/>
    <col min="16" max="16" width="5.7109375" style="877" customWidth="1"/>
    <col min="17" max="30" width="5.7109375" style="877" hidden="1" customWidth="1" outlineLevel="1"/>
    <col min="31" max="31" width="5.7109375" style="877" customWidth="1" collapsed="1"/>
    <col min="32" max="47" width="5.7109375" style="877" customWidth="1"/>
    <col min="48" max="16384" width="11.42578125" style="877"/>
  </cols>
  <sheetData>
    <row r="4" spans="2:20" ht="18" customHeight="1">
      <c r="B4" s="31"/>
      <c r="C4" s="31"/>
      <c r="D4" s="31"/>
      <c r="E4" s="31"/>
      <c r="F4" s="31"/>
      <c r="G4" s="31"/>
    </row>
    <row r="5" spans="2:20">
      <c r="B5" s="31"/>
      <c r="C5" s="31"/>
      <c r="D5" s="31"/>
      <c r="E5" s="31"/>
      <c r="F5" s="31"/>
      <c r="G5" s="31"/>
    </row>
    <row r="6" spans="2:20">
      <c r="B6" s="31"/>
      <c r="C6" s="31"/>
      <c r="D6" s="31"/>
      <c r="E6" s="31"/>
      <c r="F6" s="31"/>
      <c r="G6" s="31"/>
    </row>
    <row r="7" spans="2:20" ht="12" customHeight="1">
      <c r="K7" s="23"/>
    </row>
    <row r="8" spans="2:20" ht="6.75" customHeight="1">
      <c r="K8" s="23"/>
    </row>
    <row r="9" spans="2:20" ht="14.1" customHeight="1">
      <c r="J9" s="110" t="str">
        <f>TRIM(CivilAdht&amp; " " &amp; NomAdht&amp; " ")</f>
        <v/>
      </c>
      <c r="K9" s="110"/>
      <c r="L9" s="110"/>
      <c r="R9" s="725" t="s">
        <v>459</v>
      </c>
      <c r="S9" s="877" t="str">
        <f>RIGHT(T9,2)&amp;"/"&amp;MID(T9,5,2)&amp;"/"&amp;LEFT(T9,4)</f>
        <v>30/06/2017</v>
      </c>
      <c r="T9" s="877">
        <f>Données!B767</f>
        <v>20170630</v>
      </c>
    </row>
    <row r="10" spans="2:20" ht="14.1" customHeight="1">
      <c r="J10" s="111" t="str">
        <f xml:space="preserve"> TRIM(AdresAdht1)</f>
        <v/>
      </c>
      <c r="K10" s="111"/>
      <c r="R10" s="725" t="s">
        <v>460</v>
      </c>
      <c r="S10" s="877" t="str">
        <f t="shared" ref="S10:S15" si="0">RIGHT(T10,2)&amp;"/"&amp;MID(T10,5,2)&amp;"/"&amp;LEFT(T10,4)</f>
        <v>30/06/2016</v>
      </c>
      <c r="T10" s="877">
        <f>Données!B768</f>
        <v>20160630</v>
      </c>
    </row>
    <row r="11" spans="2:20" ht="14.1" customHeight="1">
      <c r="J11" s="111" t="str">
        <f xml:space="preserve"> TRIM(AdresAdht2)</f>
        <v/>
      </c>
      <c r="K11" s="111"/>
      <c r="R11" s="725" t="s">
        <v>461</v>
      </c>
      <c r="S11" s="877" t="str">
        <f t="shared" si="0"/>
        <v>30/06/2015</v>
      </c>
      <c r="T11" s="877">
        <f>Données!B769</f>
        <v>20150630</v>
      </c>
    </row>
    <row r="12" spans="2:20" ht="14.1" customHeight="1">
      <c r="J12" s="112" t="str">
        <f>IF(LEN(TRIM(CPAdht))&lt;5,"0" &amp; TRIM(CPAdht &amp; " " &amp; VilleAdht),TRIM(CPAdht &amp; " " &amp; VilleAdht))</f>
        <v>0</v>
      </c>
      <c r="K12" s="112"/>
    </row>
    <row r="13" spans="2:20" ht="12" customHeight="1">
      <c r="R13" s="725" t="s">
        <v>464</v>
      </c>
      <c r="S13" s="877" t="str">
        <f t="shared" si="0"/>
        <v>01/07/2016</v>
      </c>
      <c r="T13" s="877">
        <f>Données!B770</f>
        <v>20160701</v>
      </c>
    </row>
    <row r="14" spans="2:20" ht="12" customHeight="1">
      <c r="R14" s="725" t="s">
        <v>462</v>
      </c>
      <c r="S14" s="877" t="str">
        <f t="shared" si="0"/>
        <v>01/07/2015</v>
      </c>
      <c r="T14" s="877">
        <f>Données!B771</f>
        <v>20150701</v>
      </c>
    </row>
    <row r="15" spans="2:20" ht="12" customHeight="1">
      <c r="R15" s="725" t="s">
        <v>463</v>
      </c>
      <c r="S15" s="877" t="str">
        <f t="shared" si="0"/>
        <v>01/07/2014</v>
      </c>
      <c r="T15" s="877">
        <f>Données!B772</f>
        <v>20140701</v>
      </c>
    </row>
    <row r="16" spans="2:20" ht="12" customHeight="1"/>
    <row r="17" spans="2:19" ht="12" customHeight="1"/>
    <row r="18" spans="2:19" ht="12" customHeight="1"/>
    <row r="19" spans="2:19" ht="12" customHeight="1"/>
    <row r="20" spans="2:19" ht="12" customHeight="1"/>
    <row r="21" spans="2:19" ht="12" customHeight="1"/>
    <row r="25" spans="2:19" ht="18" customHeight="1">
      <c r="B25" s="1041"/>
      <c r="C25" s="1041"/>
      <c r="D25" s="1041"/>
      <c r="E25" s="1041"/>
      <c r="F25" s="1041"/>
      <c r="G25" s="1041"/>
      <c r="H25" s="1041"/>
      <c r="I25" s="1041"/>
      <c r="J25" s="1041"/>
      <c r="K25" s="1041"/>
      <c r="L25" s="1041"/>
      <c r="M25" s="1041"/>
      <c r="N25" s="1041"/>
      <c r="O25" s="1041"/>
    </row>
    <row r="26" spans="2:19" ht="60.75">
      <c r="B26" s="1041"/>
      <c r="C26" s="1041"/>
      <c r="D26" s="1041"/>
      <c r="E26" s="1041"/>
      <c r="F26" s="1041"/>
      <c r="G26" s="1041"/>
      <c r="H26" s="1041"/>
      <c r="I26" s="1041"/>
      <c r="J26" s="1041"/>
      <c r="K26" s="1041"/>
      <c r="L26" s="1041"/>
      <c r="M26" s="1041"/>
      <c r="N26" s="1041"/>
      <c r="O26" s="1041"/>
      <c r="S26" s="23"/>
    </row>
    <row r="27" spans="2:19" ht="60.75">
      <c r="B27" s="1041"/>
      <c r="C27" s="1041"/>
      <c r="D27" s="1041"/>
      <c r="E27" s="1041"/>
      <c r="F27" s="1041"/>
      <c r="G27" s="1041"/>
      <c r="H27" s="1041"/>
      <c r="I27" s="1041"/>
      <c r="J27" s="1041"/>
      <c r="K27" s="1041"/>
      <c r="L27" s="1041"/>
      <c r="M27" s="1041"/>
      <c r="N27" s="1041"/>
      <c r="O27" s="1041"/>
      <c r="S27" s="23"/>
    </row>
    <row r="28" spans="2:19" ht="15.75">
      <c r="B28" s="30"/>
      <c r="C28" s="30"/>
      <c r="D28" s="30"/>
      <c r="E28" s="30"/>
      <c r="F28" s="30"/>
      <c r="G28" s="30"/>
      <c r="H28" s="30"/>
      <c r="I28" s="30"/>
      <c r="J28" s="30"/>
      <c r="K28" s="30"/>
      <c r="L28" s="30"/>
      <c r="M28" s="30"/>
      <c r="N28" s="30"/>
      <c r="O28" s="30"/>
      <c r="S28" s="23"/>
    </row>
    <row r="29" spans="2:19" ht="15.75">
      <c r="B29" s="30"/>
      <c r="C29" s="30"/>
      <c r="D29" s="30"/>
      <c r="E29" s="30"/>
      <c r="F29" s="30"/>
      <c r="G29" s="30"/>
      <c r="H29" s="30"/>
      <c r="I29" s="30"/>
      <c r="J29" s="30"/>
      <c r="K29" s="30"/>
      <c r="L29" s="30"/>
      <c r="M29" s="30"/>
      <c r="N29" s="30"/>
      <c r="O29" s="30"/>
      <c r="S29" s="24"/>
    </row>
    <row r="30" spans="2:19" ht="15.75">
      <c r="B30" s="30"/>
      <c r="C30" s="30"/>
      <c r="D30" s="30"/>
      <c r="E30" s="30"/>
      <c r="F30" s="30"/>
      <c r="G30" s="30"/>
      <c r="H30" s="30"/>
      <c r="I30" s="30"/>
      <c r="J30" s="30"/>
      <c r="K30" s="30"/>
      <c r="L30" s="30"/>
      <c r="M30" s="30"/>
      <c r="N30" s="30"/>
      <c r="O30" s="30"/>
      <c r="S30" s="23"/>
    </row>
    <row r="31" spans="2:19" ht="15.75">
      <c r="B31" s="30"/>
      <c r="C31" s="30"/>
      <c r="D31" s="30"/>
      <c r="E31" s="30"/>
      <c r="F31" s="30"/>
      <c r="G31" s="30"/>
      <c r="H31" s="30"/>
      <c r="I31" s="30"/>
      <c r="J31" s="30"/>
      <c r="K31" s="30"/>
      <c r="L31" s="30"/>
      <c r="M31" s="30"/>
      <c r="N31" s="30"/>
      <c r="O31" s="30"/>
      <c r="S31" s="23"/>
    </row>
    <row r="32" spans="2:19" ht="15.75">
      <c r="B32" s="30"/>
      <c r="C32" s="30"/>
      <c r="D32" s="30"/>
      <c r="E32" s="30"/>
      <c r="F32" s="30"/>
      <c r="G32" s="30"/>
      <c r="H32" s="30"/>
      <c r="I32" s="30"/>
      <c r="J32" s="30"/>
      <c r="K32" s="30"/>
      <c r="L32" s="30"/>
      <c r="M32" s="30"/>
      <c r="N32" s="30"/>
      <c r="O32" s="30"/>
      <c r="S32" s="23"/>
    </row>
    <row r="33" spans="2:19" ht="15.75">
      <c r="B33" s="30"/>
      <c r="C33" s="30"/>
      <c r="D33" s="30"/>
      <c r="E33" s="30"/>
      <c r="F33" s="30"/>
      <c r="G33" s="30"/>
      <c r="H33" s="30"/>
      <c r="I33" s="30"/>
      <c r="J33" s="30"/>
      <c r="K33" s="30"/>
      <c r="L33" s="30"/>
      <c r="M33" s="30"/>
      <c r="N33" s="30"/>
      <c r="O33" s="30"/>
      <c r="S33" s="23"/>
    </row>
    <row r="34" spans="2:19">
      <c r="B34" s="30"/>
      <c r="C34" s="30"/>
      <c r="D34" s="30"/>
      <c r="E34" s="30"/>
      <c r="F34" s="30"/>
      <c r="G34" s="30"/>
      <c r="H34" s="30"/>
      <c r="I34" s="30"/>
      <c r="J34" s="30"/>
      <c r="K34" s="30"/>
      <c r="L34" s="30"/>
      <c r="M34" s="30"/>
      <c r="N34" s="30"/>
      <c r="O34" s="30"/>
    </row>
    <row r="35" spans="2:19">
      <c r="B35" s="30"/>
      <c r="C35" s="30"/>
      <c r="D35" s="30"/>
      <c r="E35" s="30"/>
      <c r="F35" s="30"/>
      <c r="G35" s="30"/>
      <c r="H35" s="30"/>
      <c r="I35" s="30"/>
      <c r="J35" s="30"/>
      <c r="K35" s="30"/>
      <c r="L35" s="30"/>
      <c r="M35" s="30"/>
      <c r="N35" s="30"/>
      <c r="O35" s="30"/>
    </row>
    <row r="36" spans="2:19">
      <c r="B36" s="30"/>
      <c r="C36" s="30"/>
      <c r="D36" s="30"/>
      <c r="E36" s="30"/>
      <c r="F36" s="30"/>
      <c r="G36" s="30"/>
      <c r="H36" s="30"/>
      <c r="I36" s="30"/>
      <c r="J36" s="30"/>
      <c r="K36" s="30"/>
      <c r="L36" s="30"/>
      <c r="M36" s="30"/>
      <c r="N36" s="30"/>
      <c r="O36" s="30"/>
    </row>
    <row r="37" spans="2:19">
      <c r="B37" s="30"/>
      <c r="C37" s="30"/>
      <c r="D37" s="30"/>
      <c r="E37" s="30"/>
      <c r="F37" s="30"/>
      <c r="G37" s="30"/>
      <c r="H37" s="30"/>
      <c r="I37" s="30"/>
      <c r="J37" s="30"/>
      <c r="K37" s="30"/>
      <c r="L37" s="30"/>
      <c r="M37" s="30"/>
      <c r="N37" s="30"/>
      <c r="O37" s="30"/>
    </row>
    <row r="38" spans="2:19" ht="15">
      <c r="B38" s="113"/>
      <c r="C38" s="113"/>
      <c r="D38" s="113"/>
      <c r="E38" s="113"/>
      <c r="F38" s="113"/>
      <c r="G38" s="113"/>
      <c r="H38" s="113"/>
      <c r="I38" s="113"/>
      <c r="J38" s="42"/>
      <c r="K38" s="114" t="s">
        <v>0</v>
      </c>
      <c r="L38" s="42"/>
      <c r="M38" s="113"/>
      <c r="N38" s="30"/>
      <c r="O38" s="30"/>
    </row>
    <row r="39" spans="2:19">
      <c r="B39" s="113"/>
      <c r="C39" s="113"/>
      <c r="D39" s="113"/>
      <c r="E39" s="113"/>
      <c r="F39" s="113"/>
      <c r="G39" s="113"/>
      <c r="H39" s="113"/>
      <c r="I39" s="113"/>
      <c r="J39" s="42"/>
      <c r="K39" s="42"/>
      <c r="L39" s="42"/>
      <c r="M39" s="113"/>
      <c r="N39" s="30"/>
      <c r="O39" s="30"/>
    </row>
    <row r="40" spans="2:19">
      <c r="B40" s="42"/>
      <c r="C40" s="42"/>
      <c r="D40" s="42"/>
      <c r="E40" s="42"/>
      <c r="F40" s="42"/>
      <c r="G40" s="42"/>
      <c r="H40" s="42"/>
      <c r="I40" s="42"/>
      <c r="J40" s="42"/>
      <c r="K40" s="115" t="str">
        <f>"  du "&amp;TEXT(DebutExNAA,"jj mmmm aaaa")</f>
        <v xml:space="preserve">  du 01 juillet 2016</v>
      </c>
      <c r="L40" s="42"/>
      <c r="M40" s="42"/>
    </row>
    <row r="41" spans="2:19">
      <c r="B41" s="42"/>
      <c r="C41" s="42"/>
      <c r="D41" s="42"/>
      <c r="E41" s="42"/>
      <c r="F41" s="42"/>
      <c r="G41" s="42"/>
      <c r="H41" s="42"/>
      <c r="I41" s="42"/>
      <c r="J41" s="42"/>
      <c r="K41" s="116" t="str">
        <f>"  au "&amp; TEXT(FinExNAA,"jj mmmm aaaa")</f>
        <v xml:space="preserve">  au 30 juin 2017</v>
      </c>
      <c r="L41" s="42"/>
      <c r="M41" s="42"/>
    </row>
    <row r="42" spans="2:19">
      <c r="B42" s="42"/>
      <c r="C42" s="42"/>
      <c r="D42" s="42"/>
      <c r="E42" s="42"/>
      <c r="F42" s="42"/>
      <c r="G42" s="42"/>
      <c r="H42" s="42"/>
      <c r="I42" s="42"/>
      <c r="J42" s="42"/>
      <c r="K42" s="42"/>
      <c r="L42" s="42"/>
      <c r="M42" s="42"/>
    </row>
    <row r="43" spans="2:19">
      <c r="B43" s="42"/>
      <c r="C43" s="42"/>
      <c r="D43" s="42"/>
      <c r="E43" s="42"/>
      <c r="F43" s="42"/>
      <c r="G43" s="42"/>
      <c r="H43" s="42"/>
      <c r="I43" s="42"/>
      <c r="J43" s="42"/>
      <c r="K43" s="42"/>
      <c r="L43" s="42"/>
      <c r="M43" s="42"/>
    </row>
    <row r="44" spans="2:19">
      <c r="B44" s="42"/>
      <c r="C44" s="42"/>
      <c r="D44" s="42"/>
      <c r="E44" s="42"/>
      <c r="F44" s="42"/>
      <c r="G44" s="42"/>
      <c r="H44" s="42"/>
      <c r="I44" s="42"/>
      <c r="J44" s="42"/>
      <c r="K44" s="42"/>
      <c r="L44" s="42"/>
      <c r="M44" s="42"/>
    </row>
    <row r="45" spans="2:19">
      <c r="B45" s="42"/>
      <c r="C45" s="42"/>
      <c r="D45" s="42"/>
      <c r="E45" s="42"/>
      <c r="F45" s="42"/>
      <c r="G45" s="42"/>
      <c r="H45" s="42"/>
      <c r="I45" s="42"/>
      <c r="J45" s="42"/>
      <c r="K45" s="42"/>
      <c r="L45" s="42"/>
      <c r="M45" s="42"/>
    </row>
    <row r="46" spans="2:19">
      <c r="B46" s="45" t="s">
        <v>39</v>
      </c>
      <c r="C46" s="42"/>
      <c r="D46" s="42" t="str">
        <f>TRIM(NumCabinet) &amp; "/" &amp; (NumAdht)</f>
        <v>/</v>
      </c>
      <c r="E46" s="42"/>
      <c r="F46" s="42"/>
      <c r="G46" s="42"/>
      <c r="H46" s="42"/>
      <c r="I46" s="42"/>
      <c r="J46" s="42"/>
      <c r="K46" s="42"/>
      <c r="L46" s="42"/>
      <c r="M46" s="42"/>
    </row>
    <row r="47" spans="2:19" ht="12.75" customHeight="1">
      <c r="B47" s="45"/>
      <c r="C47" s="42"/>
      <c r="D47" s="42"/>
      <c r="E47" s="42"/>
      <c r="F47" s="42"/>
      <c r="G47" s="42"/>
      <c r="H47" s="42"/>
      <c r="I47" s="42"/>
      <c r="J47" s="42"/>
      <c r="K47" s="42"/>
      <c r="L47" s="42"/>
      <c r="M47" s="42"/>
    </row>
    <row r="48" spans="2:19" ht="12" customHeight="1">
      <c r="B48" s="45" t="s">
        <v>40</v>
      </c>
      <c r="C48" s="42"/>
      <c r="D48" s="42"/>
      <c r="E48" s="42"/>
      <c r="F48" s="42"/>
      <c r="G48" s="48"/>
      <c r="H48" s="42"/>
      <c r="I48" s="42"/>
      <c r="J48" s="42"/>
      <c r="K48" s="42"/>
      <c r="L48" s="42"/>
      <c r="M48" s="42"/>
    </row>
    <row r="49" spans="10:19" ht="15.75">
      <c r="J49" s="25"/>
    </row>
    <row r="50" spans="10:19" ht="15.75" customHeight="1"/>
    <row r="51" spans="10:19" ht="20.25" customHeight="1">
      <c r="J51" s="13"/>
    </row>
    <row r="52" spans="10:19" ht="12.75" customHeight="1">
      <c r="S52" s="22"/>
    </row>
    <row r="53" spans="10:19" ht="12.75" customHeight="1">
      <c r="S53" s="22"/>
    </row>
  </sheetData>
  <mergeCells count="3">
    <mergeCell ref="B25:O25"/>
    <mergeCell ref="B26:O26"/>
    <mergeCell ref="B27:O27"/>
  </mergeCells>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oddFooter>Page &amp;P</oddFooter>
  </headerFooter>
  <drawing r:id="rId2"/>
  <legacyDrawing r:id="rId3"/>
  <oleObjects>
    <mc:AlternateContent xmlns:mc="http://schemas.openxmlformats.org/markup-compatibility/2006">
      <mc:Choice Requires="x14">
        <oleObject progId="MSPhotoEd.3" shapeId="53249" r:id="rId4">
          <objectPr defaultSize="0" autoPict="0" r:id="rId5">
            <anchor moveWithCells="1" sizeWithCells="1">
              <from>
                <xdr:col>1</xdr:col>
                <xdr:colOff>180975</xdr:colOff>
                <xdr:row>1</xdr:row>
                <xdr:rowOff>152400</xdr:rowOff>
              </from>
              <to>
                <xdr:col>6</xdr:col>
                <xdr:colOff>228600</xdr:colOff>
                <xdr:row>6</xdr:row>
                <xdr:rowOff>123825</xdr:rowOff>
              </to>
            </anchor>
          </objectPr>
        </oleObject>
      </mc:Choice>
      <mc:Fallback>
        <oleObject progId="MSPhotoEd.3" shapeId="53249" r:id="rId4"/>
      </mc:Fallback>
    </mc:AlternateContent>
  </oleObjec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0">
    <tabColor theme="6"/>
  </sheetPr>
  <dimension ref="A1:E54"/>
  <sheetViews>
    <sheetView topLeftCell="A19" zoomScaleNormal="100" workbookViewId="0">
      <selection activeCell="C43" sqref="C43"/>
    </sheetView>
  </sheetViews>
  <sheetFormatPr baseColWidth="10" defaultRowHeight="12.75"/>
  <cols>
    <col min="1" max="1" width="10.28515625" style="877" customWidth="1"/>
    <col min="2" max="2" width="54.28515625" style="877" customWidth="1"/>
    <col min="3" max="4" width="10.85546875" style="877" customWidth="1"/>
    <col min="5" max="5" width="2.7109375" style="877" customWidth="1"/>
    <col min="6" max="16384" width="11.42578125" style="877"/>
  </cols>
  <sheetData>
    <row r="1" spans="1:5">
      <c r="A1" s="4"/>
      <c r="B1" s="4"/>
      <c r="C1" s="4"/>
      <c r="D1" s="4"/>
      <c r="E1" s="4"/>
    </row>
    <row r="2" spans="1:5">
      <c r="A2" s="4"/>
      <c r="B2" s="4"/>
      <c r="C2" s="4"/>
      <c r="D2" s="4"/>
      <c r="E2" s="4"/>
    </row>
    <row r="3" spans="1:5">
      <c r="A3" s="4"/>
      <c r="B3" s="4"/>
      <c r="C3" s="4"/>
      <c r="D3" s="4"/>
      <c r="E3" s="4"/>
    </row>
    <row r="4" spans="1:5">
      <c r="A4" s="4"/>
      <c r="B4" s="4"/>
      <c r="C4" s="4"/>
      <c r="D4" s="4"/>
      <c r="E4" s="4"/>
    </row>
    <row r="5" spans="1:5" ht="30">
      <c r="A5" s="27"/>
      <c r="B5" s="27"/>
      <c r="C5" s="27"/>
      <c r="D5" s="27"/>
      <c r="E5" s="27"/>
    </row>
    <row r="6" spans="1:5" ht="30" customHeight="1">
      <c r="A6" s="4"/>
      <c r="B6" s="4"/>
      <c r="C6" s="27"/>
      <c r="D6" s="27"/>
      <c r="E6" s="4"/>
    </row>
    <row r="7" spans="1:5" ht="15" customHeight="1">
      <c r="A7" s="4"/>
      <c r="B7" s="117"/>
      <c r="C7" s="117" t="s">
        <v>1</v>
      </c>
      <c r="D7" s="4"/>
      <c r="E7" s="4"/>
    </row>
    <row r="8" spans="1:5" ht="10.5" customHeight="1">
      <c r="A8" s="4"/>
      <c r="B8" s="853"/>
      <c r="C8" s="118"/>
      <c r="D8" s="4"/>
      <c r="E8" s="4"/>
    </row>
    <row r="9" spans="1:5" ht="15">
      <c r="A9" s="4"/>
      <c r="B9" s="853" t="s">
        <v>41</v>
      </c>
      <c r="C9" s="118">
        <v>2</v>
      </c>
      <c r="D9" s="4"/>
      <c r="E9" s="4"/>
    </row>
    <row r="10" spans="1:5" ht="15">
      <c r="A10" s="4"/>
      <c r="B10" s="853"/>
      <c r="C10" s="118"/>
      <c r="D10" s="4"/>
      <c r="E10" s="4"/>
    </row>
    <row r="11" spans="1:5" ht="15">
      <c r="A11" s="4"/>
      <c r="B11" s="853" t="s">
        <v>42</v>
      </c>
      <c r="C11" s="118">
        <v>3</v>
      </c>
      <c r="D11" s="4"/>
      <c r="E11" s="4"/>
    </row>
    <row r="12" spans="1:5" ht="18" customHeight="1">
      <c r="A12" s="4"/>
      <c r="B12" s="853"/>
      <c r="C12" s="118"/>
      <c r="D12" s="4"/>
      <c r="E12" s="4"/>
    </row>
    <row r="13" spans="1:5" ht="15">
      <c r="A13" s="4"/>
      <c r="B13" s="853" t="s">
        <v>44</v>
      </c>
      <c r="C13" s="118">
        <v>4</v>
      </c>
      <c r="D13" s="4"/>
      <c r="E13" s="4"/>
    </row>
    <row r="14" spans="1:5" ht="15">
      <c r="A14" s="4"/>
      <c r="B14" s="853"/>
      <c r="C14" s="118"/>
      <c r="D14" s="4"/>
      <c r="E14" s="4"/>
    </row>
    <row r="15" spans="1:5" ht="18" customHeight="1">
      <c r="A15" s="4"/>
      <c r="B15" s="853"/>
      <c r="C15" s="118"/>
      <c r="D15" s="4"/>
      <c r="E15" s="4"/>
    </row>
    <row r="16" spans="1:5" ht="15">
      <c r="A16" s="4"/>
      <c r="B16" s="119" t="s">
        <v>47</v>
      </c>
      <c r="C16" s="118"/>
      <c r="D16" s="4"/>
      <c r="E16" s="4"/>
    </row>
    <row r="17" spans="1:5" ht="15">
      <c r="A17" s="4"/>
      <c r="B17" s="853"/>
      <c r="C17" s="118"/>
      <c r="D17" s="4"/>
      <c r="E17" s="4"/>
    </row>
    <row r="18" spans="1:5" ht="15">
      <c r="A18" s="4"/>
      <c r="B18" s="853" t="s">
        <v>48</v>
      </c>
      <c r="C18" s="118">
        <v>5</v>
      </c>
      <c r="D18" s="4"/>
      <c r="E18" s="4"/>
    </row>
    <row r="19" spans="1:5" ht="15">
      <c r="A19" s="4"/>
      <c r="B19" s="853"/>
      <c r="C19" s="118"/>
      <c r="D19" s="4"/>
      <c r="E19" s="4"/>
    </row>
    <row r="20" spans="1:5" ht="15">
      <c r="A20" s="4"/>
      <c r="B20" s="853" t="s">
        <v>49</v>
      </c>
      <c r="C20" s="118">
        <v>6</v>
      </c>
      <c r="D20" s="4"/>
      <c r="E20" s="4"/>
    </row>
    <row r="21" spans="1:5" ht="15">
      <c r="A21" s="4"/>
      <c r="B21" s="853"/>
      <c r="C21" s="118"/>
      <c r="D21" s="4"/>
      <c r="E21" s="4"/>
    </row>
    <row r="22" spans="1:5" ht="15">
      <c r="A22" s="4"/>
      <c r="B22" s="853" t="s">
        <v>50</v>
      </c>
      <c r="C22" s="118">
        <v>7</v>
      </c>
      <c r="D22" s="4"/>
      <c r="E22" s="4"/>
    </row>
    <row r="23" spans="1:5" ht="18" customHeight="1">
      <c r="A23" s="4"/>
      <c r="B23" s="853"/>
      <c r="C23" s="118"/>
      <c r="D23" s="4"/>
      <c r="E23" s="4"/>
    </row>
    <row r="24" spans="1:5" ht="15">
      <c r="A24" s="4"/>
      <c r="B24" s="119" t="s">
        <v>307</v>
      </c>
      <c r="C24" s="118" t="s">
        <v>320</v>
      </c>
      <c r="D24" s="4"/>
      <c r="E24" s="4"/>
    </row>
    <row r="25" spans="1:5" ht="18" customHeight="1">
      <c r="A25" s="4"/>
      <c r="B25" s="119"/>
      <c r="C25" s="121"/>
      <c r="D25" s="4"/>
      <c r="E25" s="4"/>
    </row>
    <row r="26" spans="1:5" ht="15">
      <c r="A26" s="4"/>
      <c r="B26" s="119" t="s">
        <v>51</v>
      </c>
      <c r="C26" s="121"/>
      <c r="D26" s="4"/>
      <c r="E26" s="4"/>
    </row>
    <row r="27" spans="1:5" ht="15">
      <c r="A27" s="4"/>
      <c r="B27" s="853"/>
      <c r="C27" s="121"/>
      <c r="D27" s="4"/>
      <c r="E27" s="4"/>
    </row>
    <row r="28" spans="1:5" ht="15">
      <c r="A28" s="4"/>
      <c r="B28" s="853" t="s">
        <v>340</v>
      </c>
      <c r="C28" s="118">
        <v>12</v>
      </c>
      <c r="D28" s="4"/>
      <c r="E28" s="4"/>
    </row>
    <row r="29" spans="1:5" ht="15">
      <c r="A29" s="4"/>
      <c r="B29" s="853"/>
      <c r="C29" s="118"/>
      <c r="D29" s="4"/>
      <c r="E29" s="4"/>
    </row>
    <row r="30" spans="1:5" ht="15">
      <c r="A30" s="4"/>
      <c r="B30" s="853" t="s">
        <v>341</v>
      </c>
      <c r="C30" s="118">
        <v>13</v>
      </c>
      <c r="D30" s="4"/>
      <c r="E30" s="4"/>
    </row>
    <row r="31" spans="1:5" ht="15">
      <c r="A31" s="4"/>
      <c r="B31" s="853"/>
      <c r="C31" s="118"/>
      <c r="D31" s="4"/>
      <c r="E31" s="4"/>
    </row>
    <row r="32" spans="1:5" ht="15">
      <c r="A32" s="4"/>
      <c r="B32" s="853" t="s">
        <v>52</v>
      </c>
      <c r="C32" s="118">
        <v>14</v>
      </c>
      <c r="D32" s="4"/>
      <c r="E32" s="4"/>
    </row>
    <row r="33" spans="1:5" ht="15">
      <c r="A33" s="4"/>
      <c r="B33" s="853"/>
      <c r="C33" s="118"/>
      <c r="D33" s="4"/>
      <c r="E33" s="4"/>
    </row>
    <row r="34" spans="1:5" ht="15">
      <c r="A34" s="4"/>
      <c r="B34" s="853" t="s">
        <v>53</v>
      </c>
      <c r="C34" s="118">
        <v>15</v>
      </c>
      <c r="D34" s="4"/>
      <c r="E34" s="4"/>
    </row>
    <row r="35" spans="1:5" ht="15">
      <c r="A35" s="4"/>
      <c r="B35" s="853"/>
      <c r="C35" s="118"/>
      <c r="D35" s="4"/>
      <c r="E35" s="4"/>
    </row>
    <row r="36" spans="1:5" ht="15">
      <c r="A36" s="4"/>
      <c r="B36" s="853" t="s">
        <v>54</v>
      </c>
      <c r="C36" s="118">
        <v>16</v>
      </c>
      <c r="D36" s="4"/>
      <c r="E36" s="4"/>
    </row>
    <row r="37" spans="1:5" ht="15">
      <c r="A37" s="4"/>
      <c r="B37" s="853"/>
      <c r="C37" s="118"/>
      <c r="D37" s="4"/>
      <c r="E37" s="4"/>
    </row>
    <row r="38" spans="1:5" ht="15">
      <c r="A38" s="4"/>
      <c r="B38" s="853" t="s">
        <v>55</v>
      </c>
      <c r="C38" s="118">
        <v>17</v>
      </c>
      <c r="D38" s="4"/>
      <c r="E38" s="4"/>
    </row>
    <row r="39" spans="1:5" ht="15">
      <c r="A39" s="4"/>
      <c r="B39" s="853"/>
      <c r="C39" s="118"/>
      <c r="D39" s="4"/>
      <c r="E39" s="4"/>
    </row>
    <row r="40" spans="1:5" ht="15">
      <c r="A40" s="4"/>
      <c r="B40" s="853" t="s">
        <v>56</v>
      </c>
      <c r="C40" s="118">
        <v>18</v>
      </c>
      <c r="D40" s="4"/>
      <c r="E40" s="4"/>
    </row>
    <row r="41" spans="1:5" ht="15">
      <c r="A41" s="4"/>
      <c r="B41" s="853"/>
      <c r="C41" s="118"/>
      <c r="D41" s="4"/>
      <c r="E41" s="4"/>
    </row>
    <row r="42" spans="1:5" ht="15">
      <c r="A42" s="4"/>
      <c r="B42" s="7" t="s">
        <v>561</v>
      </c>
      <c r="C42" s="19">
        <v>19</v>
      </c>
      <c r="D42" s="14"/>
      <c r="E42" s="4"/>
    </row>
    <row r="43" spans="1:5" ht="12" customHeight="1">
      <c r="A43" s="4"/>
      <c r="B43" s="7"/>
      <c r="C43" s="19"/>
      <c r="D43" s="4"/>
      <c r="E43" s="4"/>
    </row>
    <row r="44" spans="1:5" ht="15" customHeight="1">
      <c r="B44" s="852"/>
      <c r="C44" s="26"/>
    </row>
    <row r="45" spans="1:5" ht="15" customHeight="1">
      <c r="B45" s="852"/>
      <c r="C45" s="26"/>
    </row>
    <row r="46" spans="1:5" ht="15" customHeight="1">
      <c r="B46" s="852"/>
      <c r="C46" s="26"/>
    </row>
    <row r="47" spans="1:5" ht="15" customHeight="1">
      <c r="B47" s="852"/>
      <c r="C47" s="26"/>
    </row>
    <row r="48" spans="1:5" ht="15">
      <c r="B48" s="852"/>
      <c r="C48" s="26"/>
    </row>
    <row r="49" spans="2:3" ht="15">
      <c r="B49" s="852"/>
      <c r="C49" s="26"/>
    </row>
    <row r="50" spans="2:3" ht="15">
      <c r="B50" s="852"/>
      <c r="C50" s="26"/>
    </row>
    <row r="51" spans="2:3" ht="15">
      <c r="B51" s="852"/>
      <c r="C51" s="26"/>
    </row>
    <row r="52" spans="2:3" ht="15">
      <c r="B52" s="852"/>
      <c r="C52" s="26"/>
    </row>
    <row r="53" spans="2:3" ht="15">
      <c r="B53" s="852"/>
      <c r="C53" s="26"/>
    </row>
    <row r="54" spans="2:3" ht="15">
      <c r="B54" s="852"/>
      <c r="C54" s="852"/>
    </row>
  </sheetData>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oddFooter>Page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2">
    <tabColor theme="6"/>
  </sheetPr>
  <dimension ref="B5:J57"/>
  <sheetViews>
    <sheetView topLeftCell="A25" zoomScaleNormal="100" workbookViewId="0">
      <selection activeCell="F18" sqref="F18"/>
    </sheetView>
  </sheetViews>
  <sheetFormatPr baseColWidth="10" defaultRowHeight="12.75"/>
  <cols>
    <col min="1" max="16384" width="11.42578125" style="877"/>
  </cols>
  <sheetData>
    <row r="5" spans="2:10" ht="30">
      <c r="C5" s="32"/>
      <c r="D5" s="32"/>
    </row>
    <row r="6" spans="2:10" ht="30">
      <c r="D6" s="32"/>
    </row>
    <row r="7" spans="2:10" ht="15">
      <c r="B7" s="122"/>
      <c r="C7" s="42"/>
      <c r="D7" s="42"/>
      <c r="E7" s="42"/>
      <c r="F7" s="42"/>
      <c r="G7" s="42"/>
      <c r="H7" s="42"/>
    </row>
    <row r="8" spans="2:10">
      <c r="B8" s="42"/>
      <c r="C8" s="42"/>
      <c r="D8" s="42"/>
      <c r="E8" s="42"/>
      <c r="F8" s="42"/>
      <c r="G8" s="42"/>
      <c r="H8" s="42"/>
    </row>
    <row r="9" spans="2:10">
      <c r="B9" s="42"/>
      <c r="C9" s="42"/>
      <c r="D9" s="42"/>
      <c r="E9" s="42"/>
      <c r="F9" s="42"/>
      <c r="G9" s="42"/>
      <c r="H9" s="42"/>
    </row>
    <row r="10" spans="2:10" ht="15">
      <c r="B10" s="42"/>
      <c r="C10" s="42"/>
      <c r="D10" s="42"/>
      <c r="E10" s="42"/>
      <c r="F10" s="114" t="s">
        <v>0</v>
      </c>
      <c r="G10" s="42"/>
      <c r="H10" s="42"/>
    </row>
    <row r="11" spans="2:10" ht="15">
      <c r="B11" s="42"/>
      <c r="C11" s="42"/>
      <c r="D11" s="42"/>
      <c r="E11" s="42"/>
      <c r="F11" s="123" t="str">
        <f>"  du "&amp;TEXT(DebutExNAA,"jj mmmm aaaa")</f>
        <v xml:space="preserve">  du 01 juillet 2016</v>
      </c>
      <c r="G11" s="42"/>
      <c r="H11" s="42"/>
      <c r="J11" s="123"/>
    </row>
    <row r="12" spans="2:10" ht="15">
      <c r="B12" s="42"/>
      <c r="C12" s="42"/>
      <c r="D12" s="42"/>
      <c r="E12" s="42"/>
      <c r="F12" s="124" t="str">
        <f>"  au "&amp; TEXT(FinExNAA,"jj mmmm aaaa")</f>
        <v xml:space="preserve">  au 30 juin 2017</v>
      </c>
      <c r="G12" s="42"/>
      <c r="H12" s="42"/>
    </row>
    <row r="13" spans="2:10">
      <c r="B13" s="42"/>
      <c r="C13" s="42"/>
      <c r="D13" s="42"/>
      <c r="E13" s="42"/>
      <c r="F13" s="42"/>
      <c r="G13" s="42"/>
      <c r="H13" s="42"/>
    </row>
    <row r="14" spans="2:10">
      <c r="B14" s="42"/>
      <c r="C14" s="42"/>
      <c r="D14" s="42"/>
      <c r="E14" s="42"/>
      <c r="F14" s="42"/>
      <c r="G14" s="42"/>
      <c r="H14" s="42"/>
    </row>
    <row r="15" spans="2:10">
      <c r="B15" s="42"/>
      <c r="C15" s="42"/>
      <c r="D15" s="42"/>
      <c r="E15" s="42"/>
      <c r="F15" s="42"/>
      <c r="G15" s="42"/>
      <c r="H15" s="42"/>
    </row>
    <row r="16" spans="2:10">
      <c r="B16" s="42"/>
      <c r="C16" s="42"/>
      <c r="D16" s="42"/>
      <c r="E16" s="42"/>
      <c r="F16" s="42"/>
      <c r="G16" s="42"/>
      <c r="H16" s="42"/>
    </row>
    <row r="17" spans="2:8">
      <c r="B17" s="42"/>
      <c r="C17" s="42"/>
      <c r="D17" s="42"/>
      <c r="E17" s="42"/>
      <c r="F17" s="42"/>
      <c r="G17" s="42"/>
      <c r="H17" s="42"/>
    </row>
    <row r="18" spans="2:8">
      <c r="B18" s="42"/>
      <c r="C18" s="42"/>
      <c r="D18" s="42"/>
      <c r="E18" s="42"/>
      <c r="F18" s="42"/>
      <c r="G18" s="42"/>
      <c r="H18" s="42"/>
    </row>
    <row r="19" spans="2:8">
      <c r="B19" s="42"/>
      <c r="C19" s="42"/>
      <c r="D19" s="42"/>
      <c r="E19" s="42"/>
      <c r="F19" s="42"/>
      <c r="G19" s="42"/>
      <c r="H19" s="42"/>
    </row>
    <row r="20" spans="2:8">
      <c r="B20" s="42"/>
      <c r="C20" s="42"/>
      <c r="D20" s="42"/>
      <c r="E20" s="42"/>
      <c r="F20" s="42"/>
      <c r="G20" s="42"/>
      <c r="H20" s="42"/>
    </row>
    <row r="21" spans="2:8">
      <c r="B21" s="42"/>
      <c r="C21" s="42"/>
      <c r="D21" s="42"/>
      <c r="E21" s="42"/>
      <c r="F21" s="42"/>
      <c r="G21" s="42"/>
      <c r="H21" s="42"/>
    </row>
    <row r="22" spans="2:8">
      <c r="B22" s="42"/>
      <c r="C22" s="42"/>
      <c r="D22" s="42"/>
      <c r="E22" s="42"/>
      <c r="F22" s="42"/>
      <c r="G22" s="42"/>
      <c r="H22" s="42"/>
    </row>
    <row r="23" spans="2:8">
      <c r="B23" s="42"/>
      <c r="C23" s="42"/>
      <c r="D23" s="42"/>
      <c r="E23" s="42"/>
      <c r="F23" s="42"/>
      <c r="G23" s="42"/>
      <c r="H23" s="42"/>
    </row>
    <row r="24" spans="2:8">
      <c r="B24" s="42"/>
      <c r="C24" s="42"/>
      <c r="D24" s="42"/>
      <c r="E24" s="42"/>
      <c r="F24" s="42"/>
      <c r="G24" s="42"/>
      <c r="H24" s="42"/>
    </row>
    <row r="25" spans="2:8">
      <c r="B25" s="42"/>
      <c r="C25" s="42"/>
      <c r="D25" s="42"/>
      <c r="E25" s="42"/>
      <c r="F25" s="42"/>
      <c r="G25" s="42"/>
      <c r="H25" s="42"/>
    </row>
    <row r="26" spans="2:8" ht="15">
      <c r="B26" s="43" t="s">
        <v>327</v>
      </c>
      <c r="C26" s="43"/>
      <c r="D26" s="43"/>
      <c r="E26" s="43"/>
      <c r="F26" s="43"/>
      <c r="G26" s="43"/>
      <c r="H26" s="43"/>
    </row>
    <row r="27" spans="2:8" ht="9.75" customHeight="1">
      <c r="B27" s="43"/>
      <c r="C27" s="43"/>
      <c r="D27" s="43"/>
      <c r="E27" s="43"/>
      <c r="F27" s="43"/>
      <c r="G27" s="43"/>
      <c r="H27" s="43"/>
    </row>
    <row r="28" spans="2:8" ht="15">
      <c r="B28" s="43" t="s">
        <v>328</v>
      </c>
      <c r="C28" s="43"/>
      <c r="D28" s="43"/>
      <c r="E28" s="43"/>
      <c r="F28" s="43"/>
      <c r="G28" s="43"/>
      <c r="H28" s="43"/>
    </row>
    <row r="29" spans="2:8" ht="15">
      <c r="B29" s="43"/>
      <c r="C29" s="43"/>
      <c r="D29" s="43"/>
      <c r="E29" s="43"/>
      <c r="F29" s="43"/>
      <c r="G29" s="43"/>
      <c r="H29" s="43"/>
    </row>
    <row r="30" spans="2:8" ht="15">
      <c r="B30" s="43"/>
      <c r="C30" s="43"/>
      <c r="D30" s="43"/>
      <c r="E30" s="43"/>
      <c r="F30" s="43"/>
      <c r="G30" s="43"/>
      <c r="H30" s="43"/>
    </row>
    <row r="31" spans="2:8" ht="15">
      <c r="B31" s="122" t="s">
        <v>329</v>
      </c>
      <c r="C31" s="43"/>
      <c r="D31" s="43"/>
      <c r="E31" s="43"/>
      <c r="F31" s="43"/>
      <c r="G31" s="43"/>
      <c r="H31" s="43"/>
    </row>
    <row r="32" spans="2:8" ht="15">
      <c r="B32" s="43"/>
      <c r="C32" s="43"/>
      <c r="D32" s="43"/>
      <c r="E32" s="43"/>
      <c r="F32" s="43"/>
      <c r="G32" s="43"/>
      <c r="H32" s="43"/>
    </row>
    <row r="33" spans="2:8" ht="15">
      <c r="B33" s="43"/>
      <c r="C33" s="43" t="s">
        <v>57</v>
      </c>
      <c r="D33" s="43"/>
      <c r="E33" s="43"/>
      <c r="F33" s="43"/>
      <c r="G33" s="43"/>
      <c r="H33" s="43"/>
    </row>
    <row r="34" spans="2:8" ht="15">
      <c r="B34" s="43"/>
      <c r="C34" s="43"/>
      <c r="D34" s="43"/>
      <c r="E34" s="43"/>
      <c r="F34" s="43"/>
      <c r="G34" s="43"/>
      <c r="H34" s="43"/>
    </row>
    <row r="35" spans="2:8" ht="15">
      <c r="B35" s="43"/>
      <c r="C35" s="43" t="s">
        <v>59</v>
      </c>
      <c r="D35" s="43"/>
      <c r="E35" s="43"/>
      <c r="F35" s="43"/>
      <c r="G35" s="43"/>
      <c r="H35" s="43"/>
    </row>
    <row r="36" spans="2:8" ht="15">
      <c r="B36" s="43"/>
      <c r="C36" s="43" t="s">
        <v>58</v>
      </c>
      <c r="D36" s="43"/>
      <c r="E36" s="43"/>
      <c r="F36" s="43"/>
      <c r="G36" s="43"/>
      <c r="H36" s="43"/>
    </row>
    <row r="37" spans="2:8" ht="15">
      <c r="B37" s="43"/>
      <c r="C37" s="43"/>
      <c r="D37" s="43"/>
      <c r="E37" s="43"/>
      <c r="F37" s="43"/>
      <c r="G37" s="43"/>
      <c r="H37" s="43"/>
    </row>
    <row r="38" spans="2:8" ht="15">
      <c r="B38" s="43"/>
      <c r="C38" s="43"/>
      <c r="D38" s="43"/>
      <c r="E38" s="43"/>
      <c r="F38" s="43"/>
      <c r="G38" s="43"/>
      <c r="H38" s="43"/>
    </row>
    <row r="39" spans="2:8" ht="15">
      <c r="B39" s="43" t="s">
        <v>60</v>
      </c>
      <c r="C39" s="43"/>
      <c r="D39" s="43"/>
      <c r="E39" s="43"/>
      <c r="F39" s="43"/>
      <c r="G39" s="43"/>
      <c r="H39" s="43"/>
    </row>
    <row r="40" spans="2:8" ht="15">
      <c r="B40" s="43" t="s">
        <v>61</v>
      </c>
      <c r="C40" s="43"/>
      <c r="D40" s="43"/>
      <c r="E40" s="43"/>
      <c r="F40" s="43"/>
      <c r="G40" s="43"/>
      <c r="H40" s="43"/>
    </row>
    <row r="41" spans="2:8" ht="15">
      <c r="B41" s="43" t="s">
        <v>62</v>
      </c>
      <c r="C41" s="43"/>
      <c r="D41" s="43"/>
      <c r="E41" s="43"/>
      <c r="F41" s="43"/>
      <c r="G41" s="43"/>
      <c r="H41" s="43"/>
    </row>
    <row r="42" spans="2:8" ht="15">
      <c r="B42" s="43"/>
      <c r="C42" s="43"/>
      <c r="D42" s="43"/>
      <c r="E42" s="43"/>
      <c r="F42" s="43"/>
      <c r="G42" s="43"/>
      <c r="H42" s="43"/>
    </row>
    <row r="43" spans="2:8" ht="15">
      <c r="B43" s="43"/>
      <c r="C43" s="43"/>
      <c r="D43" s="43"/>
      <c r="E43" s="43"/>
      <c r="F43" s="43"/>
      <c r="G43" s="43"/>
      <c r="H43" s="43"/>
    </row>
    <row r="44" spans="2:8" ht="15">
      <c r="B44" s="43" t="s">
        <v>63</v>
      </c>
      <c r="C44" s="43"/>
      <c r="D44" s="43"/>
      <c r="E44" s="43"/>
      <c r="F44" s="43"/>
      <c r="G44" s="43"/>
      <c r="H44" s="43"/>
    </row>
    <row r="45" spans="2:8" ht="15">
      <c r="B45" s="43" t="s">
        <v>64</v>
      </c>
      <c r="C45" s="43"/>
      <c r="D45" s="43"/>
      <c r="E45" s="43"/>
      <c r="F45" s="43"/>
      <c r="G45" s="43"/>
      <c r="H45" s="43"/>
    </row>
    <row r="46" spans="2:8" ht="15">
      <c r="B46" s="43"/>
      <c r="C46" s="43"/>
      <c r="D46" s="43"/>
      <c r="E46" s="43"/>
      <c r="F46" s="43"/>
      <c r="G46" s="43"/>
      <c r="H46" s="43"/>
    </row>
    <row r="47" spans="2:8" ht="15">
      <c r="B47" s="852"/>
      <c r="C47" s="852"/>
      <c r="D47" s="852"/>
      <c r="E47" s="852"/>
      <c r="F47" s="852"/>
      <c r="G47" s="852"/>
      <c r="H47" s="852"/>
    </row>
    <row r="48" spans="2:8" ht="15">
      <c r="B48" s="852"/>
      <c r="C48" s="852"/>
      <c r="D48" s="852"/>
      <c r="E48" s="852"/>
      <c r="F48" s="852"/>
      <c r="G48" s="852"/>
      <c r="H48" s="852"/>
    </row>
    <row r="49" spans="2:8" ht="15">
      <c r="B49" s="852"/>
      <c r="C49" s="852"/>
      <c r="D49" s="852"/>
      <c r="E49" s="852"/>
      <c r="F49" s="852"/>
      <c r="G49" s="852"/>
      <c r="H49" s="852"/>
    </row>
    <row r="50" spans="2:8" ht="15">
      <c r="B50" s="852"/>
      <c r="C50" s="852"/>
      <c r="D50" s="852"/>
      <c r="E50" s="852"/>
      <c r="F50" s="852"/>
      <c r="G50" s="852"/>
      <c r="H50" s="852"/>
    </row>
    <row r="51" spans="2:8" ht="15">
      <c r="B51" s="852"/>
      <c r="C51" s="852"/>
      <c r="D51" s="852"/>
      <c r="E51" s="852"/>
      <c r="F51" s="852"/>
      <c r="G51" s="852"/>
      <c r="H51" s="852"/>
    </row>
    <row r="52" spans="2:8" ht="15">
      <c r="B52" s="852"/>
      <c r="C52" s="852"/>
      <c r="D52" s="852"/>
      <c r="E52" s="852"/>
      <c r="F52" s="852"/>
      <c r="G52" s="852"/>
      <c r="H52" s="852"/>
    </row>
    <row r="53" spans="2:8" ht="15">
      <c r="B53" s="852"/>
      <c r="C53" s="852"/>
      <c r="D53" s="852"/>
      <c r="E53" s="852"/>
      <c r="F53" s="852"/>
      <c r="G53" s="852"/>
      <c r="H53" s="852"/>
    </row>
    <row r="54" spans="2:8" ht="15">
      <c r="B54" s="852"/>
      <c r="C54" s="852"/>
      <c r="D54" s="852"/>
      <c r="E54" s="852"/>
      <c r="F54" s="852"/>
      <c r="G54" s="852"/>
      <c r="H54" s="852"/>
    </row>
    <row r="55" spans="2:8" ht="15">
      <c r="B55" s="852"/>
      <c r="C55" s="852"/>
      <c r="D55" s="852"/>
      <c r="E55" s="852"/>
      <c r="F55" s="852"/>
      <c r="G55" s="852"/>
      <c r="H55" s="852"/>
    </row>
    <row r="56" spans="2:8" ht="15">
      <c r="B56" s="852"/>
      <c r="C56" s="852"/>
      <c r="D56" s="852"/>
      <c r="E56" s="852"/>
      <c r="F56" s="852"/>
      <c r="G56" s="852"/>
      <c r="H56" s="852"/>
    </row>
    <row r="57" spans="2:8" ht="15">
      <c r="B57" s="852"/>
      <c r="C57" s="852"/>
      <c r="D57" s="852"/>
      <c r="E57" s="852"/>
      <c r="F57" s="852"/>
      <c r="G57" s="852"/>
      <c r="H57" s="852"/>
    </row>
  </sheetData>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oddFooter>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7">
    <tabColor theme="6"/>
  </sheetPr>
  <dimension ref="A1:Z54"/>
  <sheetViews>
    <sheetView showZeros="0" topLeftCell="A25" zoomScaleNormal="100" workbookViewId="0">
      <selection activeCell="D13" sqref="D13"/>
    </sheetView>
  </sheetViews>
  <sheetFormatPr baseColWidth="10" defaultRowHeight="12.75" outlineLevelCol="1"/>
  <cols>
    <col min="1" max="1" width="2.5703125" style="42" customWidth="1"/>
    <col min="2" max="2" width="3.42578125" style="42" customWidth="1"/>
    <col min="3" max="3" width="22" style="42" customWidth="1"/>
    <col min="4" max="4" width="11.42578125" style="42"/>
    <col min="5" max="5" width="9" style="42" customWidth="1"/>
    <col min="6" max="6" width="8.140625" style="42" customWidth="1"/>
    <col min="7" max="7" width="16" style="42" customWidth="1"/>
    <col min="8" max="8" width="15.85546875" style="42" customWidth="1"/>
    <col min="9" max="9" width="3.5703125" customWidth="1"/>
    <col min="10" max="25" width="11.42578125" hidden="1" customWidth="1" outlineLevel="1"/>
    <col min="26" max="26" width="11.42578125" collapsed="1"/>
  </cols>
  <sheetData>
    <row r="1" spans="2:5" ht="6.75" customHeight="1"/>
    <row r="8" spans="2:5" ht="7.5" customHeight="1"/>
    <row r="9" spans="2:5" ht="15">
      <c r="B9" s="40" t="s">
        <v>65</v>
      </c>
      <c r="C9" s="43"/>
    </row>
    <row r="10" spans="2:5" ht="9.75" customHeight="1">
      <c r="B10" s="43"/>
      <c r="C10" s="43"/>
    </row>
    <row r="11" spans="2:5" ht="15">
      <c r="B11" s="43"/>
      <c r="C11" s="45" t="s">
        <v>66</v>
      </c>
      <c r="E11" s="42">
        <f>IF(CPAdht =  2,"Aisne",IF(CPAdht = 51,"Marne",IF(CPAdht = 60,"Oise",IF(CPAdht = 80,"Somme",IF(CPAdht =  8,"Ardenne",IF(CPAdht = 10,"Aube",IF(CPAdht = 14,"Calvados",IF(CPAdht = 18,"Cher",))))))))</f>
        <v>0</v>
      </c>
    </row>
    <row r="12" spans="2:5" ht="15">
      <c r="B12" s="43"/>
      <c r="C12" s="45" t="s">
        <v>67</v>
      </c>
    </row>
    <row r="13" spans="2:5" ht="15">
      <c r="B13" s="43"/>
      <c r="C13" s="45"/>
    </row>
    <row r="14" spans="2:5" ht="9.75" customHeight="1">
      <c r="B14" s="43"/>
      <c r="C14" s="43"/>
    </row>
    <row r="15" spans="2:5" ht="18" customHeight="1">
      <c r="B15" s="60" t="s">
        <v>69</v>
      </c>
      <c r="C15" s="43"/>
      <c r="D15" s="128">
        <f>Données!B789</f>
        <v>0</v>
      </c>
    </row>
    <row r="16" spans="2:5" ht="22.5" customHeight="1">
      <c r="B16" s="60" t="s">
        <v>296</v>
      </c>
      <c r="C16" s="43"/>
      <c r="D16" s="128" t="str">
        <f>IF(Données!D789="A","Régime réel normal","Régime réel simplifié")</f>
        <v>Régime réel simplifié</v>
      </c>
    </row>
    <row r="17" spans="1:14" ht="19.5" customHeight="1">
      <c r="B17" s="41"/>
      <c r="C17" s="43"/>
    </row>
    <row r="18" spans="1:14" ht="15">
      <c r="B18" s="40" t="s">
        <v>70</v>
      </c>
      <c r="C18" s="43"/>
    </row>
    <row r="20" spans="1:14" ht="15" customHeight="1">
      <c r="G20" s="125"/>
      <c r="H20" s="125"/>
    </row>
    <row r="21" spans="1:14" ht="15" customHeight="1" thickBot="1">
      <c r="G21" s="126"/>
      <c r="H21" s="126"/>
    </row>
    <row r="22" spans="1:14">
      <c r="G22" s="33"/>
      <c r="H22" s="34"/>
    </row>
    <row r="23" spans="1:14" ht="15" customHeight="1">
      <c r="C23" s="127" t="s">
        <v>71</v>
      </c>
      <c r="D23" s="128"/>
      <c r="E23" s="128"/>
      <c r="F23" s="128"/>
      <c r="G23" s="129">
        <f>CHX_INFO_C!D10</f>
        <v>142.25</v>
      </c>
      <c r="H23" s="732">
        <f>G23/G26*100</f>
        <v>98.784722222222214</v>
      </c>
      <c r="M23" s="129">
        <f>D_37144</f>
        <v>0</v>
      </c>
      <c r="N23">
        <f>+M23/$G$26*100</f>
        <v>0</v>
      </c>
    </row>
    <row r="24" spans="1:14" ht="15" customHeight="1">
      <c r="C24" s="127" t="s">
        <v>72</v>
      </c>
      <c r="D24" s="128"/>
      <c r="E24" s="128"/>
      <c r="F24" s="128"/>
      <c r="G24" s="129">
        <f>CHX_INFO_C!D11</f>
        <v>0</v>
      </c>
      <c r="H24" s="732">
        <f>G24/G26*100</f>
        <v>0</v>
      </c>
      <c r="M24" s="129">
        <f>D_37145</f>
        <v>0</v>
      </c>
      <c r="N24">
        <f t="shared" ref="N24:N25" si="0">+M24/$G$26*100</f>
        <v>0</v>
      </c>
    </row>
    <row r="25" spans="1:14" ht="15" customHeight="1">
      <c r="C25" s="127" t="s">
        <v>73</v>
      </c>
      <c r="D25" s="128"/>
      <c r="E25" s="128"/>
      <c r="F25" s="128"/>
      <c r="G25" s="129">
        <f>CHX_INFO_C!D12</f>
        <v>1.75</v>
      </c>
      <c r="H25" s="732">
        <f>G25/G26*100</f>
        <v>1.2152777777777779</v>
      </c>
      <c r="M25" s="129">
        <f>D_37146</f>
        <v>144</v>
      </c>
      <c r="N25">
        <f t="shared" si="0"/>
        <v>100</v>
      </c>
    </row>
    <row r="26" spans="1:14" s="9" customFormat="1" ht="15" customHeight="1">
      <c r="A26" s="128"/>
      <c r="B26" s="128"/>
      <c r="C26" s="128"/>
      <c r="D26" s="130" t="s">
        <v>74</v>
      </c>
      <c r="E26" s="128"/>
      <c r="F26" s="128"/>
      <c r="G26" s="131">
        <f>+G23+G24+G25</f>
        <v>144</v>
      </c>
      <c r="H26" s="131">
        <f>+H23+H24+H25</f>
        <v>99.999999999999986</v>
      </c>
      <c r="K26" s="9" t="s">
        <v>366</v>
      </c>
    </row>
    <row r="27" spans="1:14" ht="15" customHeight="1">
      <c r="B27" s="40" t="s">
        <v>75</v>
      </c>
      <c r="C27" s="43"/>
      <c r="G27" s="72"/>
      <c r="H27" s="35"/>
      <c r="K27" s="18" t="s">
        <v>114</v>
      </c>
      <c r="L27" s="18" t="s">
        <v>367</v>
      </c>
    </row>
    <row r="28" spans="1:14" s="9" customFormat="1" ht="15" customHeight="1">
      <c r="A28" s="128"/>
      <c r="B28" s="132"/>
      <c r="C28" s="127" t="s">
        <v>76</v>
      </c>
      <c r="D28" s="128"/>
      <c r="E28" s="128"/>
      <c r="F28" s="128"/>
      <c r="G28" s="129">
        <f>DONNEES_LIASSE_RN!D107</f>
        <v>35.58</v>
      </c>
      <c r="H28" s="129">
        <f>D_37150</f>
        <v>24.71</v>
      </c>
      <c r="K28" s="608">
        <f>R_1073</f>
        <v>35.58</v>
      </c>
      <c r="L28" s="608">
        <f>R_7209/100</f>
        <v>0.35580000000000001</v>
      </c>
      <c r="M28" s="609">
        <f>K28+L28</f>
        <v>35.9358</v>
      </c>
    </row>
    <row r="29" spans="1:14" s="9" customFormat="1" ht="15" customHeight="1">
      <c r="A29" s="128"/>
      <c r="B29" s="132"/>
      <c r="C29" s="127" t="s">
        <v>77</v>
      </c>
      <c r="D29" s="128"/>
      <c r="E29" s="128"/>
      <c r="F29" s="128"/>
      <c r="G29" s="129">
        <f>DONNEES_LIASSE_RN!D109</f>
        <v>108.42</v>
      </c>
      <c r="H29" s="129">
        <f>G29/G32*100</f>
        <v>75.291666666666671</v>
      </c>
      <c r="K29" s="608">
        <f>R_1077</f>
        <v>108.42</v>
      </c>
      <c r="L29" s="608">
        <f>R_7211/100</f>
        <v>1.0842000000000001</v>
      </c>
      <c r="M29" s="609">
        <f>K29+L29</f>
        <v>109.5042</v>
      </c>
    </row>
    <row r="30" spans="1:14" s="9" customFormat="1" ht="15" customHeight="1">
      <c r="A30" s="128"/>
      <c r="B30" s="132"/>
      <c r="C30" s="127" t="s">
        <v>78</v>
      </c>
      <c r="D30" s="128"/>
      <c r="E30" s="128"/>
      <c r="F30" s="128"/>
      <c r="G30" s="129">
        <f>DONNEES_LIASSE_RN!D108</f>
        <v>0</v>
      </c>
      <c r="H30" s="129">
        <f>G30/G32*100</f>
        <v>0</v>
      </c>
      <c r="K30" s="608">
        <f>R_1075</f>
        <v>0</v>
      </c>
      <c r="L30" s="608">
        <f>R_7210/100</f>
        <v>0</v>
      </c>
      <c r="M30" s="609">
        <f>K30+L30</f>
        <v>0</v>
      </c>
    </row>
    <row r="31" spans="1:14" s="9" customFormat="1" ht="15" customHeight="1">
      <c r="A31" s="128"/>
      <c r="B31" s="132"/>
      <c r="C31" s="127" t="s">
        <v>79</v>
      </c>
      <c r="D31" s="128"/>
      <c r="E31" s="128"/>
      <c r="F31" s="128"/>
      <c r="G31" s="129">
        <f>DONNEES_LIASSE_RN!D110</f>
        <v>0</v>
      </c>
      <c r="H31" s="129">
        <f>G31/G32*100</f>
        <v>0</v>
      </c>
      <c r="K31" s="608">
        <f>R_1079</f>
        <v>0</v>
      </c>
      <c r="L31" s="608">
        <f>R_7212/100</f>
        <v>0</v>
      </c>
      <c r="M31" s="609">
        <f>K31+L31</f>
        <v>0</v>
      </c>
    </row>
    <row r="32" spans="1:14" s="9" customFormat="1" ht="15" customHeight="1">
      <c r="A32" s="128"/>
      <c r="B32" s="132"/>
      <c r="C32" s="132"/>
      <c r="D32" s="130" t="s">
        <v>80</v>
      </c>
      <c r="E32" s="128"/>
      <c r="F32" s="128"/>
      <c r="G32" s="131">
        <f>G28+G29+G30+G31</f>
        <v>144</v>
      </c>
      <c r="H32" s="131">
        <f>H28+H29+H30+H31</f>
        <v>100.00166666666667</v>
      </c>
    </row>
    <row r="33" spans="2:8" ht="11.25" customHeight="1" thickBot="1">
      <c r="B33" s="43"/>
      <c r="C33" s="43"/>
      <c r="G33" s="36"/>
      <c r="H33" s="36"/>
    </row>
    <row r="34" spans="2:8" ht="26.25" customHeight="1">
      <c r="B34" s="43"/>
      <c r="C34" s="43"/>
    </row>
    <row r="35" spans="2:8" s="42" customFormat="1" ht="15">
      <c r="B35" s="40" t="s">
        <v>910</v>
      </c>
      <c r="C35" s="43"/>
    </row>
    <row r="36" spans="2:8" s="42" customFormat="1" ht="15">
      <c r="B36" s="40"/>
    </row>
    <row r="37" spans="2:8" s="42" customFormat="1" ht="18.75" customHeight="1" thickBot="1"/>
    <row r="38" spans="2:8" s="44" customFormat="1" ht="15">
      <c r="B38" s="46"/>
      <c r="G38" s="874"/>
      <c r="H38" s="874"/>
    </row>
    <row r="39" spans="2:8" s="42" customFormat="1">
      <c r="C39" s="45" t="s">
        <v>908</v>
      </c>
      <c r="E39" s="876"/>
      <c r="F39" s="73"/>
      <c r="G39" s="449">
        <f>DONNEES_LIASSE_RN!$D$105</f>
        <v>0</v>
      </c>
      <c r="H39" s="449">
        <f>DONNEES_LIASSE_RN!$E$105</f>
        <v>0</v>
      </c>
    </row>
    <row r="40" spans="2:8" s="42" customFormat="1">
      <c r="C40" s="45"/>
      <c r="F40" s="73"/>
      <c r="G40" s="334"/>
      <c r="H40" s="334"/>
    </row>
    <row r="41" spans="2:8" s="42" customFormat="1">
      <c r="C41" s="1042" t="s">
        <v>909</v>
      </c>
      <c r="D41" s="1042"/>
      <c r="F41" s="73"/>
      <c r="G41" s="449">
        <f>DONNEES_LIASSE_RN!$D$102</f>
        <v>0</v>
      </c>
      <c r="H41" s="449">
        <f>DONNEES_LIASSE_RN!$E$102</f>
        <v>0</v>
      </c>
    </row>
    <row r="42" spans="2:8" s="42" customFormat="1" ht="13.5" thickBot="1">
      <c r="B42" s="45"/>
      <c r="C42" s="45"/>
      <c r="F42" s="73"/>
      <c r="G42" s="875"/>
      <c r="H42" s="875"/>
    </row>
    <row r="43" spans="2:8" s="42" customFormat="1" ht="6.75" customHeight="1">
      <c r="B43" s="45"/>
      <c r="C43" s="45"/>
      <c r="F43" s="73"/>
      <c r="G43" s="73"/>
    </row>
    <row r="44" spans="2:8" s="46" customFormat="1" ht="16.5" customHeight="1">
      <c r="G44" s="74"/>
    </row>
    <row r="45" spans="2:8" s="46" customFormat="1" ht="3" customHeight="1">
      <c r="G45" s="74"/>
    </row>
    <row r="46" spans="2:8" s="46" customFormat="1" ht="15">
      <c r="G46" s="74"/>
    </row>
    <row r="47" spans="2:8" s="46" customFormat="1" ht="10.5" customHeight="1">
      <c r="G47" s="74"/>
    </row>
    <row r="48" spans="2:8" s="42" customFormat="1">
      <c r="G48" s="37"/>
    </row>
    <row r="49" spans="2:8" s="47" customFormat="1" ht="14.25">
      <c r="C49" s="127"/>
      <c r="E49" s="876"/>
      <c r="G49" s="117"/>
    </row>
    <row r="50" spans="2:8" s="47" customFormat="1" ht="14.25">
      <c r="C50" s="127"/>
      <c r="G50" s="117"/>
    </row>
    <row r="51" spans="2:8" s="47" customFormat="1" ht="8.25" customHeight="1">
      <c r="C51" s="133"/>
      <c r="G51" s="813"/>
    </row>
    <row r="52" spans="2:8" s="42" customFormat="1">
      <c r="C52" s="45"/>
      <c r="G52" s="37"/>
    </row>
    <row r="53" spans="2:8" ht="10.5" customHeight="1">
      <c r="G53" s="37"/>
    </row>
    <row r="54" spans="2:8">
      <c r="B54" s="134" t="str">
        <f>TRIM(CivilAdht&amp; " " &amp; NomAdht)</f>
        <v/>
      </c>
      <c r="C54" s="134"/>
      <c r="D54" s="135"/>
      <c r="E54" s="135"/>
      <c r="F54" s="135"/>
      <c r="G54" s="136"/>
      <c r="H54" s="134"/>
    </row>
  </sheetData>
  <mergeCells count="1">
    <mergeCell ref="C41:D41"/>
  </mergeCells>
  <printOptions horizontalCentered="1" verticalCentered="1"/>
  <pageMargins left="0.19685039370078741" right="0.19685039370078741" top="0.39370078740157483" bottom="0.39370078740157483" header="0.51181102362204722" footer="0.11811023622047245"/>
  <pageSetup paperSize="9" orientation="portrait" r:id="rId1"/>
  <headerFooter alignWithMargins="0">
    <oddFooter>Page &amp;P</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3">
    <tabColor theme="6"/>
  </sheetPr>
  <dimension ref="A1:T79"/>
  <sheetViews>
    <sheetView showZeros="0" topLeftCell="A20" zoomScaleNormal="100" workbookViewId="0">
      <selection activeCell="L13" sqref="L13"/>
    </sheetView>
  </sheetViews>
  <sheetFormatPr baseColWidth="10" defaultRowHeight="12.75" outlineLevelRow="1" outlineLevelCol="1"/>
  <cols>
    <col min="1" max="1" width="2.7109375" customWidth="1"/>
    <col min="2" max="2" width="23.42578125" customWidth="1"/>
    <col min="3" max="3" width="4.7109375" customWidth="1"/>
    <col min="4" max="4" width="13.7109375" style="84" customWidth="1"/>
    <col min="5" max="6" width="4.7109375" style="18" customWidth="1"/>
    <col min="7" max="7" width="13.7109375" style="78" customWidth="1"/>
    <col min="8" max="8" width="4.7109375" style="18" customWidth="1"/>
    <col min="9" max="9" width="12.7109375" style="103" customWidth="1"/>
    <col min="10" max="10" width="3.7109375" customWidth="1"/>
    <col min="11" max="18" width="11.42578125" hidden="1" customWidth="1" outlineLevel="1"/>
    <col min="19" max="19" width="11.42578125" collapsed="1"/>
  </cols>
  <sheetData>
    <row r="1" spans="1:12">
      <c r="A1" s="6"/>
      <c r="B1" s="4"/>
      <c r="C1" s="4"/>
      <c r="D1" s="88"/>
      <c r="E1" s="17"/>
      <c r="F1" s="17"/>
      <c r="G1" s="87"/>
      <c r="H1" s="17"/>
      <c r="I1" s="102"/>
      <c r="J1" s="4"/>
    </row>
    <row r="2" spans="1:12" ht="11.25" customHeight="1"/>
    <row r="3" spans="1:12" ht="60" customHeight="1">
      <c r="A3" s="1"/>
      <c r="B3" s="1043" t="s">
        <v>312</v>
      </c>
      <c r="C3" s="1043"/>
      <c r="D3" s="1043"/>
      <c r="E3" s="1043"/>
      <c r="F3" s="1043"/>
      <c r="G3" s="1043"/>
      <c r="H3" s="1043"/>
      <c r="I3" s="1043"/>
      <c r="J3" s="1"/>
    </row>
    <row r="4" spans="1:12" ht="6" customHeight="1">
      <c r="A4" s="50"/>
      <c r="B4" s="51"/>
      <c r="C4" s="50"/>
      <c r="D4" s="89"/>
      <c r="E4" s="50"/>
      <c r="F4" s="50"/>
      <c r="G4" s="89"/>
      <c r="H4" s="50"/>
      <c r="I4" s="104"/>
      <c r="J4" s="4"/>
    </row>
    <row r="5" spans="1:12" ht="20.25">
      <c r="A5" s="50"/>
      <c r="B5" s="51"/>
      <c r="C5" s="50"/>
      <c r="D5" s="89"/>
      <c r="E5" s="50"/>
      <c r="F5" s="50"/>
      <c r="G5" s="89"/>
      <c r="H5" s="50"/>
      <c r="I5" s="104"/>
      <c r="J5" s="4"/>
    </row>
    <row r="6" spans="1:12" ht="8.25" customHeight="1">
      <c r="A6" s="50"/>
      <c r="B6" s="51"/>
      <c r="C6" s="50"/>
      <c r="D6" s="89"/>
      <c r="E6" s="50"/>
      <c r="F6" s="50"/>
      <c r="G6" s="89"/>
      <c r="H6" s="50"/>
      <c r="I6" s="104"/>
      <c r="J6" s="4"/>
    </row>
    <row r="7" spans="1:12" ht="12" customHeight="1">
      <c r="A7" s="50"/>
      <c r="B7" s="51"/>
      <c r="C7" s="50"/>
      <c r="D7" s="89"/>
      <c r="E7" s="50"/>
      <c r="F7" s="50"/>
      <c r="G7" s="89"/>
      <c r="H7" s="50"/>
      <c r="I7" s="104"/>
      <c r="J7" s="4"/>
    </row>
    <row r="8" spans="1:12" ht="24.95" customHeight="1">
      <c r="A8" s="4"/>
      <c r="B8" s="4"/>
      <c r="C8" s="4"/>
      <c r="D8" s="88"/>
      <c r="E8" s="17"/>
      <c r="F8" s="17"/>
      <c r="G8" s="87"/>
      <c r="H8" s="17"/>
      <c r="I8" s="105"/>
      <c r="J8" s="4"/>
    </row>
    <row r="9" spans="1:12" ht="24.95" customHeight="1">
      <c r="A9" s="4"/>
      <c r="B9" s="4"/>
      <c r="C9" s="4"/>
      <c r="D9" s="88"/>
      <c r="E9" s="17"/>
      <c r="F9" s="17"/>
      <c r="G9" s="87"/>
      <c r="H9" s="17"/>
      <c r="I9" s="105"/>
      <c r="J9" s="4"/>
    </row>
    <row r="10" spans="1:12" ht="24.95" customHeight="1">
      <c r="A10" s="4"/>
      <c r="B10" s="4"/>
      <c r="C10" s="4"/>
      <c r="D10" s="88"/>
      <c r="E10" s="17"/>
      <c r="F10" s="17"/>
      <c r="G10" s="87"/>
      <c r="H10" s="17"/>
      <c r="I10" s="105"/>
      <c r="J10" s="4"/>
    </row>
    <row r="11" spans="1:12" ht="15" customHeight="1">
      <c r="A11" s="4"/>
      <c r="B11" s="4"/>
      <c r="C11" s="4"/>
      <c r="D11" s="88"/>
      <c r="E11" s="17"/>
      <c r="F11" s="17"/>
      <c r="G11" s="87"/>
      <c r="H11" s="17"/>
      <c r="I11" s="105"/>
      <c r="J11" s="4"/>
    </row>
    <row r="12" spans="1:12" ht="24.95" customHeight="1">
      <c r="A12" s="4"/>
      <c r="B12" s="4"/>
      <c r="C12" s="4"/>
      <c r="D12" s="88"/>
      <c r="E12" s="17"/>
      <c r="F12" s="17"/>
      <c r="G12" s="87"/>
      <c r="H12" s="17"/>
      <c r="I12" s="105"/>
      <c r="J12" s="4"/>
    </row>
    <row r="13" spans="1:12" ht="24.95" customHeight="1">
      <c r="A13" s="4"/>
      <c r="B13" s="4"/>
      <c r="C13" s="4"/>
      <c r="D13" s="88"/>
      <c r="E13" s="17"/>
      <c r="F13" s="17"/>
      <c r="G13" s="87"/>
      <c r="H13" s="17"/>
      <c r="I13" s="105"/>
      <c r="J13" s="4"/>
    </row>
    <row r="14" spans="1:12" s="42" customFormat="1" ht="30" customHeight="1">
      <c r="A14" s="125"/>
      <c r="B14" s="125"/>
      <c r="C14" s="125"/>
      <c r="D14" s="1044" t="str">
        <f>TEXT(FinExNAA,"jj/mm/aaaa")</f>
        <v>30/06/2017</v>
      </c>
      <c r="E14" s="1044"/>
      <c r="F14" s="159"/>
      <c r="G14" s="1044" t="str">
        <f>TEXT(FinExN1AA,"jj/mm/aaaa")</f>
        <v>30/06/2016</v>
      </c>
      <c r="H14" s="1044"/>
      <c r="I14" s="160" t="s">
        <v>4</v>
      </c>
      <c r="J14" s="125"/>
    </row>
    <row r="15" spans="1:12" ht="15" customHeight="1">
      <c r="A15" s="5"/>
      <c r="B15" s="6"/>
      <c r="C15" s="4"/>
      <c r="D15" s="88"/>
      <c r="E15" s="17"/>
      <c r="F15" s="17"/>
      <c r="G15" s="87"/>
      <c r="H15" s="17"/>
      <c r="I15" s="105"/>
      <c r="J15" s="4"/>
    </row>
    <row r="16" spans="1:12" ht="54" customHeight="1">
      <c r="A16" s="10"/>
      <c r="B16" s="161" t="s">
        <v>2</v>
      </c>
      <c r="C16" s="162"/>
      <c r="D16" s="163">
        <f>'A_Compte Résultat &amp; SIG NEX '!D18</f>
        <v>1189.1977777777779</v>
      </c>
      <c r="E16" s="164" t="str">
        <f>"/Ha"</f>
        <v>/Ha</v>
      </c>
      <c r="F16" s="165"/>
      <c r="G16" s="163">
        <f>'A_Compte Résultat &amp; SIG NEX '!F18</f>
        <v>1852.0629083831502</v>
      </c>
      <c r="H16" s="164" t="str">
        <f>IF(ISERROR(G16),"","/Ha")</f>
        <v>/Ha</v>
      </c>
      <c r="I16" s="100" t="str">
        <f>IF(L16&lt;-15,"D",IF(AND(L16&gt;=-15,L16&lt;-5),"L",IF(AND(L16&gt;=-5,L16&lt;5),"K",IF(AND(L16&gt;=5,L16&lt;15),"J","C"))))</f>
        <v>D</v>
      </c>
      <c r="J16" s="4"/>
      <c r="K16" s="97" t="s">
        <v>5</v>
      </c>
      <c r="L16">
        <f>IF(G16=0,0,IF(D16=0,0,IF(D16&gt;0,IF(G16&gt;0,(D16-G16)*100/G16,(D16-G16)*100/-G16),IF(G16&gt;0,(D16-G16)*100/G16,(D16-G16)*100/-G16))))</f>
        <v>-35.790637974821983</v>
      </c>
    </row>
    <row r="17" spans="1:20" ht="28.5" customHeight="1">
      <c r="A17" s="10"/>
      <c r="B17" s="166"/>
      <c r="C17" s="162"/>
      <c r="D17" s="167"/>
      <c r="E17" s="168"/>
      <c r="F17" s="168"/>
      <c r="G17" s="169"/>
      <c r="H17" s="168"/>
      <c r="I17" s="106"/>
      <c r="J17" s="4"/>
      <c r="K17" s="97" t="s">
        <v>6</v>
      </c>
    </row>
    <row r="18" spans="1:20" ht="36" customHeight="1">
      <c r="A18" s="10"/>
      <c r="B18" s="170" t="s">
        <v>101</v>
      </c>
      <c r="C18" s="162"/>
      <c r="D18" s="171">
        <f>'A_Compte Résultat &amp; SIG NEX '!D24</f>
        <v>540.15611111111116</v>
      </c>
      <c r="E18" s="172" t="str">
        <f>"/Ha"</f>
        <v>/Ha</v>
      </c>
      <c r="F18" s="173"/>
      <c r="G18" s="171">
        <f>'A_Compte Résultat &amp; SIG NEX '!F24</f>
        <v>1254.8503406089253</v>
      </c>
      <c r="H18" s="1045" t="s">
        <v>1046</v>
      </c>
      <c r="I18" s="100" t="str">
        <f>IF(L18&lt;-15,"D",IF(AND(L18&gt;=-15,L18&lt;-5),"L",IF(AND(L18&gt;=-5,L18&lt;5),"K",IF(AND(L18&gt;=5,L18&lt;15),"J","C"))))</f>
        <v>D</v>
      </c>
      <c r="J18" s="4"/>
      <c r="K18" s="98" t="s">
        <v>7</v>
      </c>
      <c r="L18">
        <f>IF(G18=0,0,IF(D18=0,0,IF(D18&gt;0,IF(G18&gt;0,(D18-G18)*100/G18,(D18-G18)*100/-G18),IF(G18&gt;0,(D18-G18)*100/G18,(D18-G18)*100/-G18))))</f>
        <v>-56.954539228240037</v>
      </c>
    </row>
    <row r="19" spans="1:20" ht="18" customHeight="1">
      <c r="A19" s="10"/>
      <c r="B19" s="493" t="s">
        <v>333</v>
      </c>
      <c r="C19" s="162"/>
      <c r="D19" s="175"/>
      <c r="E19" s="176"/>
      <c r="F19" s="177"/>
      <c r="G19" s="178"/>
      <c r="H19" s="1046"/>
      <c r="I19" s="100"/>
      <c r="J19" s="4"/>
      <c r="K19" s="97"/>
    </row>
    <row r="20" spans="1:20" ht="28.5" customHeight="1">
      <c r="A20" s="10"/>
      <c r="B20" s="166"/>
      <c r="C20" s="162"/>
      <c r="D20" s="167"/>
      <c r="E20" s="168"/>
      <c r="F20" s="168"/>
      <c r="G20" s="169"/>
      <c r="H20" s="168"/>
      <c r="I20" s="99"/>
      <c r="J20" s="4"/>
      <c r="K20" s="98" t="s">
        <v>8</v>
      </c>
    </row>
    <row r="21" spans="1:20" ht="54" customHeight="1">
      <c r="A21" s="10"/>
      <c r="B21" s="174" t="s">
        <v>3</v>
      </c>
      <c r="C21" s="162"/>
      <c r="D21" s="163">
        <f>'A_Compte Résultat &amp; SIG NEX '!D47</f>
        <v>-191.81249999999994</v>
      </c>
      <c r="E21" s="164" t="str">
        <f>"/Ha"</f>
        <v>/Ha</v>
      </c>
      <c r="F21" s="165"/>
      <c r="G21" s="163">
        <f>'A_Compte Résultat &amp; SIG NEX '!F47</f>
        <v>342.02697066592532</v>
      </c>
      <c r="H21" s="164" t="str">
        <f>IF(ISERROR(G21),"","/Ha")</f>
        <v>/Ha</v>
      </c>
      <c r="I21" s="100" t="str">
        <f>IF(L21&lt;-15,"D",IF(AND(L21&gt;=-15,L21&lt;-5),"L",IF(AND(L21&gt;=-5,L21&lt;5),"K",IF(AND(L21&gt;=5,L21&lt;15),"J","C"))))</f>
        <v>D</v>
      </c>
      <c r="J21" s="4"/>
      <c r="K21" s="98" t="s">
        <v>9</v>
      </c>
      <c r="L21">
        <f>IF(G21=0,0,IF(D21=0,0,IF(D21&gt;0,IF(G21&gt;0,(D21-G21)*100/G21,(D21-G21)*100/-G21),IF(G21&gt;0,(D21-G21)*100/G21,(D21-G21)*100/-G21))))</f>
        <v>-156.08110367043329</v>
      </c>
      <c r="N21" s="11"/>
    </row>
    <row r="22" spans="1:20" ht="28.5" customHeight="1">
      <c r="A22" s="10"/>
      <c r="B22" s="179"/>
      <c r="C22" s="162"/>
      <c r="D22" s="167"/>
      <c r="E22" s="168"/>
      <c r="F22" s="168"/>
      <c r="G22" s="169"/>
      <c r="H22" s="168"/>
      <c r="I22" s="99"/>
      <c r="J22" s="4"/>
    </row>
    <row r="23" spans="1:20" ht="36" customHeight="1">
      <c r="A23" s="10"/>
      <c r="B23" s="48" t="str">
        <f xml:space="preserve"> "Le résultat net"</f>
        <v>Le résultat net</v>
      </c>
      <c r="C23" s="162"/>
      <c r="D23" s="171">
        <f>'A_Compte Résultat &amp; SIG NEX '!D51</f>
        <v>-191.81249999999994</v>
      </c>
      <c r="E23" s="172" t="str">
        <f>"/Ha"</f>
        <v>/Ha</v>
      </c>
      <c r="F23" s="173"/>
      <c r="G23" s="171">
        <f>'A_Compte Résultat &amp; SIG NEX '!F51</f>
        <v>342.02697066592532</v>
      </c>
      <c r="H23" s="1045" t="s">
        <v>1046</v>
      </c>
      <c r="I23" s="100" t="str">
        <f>IF(L23&lt;-15,"D",IF(AND(L23&gt;=-15,L23&lt;-5),"L",IF(AND(L23&gt;=-5,L23&lt;5),"K",IF(AND(L23&gt;=5,L23&lt;15),"J","C"))))</f>
        <v>D</v>
      </c>
      <c r="J23" s="4"/>
      <c r="L23">
        <f>IF(G23=0,0,IF(D23=0,0,IF(D23&gt;0,IF(G23&gt;0,(D23-G23)*100/G23,(D23-G23)*100/-G23),IF(G23&gt;0,(D23-G23)*100/G23,(D23-G23)*100/-G23))))</f>
        <v>-156.08110367043329</v>
      </c>
      <c r="T23" s="42"/>
    </row>
    <row r="24" spans="1:20" ht="18" customHeight="1">
      <c r="A24" s="10"/>
      <c r="B24" s="174"/>
      <c r="C24" s="162"/>
      <c r="D24" s="180"/>
      <c r="E24" s="181"/>
      <c r="F24" s="118"/>
      <c r="G24" s="182"/>
      <c r="H24" s="1046"/>
      <c r="I24" s="100"/>
      <c r="J24" s="4"/>
    </row>
    <row r="25" spans="1:20" ht="28.5" customHeight="1">
      <c r="A25" s="10"/>
      <c r="B25" s="735"/>
      <c r="C25" s="162"/>
      <c r="D25" s="167"/>
      <c r="E25" s="168"/>
      <c r="F25" s="168"/>
      <c r="G25" s="169"/>
      <c r="H25" s="168"/>
      <c r="I25" s="99"/>
      <c r="J25" s="4"/>
    </row>
    <row r="26" spans="1:20" ht="54" customHeight="1">
      <c r="A26" s="10"/>
      <c r="B26" s="739" t="str">
        <f>"La capacité d'autofinancement"</f>
        <v>La capacité d'autofinancement</v>
      </c>
      <c r="C26" s="162"/>
      <c r="D26" s="163">
        <f>'A_Variat fds de R'!D19/UT_N</f>
        <v>-56.138888888888886</v>
      </c>
      <c r="E26" s="164" t="str">
        <f>"/Ha"</f>
        <v>/Ha</v>
      </c>
      <c r="F26" s="165"/>
      <c r="G26" s="163">
        <f>'A_Variat fds de R'!C19/UT_N1</f>
        <v>513.34630891144161</v>
      </c>
      <c r="H26" s="164" t="str">
        <f>IF(ISERROR(G26),"","/Ha")</f>
        <v>/Ha</v>
      </c>
      <c r="I26" s="100" t="str">
        <f>IF(L26&lt;-15,"D",IF(AND(L26&gt;=-15,L26&lt;-5),"L",IF(AND(L26&gt;=-5,L26&lt;5),"K",IF(AND(L26&gt;=5,L26&lt;15),"J","C"))))</f>
        <v>D</v>
      </c>
      <c r="J26" s="4"/>
      <c r="L26">
        <f>IF(G26=0,0,IF(D26=0,0,IF(D26&gt;0,IF(G26&gt;0,(D26-G26)*100/G26,(D26-G26)*100/-G26),IF(G26&gt;0,(D26-G26)*100/G26,(D26-G26)*100/-G26))))</f>
        <v>-110.93587075904611</v>
      </c>
      <c r="T26" s="42"/>
    </row>
    <row r="27" spans="1:20" ht="15" customHeight="1">
      <c r="A27" s="4"/>
      <c r="B27" s="183"/>
      <c r="C27" s="125"/>
      <c r="D27" s="184"/>
      <c r="E27" s="117"/>
      <c r="F27" s="117"/>
      <c r="G27" s="185"/>
      <c r="H27" s="117"/>
      <c r="I27" s="105"/>
      <c r="J27" s="4"/>
    </row>
    <row r="28" spans="1:20" ht="23.25" customHeight="1">
      <c r="A28" s="4"/>
      <c r="B28" s="42"/>
      <c r="C28" s="125"/>
      <c r="D28" s="184"/>
      <c r="E28" s="117"/>
      <c r="F28" s="117"/>
      <c r="G28" s="185"/>
      <c r="H28" s="117"/>
      <c r="I28" s="105"/>
      <c r="J28" s="4"/>
    </row>
    <row r="29" spans="1:20" ht="18" customHeight="1">
      <c r="A29" s="4"/>
      <c r="B29" s="731" t="str">
        <f>TRIM(CivilAdht&amp; " " &amp; NomAdht)</f>
        <v/>
      </c>
      <c r="C29" s="125"/>
      <c r="D29" s="184"/>
      <c r="E29" s="117"/>
      <c r="F29" s="117"/>
      <c r="G29" s="185"/>
      <c r="H29" s="117"/>
      <c r="I29" s="134"/>
      <c r="J29" s="4"/>
    </row>
    <row r="30" spans="1:20">
      <c r="A30" s="6"/>
      <c r="B30" s="63"/>
      <c r="C30" s="16"/>
      <c r="D30" s="90"/>
      <c r="E30" s="16"/>
      <c r="F30" s="62"/>
      <c r="H30" s="17"/>
      <c r="I30" s="107"/>
      <c r="J30" s="4"/>
    </row>
    <row r="31" spans="1:20" ht="15" hidden="1" customHeight="1" outlineLevel="1">
      <c r="A31" s="4"/>
      <c r="B31" s="7"/>
      <c r="C31" s="4"/>
      <c r="D31" s="88"/>
      <c r="E31" s="17"/>
      <c r="F31" s="17"/>
      <c r="G31" s="87"/>
      <c r="H31" s="17"/>
      <c r="I31" s="105"/>
      <c r="J31" s="4"/>
    </row>
    <row r="32" spans="1:20" ht="15" hidden="1" customHeight="1" outlineLevel="1">
      <c r="A32" s="4"/>
      <c r="B32" s="4"/>
      <c r="C32" s="4"/>
      <c r="D32" s="88"/>
      <c r="E32" s="17"/>
      <c r="F32" s="17"/>
      <c r="G32" s="87"/>
      <c r="H32" s="17"/>
      <c r="I32" s="105"/>
      <c r="J32" s="4"/>
    </row>
    <row r="33" spans="1:20" ht="15" hidden="1" customHeight="1" outlineLevel="1">
      <c r="A33" s="4"/>
      <c r="B33" s="8"/>
      <c r="C33" s="4"/>
      <c r="D33" s="88"/>
      <c r="E33" s="17"/>
      <c r="F33" s="17"/>
      <c r="G33" s="87"/>
      <c r="H33" s="17"/>
      <c r="I33" s="105"/>
      <c r="J33" s="4"/>
    </row>
    <row r="34" spans="1:20" ht="15" hidden="1" customHeight="1" outlineLevel="1">
      <c r="A34" s="4"/>
      <c r="B34" s="4"/>
      <c r="C34" s="4"/>
      <c r="D34" s="88"/>
      <c r="E34" s="17"/>
      <c r="F34" s="17"/>
      <c r="G34" s="87"/>
      <c r="H34" s="17"/>
      <c r="I34" s="105"/>
      <c r="J34" s="4"/>
    </row>
    <row r="35" spans="1:20" s="4" customFormat="1" ht="15" hidden="1" customHeight="1" outlineLevel="1">
      <c r="A35" s="5"/>
      <c r="B35" s="42" t="str">
        <f>FinExN</f>
        <v>30/06/2017</v>
      </c>
      <c r="D35" s="88"/>
      <c r="E35" s="17"/>
      <c r="F35" s="17"/>
      <c r="G35" s="87"/>
      <c r="H35" s="17"/>
      <c r="I35" s="105"/>
    </row>
    <row r="36" spans="1:20" s="4" customFormat="1" ht="15" hidden="1" customHeight="1" outlineLevel="1">
      <c r="B36" s="42" t="str">
        <f>LEFT(B35,5)</f>
        <v>30/06</v>
      </c>
      <c r="D36" s="88"/>
      <c r="E36" s="17"/>
      <c r="F36" s="17"/>
      <c r="G36" s="87"/>
      <c r="H36" s="17"/>
      <c r="I36" s="105"/>
    </row>
    <row r="37" spans="1:20" s="4" customFormat="1" ht="15" hidden="1" customHeight="1" outlineLevel="1">
      <c r="B37" s="42" t="str">
        <f>RIGHT(B36,2)</f>
        <v>06</v>
      </c>
      <c r="D37" s="88"/>
      <c r="E37" s="17"/>
      <c r="F37" s="17"/>
      <c r="G37" s="87"/>
      <c r="H37" s="17"/>
      <c r="I37" s="105"/>
    </row>
    <row r="38" spans="1:20" s="4" customFormat="1" ht="15" hidden="1" customHeight="1" outlineLevel="1">
      <c r="B38" s="42" t="str">
        <f>IF(OR(B37="06",B37="05"), "*Présence d'une créance DPU de la récolte suivante", " ")</f>
        <v>*Présence d'une créance DPU de la récolte suivante</v>
      </c>
      <c r="D38" s="88"/>
      <c r="E38" s="17"/>
      <c r="F38" s="17"/>
      <c r="G38" s="87"/>
      <c r="H38" s="17"/>
      <c r="I38" s="105"/>
    </row>
    <row r="39" spans="1:20" s="4" customFormat="1" ht="15" customHeight="1" collapsed="1">
      <c r="B39" s="7"/>
      <c r="D39" s="88"/>
      <c r="E39" s="17"/>
      <c r="F39" s="17"/>
      <c r="G39" s="87"/>
      <c r="H39" s="17"/>
      <c r="I39" s="105"/>
    </row>
    <row r="40" spans="1:20" s="4" customFormat="1" ht="15" customHeight="1">
      <c r="D40" s="88"/>
      <c r="E40" s="17"/>
      <c r="F40" s="17"/>
      <c r="G40" s="87"/>
      <c r="H40" s="17"/>
      <c r="I40" s="105"/>
    </row>
    <row r="41" spans="1:20" s="4" customFormat="1" ht="15" customHeight="1">
      <c r="B41" s="8"/>
      <c r="D41" s="88"/>
      <c r="E41" s="17"/>
      <c r="F41" s="17"/>
      <c r="G41" s="87"/>
      <c r="H41" s="17"/>
      <c r="I41" s="105"/>
    </row>
    <row r="42" spans="1:20" ht="15" customHeight="1">
      <c r="A42" s="4"/>
      <c r="B42" s="4"/>
      <c r="C42" s="4"/>
      <c r="D42" s="88"/>
      <c r="E42" s="17"/>
      <c r="F42" s="17"/>
      <c r="G42" s="87"/>
      <c r="H42" s="17"/>
      <c r="I42" s="105"/>
      <c r="J42" s="4"/>
    </row>
    <row r="43" spans="1:20" ht="15" customHeight="1">
      <c r="A43" s="4"/>
      <c r="B43" s="7"/>
      <c r="C43" s="4"/>
      <c r="D43" s="88"/>
      <c r="E43" s="17"/>
      <c r="F43" s="17"/>
      <c r="G43" s="87"/>
      <c r="H43" s="17"/>
      <c r="I43" s="105"/>
      <c r="J43" s="4"/>
    </row>
    <row r="44" spans="1:20" ht="15" customHeight="1">
      <c r="A44" s="4"/>
      <c r="B44" s="4"/>
      <c r="C44" s="4"/>
      <c r="D44" s="88"/>
      <c r="E44" s="17"/>
      <c r="F44" s="17"/>
      <c r="G44" s="87"/>
      <c r="H44" s="17"/>
      <c r="I44" s="105"/>
      <c r="J44" s="4"/>
    </row>
    <row r="45" spans="1:20" ht="15" customHeight="1">
      <c r="A45" s="4"/>
      <c r="B45" s="4"/>
      <c r="C45" s="4"/>
      <c r="D45" s="88"/>
      <c r="E45" s="17"/>
      <c r="F45" s="17"/>
      <c r="G45" s="87"/>
      <c r="H45" s="17"/>
      <c r="I45" s="105"/>
      <c r="J45" s="4"/>
      <c r="K45" s="4"/>
      <c r="L45" s="4"/>
      <c r="M45" s="4"/>
      <c r="N45" s="4"/>
      <c r="O45" s="4"/>
      <c r="P45" s="4"/>
      <c r="Q45" s="4"/>
      <c r="R45" s="4"/>
      <c r="S45" s="4"/>
      <c r="T45" s="4"/>
    </row>
    <row r="46" spans="1:20" ht="15" customHeight="1">
      <c r="A46" s="4"/>
      <c r="B46" s="8"/>
      <c r="C46" s="4"/>
      <c r="D46" s="88"/>
      <c r="E46" s="17"/>
      <c r="F46" s="17"/>
      <c r="G46" s="87"/>
      <c r="H46" s="17"/>
      <c r="I46" s="105"/>
      <c r="J46" s="4"/>
      <c r="K46" s="4"/>
      <c r="L46" s="4"/>
      <c r="M46" s="4"/>
      <c r="N46" s="4"/>
      <c r="O46" s="4"/>
      <c r="P46" s="4"/>
      <c r="Q46" s="4"/>
      <c r="R46" s="4"/>
      <c r="S46" s="4"/>
      <c r="T46" s="4"/>
    </row>
    <row r="47" spans="1:20" ht="15" customHeight="1">
      <c r="A47" s="4"/>
      <c r="B47" s="4"/>
      <c r="C47" s="4"/>
      <c r="D47" s="88"/>
      <c r="E47" s="17"/>
      <c r="F47" s="17"/>
      <c r="G47" s="87"/>
      <c r="H47" s="17"/>
      <c r="I47" s="105"/>
      <c r="J47" s="4"/>
      <c r="K47" s="4"/>
      <c r="L47" s="4"/>
      <c r="M47" s="4"/>
      <c r="N47" s="4"/>
      <c r="O47" s="4"/>
      <c r="P47" s="4"/>
      <c r="Q47" s="4"/>
      <c r="R47" s="4"/>
      <c r="S47" s="4"/>
      <c r="T47" s="4"/>
    </row>
    <row r="48" spans="1:20" ht="15" customHeight="1">
      <c r="A48" s="4"/>
      <c r="B48" s="4"/>
      <c r="C48" s="4"/>
      <c r="D48" s="88"/>
      <c r="E48" s="17"/>
      <c r="F48" s="17"/>
      <c r="G48" s="87"/>
      <c r="H48" s="17"/>
      <c r="I48" s="105"/>
      <c r="J48" s="4"/>
      <c r="K48" s="4"/>
      <c r="L48" s="4"/>
      <c r="M48" s="4"/>
      <c r="N48" s="4"/>
      <c r="O48" s="4"/>
      <c r="P48" s="4"/>
      <c r="Q48" s="4"/>
      <c r="R48" s="4"/>
      <c r="S48" s="4"/>
      <c r="T48" s="4"/>
    </row>
    <row r="49" spans="1:20" ht="15" customHeight="1">
      <c r="A49" s="4"/>
      <c r="B49" s="4"/>
      <c r="C49" s="4"/>
      <c r="D49" s="88"/>
      <c r="E49" s="17"/>
      <c r="F49" s="17"/>
      <c r="G49" s="87"/>
      <c r="H49" s="17"/>
      <c r="I49" s="105"/>
      <c r="J49" s="4"/>
      <c r="K49" s="4"/>
      <c r="L49" s="4"/>
      <c r="M49" s="4"/>
      <c r="N49" s="4"/>
      <c r="O49" s="4"/>
      <c r="P49" s="4"/>
      <c r="Q49" s="4"/>
      <c r="R49" s="4"/>
      <c r="S49" s="4"/>
      <c r="T49" s="4"/>
    </row>
    <row r="50" spans="1:20" ht="15" customHeight="1">
      <c r="A50" s="4"/>
      <c r="B50" s="4"/>
      <c r="C50" s="4"/>
      <c r="D50" s="88"/>
      <c r="E50" s="17"/>
      <c r="F50" s="17"/>
      <c r="G50" s="87"/>
      <c r="H50" s="17"/>
      <c r="I50" s="105"/>
      <c r="J50" s="4"/>
      <c r="K50" s="4"/>
      <c r="L50" s="4"/>
      <c r="M50" s="4"/>
      <c r="N50" s="4"/>
      <c r="O50" s="4"/>
      <c r="P50" s="4"/>
      <c r="Q50" s="4"/>
      <c r="R50" s="4"/>
      <c r="S50" s="4"/>
      <c r="T50" s="4"/>
    </row>
    <row r="51" spans="1:20" ht="15" customHeight="1">
      <c r="A51" s="4"/>
      <c r="B51" s="4"/>
      <c r="C51" s="4"/>
      <c r="D51" s="88"/>
      <c r="E51" s="17"/>
      <c r="F51" s="17"/>
      <c r="G51" s="87"/>
      <c r="H51" s="17"/>
      <c r="I51" s="105"/>
      <c r="J51" s="4"/>
      <c r="K51" s="4"/>
      <c r="L51" s="4"/>
      <c r="M51" s="4"/>
      <c r="N51" s="4"/>
      <c r="O51" s="4"/>
      <c r="P51" s="4"/>
      <c r="Q51" s="4"/>
      <c r="R51" s="4"/>
      <c r="S51" s="4"/>
      <c r="T51" s="4"/>
    </row>
    <row r="52" spans="1:20" ht="15" customHeight="1">
      <c r="A52" s="4"/>
      <c r="B52" s="4"/>
      <c r="C52" s="4"/>
      <c r="D52" s="88"/>
      <c r="E52" s="17"/>
      <c r="F52" s="17"/>
      <c r="G52" s="87"/>
      <c r="H52" s="17"/>
      <c r="I52" s="105"/>
      <c r="J52" s="4"/>
      <c r="K52" s="4"/>
      <c r="L52" s="4"/>
      <c r="M52" s="4"/>
      <c r="N52" s="4"/>
      <c r="O52" s="4"/>
      <c r="P52" s="4"/>
      <c r="Q52" s="4"/>
      <c r="R52" s="4"/>
      <c r="S52" s="4"/>
      <c r="T52" s="4"/>
    </row>
    <row r="53" spans="1:20" ht="15" customHeight="1">
      <c r="A53" s="4"/>
      <c r="B53" s="4"/>
      <c r="C53" s="4"/>
      <c r="D53" s="88"/>
      <c r="E53" s="17"/>
      <c r="F53" s="17"/>
      <c r="G53" s="87"/>
      <c r="H53" s="17"/>
      <c r="I53" s="105"/>
      <c r="J53" s="4"/>
      <c r="K53" s="4"/>
      <c r="L53" s="4"/>
      <c r="M53" s="4"/>
      <c r="N53" s="4"/>
      <c r="O53" s="4"/>
      <c r="P53" s="4"/>
      <c r="Q53" s="4"/>
      <c r="R53" s="4"/>
      <c r="S53" s="4"/>
      <c r="T53" s="4"/>
    </row>
    <row r="54" spans="1:20" ht="15" customHeight="1">
      <c r="A54" s="4"/>
      <c r="B54" s="4"/>
      <c r="C54" s="4"/>
      <c r="D54" s="88"/>
      <c r="E54" s="17"/>
      <c r="F54" s="17"/>
      <c r="G54" s="87"/>
      <c r="H54" s="17"/>
      <c r="I54" s="105"/>
      <c r="J54" s="4"/>
      <c r="K54" s="4"/>
      <c r="L54" s="4"/>
      <c r="M54" s="4"/>
      <c r="N54" s="4"/>
      <c r="O54" s="4"/>
      <c r="P54" s="4"/>
      <c r="Q54" s="4"/>
      <c r="R54" s="4"/>
      <c r="S54" s="4"/>
      <c r="T54" s="4"/>
    </row>
    <row r="55" spans="1:20" ht="15" customHeight="1">
      <c r="A55" s="4"/>
      <c r="B55" s="4"/>
      <c r="C55" s="4"/>
      <c r="D55" s="88"/>
      <c r="E55" s="17"/>
      <c r="F55" s="17"/>
      <c r="G55" s="87"/>
      <c r="H55" s="17"/>
      <c r="I55" s="105"/>
      <c r="J55" s="4"/>
      <c r="K55" s="4"/>
      <c r="L55" s="4"/>
      <c r="M55" s="4"/>
      <c r="N55" s="4"/>
      <c r="O55" s="4"/>
      <c r="P55" s="4"/>
      <c r="Q55" s="4"/>
      <c r="R55" s="4"/>
      <c r="S55" s="4"/>
      <c r="T55" s="4"/>
    </row>
    <row r="56" spans="1:20" ht="15" customHeight="1">
      <c r="A56" s="4"/>
      <c r="B56" s="4"/>
      <c r="C56" s="4"/>
      <c r="D56" s="88"/>
      <c r="E56" s="17"/>
      <c r="F56" s="17"/>
      <c r="G56" s="87"/>
      <c r="H56" s="17"/>
      <c r="I56" s="105"/>
      <c r="J56" s="4"/>
      <c r="K56" s="4"/>
      <c r="L56" s="4"/>
      <c r="M56" s="4"/>
      <c r="N56" s="4"/>
      <c r="O56" s="4"/>
      <c r="P56" s="4"/>
      <c r="Q56" s="4"/>
      <c r="R56" s="4"/>
      <c r="S56" s="4"/>
      <c r="T56" s="4"/>
    </row>
    <row r="57" spans="1:20" ht="15" customHeight="1">
      <c r="A57" s="4"/>
      <c r="B57" s="4"/>
      <c r="C57" s="4"/>
      <c r="D57" s="88"/>
      <c r="E57" s="17"/>
      <c r="F57" s="17"/>
      <c r="G57" s="87"/>
      <c r="H57" s="17"/>
      <c r="I57" s="105"/>
      <c r="J57" s="4"/>
      <c r="K57" s="4"/>
      <c r="L57" s="4"/>
      <c r="M57" s="4"/>
      <c r="N57" s="4"/>
      <c r="O57" s="4"/>
      <c r="P57" s="4"/>
      <c r="Q57" s="4"/>
      <c r="R57" s="4"/>
      <c r="S57" s="4"/>
      <c r="T57" s="4"/>
    </row>
    <row r="58" spans="1:20" ht="15" customHeight="1"/>
    <row r="59" spans="1:20" ht="15" customHeight="1"/>
    <row r="60" spans="1:20" ht="15" customHeight="1"/>
    <row r="61" spans="1:20" ht="15" customHeight="1"/>
    <row r="62" spans="1:20" ht="15" customHeight="1"/>
    <row r="63" spans="1:20" ht="15" customHeight="1"/>
    <row r="64" spans="1:20"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sheetData>
  <mergeCells count="5">
    <mergeCell ref="B3:I3"/>
    <mergeCell ref="D14:E14"/>
    <mergeCell ref="G14:H14"/>
    <mergeCell ref="H18:H19"/>
    <mergeCell ref="H23:H24"/>
  </mergeCells>
  <conditionalFormatting sqref="G16:G27">
    <cfRule type="expression" dxfId="35" priority="2">
      <formula>ISERROR($G$16)</formula>
    </cfRule>
  </conditionalFormatting>
  <printOptions horizontalCentered="1" verticalCentered="1"/>
  <pageMargins left="0.59055118110236227" right="0.59055118110236227" top="0.59055118110236227" bottom="0.59055118110236227" header="0.51181102362204722" footer="0.51181102362204722"/>
  <pageSetup paperSize="9" orientation="portrait" r:id="rId1"/>
  <headerFooter differentOddEven="1" alignWithMargins="0">
    <oddFooter>Page &amp;P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8">
    <tabColor theme="6"/>
  </sheetPr>
  <dimension ref="A1:O740"/>
  <sheetViews>
    <sheetView zoomScale="55" zoomScaleNormal="55" workbookViewId="0">
      <selection activeCell="B15" sqref="B15:B17"/>
    </sheetView>
  </sheetViews>
  <sheetFormatPr baseColWidth="10" defaultRowHeight="12.75" outlineLevelRow="1" outlineLevelCol="1"/>
  <cols>
    <col min="1" max="1" width="4.7109375" customWidth="1"/>
    <col min="2" max="2" width="36" customWidth="1"/>
    <col min="3" max="3" width="5.5703125" customWidth="1"/>
    <col min="4" max="4" width="34.7109375" customWidth="1"/>
    <col min="6" max="9" width="11.42578125" hidden="1" customWidth="1" outlineLevel="1"/>
    <col min="10" max="10" width="25.7109375" hidden="1" customWidth="1" outlineLevel="1"/>
    <col min="11" max="11" width="21" style="81" hidden="1" customWidth="1" outlineLevel="1"/>
    <col min="12" max="12" width="22" style="81" hidden="1" customWidth="1" outlineLevel="1"/>
    <col min="13" max="13" width="11.42578125" style="81" hidden="1" customWidth="1" outlineLevel="1"/>
    <col min="14" max="14" width="11.42578125" hidden="1" customWidth="1" outlineLevel="1"/>
    <col min="15" max="15" width="11.42578125" collapsed="1"/>
  </cols>
  <sheetData>
    <row r="1" spans="2:13">
      <c r="I1" t="s">
        <v>216</v>
      </c>
    </row>
    <row r="3" spans="2:13" ht="15">
      <c r="J3" s="12"/>
      <c r="K3" s="76" t="str">
        <f>"  au "&amp; TEXT(FinExN,"jj mmmm aaaa")</f>
        <v xml:space="preserve">  au 30 juin 2017</v>
      </c>
      <c r="L3" s="76" t="str">
        <f>"  au "&amp; TEXT(FinExN1,"jj mmmm aaaa")</f>
        <v xml:space="preserve">  au 30 juin 2016</v>
      </c>
      <c r="M3" s="80" t="s">
        <v>223</v>
      </c>
    </row>
    <row r="4" spans="2:13">
      <c r="J4" s="12" t="s">
        <v>10</v>
      </c>
      <c r="K4" s="80">
        <f>UT_N</f>
        <v>144</v>
      </c>
      <c r="L4" s="80">
        <f>UT_N1</f>
        <v>143.86000000000001</v>
      </c>
      <c r="M4" s="80">
        <f>$K$4-$L$4</f>
        <v>0.13999999999998636</v>
      </c>
    </row>
    <row r="5" spans="2:13">
      <c r="J5" s="12" t="s">
        <v>217</v>
      </c>
      <c r="K5" s="80">
        <f>'A_Compte Résultat &amp; SIG NEX '!C18</f>
        <v>171244.48</v>
      </c>
      <c r="L5" s="80">
        <f>'A_Compte Résultat &amp; SIG NEX '!E18</f>
        <v>266437.77</v>
      </c>
      <c r="M5" s="80">
        <f>(K5-L5)/L5*100</f>
        <v>-35.728151455403641</v>
      </c>
    </row>
    <row r="6" spans="2:13">
      <c r="J6" s="12" t="s">
        <v>218</v>
      </c>
      <c r="K6" s="80">
        <f>'A_Compte Résultat &amp; SIG NEX '!D18</f>
        <v>1189.1977777777779</v>
      </c>
      <c r="L6" s="80">
        <f>'A_Compte Résultat &amp; SIG NEX '!F18</f>
        <v>1852.0629083831502</v>
      </c>
      <c r="M6" s="80">
        <f t="shared" ref="M6:M12" si="0">(K6-L6)/L6*100</f>
        <v>-35.79063797482199</v>
      </c>
    </row>
    <row r="7" spans="2:13">
      <c r="J7" s="12" t="s">
        <v>219</v>
      </c>
      <c r="K7" s="80">
        <f>'A_Compte Résultat &amp; SIG NEX '!C32</f>
        <v>-7.5199999999895226</v>
      </c>
      <c r="L7" s="80">
        <f>'A_Compte Résultat &amp; SIG NEX '!E32</f>
        <v>97146.770000000019</v>
      </c>
      <c r="M7" s="80">
        <f t="shared" si="0"/>
        <v>-100.0077408646731</v>
      </c>
    </row>
    <row r="8" spans="2:13">
      <c r="J8" s="12" t="s">
        <v>220</v>
      </c>
      <c r="K8" s="80">
        <f>'A_Compte Résultat &amp; SIG NEX '!C41/K5*100</f>
        <v>2.1735007166362381</v>
      </c>
      <c r="L8" s="80">
        <f>'A_Compte Résultat &amp; SIG NEX '!E41/L5*100</f>
        <v>1.3177561124310564</v>
      </c>
      <c r="M8" s="80">
        <f t="shared" si="0"/>
        <v>64.939528349177237</v>
      </c>
    </row>
    <row r="9" spans="2:13">
      <c r="J9" s="12" t="s">
        <v>215</v>
      </c>
      <c r="K9" s="80">
        <f>'A_Compte Résultat &amp; SIG NEX '!C47</f>
        <v>-27620.999999999993</v>
      </c>
      <c r="L9" s="80">
        <f>'A_Compte Résultat &amp; SIG NEX '!E47</f>
        <v>49204.000000000022</v>
      </c>
      <c r="M9" s="80">
        <f t="shared" si="0"/>
        <v>-156.13568002601411</v>
      </c>
    </row>
    <row r="10" spans="2:13" ht="14.25">
      <c r="B10" s="39"/>
      <c r="J10" s="12" t="s">
        <v>222</v>
      </c>
      <c r="K10" s="80">
        <f>'A_Variat fds de R'!$D$21</f>
        <v>24821</v>
      </c>
      <c r="L10" s="80">
        <f>'A_Variat fds de R'!$C$21</f>
        <v>38629</v>
      </c>
      <c r="M10" s="80">
        <f t="shared" si="0"/>
        <v>-35.745165549198788</v>
      </c>
    </row>
    <row r="11" spans="2:13" s="52" customFormat="1" ht="14.25">
      <c r="B11" s="52" t="s">
        <v>109</v>
      </c>
      <c r="D11" s="52" t="s">
        <v>110</v>
      </c>
      <c r="J11" s="66" t="s">
        <v>24</v>
      </c>
      <c r="K11" s="80">
        <f>'A_Variat fds de R'!D63</f>
        <v>15514.770000000004</v>
      </c>
      <c r="L11" s="80">
        <f>'A_Variat fds de R'!C63</f>
        <v>74648.160000000003</v>
      </c>
      <c r="M11" s="80">
        <f t="shared" si="0"/>
        <v>-79.216138750104477</v>
      </c>
    </row>
    <row r="12" spans="2:13" s="42" customFormat="1" ht="23.25" customHeight="1">
      <c r="J12" s="69" t="s">
        <v>25</v>
      </c>
      <c r="K12" s="82">
        <f>'A_Résult à Trésor'!D60</f>
        <v>-71346.75</v>
      </c>
      <c r="L12" s="82">
        <f>'A_Résult à Trésor'!D14</f>
        <v>-25017.65</v>
      </c>
      <c r="M12" s="82">
        <f t="shared" si="0"/>
        <v>185.18565892479907</v>
      </c>
    </row>
    <row r="13" spans="2:13" s="42" customFormat="1" ht="15">
      <c r="C13" s="186" t="s">
        <v>111</v>
      </c>
      <c r="J13" s="70" t="s">
        <v>209</v>
      </c>
      <c r="K13" s="82">
        <f>'A_Evolution chges'!C16</f>
        <v>93169</v>
      </c>
      <c r="L13" s="82">
        <f>'A_Evolution chges'!E16</f>
        <v>85651</v>
      </c>
      <c r="M13" s="82">
        <f>(K13-L13)/L13*100</f>
        <v>8.7774807065883635</v>
      </c>
    </row>
    <row r="14" spans="2:13" s="29" customFormat="1" ht="14.25">
      <c r="B14" s="140"/>
      <c r="C14" s="140"/>
      <c r="D14" s="140"/>
      <c r="J14" s="69" t="s">
        <v>315</v>
      </c>
      <c r="K14" s="108">
        <f>'A_Compte Résultat &amp; SIG NEX '!C41</f>
        <v>3722</v>
      </c>
      <c r="L14" s="108">
        <f>'A_Compte Résultat &amp; SIG NEX '!E41</f>
        <v>3511</v>
      </c>
      <c r="M14" s="82">
        <f>(K14-L14)/L14*100</f>
        <v>6.0096838507547705</v>
      </c>
    </row>
    <row r="15" spans="2:13" s="29" customFormat="1" ht="14.25">
      <c r="B15" s="187"/>
      <c r="C15" s="140"/>
      <c r="D15" s="187" t="str">
        <f>IF($L$4&gt;$K$4,"Votre superficie d'exploitation a diminué","")</f>
        <v/>
      </c>
      <c r="J15" s="12" t="s">
        <v>221</v>
      </c>
      <c r="K15" s="80">
        <f>'A_Compte Résultat &amp; SIG NEX '!C51</f>
        <v>-27620.999999999993</v>
      </c>
      <c r="L15" s="80">
        <f>'A_Compte Résultat &amp; SIG NEX '!E51</f>
        <v>49204.000000000022</v>
      </c>
      <c r="M15" s="80">
        <f>(K15-L15)/L15*100</f>
        <v>-156.13568002601411</v>
      </c>
    </row>
    <row r="16" spans="2:13" s="29" customFormat="1" ht="14.25">
      <c r="B16" s="187"/>
      <c r="C16" s="140"/>
      <c r="D16" s="187" t="str">
        <f>IF($L$4&gt;$K$4,"de "&amp;FIXED($M$4,2)&amp;" hectares.","")</f>
        <v/>
      </c>
      <c r="K16" s="83"/>
      <c r="L16" s="83"/>
      <c r="M16" s="83"/>
    </row>
    <row r="17" spans="2:13" s="29" customFormat="1" ht="14.25">
      <c r="B17" s="187"/>
      <c r="C17" s="140"/>
      <c r="D17" s="187"/>
      <c r="K17" s="83"/>
      <c r="L17" s="83"/>
      <c r="M17" s="83"/>
    </row>
    <row r="18" spans="2:13" s="29" customFormat="1" ht="14.25">
      <c r="B18" s="187" t="str">
        <f>IF((K5/NbreMoisN)*12&gt;(L5/NbreMoisN1)*12,"Votre produit total en valeur a augmenté","")</f>
        <v/>
      </c>
      <c r="C18" s="140"/>
      <c r="D18" s="187" t="str">
        <f>IF((K5/NbreMoisN)*12&lt;(L5/NbreMoisN1)*12,"Votre produit total en valeur a diminué","")</f>
        <v>Votre produit total en valeur a diminué</v>
      </c>
      <c r="K18" s="83"/>
      <c r="L18" s="83"/>
      <c r="M18" s="83"/>
    </row>
    <row r="19" spans="2:13" s="29" customFormat="1" ht="14.25">
      <c r="B19" s="187" t="str">
        <f>IF((K5/NbreMoisN)*12&gt;(L5/NbreMoisN1)*12,"de "&amp;FIXED($M$5,2)&amp;" % .","")</f>
        <v/>
      </c>
      <c r="C19" s="140"/>
      <c r="D19" s="187" t="str">
        <f>IF((K5/NbreMoisN)*12&lt;(L5/NbreMoisN1)*12,"de "&amp;FIXED($M$5,2)&amp;" % .","")</f>
        <v>de -35,73 % .</v>
      </c>
      <c r="K19" s="83"/>
      <c r="L19" s="83"/>
      <c r="M19" s="83"/>
    </row>
    <row r="20" spans="2:13" s="29" customFormat="1" ht="14.25">
      <c r="B20" s="187"/>
      <c r="C20" s="140"/>
      <c r="D20" s="187"/>
      <c r="K20" s="83"/>
      <c r="L20" s="83"/>
      <c r="M20" s="83"/>
    </row>
    <row r="21" spans="2:13" s="29" customFormat="1" ht="14.25">
      <c r="B21" s="187" t="str">
        <f>IF((K6/NbreMoisN)*12&gt;(L6/NbreMoisN1)*12,"Votre produit brut à l'hectare a augmenté","")</f>
        <v/>
      </c>
      <c r="C21" s="140"/>
      <c r="D21" s="187" t="str">
        <f>IF((K6/NbreMoisN)*12&lt;(L6/NbreMoisN1)*12,"Votre produit brut à l'hectare a diminué","")</f>
        <v>Votre produit brut à l'hectare a diminué</v>
      </c>
      <c r="K21" s="83"/>
      <c r="L21" s="83"/>
      <c r="M21" s="83"/>
    </row>
    <row r="22" spans="2:13" s="29" customFormat="1" ht="14.25">
      <c r="B22" s="187" t="str">
        <f>IF((K6/NbreMoisN)*12&gt;(L6/NbreMoisN1)*12,"de "&amp;FIXED($M$6,2)&amp;" % .","")</f>
        <v/>
      </c>
      <c r="C22" s="140"/>
      <c r="D22" s="187" t="str">
        <f>IF((K6/NbreMoisN)*12&lt;(L6/NbreMoisN1)*12,"de "&amp;FIXED($M$6,2)&amp;" % .","")</f>
        <v>de -35,79 % .</v>
      </c>
      <c r="K22" s="83"/>
      <c r="L22" s="83"/>
      <c r="M22" s="83"/>
    </row>
    <row r="23" spans="2:13" s="29" customFormat="1" ht="14.25">
      <c r="B23" s="187"/>
      <c r="C23" s="140"/>
      <c r="D23" s="187"/>
      <c r="K23" s="83"/>
      <c r="L23" s="83"/>
      <c r="M23" s="83"/>
    </row>
    <row r="24" spans="2:13" s="29" customFormat="1" ht="14.25">
      <c r="B24" s="187" t="str">
        <f>IF($K$7&gt;$L$7,"Votre valeur ajoutée à l'hectare a","")</f>
        <v/>
      </c>
      <c r="C24" s="140"/>
      <c r="D24" s="187" t="str">
        <f>IF($K$7&lt;$L$7,"Votre valeur ajoutée à l'hectare a","")</f>
        <v>Votre valeur ajoutée à l'hectare a</v>
      </c>
      <c r="K24" s="83"/>
      <c r="L24" s="83"/>
      <c r="M24" s="83"/>
    </row>
    <row r="25" spans="2:13" s="29" customFormat="1" ht="14.25">
      <c r="B25" s="187" t="str">
        <f>IF($K$7&gt;$L$7,"progressé de "&amp;FIXED($M$7,2)&amp;" %.","")</f>
        <v/>
      </c>
      <c r="C25" s="140"/>
      <c r="D25" s="187" t="str">
        <f>IF($K$7&lt;$L$7,"chuté de "&amp;FIXED($M$7,2)&amp;" %.","")</f>
        <v>chuté de -100,01 %.</v>
      </c>
      <c r="K25" s="83"/>
      <c r="L25" s="83"/>
      <c r="M25" s="83"/>
    </row>
    <row r="26" spans="2:13" s="29" customFormat="1" ht="14.25">
      <c r="B26" s="140"/>
      <c r="C26" s="140"/>
      <c r="D26" s="140"/>
      <c r="K26" s="83"/>
      <c r="L26" s="83"/>
      <c r="M26" s="83"/>
    </row>
    <row r="27" spans="2:13" s="29" customFormat="1" ht="14.25">
      <c r="B27" s="187" t="str">
        <f>IF($K$14&lt;$L$14,"Nette diminution des charges financières.","")</f>
        <v/>
      </c>
      <c r="C27" s="140"/>
      <c r="D27" s="187" t="str">
        <f>IF($K$14&gt;$L$14,"Nette augmentation des charges financières.","")</f>
        <v>Nette augmentation des charges financières.</v>
      </c>
      <c r="K27" s="83"/>
      <c r="L27" s="83"/>
      <c r="M27" s="83"/>
    </row>
    <row r="28" spans="2:13" s="29" customFormat="1" ht="14.25">
      <c r="B28" s="187" t="str">
        <f>IF($K$14&lt;$L$14,"Elles absorbent toutefois "&amp;FIXED($K$8,2)&amp;" % de votre","")</f>
        <v/>
      </c>
      <c r="C28" s="140"/>
      <c r="D28" s="187" t="str">
        <f>IF($K$14&gt;$L$14,"Elles absorbent "&amp;FIXED($K$8,2)&amp;" % de votre chiffre","")</f>
        <v>Elles absorbent 2,17 % de votre chiffre</v>
      </c>
      <c r="K28" s="83"/>
      <c r="L28" s="83"/>
      <c r="M28" s="83"/>
    </row>
    <row r="29" spans="2:13" s="29" customFormat="1" ht="14.25">
      <c r="B29" s="187" t="str">
        <f>IF($K$14&lt;$L$14,"chiffre d'affaires.","")</f>
        <v/>
      </c>
      <c r="C29" s="140"/>
      <c r="D29" s="187" t="str">
        <f>IF($K$14&gt;$L$14,"d'affaires.","")</f>
        <v>d'affaires.</v>
      </c>
      <c r="K29" s="83"/>
      <c r="L29" s="83"/>
      <c r="M29" s="83"/>
    </row>
    <row r="30" spans="2:13" s="29" customFormat="1" ht="14.25">
      <c r="B30" s="187"/>
      <c r="C30" s="140"/>
      <c r="D30" s="140"/>
      <c r="K30" s="83"/>
      <c r="L30" s="83"/>
      <c r="M30" s="83"/>
    </row>
    <row r="31" spans="2:13" s="29" customFormat="1" ht="14.25">
      <c r="B31" s="187" t="str">
        <f>IF($K$9&gt;$L$9,"Très bonne progression du résultat courant","")</f>
        <v/>
      </c>
      <c r="C31" s="140"/>
      <c r="D31" s="187" t="str">
        <f>IF($L$9&gt;$K$9,"Votre résultat courant accuse une baisse en","")</f>
        <v>Votre résultat courant accuse une baisse en</v>
      </c>
      <c r="K31" s="83"/>
      <c r="L31" s="83"/>
      <c r="M31" s="83"/>
    </row>
    <row r="32" spans="2:13" s="29" customFormat="1" ht="14.25">
      <c r="B32" s="187" t="str">
        <f>IF($K$9&gt;$L$9,"tant en valeur absolue qu'en pourcentage","")</f>
        <v/>
      </c>
      <c r="C32" s="140"/>
      <c r="D32" s="187" t="str">
        <f>IF($L$9&gt;$K$9,"pourcentage du chiffre d'affaires et chute","")</f>
        <v>pourcentage du chiffre d'affaires et chute</v>
      </c>
      <c r="K32" s="83"/>
      <c r="L32" s="83"/>
      <c r="M32" s="83"/>
    </row>
    <row r="33" spans="2:13" s="29" customFormat="1" ht="14.25">
      <c r="B33" s="187" t="str">
        <f>IF($K$9&gt;$L$9,"du chiffre d'affaires réalisé.","")</f>
        <v/>
      </c>
      <c r="C33" s="140"/>
      <c r="D33" s="187" t="str">
        <f>IF($L$9&gt;$K$9,"en valeur absolue.","")</f>
        <v>en valeur absolue.</v>
      </c>
      <c r="K33" s="83"/>
      <c r="L33" s="83"/>
      <c r="M33" s="83"/>
    </row>
    <row r="34" spans="2:13" s="29" customFormat="1" ht="23.25" customHeight="1">
      <c r="B34" s="187"/>
      <c r="C34" s="140"/>
      <c r="D34" s="140"/>
      <c r="K34" s="83"/>
      <c r="L34" s="83"/>
      <c r="M34" s="83"/>
    </row>
    <row r="35" spans="2:13" s="29" customFormat="1" ht="15">
      <c r="B35" s="140"/>
      <c r="C35" s="186" t="s">
        <v>112</v>
      </c>
      <c r="D35" s="140"/>
      <c r="K35" s="83"/>
      <c r="L35" s="83"/>
      <c r="M35" s="83"/>
    </row>
    <row r="36" spans="2:13" s="29" customFormat="1" ht="14.25">
      <c r="B36" s="140"/>
      <c r="C36" s="140"/>
      <c r="D36" s="140"/>
      <c r="G36" s="29" t="s">
        <v>983</v>
      </c>
      <c r="I36" s="71">
        <f>'A_Résult à Trésor'!D33</f>
        <v>0</v>
      </c>
      <c r="K36" s="83"/>
      <c r="L36" s="83"/>
      <c r="M36" s="83"/>
    </row>
    <row r="37" spans="2:13" s="29" customFormat="1" ht="14.25">
      <c r="B37" s="187" t="str">
        <f>IF($K$10&lt;$K$15,"Vos prélèvements personnels sont","")</f>
        <v/>
      </c>
      <c r="C37" s="140"/>
      <c r="D37" s="187" t="str">
        <f>IF($K$10&gt;$K$15,"Vos prélèvements personnels sont","")</f>
        <v>Vos prélèvements personnels sont</v>
      </c>
      <c r="G37" s="29" t="s">
        <v>979</v>
      </c>
      <c r="I37" s="71">
        <f>'A_Résult à Trésor'!D57</f>
        <v>24821</v>
      </c>
      <c r="K37" s="83"/>
      <c r="L37" s="83"/>
      <c r="M37" s="83"/>
    </row>
    <row r="38" spans="2:13" s="29" customFormat="1" ht="14.25">
      <c r="B38" s="187" t="str">
        <f>IF($K$10&lt;$K$15,"inférieurs à votre bénéfice.","")</f>
        <v/>
      </c>
      <c r="C38" s="140"/>
      <c r="D38" s="187" t="str">
        <f>IF($K$10&gt;$K$15,"supérieurs à votre bénéfice.","")</f>
        <v>supérieurs à votre bénéfice.</v>
      </c>
      <c r="G38" s="29" t="s">
        <v>980</v>
      </c>
      <c r="I38" s="71">
        <f>'A_Compte Résultat &amp; SIG NEX '!C51</f>
        <v>-27620.999999999993</v>
      </c>
      <c r="K38" s="83"/>
      <c r="L38" s="83"/>
      <c r="M38" s="83"/>
    </row>
    <row r="39" spans="2:13" s="29" customFormat="1" ht="14.25">
      <c r="B39" s="187"/>
      <c r="C39" s="140"/>
      <c r="D39" s="187"/>
      <c r="I39" s="975">
        <f>-I37+I38</f>
        <v>-52441.999999999993</v>
      </c>
      <c r="K39" s="83"/>
      <c r="L39" s="83"/>
      <c r="M39" s="83"/>
    </row>
    <row r="40" spans="2:13" s="29" customFormat="1" ht="14.25">
      <c r="B40" s="187" t="str">
        <f>IF($M$11&gt;0,"L'autofinancement à lui seul a couvert les","")</f>
        <v/>
      </c>
      <c r="C40" s="140"/>
      <c r="D40" s="187" t="str">
        <f>IF($M$11&lt;0,"L'autofinancement disponible et les autres","")</f>
        <v>L'autofinancement disponible et les autres</v>
      </c>
      <c r="K40" s="83"/>
      <c r="L40" s="83"/>
      <c r="M40" s="83"/>
    </row>
    <row r="41" spans="2:13" s="29" customFormat="1" ht="14.25">
      <c r="B41" s="187" t="str">
        <f>IF($M$11&gt;0,"emplois de la période et a permis de","")</f>
        <v/>
      </c>
      <c r="C41" s="140"/>
      <c r="D41" s="187" t="str">
        <f>IF($M$11&lt;0,"ressources n'ont pas suffi à couvrir la","")</f>
        <v>ressources n'ont pas suffi à couvrir la</v>
      </c>
      <c r="G41" s="29" t="s">
        <v>981</v>
      </c>
      <c r="I41" s="71">
        <f>'A_Résult à Trésor'!D35</f>
        <v>55681.05</v>
      </c>
      <c r="K41" s="83"/>
      <c r="L41" s="83"/>
      <c r="M41" s="83"/>
    </row>
    <row r="42" spans="2:13" s="29" customFormat="1" ht="14.25">
      <c r="B42" s="187" t="str">
        <f>IF($M$11&gt;0,"dégager une variation positive du fonds","")</f>
        <v/>
      </c>
      <c r="C42" s="140"/>
      <c r="D42" s="187" t="str">
        <f>IF($M$11&lt;0,"totalité des emplois, d'où une variation","")</f>
        <v>totalité des emplois, d'où une variation</v>
      </c>
      <c r="G42" s="29" t="s">
        <v>982</v>
      </c>
      <c r="I42" s="71">
        <f>'A_Résult à Trésor'!D58</f>
        <v>102010.15</v>
      </c>
      <c r="J42" s="975">
        <f>I41-I42</f>
        <v>-46329.099999999991</v>
      </c>
      <c r="K42" s="83"/>
      <c r="L42" s="83"/>
      <c r="M42" s="83"/>
    </row>
    <row r="43" spans="2:13" s="29" customFormat="1" ht="14.25">
      <c r="B43" s="187" t="str">
        <f>IF($M$11&gt;0,"de roulement.","")</f>
        <v/>
      </c>
      <c r="C43" s="140"/>
      <c r="D43" s="187" t="str">
        <f>IF($M$11&lt;0,"négative du fonds de roulement.","")</f>
        <v>négative du fonds de roulement.</v>
      </c>
      <c r="K43" s="83"/>
      <c r="L43" s="83"/>
      <c r="M43" s="83"/>
    </row>
    <row r="44" spans="2:13" s="29" customFormat="1" ht="14.25">
      <c r="B44" s="140"/>
      <c r="C44" s="140"/>
      <c r="D44" s="140"/>
      <c r="K44" s="83"/>
      <c r="L44" s="83"/>
      <c r="M44" s="83"/>
    </row>
    <row r="45" spans="2:13" s="29" customFormat="1" ht="14.25">
      <c r="B45" s="187" t="str">
        <f>IF($K$12&gt;0,"Celui-ci est adapté aux besoins nés du","")</f>
        <v/>
      </c>
      <c r="C45" s="140"/>
      <c r="D45" s="187" t="str">
        <f>IF($K$12&lt;0,"Celui-ci est insuffisant pour couvrir les","")</f>
        <v>Celui-ci est insuffisant pour couvrir les</v>
      </c>
      <c r="K45" s="83"/>
      <c r="L45" s="83"/>
      <c r="M45" s="83"/>
    </row>
    <row r="46" spans="2:13" s="29" customFormat="1" ht="14.25">
      <c r="B46" s="187" t="str">
        <f>IF($K$12&gt;0,"cycle d'exploitation ce qui entraine une","")</f>
        <v/>
      </c>
      <c r="C46" s="140"/>
      <c r="D46" s="187" t="str">
        <f>IF($K$12&lt;0,"besoins nés du cycle d'exploitation ce qui","")</f>
        <v>besoins nés du cycle d'exploitation ce qui</v>
      </c>
      <c r="G46" s="29" t="s">
        <v>984</v>
      </c>
      <c r="I46" s="975">
        <f>'A_Résult à Trésor'!D60</f>
        <v>-71346.75</v>
      </c>
      <c r="K46" s="83"/>
      <c r="L46" s="83"/>
      <c r="M46" s="83"/>
    </row>
    <row r="47" spans="2:13" s="29" customFormat="1" ht="14.25">
      <c r="B47" s="187" t="str">
        <f>IF($K$12&gt;0,"trésorerie positive.","")</f>
        <v/>
      </c>
      <c r="C47" s="140"/>
      <c r="D47" s="187" t="str">
        <f>IF($K$12&lt;0,"conduit l'entreprise à recourir au","")</f>
        <v>conduit l'entreprise à recourir au</v>
      </c>
      <c r="K47" s="83"/>
      <c r="L47" s="83"/>
      <c r="M47" s="83"/>
    </row>
    <row r="48" spans="2:13" s="29" customFormat="1" ht="14.25">
      <c r="B48" s="140"/>
      <c r="C48" s="140"/>
      <c r="D48" s="187" t="str">
        <f>IF($K$12&lt;0,"découvert bancaire.","")</f>
        <v>découvert bancaire.</v>
      </c>
      <c r="K48" s="83"/>
      <c r="L48" s="83"/>
      <c r="M48" s="83"/>
    </row>
    <row r="49" spans="1:13" s="29" customFormat="1" ht="14.25">
      <c r="B49" s="140"/>
      <c r="C49" s="140"/>
      <c r="D49" s="140"/>
      <c r="K49" s="83"/>
      <c r="L49" s="83"/>
      <c r="M49" s="83"/>
    </row>
    <row r="50" spans="1:13" s="29" customFormat="1" ht="14.25">
      <c r="B50" s="42"/>
      <c r="C50" s="140"/>
      <c r="D50" s="140"/>
      <c r="K50" s="83"/>
      <c r="L50" s="83"/>
      <c r="M50" s="83"/>
    </row>
    <row r="51" spans="1:13">
      <c r="A51" s="63"/>
      <c r="B51" s="155"/>
      <c r="C51" s="42"/>
      <c r="D51" s="42"/>
      <c r="E51" s="15"/>
    </row>
    <row r="52" spans="1:13">
      <c r="B52" s="42"/>
      <c r="C52" s="42"/>
      <c r="D52" s="42"/>
    </row>
    <row r="53" spans="1:13" hidden="1" outlineLevel="1">
      <c r="B53" s="42"/>
      <c r="C53" s="42"/>
      <c r="D53" s="42"/>
    </row>
    <row r="54" spans="1:13" hidden="1" outlineLevel="1">
      <c r="B54" s="42"/>
      <c r="C54" s="42"/>
      <c r="D54" s="42"/>
    </row>
    <row r="55" spans="1:13" ht="32.25" hidden="1" customHeight="1" outlineLevel="1">
      <c r="B55" s="42"/>
      <c r="C55" s="42"/>
      <c r="D55" s="42"/>
    </row>
    <row r="56" spans="1:13" hidden="1" outlineLevel="1">
      <c r="B56" s="42"/>
      <c r="C56" s="42"/>
      <c r="D56" s="42"/>
    </row>
    <row r="57" spans="1:13" hidden="1" outlineLevel="1">
      <c r="B57" s="42" t="str">
        <f>FinExN</f>
        <v>30/06/2017</v>
      </c>
      <c r="C57" s="42"/>
      <c r="D57" s="42"/>
    </row>
    <row r="58" spans="1:13" hidden="1" outlineLevel="1">
      <c r="B58" s="42" t="str">
        <f>LEFT(B57,5)</f>
        <v>30/06</v>
      </c>
      <c r="C58" s="42"/>
      <c r="D58" s="42"/>
    </row>
    <row r="59" spans="1:13" hidden="1" outlineLevel="1">
      <c r="B59" s="42" t="str">
        <f>RIGHT(B58,2)</f>
        <v>06</v>
      </c>
      <c r="C59" s="42"/>
      <c r="D59" s="42"/>
    </row>
    <row r="60" spans="1:13" hidden="1" outlineLevel="1">
      <c r="B60" s="42" t="str">
        <f>IF(OR(B59="06",B59="05"),"*Influencé par la présence d'une créance DPU de la récolte suivante", " ")</f>
        <v>*Influencé par la présence d'une créance DPU de la récolte suivante</v>
      </c>
      <c r="C60" s="42"/>
      <c r="D60" s="42"/>
    </row>
    <row r="61" spans="1:13" collapsed="1">
      <c r="B61" s="42"/>
      <c r="C61" s="42"/>
      <c r="D61" s="42"/>
    </row>
    <row r="62" spans="1:13">
      <c r="B62" s="42"/>
      <c r="C62" s="42"/>
      <c r="D62" s="42"/>
    </row>
    <row r="63" spans="1:13">
      <c r="B63" s="42"/>
      <c r="C63" s="42"/>
      <c r="D63" s="42"/>
    </row>
    <row r="64" spans="1:13">
      <c r="B64" s="42"/>
      <c r="C64" s="42"/>
      <c r="D64" s="42"/>
    </row>
    <row r="65" spans="2:4">
      <c r="B65" s="42"/>
      <c r="C65" s="42"/>
      <c r="D65" s="42"/>
    </row>
    <row r="66" spans="2:4">
      <c r="B66" s="42"/>
      <c r="C66" s="42"/>
      <c r="D66" s="42"/>
    </row>
    <row r="67" spans="2:4">
      <c r="B67" s="42"/>
      <c r="C67" s="42"/>
      <c r="D67" s="42"/>
    </row>
    <row r="68" spans="2:4">
      <c r="B68" s="42"/>
      <c r="C68" s="42"/>
      <c r="D68" s="42"/>
    </row>
    <row r="69" spans="2:4">
      <c r="B69" s="42"/>
      <c r="C69" s="42"/>
      <c r="D69" s="42"/>
    </row>
    <row r="70" spans="2:4">
      <c r="B70" s="42"/>
      <c r="C70" s="42"/>
      <c r="D70" s="42"/>
    </row>
    <row r="71" spans="2:4">
      <c r="B71" s="42"/>
      <c r="C71" s="42"/>
      <c r="D71" s="42"/>
    </row>
    <row r="72" spans="2:4">
      <c r="B72" s="42"/>
      <c r="C72" s="42"/>
      <c r="D72" s="42"/>
    </row>
    <row r="73" spans="2:4">
      <c r="B73" s="42"/>
      <c r="C73" s="42"/>
      <c r="D73" s="42"/>
    </row>
    <row r="74" spans="2:4">
      <c r="B74" s="42"/>
      <c r="C74" s="42"/>
      <c r="D74" s="42"/>
    </row>
    <row r="75" spans="2:4">
      <c r="B75" s="42"/>
      <c r="C75" s="42"/>
      <c r="D75" s="42"/>
    </row>
    <row r="76" spans="2:4">
      <c r="B76" s="42"/>
      <c r="C76" s="42"/>
      <c r="D76" s="42"/>
    </row>
    <row r="77" spans="2:4">
      <c r="B77" s="42"/>
      <c r="C77" s="42"/>
      <c r="D77" s="42"/>
    </row>
    <row r="78" spans="2:4">
      <c r="B78" s="42"/>
      <c r="C78" s="42"/>
      <c r="D78" s="42"/>
    </row>
    <row r="79" spans="2:4">
      <c r="B79" s="42"/>
      <c r="C79" s="42"/>
      <c r="D79" s="42"/>
    </row>
    <row r="80" spans="2:4">
      <c r="B80" s="42"/>
      <c r="C80" s="42"/>
      <c r="D80" s="42"/>
    </row>
    <row r="81" spans="2:4">
      <c r="B81" s="42"/>
      <c r="C81" s="42"/>
      <c r="D81" s="42"/>
    </row>
    <row r="82" spans="2:4">
      <c r="B82" s="42"/>
      <c r="C82" s="42"/>
      <c r="D82" s="42"/>
    </row>
    <row r="83" spans="2:4">
      <c r="B83" s="42"/>
      <c r="C83" s="42"/>
      <c r="D83" s="42"/>
    </row>
    <row r="84" spans="2:4">
      <c r="B84" s="42"/>
      <c r="C84" s="42"/>
      <c r="D84" s="42"/>
    </row>
    <row r="85" spans="2:4">
      <c r="B85" s="42"/>
      <c r="C85" s="42"/>
      <c r="D85" s="42"/>
    </row>
    <row r="86" spans="2:4">
      <c r="B86" s="42"/>
      <c r="C86" s="42"/>
      <c r="D86" s="42"/>
    </row>
    <row r="87" spans="2:4">
      <c r="B87" s="42"/>
      <c r="C87" s="42"/>
      <c r="D87" s="42"/>
    </row>
    <row r="88" spans="2:4">
      <c r="B88" s="42"/>
      <c r="C88" s="42"/>
      <c r="D88" s="42"/>
    </row>
    <row r="89" spans="2:4">
      <c r="B89" s="42"/>
      <c r="C89" s="42"/>
      <c r="D89" s="42"/>
    </row>
    <row r="90" spans="2:4">
      <c r="B90" s="42"/>
      <c r="C90" s="42"/>
      <c r="D90" s="42"/>
    </row>
    <row r="91" spans="2:4">
      <c r="B91" s="42"/>
      <c r="C91" s="42"/>
      <c r="D91" s="42"/>
    </row>
    <row r="92" spans="2:4">
      <c r="B92" s="42"/>
      <c r="C92" s="42"/>
      <c r="D92" s="42"/>
    </row>
    <row r="93" spans="2:4">
      <c r="B93" s="42"/>
      <c r="C93" s="42"/>
      <c r="D93" s="42"/>
    </row>
    <row r="94" spans="2:4">
      <c r="B94" s="42"/>
      <c r="C94" s="42"/>
      <c r="D94" s="42"/>
    </row>
    <row r="95" spans="2:4">
      <c r="B95" s="42"/>
      <c r="C95" s="42"/>
      <c r="D95" s="42"/>
    </row>
    <row r="96" spans="2:4">
      <c r="B96" s="42"/>
      <c r="C96" s="42"/>
      <c r="D96" s="42"/>
    </row>
    <row r="97" spans="2:4">
      <c r="B97" s="42"/>
      <c r="C97" s="42"/>
      <c r="D97" s="42"/>
    </row>
    <row r="98" spans="2:4">
      <c r="B98" s="42"/>
      <c r="C98" s="42"/>
      <c r="D98" s="42"/>
    </row>
    <row r="99" spans="2:4">
      <c r="B99" s="42"/>
      <c r="C99" s="42"/>
      <c r="D99" s="42"/>
    </row>
    <row r="100" spans="2:4">
      <c r="B100" s="42"/>
      <c r="C100" s="42"/>
      <c r="D100" s="42"/>
    </row>
    <row r="101" spans="2:4">
      <c r="B101" s="42"/>
      <c r="C101" s="42"/>
      <c r="D101" s="42"/>
    </row>
    <row r="102" spans="2:4">
      <c r="B102" s="42"/>
      <c r="C102" s="42"/>
      <c r="D102" s="42"/>
    </row>
    <row r="103" spans="2:4">
      <c r="B103" s="42"/>
      <c r="C103" s="42"/>
      <c r="D103" s="42"/>
    </row>
    <row r="104" spans="2:4">
      <c r="B104" s="42"/>
      <c r="C104" s="42"/>
      <c r="D104" s="42"/>
    </row>
    <row r="105" spans="2:4">
      <c r="B105" s="42"/>
      <c r="C105" s="42"/>
      <c r="D105" s="42"/>
    </row>
    <row r="106" spans="2:4">
      <c r="B106" s="42"/>
      <c r="C106" s="42"/>
      <c r="D106" s="42"/>
    </row>
    <row r="107" spans="2:4">
      <c r="B107" s="42"/>
      <c r="C107" s="42"/>
      <c r="D107" s="42"/>
    </row>
    <row r="108" spans="2:4">
      <c r="B108" s="42"/>
      <c r="C108" s="42"/>
      <c r="D108" s="42"/>
    </row>
    <row r="109" spans="2:4">
      <c r="B109" s="42"/>
      <c r="C109" s="42"/>
      <c r="D109" s="42"/>
    </row>
    <row r="110" spans="2:4">
      <c r="B110" s="42"/>
      <c r="C110" s="42"/>
      <c r="D110" s="42"/>
    </row>
    <row r="111" spans="2:4">
      <c r="B111" s="42"/>
      <c r="C111" s="42"/>
      <c r="D111" s="42"/>
    </row>
    <row r="112" spans="2:4">
      <c r="B112" s="42"/>
      <c r="C112" s="42"/>
      <c r="D112" s="42"/>
    </row>
    <row r="113" spans="2:4">
      <c r="B113" s="42"/>
      <c r="C113" s="42"/>
      <c r="D113" s="42"/>
    </row>
    <row r="114" spans="2:4">
      <c r="B114" s="42"/>
      <c r="C114" s="42"/>
      <c r="D114" s="42"/>
    </row>
    <row r="115" spans="2:4">
      <c r="B115" s="42"/>
      <c r="C115" s="42"/>
      <c r="D115" s="42"/>
    </row>
    <row r="116" spans="2:4">
      <c r="B116" s="42"/>
      <c r="C116" s="42"/>
      <c r="D116" s="42"/>
    </row>
    <row r="117" spans="2:4">
      <c r="B117" s="42"/>
      <c r="C117" s="42"/>
      <c r="D117" s="42"/>
    </row>
    <row r="118" spans="2:4">
      <c r="B118" s="42"/>
      <c r="C118" s="42"/>
      <c r="D118" s="42"/>
    </row>
    <row r="119" spans="2:4">
      <c r="B119" s="42"/>
      <c r="C119" s="42"/>
      <c r="D119" s="42"/>
    </row>
    <row r="120" spans="2:4">
      <c r="B120" s="42"/>
      <c r="C120" s="42"/>
      <c r="D120" s="42"/>
    </row>
    <row r="121" spans="2:4">
      <c r="B121" s="42"/>
      <c r="C121" s="42"/>
      <c r="D121" s="42"/>
    </row>
    <row r="122" spans="2:4">
      <c r="B122" s="42"/>
      <c r="C122" s="42"/>
      <c r="D122" s="42"/>
    </row>
    <row r="123" spans="2:4">
      <c r="B123" s="42"/>
      <c r="C123" s="42"/>
      <c r="D123" s="42"/>
    </row>
    <row r="124" spans="2:4">
      <c r="B124" s="42"/>
      <c r="C124" s="42"/>
      <c r="D124" s="42"/>
    </row>
    <row r="125" spans="2:4">
      <c r="B125" s="42"/>
      <c r="C125" s="42"/>
      <c r="D125" s="42"/>
    </row>
    <row r="126" spans="2:4">
      <c r="B126" s="42"/>
      <c r="C126" s="42"/>
      <c r="D126" s="42"/>
    </row>
    <row r="127" spans="2:4">
      <c r="B127" s="42"/>
      <c r="C127" s="42"/>
      <c r="D127" s="42"/>
    </row>
    <row r="128" spans="2:4">
      <c r="B128" s="42"/>
      <c r="C128" s="42"/>
      <c r="D128" s="42"/>
    </row>
    <row r="129" spans="2:4">
      <c r="B129" s="42"/>
      <c r="C129" s="42"/>
      <c r="D129" s="42"/>
    </row>
    <row r="130" spans="2:4">
      <c r="B130" s="42"/>
      <c r="C130" s="42"/>
      <c r="D130" s="42"/>
    </row>
    <row r="131" spans="2:4">
      <c r="B131" s="42"/>
      <c r="C131" s="42"/>
      <c r="D131" s="42"/>
    </row>
    <row r="132" spans="2:4">
      <c r="B132" s="42"/>
      <c r="C132" s="42"/>
      <c r="D132" s="42"/>
    </row>
    <row r="133" spans="2:4">
      <c r="B133" s="42"/>
      <c r="C133" s="42"/>
      <c r="D133" s="42"/>
    </row>
    <row r="134" spans="2:4">
      <c r="B134" s="42"/>
      <c r="C134" s="42"/>
      <c r="D134" s="42"/>
    </row>
    <row r="135" spans="2:4">
      <c r="B135" s="42"/>
      <c r="C135" s="42"/>
      <c r="D135" s="42"/>
    </row>
    <row r="136" spans="2:4">
      <c r="B136" s="42"/>
      <c r="C136" s="42"/>
      <c r="D136" s="42"/>
    </row>
    <row r="137" spans="2:4">
      <c r="B137" s="42"/>
      <c r="C137" s="42"/>
      <c r="D137" s="42"/>
    </row>
    <row r="138" spans="2:4">
      <c r="B138" s="42"/>
      <c r="C138" s="42"/>
      <c r="D138" s="42"/>
    </row>
    <row r="139" spans="2:4">
      <c r="B139" s="42"/>
      <c r="C139" s="42"/>
      <c r="D139" s="42"/>
    </row>
    <row r="140" spans="2:4">
      <c r="B140" s="42"/>
      <c r="C140" s="42"/>
      <c r="D140" s="42"/>
    </row>
    <row r="141" spans="2:4">
      <c r="B141" s="42"/>
      <c r="C141" s="42"/>
      <c r="D141" s="42"/>
    </row>
    <row r="142" spans="2:4">
      <c r="B142" s="42"/>
      <c r="C142" s="42"/>
      <c r="D142" s="42"/>
    </row>
    <row r="143" spans="2:4">
      <c r="B143" s="42"/>
      <c r="C143" s="42"/>
      <c r="D143" s="42"/>
    </row>
    <row r="144" spans="2:4">
      <c r="B144" s="42"/>
      <c r="C144" s="42"/>
      <c r="D144" s="42"/>
    </row>
    <row r="145" spans="2:4">
      <c r="B145" s="42"/>
      <c r="C145" s="42"/>
      <c r="D145" s="42"/>
    </row>
    <row r="146" spans="2:4">
      <c r="B146" s="42"/>
      <c r="C146" s="42"/>
      <c r="D146" s="42"/>
    </row>
    <row r="147" spans="2:4">
      <c r="B147" s="42"/>
      <c r="C147" s="42"/>
      <c r="D147" s="42"/>
    </row>
    <row r="148" spans="2:4">
      <c r="B148" s="42"/>
      <c r="C148" s="42"/>
      <c r="D148" s="42"/>
    </row>
    <row r="149" spans="2:4">
      <c r="B149" s="42"/>
      <c r="C149" s="42"/>
      <c r="D149" s="42"/>
    </row>
    <row r="150" spans="2:4">
      <c r="B150" s="42"/>
      <c r="C150" s="42"/>
      <c r="D150" s="42"/>
    </row>
    <row r="151" spans="2:4">
      <c r="B151" s="42"/>
      <c r="C151" s="42"/>
      <c r="D151" s="42"/>
    </row>
    <row r="152" spans="2:4">
      <c r="B152" s="42"/>
      <c r="C152" s="42"/>
      <c r="D152" s="42"/>
    </row>
    <row r="153" spans="2:4">
      <c r="B153" s="42"/>
      <c r="C153" s="42"/>
      <c r="D153" s="42"/>
    </row>
    <row r="154" spans="2:4">
      <c r="B154" s="42"/>
      <c r="C154" s="42"/>
      <c r="D154" s="42"/>
    </row>
    <row r="155" spans="2:4">
      <c r="B155" s="42"/>
      <c r="C155" s="42"/>
      <c r="D155" s="42"/>
    </row>
    <row r="156" spans="2:4">
      <c r="B156" s="42"/>
      <c r="C156" s="42"/>
      <c r="D156" s="42"/>
    </row>
    <row r="157" spans="2:4">
      <c r="B157" s="42"/>
      <c r="C157" s="42"/>
      <c r="D157" s="42"/>
    </row>
    <row r="158" spans="2:4">
      <c r="B158" s="42"/>
      <c r="C158" s="42"/>
      <c r="D158" s="42"/>
    </row>
    <row r="159" spans="2:4">
      <c r="B159" s="42"/>
      <c r="C159" s="42"/>
      <c r="D159" s="42"/>
    </row>
    <row r="160" spans="2:4">
      <c r="B160" s="42"/>
      <c r="C160" s="42"/>
      <c r="D160" s="42"/>
    </row>
    <row r="161" spans="2:4">
      <c r="B161" s="42"/>
      <c r="C161" s="42"/>
      <c r="D161" s="42"/>
    </row>
    <row r="162" spans="2:4">
      <c r="B162" s="42"/>
      <c r="C162" s="42"/>
      <c r="D162" s="42"/>
    </row>
    <row r="163" spans="2:4">
      <c r="B163" s="42"/>
      <c r="C163" s="42"/>
      <c r="D163" s="42"/>
    </row>
    <row r="164" spans="2:4">
      <c r="B164" s="42"/>
      <c r="C164" s="42"/>
      <c r="D164" s="42"/>
    </row>
    <row r="165" spans="2:4">
      <c r="B165" s="42"/>
      <c r="C165" s="42"/>
      <c r="D165" s="42"/>
    </row>
    <row r="166" spans="2:4">
      <c r="B166" s="42"/>
      <c r="C166" s="42"/>
      <c r="D166" s="42"/>
    </row>
    <row r="167" spans="2:4">
      <c r="B167" s="42"/>
      <c r="C167" s="42"/>
      <c r="D167" s="42"/>
    </row>
    <row r="168" spans="2:4">
      <c r="B168" s="42"/>
      <c r="C168" s="42"/>
      <c r="D168" s="42"/>
    </row>
    <row r="169" spans="2:4">
      <c r="B169" s="42"/>
      <c r="C169" s="42"/>
      <c r="D169" s="42"/>
    </row>
    <row r="170" spans="2:4">
      <c r="B170" s="42"/>
      <c r="C170" s="42"/>
      <c r="D170" s="42"/>
    </row>
    <row r="171" spans="2:4">
      <c r="B171" s="42"/>
      <c r="C171" s="42"/>
      <c r="D171" s="42"/>
    </row>
    <row r="172" spans="2:4">
      <c r="B172" s="42"/>
      <c r="C172" s="42"/>
      <c r="D172" s="42"/>
    </row>
    <row r="173" spans="2:4">
      <c r="B173" s="42"/>
      <c r="C173" s="42"/>
      <c r="D173" s="42"/>
    </row>
    <row r="174" spans="2:4">
      <c r="B174" s="42"/>
      <c r="C174" s="42"/>
      <c r="D174" s="42"/>
    </row>
    <row r="175" spans="2:4">
      <c r="B175" s="42"/>
      <c r="C175" s="42"/>
      <c r="D175" s="42"/>
    </row>
    <row r="176" spans="2:4">
      <c r="B176" s="42"/>
      <c r="C176" s="42"/>
      <c r="D176" s="42"/>
    </row>
    <row r="177" spans="2:4">
      <c r="B177" s="42"/>
      <c r="C177" s="42"/>
      <c r="D177" s="42"/>
    </row>
    <row r="178" spans="2:4">
      <c r="B178" s="42"/>
      <c r="C178" s="42"/>
      <c r="D178" s="42"/>
    </row>
    <row r="179" spans="2:4">
      <c r="B179" s="42"/>
      <c r="C179" s="42"/>
      <c r="D179" s="42"/>
    </row>
    <row r="180" spans="2:4">
      <c r="B180" s="42"/>
      <c r="C180" s="42"/>
      <c r="D180" s="42"/>
    </row>
    <row r="181" spans="2:4">
      <c r="B181" s="42"/>
      <c r="C181" s="42"/>
      <c r="D181" s="42"/>
    </row>
    <row r="182" spans="2:4">
      <c r="B182" s="42"/>
      <c r="C182" s="42"/>
      <c r="D182" s="42"/>
    </row>
    <row r="183" spans="2:4">
      <c r="B183" s="42"/>
      <c r="C183" s="42"/>
      <c r="D183" s="42"/>
    </row>
    <row r="184" spans="2:4">
      <c r="B184" s="42"/>
      <c r="C184" s="42"/>
      <c r="D184" s="42"/>
    </row>
    <row r="185" spans="2:4">
      <c r="B185" s="42"/>
      <c r="C185" s="42"/>
      <c r="D185" s="42"/>
    </row>
    <row r="186" spans="2:4">
      <c r="B186" s="42"/>
      <c r="C186" s="42"/>
      <c r="D186" s="42"/>
    </row>
    <row r="187" spans="2:4">
      <c r="B187" s="42"/>
      <c r="C187" s="42"/>
      <c r="D187" s="42"/>
    </row>
    <row r="188" spans="2:4">
      <c r="B188" s="42"/>
      <c r="C188" s="42"/>
      <c r="D188" s="42"/>
    </row>
    <row r="189" spans="2:4">
      <c r="B189" s="42"/>
      <c r="C189" s="42"/>
      <c r="D189" s="42"/>
    </row>
    <row r="190" spans="2:4">
      <c r="B190" s="42"/>
      <c r="C190" s="42"/>
      <c r="D190" s="42"/>
    </row>
    <row r="191" spans="2:4">
      <c r="B191" s="42"/>
      <c r="C191" s="42"/>
      <c r="D191" s="42"/>
    </row>
    <row r="192" spans="2:4">
      <c r="B192" s="42"/>
      <c r="C192" s="42"/>
      <c r="D192" s="42"/>
    </row>
    <row r="193" spans="2:4">
      <c r="B193" s="42"/>
      <c r="C193" s="42"/>
      <c r="D193" s="42"/>
    </row>
    <row r="194" spans="2:4">
      <c r="B194" s="42"/>
      <c r="C194" s="42"/>
      <c r="D194" s="42"/>
    </row>
    <row r="195" spans="2:4">
      <c r="B195" s="42"/>
      <c r="C195" s="42"/>
      <c r="D195" s="42"/>
    </row>
    <row r="196" spans="2:4">
      <c r="B196" s="42"/>
      <c r="C196" s="42"/>
      <c r="D196" s="42"/>
    </row>
    <row r="197" spans="2:4">
      <c r="B197" s="42"/>
      <c r="C197" s="42"/>
      <c r="D197" s="42"/>
    </row>
    <row r="198" spans="2:4">
      <c r="B198" s="42"/>
      <c r="C198" s="42"/>
      <c r="D198" s="42"/>
    </row>
    <row r="199" spans="2:4">
      <c r="B199" s="42"/>
      <c r="C199" s="42"/>
      <c r="D199" s="42"/>
    </row>
    <row r="200" spans="2:4">
      <c r="B200" s="42"/>
      <c r="C200" s="42"/>
      <c r="D200" s="42"/>
    </row>
    <row r="201" spans="2:4">
      <c r="B201" s="42"/>
      <c r="C201" s="42"/>
      <c r="D201" s="42"/>
    </row>
    <row r="202" spans="2:4">
      <c r="B202" s="42"/>
      <c r="C202" s="42"/>
      <c r="D202" s="42"/>
    </row>
    <row r="203" spans="2:4">
      <c r="B203" s="42"/>
      <c r="C203" s="42"/>
      <c r="D203" s="42"/>
    </row>
    <row r="204" spans="2:4">
      <c r="B204" s="42"/>
      <c r="C204" s="42"/>
      <c r="D204" s="42"/>
    </row>
    <row r="205" spans="2:4">
      <c r="B205" s="42"/>
      <c r="C205" s="42"/>
      <c r="D205" s="42"/>
    </row>
    <row r="206" spans="2:4">
      <c r="B206" s="42"/>
      <c r="C206" s="42"/>
      <c r="D206" s="42"/>
    </row>
    <row r="207" spans="2:4">
      <c r="B207" s="42"/>
      <c r="C207" s="42"/>
      <c r="D207" s="42"/>
    </row>
    <row r="208" spans="2:4">
      <c r="B208" s="42"/>
      <c r="C208" s="42"/>
      <c r="D208" s="42"/>
    </row>
    <row r="209" spans="2:4">
      <c r="B209" s="42"/>
      <c r="C209" s="42"/>
      <c r="D209" s="42"/>
    </row>
    <row r="210" spans="2:4">
      <c r="B210" s="42"/>
      <c r="C210" s="42"/>
      <c r="D210" s="42"/>
    </row>
    <row r="211" spans="2:4">
      <c r="B211" s="42"/>
      <c r="C211" s="42"/>
      <c r="D211" s="42"/>
    </row>
    <row r="212" spans="2:4">
      <c r="B212" s="42"/>
      <c r="C212" s="42"/>
      <c r="D212" s="42"/>
    </row>
    <row r="213" spans="2:4">
      <c r="B213" s="42"/>
      <c r="C213" s="42"/>
      <c r="D213" s="42"/>
    </row>
    <row r="214" spans="2:4">
      <c r="B214" s="42"/>
      <c r="C214" s="42"/>
      <c r="D214" s="42"/>
    </row>
    <row r="215" spans="2:4">
      <c r="B215" s="42"/>
      <c r="C215" s="42"/>
      <c r="D215" s="42"/>
    </row>
    <row r="216" spans="2:4">
      <c r="B216" s="42"/>
      <c r="C216" s="42"/>
      <c r="D216" s="42"/>
    </row>
    <row r="217" spans="2:4">
      <c r="B217" s="42"/>
      <c r="C217" s="42"/>
      <c r="D217" s="42"/>
    </row>
    <row r="218" spans="2:4">
      <c r="B218" s="42"/>
      <c r="C218" s="42"/>
      <c r="D218" s="42"/>
    </row>
    <row r="219" spans="2:4">
      <c r="B219" s="42"/>
      <c r="C219" s="42"/>
      <c r="D219" s="42"/>
    </row>
    <row r="220" spans="2:4">
      <c r="B220" s="42"/>
      <c r="C220" s="42"/>
      <c r="D220" s="42"/>
    </row>
    <row r="221" spans="2:4">
      <c r="B221" s="42"/>
      <c r="C221" s="42"/>
      <c r="D221" s="42"/>
    </row>
    <row r="222" spans="2:4">
      <c r="B222" s="42"/>
      <c r="C222" s="42"/>
      <c r="D222" s="42"/>
    </row>
    <row r="223" spans="2:4">
      <c r="B223" s="42"/>
      <c r="C223" s="42"/>
      <c r="D223" s="42"/>
    </row>
    <row r="224" spans="2:4">
      <c r="B224" s="42"/>
      <c r="C224" s="42"/>
      <c r="D224" s="42"/>
    </row>
    <row r="225" spans="2:4">
      <c r="B225" s="42"/>
      <c r="C225" s="42"/>
      <c r="D225" s="42"/>
    </row>
    <row r="226" spans="2:4">
      <c r="B226" s="42"/>
      <c r="C226" s="42"/>
      <c r="D226" s="42"/>
    </row>
    <row r="227" spans="2:4">
      <c r="B227" s="42"/>
      <c r="C227" s="42"/>
      <c r="D227" s="42"/>
    </row>
    <row r="228" spans="2:4">
      <c r="B228" s="42"/>
      <c r="C228" s="42"/>
      <c r="D228" s="42"/>
    </row>
    <row r="229" spans="2:4">
      <c r="B229" s="42"/>
      <c r="C229" s="42"/>
      <c r="D229" s="42"/>
    </row>
    <row r="230" spans="2:4">
      <c r="B230" s="42"/>
      <c r="C230" s="42"/>
      <c r="D230" s="42"/>
    </row>
    <row r="231" spans="2:4">
      <c r="B231" s="42"/>
      <c r="C231" s="42"/>
      <c r="D231" s="42"/>
    </row>
    <row r="232" spans="2:4">
      <c r="B232" s="42"/>
      <c r="C232" s="42"/>
      <c r="D232" s="42"/>
    </row>
    <row r="233" spans="2:4">
      <c r="B233" s="42"/>
      <c r="C233" s="42"/>
      <c r="D233" s="42"/>
    </row>
    <row r="234" spans="2:4">
      <c r="B234" s="42"/>
      <c r="C234" s="42"/>
      <c r="D234" s="42"/>
    </row>
    <row r="235" spans="2:4">
      <c r="B235" s="42"/>
      <c r="C235" s="42"/>
      <c r="D235" s="42"/>
    </row>
    <row r="236" spans="2:4">
      <c r="B236" s="42"/>
      <c r="C236" s="42"/>
      <c r="D236" s="42"/>
    </row>
    <row r="237" spans="2:4">
      <c r="B237" s="42"/>
      <c r="C237" s="42"/>
      <c r="D237" s="42"/>
    </row>
    <row r="238" spans="2:4">
      <c r="B238" s="42"/>
      <c r="C238" s="42"/>
      <c r="D238" s="42"/>
    </row>
    <row r="239" spans="2:4">
      <c r="B239" s="42"/>
      <c r="C239" s="42"/>
      <c r="D239" s="42"/>
    </row>
    <row r="240" spans="2:4">
      <c r="B240" s="42"/>
      <c r="C240" s="42"/>
      <c r="D240" s="42"/>
    </row>
    <row r="241" spans="2:4">
      <c r="B241" s="42"/>
      <c r="C241" s="42"/>
      <c r="D241" s="42"/>
    </row>
    <row r="242" spans="2:4">
      <c r="B242" s="42"/>
      <c r="C242" s="42"/>
      <c r="D242" s="42"/>
    </row>
    <row r="243" spans="2:4">
      <c r="B243" s="42"/>
      <c r="C243" s="42"/>
      <c r="D243" s="42"/>
    </row>
    <row r="244" spans="2:4">
      <c r="B244" s="42"/>
      <c r="C244" s="42"/>
      <c r="D244" s="42"/>
    </row>
    <row r="245" spans="2:4">
      <c r="B245" s="42"/>
      <c r="C245" s="42"/>
      <c r="D245" s="42"/>
    </row>
    <row r="246" spans="2:4">
      <c r="B246" s="42"/>
      <c r="C246" s="42"/>
      <c r="D246" s="42"/>
    </row>
    <row r="247" spans="2:4">
      <c r="B247" s="42"/>
      <c r="C247" s="42"/>
      <c r="D247" s="42"/>
    </row>
    <row r="248" spans="2:4">
      <c r="B248" s="42"/>
      <c r="C248" s="42"/>
      <c r="D248" s="42"/>
    </row>
    <row r="249" spans="2:4">
      <c r="B249" s="42"/>
      <c r="C249" s="42"/>
      <c r="D249" s="42"/>
    </row>
    <row r="250" spans="2:4">
      <c r="B250" s="42"/>
      <c r="C250" s="42"/>
      <c r="D250" s="42"/>
    </row>
    <row r="251" spans="2:4">
      <c r="B251" s="42"/>
      <c r="C251" s="42"/>
      <c r="D251" s="42"/>
    </row>
    <row r="252" spans="2:4">
      <c r="B252" s="42"/>
      <c r="C252" s="42"/>
      <c r="D252" s="42"/>
    </row>
    <row r="253" spans="2:4">
      <c r="B253" s="42"/>
      <c r="C253" s="42"/>
      <c r="D253" s="42"/>
    </row>
    <row r="254" spans="2:4">
      <c r="B254" s="42"/>
      <c r="C254" s="42"/>
      <c r="D254" s="42"/>
    </row>
    <row r="255" spans="2:4">
      <c r="B255" s="42"/>
      <c r="C255" s="42"/>
      <c r="D255" s="42"/>
    </row>
    <row r="256" spans="2:4">
      <c r="B256" s="42"/>
      <c r="C256" s="42"/>
      <c r="D256" s="42"/>
    </row>
    <row r="257" spans="2:4">
      <c r="B257" s="42"/>
      <c r="C257" s="42"/>
      <c r="D257" s="42"/>
    </row>
    <row r="258" spans="2:4">
      <c r="B258" s="42"/>
      <c r="C258" s="42"/>
      <c r="D258" s="42"/>
    </row>
    <row r="259" spans="2:4">
      <c r="B259" s="42"/>
      <c r="C259" s="42"/>
      <c r="D259" s="42"/>
    </row>
    <row r="260" spans="2:4">
      <c r="B260" s="42"/>
      <c r="C260" s="42"/>
      <c r="D260" s="42"/>
    </row>
    <row r="261" spans="2:4">
      <c r="B261" s="42"/>
      <c r="C261" s="42"/>
      <c r="D261" s="42"/>
    </row>
    <row r="262" spans="2:4">
      <c r="B262" s="42"/>
      <c r="C262" s="42"/>
      <c r="D262" s="42"/>
    </row>
    <row r="263" spans="2:4">
      <c r="B263" s="42"/>
      <c r="C263" s="42"/>
      <c r="D263" s="42"/>
    </row>
    <row r="264" spans="2:4">
      <c r="B264" s="42"/>
      <c r="C264" s="42"/>
      <c r="D264" s="42"/>
    </row>
    <row r="265" spans="2:4">
      <c r="B265" s="42"/>
      <c r="C265" s="42"/>
      <c r="D265" s="42"/>
    </row>
    <row r="266" spans="2:4">
      <c r="B266" s="42"/>
      <c r="C266" s="42"/>
      <c r="D266" s="42"/>
    </row>
    <row r="267" spans="2:4">
      <c r="B267" s="42"/>
      <c r="C267" s="42"/>
      <c r="D267" s="42"/>
    </row>
    <row r="268" spans="2:4">
      <c r="B268" s="42"/>
      <c r="C268" s="42"/>
      <c r="D268" s="42"/>
    </row>
    <row r="269" spans="2:4">
      <c r="B269" s="42"/>
      <c r="C269" s="42"/>
      <c r="D269" s="42"/>
    </row>
    <row r="270" spans="2:4">
      <c r="B270" s="42"/>
      <c r="C270" s="42"/>
      <c r="D270" s="42"/>
    </row>
    <row r="271" spans="2:4">
      <c r="B271" s="42"/>
      <c r="C271" s="42"/>
      <c r="D271" s="42"/>
    </row>
    <row r="272" spans="2:4">
      <c r="B272" s="42"/>
      <c r="C272" s="42"/>
      <c r="D272" s="42"/>
    </row>
    <row r="273" spans="2:4">
      <c r="B273" s="42"/>
      <c r="C273" s="42"/>
      <c r="D273" s="42"/>
    </row>
    <row r="274" spans="2:4">
      <c r="B274" s="42"/>
      <c r="C274" s="42"/>
      <c r="D274" s="42"/>
    </row>
    <row r="275" spans="2:4">
      <c r="B275" s="42"/>
      <c r="C275" s="42"/>
      <c r="D275" s="42"/>
    </row>
    <row r="276" spans="2:4">
      <c r="B276" s="42"/>
      <c r="C276" s="42"/>
      <c r="D276" s="42"/>
    </row>
    <row r="277" spans="2:4">
      <c r="B277" s="42"/>
      <c r="C277" s="42"/>
      <c r="D277" s="42"/>
    </row>
    <row r="278" spans="2:4">
      <c r="B278" s="42"/>
      <c r="C278" s="42"/>
      <c r="D278" s="42"/>
    </row>
    <row r="279" spans="2:4">
      <c r="B279" s="42"/>
      <c r="C279" s="42"/>
      <c r="D279" s="42"/>
    </row>
    <row r="280" spans="2:4">
      <c r="B280" s="42"/>
      <c r="C280" s="42"/>
      <c r="D280" s="42"/>
    </row>
    <row r="281" spans="2:4">
      <c r="B281" s="42"/>
      <c r="C281" s="42"/>
      <c r="D281" s="42"/>
    </row>
    <row r="282" spans="2:4">
      <c r="B282" s="42"/>
      <c r="C282" s="42"/>
      <c r="D282" s="42"/>
    </row>
    <row r="283" spans="2:4">
      <c r="B283" s="42"/>
      <c r="C283" s="42"/>
      <c r="D283" s="42"/>
    </row>
    <row r="284" spans="2:4">
      <c r="B284" s="42"/>
      <c r="C284" s="42"/>
      <c r="D284" s="42"/>
    </row>
    <row r="285" spans="2:4">
      <c r="B285" s="42"/>
      <c r="C285" s="42"/>
      <c r="D285" s="42"/>
    </row>
    <row r="286" spans="2:4">
      <c r="B286" s="42"/>
      <c r="C286" s="42"/>
      <c r="D286" s="42"/>
    </row>
    <row r="287" spans="2:4">
      <c r="B287" s="42"/>
      <c r="C287" s="42"/>
      <c r="D287" s="42"/>
    </row>
    <row r="288" spans="2:4">
      <c r="B288" s="42"/>
      <c r="C288" s="42"/>
      <c r="D288" s="42"/>
    </row>
    <row r="289" spans="2:4">
      <c r="B289" s="42"/>
      <c r="C289" s="42"/>
      <c r="D289" s="42"/>
    </row>
    <row r="290" spans="2:4">
      <c r="B290" s="42"/>
      <c r="C290" s="42"/>
      <c r="D290" s="42"/>
    </row>
    <row r="291" spans="2:4">
      <c r="B291" s="42"/>
      <c r="C291" s="42"/>
      <c r="D291" s="42"/>
    </row>
    <row r="292" spans="2:4">
      <c r="B292" s="42"/>
      <c r="C292" s="42"/>
      <c r="D292" s="42"/>
    </row>
    <row r="293" spans="2:4">
      <c r="B293" s="42"/>
      <c r="C293" s="42"/>
      <c r="D293" s="42"/>
    </row>
    <row r="294" spans="2:4">
      <c r="B294" s="42"/>
      <c r="C294" s="42"/>
      <c r="D294" s="42"/>
    </row>
    <row r="295" spans="2:4">
      <c r="B295" s="42"/>
      <c r="C295" s="42"/>
      <c r="D295" s="42"/>
    </row>
    <row r="296" spans="2:4">
      <c r="B296" s="42"/>
      <c r="C296" s="42"/>
      <c r="D296" s="42"/>
    </row>
    <row r="297" spans="2:4">
      <c r="B297" s="42"/>
      <c r="C297" s="42"/>
      <c r="D297" s="42"/>
    </row>
    <row r="298" spans="2:4">
      <c r="B298" s="42"/>
      <c r="C298" s="42"/>
      <c r="D298" s="42"/>
    </row>
    <row r="299" spans="2:4">
      <c r="B299" s="42"/>
      <c r="C299" s="42"/>
      <c r="D299" s="42"/>
    </row>
    <row r="300" spans="2:4">
      <c r="B300" s="42"/>
      <c r="C300" s="42"/>
      <c r="D300" s="42"/>
    </row>
    <row r="301" spans="2:4">
      <c r="B301" s="42"/>
      <c r="C301" s="42"/>
      <c r="D301" s="42"/>
    </row>
    <row r="302" spans="2:4">
      <c r="B302" s="42"/>
      <c r="C302" s="42"/>
      <c r="D302" s="42"/>
    </row>
    <row r="303" spans="2:4">
      <c r="B303" s="42"/>
      <c r="C303" s="42"/>
      <c r="D303" s="42"/>
    </row>
    <row r="304" spans="2:4">
      <c r="B304" s="42"/>
      <c r="C304" s="42"/>
      <c r="D304" s="42"/>
    </row>
    <row r="305" spans="2:4">
      <c r="B305" s="42"/>
      <c r="C305" s="42"/>
      <c r="D305" s="42"/>
    </row>
    <row r="306" spans="2:4">
      <c r="B306" s="42"/>
      <c r="C306" s="42"/>
      <c r="D306" s="42"/>
    </row>
    <row r="307" spans="2:4">
      <c r="B307" s="42"/>
      <c r="C307" s="42"/>
      <c r="D307" s="42"/>
    </row>
    <row r="308" spans="2:4">
      <c r="B308" s="42"/>
      <c r="C308" s="42"/>
      <c r="D308" s="42"/>
    </row>
    <row r="309" spans="2:4">
      <c r="B309" s="42"/>
      <c r="C309" s="42"/>
      <c r="D309" s="42"/>
    </row>
    <row r="310" spans="2:4">
      <c r="B310" s="42"/>
      <c r="C310" s="42"/>
      <c r="D310" s="42"/>
    </row>
    <row r="311" spans="2:4">
      <c r="B311" s="42"/>
      <c r="C311" s="42"/>
      <c r="D311" s="42"/>
    </row>
    <row r="312" spans="2:4">
      <c r="B312" s="42"/>
      <c r="C312" s="42"/>
      <c r="D312" s="42"/>
    </row>
    <row r="313" spans="2:4">
      <c r="B313" s="42"/>
      <c r="C313" s="42"/>
      <c r="D313" s="42"/>
    </row>
    <row r="314" spans="2:4">
      <c r="B314" s="42"/>
      <c r="C314" s="42"/>
      <c r="D314" s="42"/>
    </row>
    <row r="315" spans="2:4">
      <c r="B315" s="42"/>
      <c r="C315" s="42"/>
      <c r="D315" s="42"/>
    </row>
    <row r="316" spans="2:4">
      <c r="B316" s="42"/>
      <c r="C316" s="42"/>
      <c r="D316" s="42"/>
    </row>
    <row r="317" spans="2:4">
      <c r="B317" s="42"/>
      <c r="C317" s="42"/>
      <c r="D317" s="42"/>
    </row>
    <row r="318" spans="2:4">
      <c r="B318" s="42"/>
      <c r="C318" s="42"/>
      <c r="D318" s="42"/>
    </row>
    <row r="319" spans="2:4">
      <c r="B319" s="42"/>
      <c r="C319" s="42"/>
      <c r="D319" s="42"/>
    </row>
    <row r="320" spans="2:4">
      <c r="B320" s="42"/>
      <c r="C320" s="42"/>
      <c r="D320" s="42"/>
    </row>
    <row r="321" spans="2:4">
      <c r="B321" s="42"/>
      <c r="C321" s="42"/>
      <c r="D321" s="42"/>
    </row>
    <row r="322" spans="2:4">
      <c r="B322" s="42"/>
      <c r="C322" s="42"/>
      <c r="D322" s="42"/>
    </row>
    <row r="323" spans="2:4">
      <c r="B323" s="42"/>
      <c r="C323" s="42"/>
      <c r="D323" s="42"/>
    </row>
    <row r="324" spans="2:4">
      <c r="B324" s="42"/>
      <c r="C324" s="42"/>
      <c r="D324" s="42"/>
    </row>
    <row r="325" spans="2:4">
      <c r="B325" s="42"/>
      <c r="C325" s="42"/>
      <c r="D325" s="42"/>
    </row>
    <row r="326" spans="2:4">
      <c r="B326" s="42"/>
      <c r="C326" s="42"/>
      <c r="D326" s="42"/>
    </row>
    <row r="327" spans="2:4">
      <c r="B327" s="42"/>
      <c r="C327" s="42"/>
      <c r="D327" s="42"/>
    </row>
    <row r="328" spans="2:4">
      <c r="B328" s="42"/>
      <c r="C328" s="42"/>
      <c r="D328" s="42"/>
    </row>
    <row r="329" spans="2:4">
      <c r="B329" s="42"/>
      <c r="C329" s="42"/>
      <c r="D329" s="42"/>
    </row>
    <row r="330" spans="2:4">
      <c r="B330" s="42"/>
      <c r="C330" s="42"/>
      <c r="D330" s="42"/>
    </row>
    <row r="331" spans="2:4">
      <c r="B331" s="42"/>
      <c r="C331" s="42"/>
      <c r="D331" s="42"/>
    </row>
    <row r="332" spans="2:4">
      <c r="B332" s="42"/>
      <c r="C332" s="42"/>
      <c r="D332" s="42"/>
    </row>
    <row r="333" spans="2:4">
      <c r="B333" s="42"/>
      <c r="C333" s="42"/>
      <c r="D333" s="42"/>
    </row>
    <row r="334" spans="2:4">
      <c r="B334" s="42"/>
      <c r="C334" s="42"/>
      <c r="D334" s="42"/>
    </row>
    <row r="335" spans="2:4">
      <c r="B335" s="42"/>
      <c r="C335" s="42"/>
      <c r="D335" s="42"/>
    </row>
    <row r="336" spans="2:4">
      <c r="B336" s="42"/>
      <c r="C336" s="42"/>
      <c r="D336" s="42"/>
    </row>
    <row r="337" spans="2:4">
      <c r="B337" s="42"/>
      <c r="C337" s="42"/>
      <c r="D337" s="42"/>
    </row>
    <row r="338" spans="2:4">
      <c r="B338" s="42"/>
      <c r="C338" s="42"/>
      <c r="D338" s="42"/>
    </row>
    <row r="339" spans="2:4">
      <c r="B339" s="42"/>
      <c r="C339" s="42"/>
      <c r="D339" s="42"/>
    </row>
    <row r="340" spans="2:4">
      <c r="B340" s="42"/>
      <c r="C340" s="42"/>
      <c r="D340" s="42"/>
    </row>
    <row r="341" spans="2:4">
      <c r="B341" s="42"/>
      <c r="C341" s="42"/>
      <c r="D341" s="42"/>
    </row>
    <row r="342" spans="2:4">
      <c r="B342" s="42"/>
      <c r="C342" s="42"/>
      <c r="D342" s="42"/>
    </row>
    <row r="343" spans="2:4">
      <c r="B343" s="42"/>
      <c r="C343" s="42"/>
      <c r="D343" s="42"/>
    </row>
    <row r="344" spans="2:4">
      <c r="B344" s="42"/>
      <c r="C344" s="42"/>
      <c r="D344" s="42"/>
    </row>
    <row r="345" spans="2:4">
      <c r="B345" s="42"/>
      <c r="C345" s="42"/>
      <c r="D345" s="42"/>
    </row>
    <row r="346" spans="2:4">
      <c r="B346" s="42"/>
      <c r="C346" s="42"/>
      <c r="D346" s="42"/>
    </row>
    <row r="347" spans="2:4">
      <c r="B347" s="42"/>
      <c r="C347" s="42"/>
      <c r="D347" s="42"/>
    </row>
    <row r="348" spans="2:4">
      <c r="B348" s="42"/>
      <c r="C348" s="42"/>
      <c r="D348" s="42"/>
    </row>
    <row r="349" spans="2:4">
      <c r="B349" s="42"/>
      <c r="C349" s="42"/>
      <c r="D349" s="42"/>
    </row>
    <row r="350" spans="2:4">
      <c r="B350" s="42"/>
      <c r="C350" s="42"/>
      <c r="D350" s="42"/>
    </row>
    <row r="351" spans="2:4">
      <c r="B351" s="42"/>
      <c r="C351" s="42"/>
      <c r="D351" s="42"/>
    </row>
    <row r="352" spans="2:4">
      <c r="B352" s="42"/>
      <c r="C352" s="42"/>
      <c r="D352" s="42"/>
    </row>
    <row r="353" spans="2:4">
      <c r="B353" s="42"/>
      <c r="C353" s="42"/>
      <c r="D353" s="42"/>
    </row>
    <row r="354" spans="2:4">
      <c r="B354" s="42"/>
      <c r="C354" s="42"/>
      <c r="D354" s="42"/>
    </row>
    <row r="355" spans="2:4">
      <c r="B355" s="42"/>
      <c r="C355" s="42"/>
      <c r="D355" s="42"/>
    </row>
    <row r="356" spans="2:4">
      <c r="B356" s="42"/>
      <c r="C356" s="42"/>
      <c r="D356" s="42"/>
    </row>
    <row r="357" spans="2:4">
      <c r="B357" s="42"/>
      <c r="C357" s="42"/>
      <c r="D357" s="42"/>
    </row>
    <row r="358" spans="2:4">
      <c r="B358" s="42"/>
      <c r="C358" s="42"/>
      <c r="D358" s="42"/>
    </row>
    <row r="359" spans="2:4">
      <c r="B359" s="42"/>
      <c r="C359" s="42"/>
      <c r="D359" s="42"/>
    </row>
    <row r="360" spans="2:4">
      <c r="B360" s="42"/>
      <c r="C360" s="42"/>
      <c r="D360" s="42"/>
    </row>
    <row r="361" spans="2:4">
      <c r="B361" s="42"/>
      <c r="C361" s="42"/>
      <c r="D361" s="42"/>
    </row>
    <row r="362" spans="2:4">
      <c r="B362" s="42"/>
      <c r="C362" s="42"/>
      <c r="D362" s="42"/>
    </row>
    <row r="363" spans="2:4">
      <c r="B363" s="42"/>
      <c r="C363" s="42"/>
      <c r="D363" s="42"/>
    </row>
    <row r="364" spans="2:4">
      <c r="B364" s="42"/>
      <c r="C364" s="42"/>
      <c r="D364" s="42"/>
    </row>
    <row r="365" spans="2:4">
      <c r="B365" s="42"/>
      <c r="C365" s="42"/>
      <c r="D365" s="42"/>
    </row>
    <row r="366" spans="2:4">
      <c r="B366" s="42"/>
      <c r="C366" s="42"/>
      <c r="D366" s="42"/>
    </row>
    <row r="367" spans="2:4">
      <c r="B367" s="42"/>
      <c r="C367" s="42"/>
      <c r="D367" s="42"/>
    </row>
    <row r="368" spans="2:4">
      <c r="B368" s="42"/>
      <c r="C368" s="42"/>
      <c r="D368" s="42"/>
    </row>
    <row r="369" spans="2:4">
      <c r="B369" s="42"/>
      <c r="C369" s="42"/>
      <c r="D369" s="42"/>
    </row>
    <row r="370" spans="2:4">
      <c r="B370" s="42"/>
      <c r="C370" s="42"/>
      <c r="D370" s="42"/>
    </row>
    <row r="371" spans="2:4">
      <c r="B371" s="42"/>
      <c r="C371" s="42"/>
      <c r="D371" s="42"/>
    </row>
    <row r="372" spans="2:4">
      <c r="B372" s="42"/>
      <c r="C372" s="42"/>
      <c r="D372" s="42"/>
    </row>
    <row r="373" spans="2:4">
      <c r="B373" s="42"/>
      <c r="C373" s="42"/>
      <c r="D373" s="42"/>
    </row>
    <row r="374" spans="2:4">
      <c r="B374" s="42"/>
      <c r="C374" s="42"/>
      <c r="D374" s="42"/>
    </row>
    <row r="375" spans="2:4">
      <c r="B375" s="42"/>
      <c r="C375" s="42"/>
      <c r="D375" s="42"/>
    </row>
    <row r="376" spans="2:4">
      <c r="B376" s="42"/>
      <c r="C376" s="42"/>
      <c r="D376" s="42"/>
    </row>
    <row r="377" spans="2:4">
      <c r="B377" s="42"/>
      <c r="C377" s="42"/>
      <c r="D377" s="42"/>
    </row>
    <row r="378" spans="2:4">
      <c r="B378" s="42"/>
      <c r="C378" s="42"/>
      <c r="D378" s="42"/>
    </row>
    <row r="379" spans="2:4">
      <c r="B379" s="42"/>
      <c r="C379" s="42"/>
      <c r="D379" s="42"/>
    </row>
    <row r="380" spans="2:4">
      <c r="B380" s="42"/>
      <c r="C380" s="42"/>
      <c r="D380" s="42"/>
    </row>
    <row r="381" spans="2:4">
      <c r="B381" s="42"/>
      <c r="C381" s="42"/>
      <c r="D381" s="42"/>
    </row>
    <row r="382" spans="2:4">
      <c r="B382" s="42"/>
      <c r="C382" s="42"/>
      <c r="D382" s="42"/>
    </row>
    <row r="383" spans="2:4">
      <c r="B383" s="42"/>
      <c r="C383" s="42"/>
      <c r="D383" s="42"/>
    </row>
    <row r="384" spans="2:4">
      <c r="B384" s="42"/>
      <c r="C384" s="42"/>
      <c r="D384" s="42"/>
    </row>
    <row r="385" spans="2:4">
      <c r="B385" s="42"/>
      <c r="C385" s="42"/>
      <c r="D385" s="42"/>
    </row>
    <row r="386" spans="2:4">
      <c r="B386" s="42"/>
      <c r="C386" s="42"/>
      <c r="D386" s="42"/>
    </row>
    <row r="387" spans="2:4">
      <c r="B387" s="42"/>
      <c r="C387" s="42"/>
      <c r="D387" s="42"/>
    </row>
    <row r="388" spans="2:4">
      <c r="B388" s="42"/>
      <c r="C388" s="42"/>
      <c r="D388" s="42"/>
    </row>
    <row r="389" spans="2:4">
      <c r="B389" s="42"/>
      <c r="C389" s="42"/>
      <c r="D389" s="42"/>
    </row>
    <row r="390" spans="2:4">
      <c r="B390" s="42"/>
      <c r="C390" s="42"/>
      <c r="D390" s="42"/>
    </row>
    <row r="391" spans="2:4">
      <c r="B391" s="42"/>
      <c r="C391" s="42"/>
      <c r="D391" s="42"/>
    </row>
    <row r="392" spans="2:4">
      <c r="B392" s="42"/>
      <c r="C392" s="42"/>
      <c r="D392" s="42"/>
    </row>
    <row r="393" spans="2:4">
      <c r="B393" s="42"/>
      <c r="C393" s="42"/>
      <c r="D393" s="42"/>
    </row>
    <row r="394" spans="2:4">
      <c r="B394" s="42"/>
      <c r="C394" s="42"/>
      <c r="D394" s="42"/>
    </row>
    <row r="395" spans="2:4">
      <c r="B395" s="42"/>
      <c r="C395" s="42"/>
      <c r="D395" s="42"/>
    </row>
    <row r="396" spans="2:4">
      <c r="B396" s="42"/>
      <c r="C396" s="42"/>
      <c r="D396" s="42"/>
    </row>
    <row r="397" spans="2:4">
      <c r="B397" s="42"/>
      <c r="C397" s="42"/>
      <c r="D397" s="42"/>
    </row>
    <row r="398" spans="2:4">
      <c r="B398" s="42"/>
      <c r="C398" s="42"/>
      <c r="D398" s="42"/>
    </row>
    <row r="399" spans="2:4">
      <c r="B399" s="42"/>
      <c r="C399" s="42"/>
      <c r="D399" s="42"/>
    </row>
    <row r="400" spans="2:4">
      <c r="B400" s="42"/>
      <c r="C400" s="42"/>
      <c r="D400" s="42"/>
    </row>
    <row r="401" spans="2:4">
      <c r="B401" s="42"/>
      <c r="C401" s="42"/>
      <c r="D401" s="42"/>
    </row>
    <row r="402" spans="2:4">
      <c r="B402" s="42"/>
      <c r="C402" s="42"/>
      <c r="D402" s="42"/>
    </row>
    <row r="403" spans="2:4">
      <c r="B403" s="42"/>
      <c r="C403" s="42"/>
      <c r="D403" s="42"/>
    </row>
    <row r="404" spans="2:4">
      <c r="B404" s="42"/>
      <c r="C404" s="42"/>
      <c r="D404" s="42"/>
    </row>
    <row r="405" spans="2:4">
      <c r="B405" s="42"/>
      <c r="C405" s="42"/>
      <c r="D405" s="42"/>
    </row>
    <row r="406" spans="2:4">
      <c r="B406" s="42"/>
      <c r="C406" s="42"/>
      <c r="D406" s="42"/>
    </row>
    <row r="407" spans="2:4">
      <c r="B407" s="42"/>
      <c r="C407" s="42"/>
      <c r="D407" s="42"/>
    </row>
    <row r="408" spans="2:4">
      <c r="B408" s="42"/>
      <c r="C408" s="42"/>
      <c r="D408" s="42"/>
    </row>
    <row r="409" spans="2:4">
      <c r="B409" s="42"/>
      <c r="C409" s="42"/>
      <c r="D409" s="42"/>
    </row>
    <row r="410" spans="2:4">
      <c r="B410" s="42"/>
      <c r="C410" s="42"/>
      <c r="D410" s="42"/>
    </row>
    <row r="411" spans="2:4">
      <c r="B411" s="42"/>
      <c r="C411" s="42"/>
      <c r="D411" s="42"/>
    </row>
    <row r="412" spans="2:4">
      <c r="B412" s="42"/>
      <c r="C412" s="42"/>
      <c r="D412" s="42"/>
    </row>
    <row r="413" spans="2:4">
      <c r="B413" s="42"/>
      <c r="C413" s="42"/>
      <c r="D413" s="42"/>
    </row>
    <row r="414" spans="2:4">
      <c r="B414" s="42"/>
      <c r="C414" s="42"/>
      <c r="D414" s="42"/>
    </row>
    <row r="415" spans="2:4">
      <c r="B415" s="42"/>
      <c r="C415" s="42"/>
      <c r="D415" s="42"/>
    </row>
    <row r="416" spans="2:4">
      <c r="B416" s="42"/>
      <c r="C416" s="42"/>
      <c r="D416" s="42"/>
    </row>
    <row r="417" spans="2:4">
      <c r="B417" s="42"/>
      <c r="C417" s="42"/>
      <c r="D417" s="42"/>
    </row>
    <row r="418" spans="2:4">
      <c r="B418" s="42"/>
      <c r="C418" s="42"/>
      <c r="D418" s="42"/>
    </row>
    <row r="419" spans="2:4">
      <c r="B419" s="42"/>
      <c r="C419" s="42"/>
      <c r="D419" s="42"/>
    </row>
    <row r="420" spans="2:4">
      <c r="B420" s="42"/>
      <c r="C420" s="42"/>
      <c r="D420" s="42"/>
    </row>
    <row r="421" spans="2:4">
      <c r="B421" s="42"/>
      <c r="C421" s="42"/>
      <c r="D421" s="42"/>
    </row>
    <row r="422" spans="2:4">
      <c r="B422" s="42"/>
      <c r="C422" s="42"/>
      <c r="D422" s="42"/>
    </row>
    <row r="423" spans="2:4">
      <c r="B423" s="42"/>
      <c r="C423" s="42"/>
      <c r="D423" s="42"/>
    </row>
    <row r="424" spans="2:4">
      <c r="B424" s="42"/>
      <c r="C424" s="42"/>
      <c r="D424" s="42"/>
    </row>
    <row r="425" spans="2:4">
      <c r="B425" s="42"/>
      <c r="C425" s="42"/>
      <c r="D425" s="42"/>
    </row>
    <row r="426" spans="2:4">
      <c r="B426" s="42"/>
      <c r="C426" s="42"/>
      <c r="D426" s="42"/>
    </row>
    <row r="427" spans="2:4">
      <c r="B427" s="42"/>
      <c r="C427" s="42"/>
      <c r="D427" s="42"/>
    </row>
    <row r="428" spans="2:4">
      <c r="B428" s="42"/>
      <c r="C428" s="42"/>
      <c r="D428" s="42"/>
    </row>
    <row r="429" spans="2:4">
      <c r="B429" s="42"/>
      <c r="C429" s="42"/>
      <c r="D429" s="42"/>
    </row>
    <row r="430" spans="2:4">
      <c r="B430" s="42"/>
      <c r="C430" s="42"/>
      <c r="D430" s="42"/>
    </row>
    <row r="431" spans="2:4">
      <c r="B431" s="42"/>
      <c r="C431" s="42"/>
      <c r="D431" s="42"/>
    </row>
    <row r="432" spans="2:4">
      <c r="B432" s="42"/>
      <c r="C432" s="42"/>
      <c r="D432" s="42"/>
    </row>
    <row r="433" spans="2:4">
      <c r="B433" s="42"/>
      <c r="C433" s="42"/>
      <c r="D433" s="42"/>
    </row>
    <row r="434" spans="2:4">
      <c r="B434" s="42"/>
      <c r="C434" s="42"/>
      <c r="D434" s="42"/>
    </row>
    <row r="435" spans="2:4">
      <c r="B435" s="42"/>
      <c r="C435" s="42"/>
      <c r="D435" s="42"/>
    </row>
    <row r="436" spans="2:4">
      <c r="B436" s="42"/>
      <c r="C436" s="42"/>
      <c r="D436" s="42"/>
    </row>
    <row r="437" spans="2:4">
      <c r="B437" s="42"/>
      <c r="C437" s="42"/>
      <c r="D437" s="42"/>
    </row>
    <row r="438" spans="2:4">
      <c r="B438" s="42"/>
      <c r="C438" s="42"/>
      <c r="D438" s="42"/>
    </row>
    <row r="439" spans="2:4">
      <c r="B439" s="42"/>
      <c r="C439" s="42"/>
      <c r="D439" s="42"/>
    </row>
    <row r="440" spans="2:4">
      <c r="B440" s="42"/>
      <c r="C440" s="42"/>
      <c r="D440" s="42"/>
    </row>
    <row r="441" spans="2:4">
      <c r="B441" s="42"/>
      <c r="C441" s="42"/>
      <c r="D441" s="42"/>
    </row>
    <row r="442" spans="2:4">
      <c r="B442" s="42"/>
      <c r="C442" s="42"/>
      <c r="D442" s="42"/>
    </row>
    <row r="443" spans="2:4">
      <c r="B443" s="42"/>
      <c r="C443" s="42"/>
      <c r="D443" s="42"/>
    </row>
    <row r="444" spans="2:4">
      <c r="B444" s="42"/>
      <c r="C444" s="42"/>
      <c r="D444" s="42"/>
    </row>
    <row r="445" spans="2:4">
      <c r="B445" s="42"/>
      <c r="C445" s="42"/>
      <c r="D445" s="42"/>
    </row>
    <row r="446" spans="2:4">
      <c r="B446" s="42"/>
      <c r="C446" s="42"/>
      <c r="D446" s="42"/>
    </row>
    <row r="447" spans="2:4">
      <c r="B447" s="42"/>
      <c r="C447" s="42"/>
      <c r="D447" s="42"/>
    </row>
    <row r="448" spans="2:4">
      <c r="B448" s="42"/>
      <c r="C448" s="42"/>
      <c r="D448" s="42"/>
    </row>
    <row r="449" spans="2:4">
      <c r="B449" s="42"/>
      <c r="C449" s="42"/>
      <c r="D449" s="42"/>
    </row>
    <row r="450" spans="2:4">
      <c r="B450" s="42"/>
      <c r="C450" s="42"/>
      <c r="D450" s="42"/>
    </row>
    <row r="451" spans="2:4">
      <c r="B451" s="42"/>
      <c r="C451" s="42"/>
      <c r="D451" s="42"/>
    </row>
    <row r="452" spans="2:4">
      <c r="B452" s="42"/>
      <c r="C452" s="42"/>
      <c r="D452" s="42"/>
    </row>
    <row r="453" spans="2:4">
      <c r="B453" s="42"/>
      <c r="C453" s="42"/>
      <c r="D453" s="42"/>
    </row>
    <row r="454" spans="2:4">
      <c r="B454" s="42"/>
      <c r="C454" s="42"/>
      <c r="D454" s="42"/>
    </row>
    <row r="455" spans="2:4">
      <c r="B455" s="42"/>
      <c r="C455" s="42"/>
      <c r="D455" s="42"/>
    </row>
    <row r="456" spans="2:4">
      <c r="B456" s="42"/>
      <c r="C456" s="42"/>
      <c r="D456" s="42"/>
    </row>
    <row r="457" spans="2:4">
      <c r="B457" s="42"/>
      <c r="C457" s="42"/>
      <c r="D457" s="42"/>
    </row>
    <row r="458" spans="2:4">
      <c r="B458" s="42"/>
      <c r="C458" s="42"/>
      <c r="D458" s="42"/>
    </row>
    <row r="459" spans="2:4">
      <c r="B459" s="42"/>
      <c r="C459" s="42"/>
      <c r="D459" s="42"/>
    </row>
    <row r="460" spans="2:4">
      <c r="B460" s="42"/>
      <c r="C460" s="42"/>
      <c r="D460" s="42"/>
    </row>
    <row r="461" spans="2:4">
      <c r="B461" s="42"/>
      <c r="C461" s="42"/>
      <c r="D461" s="42"/>
    </row>
    <row r="462" spans="2:4">
      <c r="B462" s="42"/>
      <c r="C462" s="42"/>
      <c r="D462" s="42"/>
    </row>
    <row r="463" spans="2:4">
      <c r="B463" s="42"/>
      <c r="C463" s="42"/>
      <c r="D463" s="42"/>
    </row>
    <row r="464" spans="2:4">
      <c r="B464" s="42"/>
      <c r="C464" s="42"/>
      <c r="D464" s="42"/>
    </row>
    <row r="465" spans="2:4">
      <c r="B465" s="42"/>
      <c r="C465" s="42"/>
      <c r="D465" s="42"/>
    </row>
    <row r="466" spans="2:4">
      <c r="B466" s="42"/>
      <c r="C466" s="42"/>
      <c r="D466" s="42"/>
    </row>
    <row r="467" spans="2:4">
      <c r="B467" s="42"/>
      <c r="C467" s="42"/>
      <c r="D467" s="42"/>
    </row>
    <row r="468" spans="2:4">
      <c r="B468" s="42"/>
      <c r="C468" s="42"/>
      <c r="D468" s="42"/>
    </row>
    <row r="469" spans="2:4">
      <c r="B469" s="42"/>
      <c r="C469" s="42"/>
      <c r="D469" s="42"/>
    </row>
    <row r="470" spans="2:4">
      <c r="B470" s="42"/>
      <c r="C470" s="42"/>
      <c r="D470" s="42"/>
    </row>
    <row r="471" spans="2:4">
      <c r="B471" s="42"/>
      <c r="C471" s="42"/>
      <c r="D471" s="42"/>
    </row>
    <row r="472" spans="2:4">
      <c r="B472" s="42"/>
      <c r="C472" s="42"/>
      <c r="D472" s="42"/>
    </row>
    <row r="473" spans="2:4">
      <c r="B473" s="42"/>
      <c r="C473" s="42"/>
      <c r="D473" s="42"/>
    </row>
    <row r="474" spans="2:4">
      <c r="B474" s="42"/>
      <c r="C474" s="42"/>
      <c r="D474" s="42"/>
    </row>
    <row r="475" spans="2:4">
      <c r="B475" s="42"/>
      <c r="C475" s="42"/>
      <c r="D475" s="42"/>
    </row>
    <row r="476" spans="2:4">
      <c r="B476" s="42"/>
      <c r="C476" s="42"/>
      <c r="D476" s="42"/>
    </row>
    <row r="477" spans="2:4">
      <c r="B477" s="42"/>
      <c r="C477" s="42"/>
      <c r="D477" s="42"/>
    </row>
    <row r="478" spans="2:4">
      <c r="B478" s="42"/>
      <c r="C478" s="42"/>
      <c r="D478" s="42"/>
    </row>
    <row r="479" spans="2:4">
      <c r="B479" s="42"/>
      <c r="C479" s="42"/>
      <c r="D479" s="42"/>
    </row>
    <row r="480" spans="2:4">
      <c r="B480" s="42"/>
      <c r="C480" s="42"/>
      <c r="D480" s="42"/>
    </row>
    <row r="481" spans="2:4">
      <c r="B481" s="42"/>
      <c r="C481" s="42"/>
      <c r="D481" s="42"/>
    </row>
    <row r="482" spans="2:4">
      <c r="B482" s="42"/>
      <c r="C482" s="42"/>
      <c r="D482" s="42"/>
    </row>
    <row r="483" spans="2:4">
      <c r="B483" s="42"/>
      <c r="C483" s="42"/>
      <c r="D483" s="42"/>
    </row>
    <row r="484" spans="2:4">
      <c r="B484" s="42"/>
      <c r="C484" s="42"/>
      <c r="D484" s="42"/>
    </row>
    <row r="485" spans="2:4">
      <c r="B485" s="42"/>
      <c r="C485" s="42"/>
      <c r="D485" s="42"/>
    </row>
    <row r="486" spans="2:4">
      <c r="B486" s="42"/>
      <c r="C486" s="42"/>
      <c r="D486" s="42"/>
    </row>
    <row r="487" spans="2:4">
      <c r="B487" s="42"/>
      <c r="C487" s="42"/>
      <c r="D487" s="42"/>
    </row>
    <row r="488" spans="2:4">
      <c r="B488" s="42"/>
      <c r="C488" s="42"/>
      <c r="D488" s="42"/>
    </row>
    <row r="489" spans="2:4">
      <c r="B489" s="42"/>
      <c r="C489" s="42"/>
      <c r="D489" s="42"/>
    </row>
    <row r="490" spans="2:4">
      <c r="B490" s="42"/>
      <c r="C490" s="42"/>
      <c r="D490" s="42"/>
    </row>
    <row r="491" spans="2:4">
      <c r="B491" s="42"/>
      <c r="C491" s="42"/>
      <c r="D491" s="42"/>
    </row>
    <row r="492" spans="2:4">
      <c r="B492" s="42"/>
      <c r="C492" s="42"/>
      <c r="D492" s="42"/>
    </row>
    <row r="493" spans="2:4">
      <c r="B493" s="42"/>
      <c r="C493" s="42"/>
      <c r="D493" s="42"/>
    </row>
    <row r="494" spans="2:4">
      <c r="B494" s="42"/>
      <c r="C494" s="42"/>
      <c r="D494" s="42"/>
    </row>
    <row r="495" spans="2:4">
      <c r="B495" s="42"/>
      <c r="C495" s="42"/>
      <c r="D495" s="42"/>
    </row>
    <row r="496" spans="2:4">
      <c r="B496" s="42"/>
      <c r="C496" s="42"/>
      <c r="D496" s="42"/>
    </row>
    <row r="497" spans="2:4">
      <c r="B497" s="42"/>
      <c r="C497" s="42"/>
      <c r="D497" s="42"/>
    </row>
    <row r="498" spans="2:4">
      <c r="B498" s="42"/>
      <c r="C498" s="42"/>
      <c r="D498" s="42"/>
    </row>
    <row r="499" spans="2:4">
      <c r="B499" s="42"/>
      <c r="C499" s="42"/>
      <c r="D499" s="42"/>
    </row>
    <row r="500" spans="2:4">
      <c r="B500" s="42"/>
      <c r="C500" s="42"/>
      <c r="D500" s="42"/>
    </row>
    <row r="501" spans="2:4">
      <c r="B501" s="42"/>
      <c r="C501" s="42"/>
      <c r="D501" s="42"/>
    </row>
    <row r="502" spans="2:4">
      <c r="B502" s="42"/>
      <c r="C502" s="42"/>
      <c r="D502" s="42"/>
    </row>
    <row r="503" spans="2:4">
      <c r="B503" s="42"/>
      <c r="C503" s="42"/>
      <c r="D503" s="42"/>
    </row>
    <row r="504" spans="2:4">
      <c r="B504" s="42"/>
      <c r="C504" s="42"/>
      <c r="D504" s="42"/>
    </row>
    <row r="505" spans="2:4">
      <c r="B505" s="42"/>
      <c r="C505" s="42"/>
      <c r="D505" s="42"/>
    </row>
    <row r="506" spans="2:4">
      <c r="B506" s="42"/>
      <c r="C506" s="42"/>
      <c r="D506" s="42"/>
    </row>
    <row r="507" spans="2:4">
      <c r="B507" s="42"/>
      <c r="C507" s="42"/>
      <c r="D507" s="42"/>
    </row>
    <row r="508" spans="2:4">
      <c r="B508" s="42"/>
      <c r="C508" s="42"/>
      <c r="D508" s="42"/>
    </row>
    <row r="509" spans="2:4">
      <c r="B509" s="42"/>
      <c r="C509" s="42"/>
      <c r="D509" s="42"/>
    </row>
    <row r="510" spans="2:4">
      <c r="B510" s="42"/>
      <c r="C510" s="42"/>
      <c r="D510" s="42"/>
    </row>
    <row r="511" spans="2:4">
      <c r="B511" s="42"/>
      <c r="C511" s="42"/>
      <c r="D511" s="42"/>
    </row>
    <row r="512" spans="2:4">
      <c r="B512" s="42"/>
      <c r="C512" s="42"/>
      <c r="D512" s="42"/>
    </row>
    <row r="513" spans="2:4">
      <c r="B513" s="42"/>
      <c r="C513" s="42"/>
      <c r="D513" s="42"/>
    </row>
    <row r="514" spans="2:4">
      <c r="B514" s="42"/>
      <c r="C514" s="42"/>
      <c r="D514" s="42"/>
    </row>
    <row r="515" spans="2:4">
      <c r="B515" s="42"/>
      <c r="C515" s="42"/>
      <c r="D515" s="42"/>
    </row>
    <row r="516" spans="2:4">
      <c r="B516" s="42"/>
      <c r="C516" s="42"/>
      <c r="D516" s="42"/>
    </row>
    <row r="517" spans="2:4">
      <c r="B517" s="42"/>
      <c r="C517" s="42"/>
      <c r="D517" s="42"/>
    </row>
    <row r="518" spans="2:4">
      <c r="B518" s="42"/>
      <c r="C518" s="42"/>
      <c r="D518" s="42"/>
    </row>
    <row r="519" spans="2:4">
      <c r="B519" s="42"/>
      <c r="C519" s="42"/>
      <c r="D519" s="42"/>
    </row>
    <row r="520" spans="2:4">
      <c r="B520" s="42"/>
      <c r="C520" s="42"/>
      <c r="D520" s="42"/>
    </row>
    <row r="521" spans="2:4">
      <c r="B521" s="42"/>
      <c r="C521" s="42"/>
      <c r="D521" s="42"/>
    </row>
    <row r="522" spans="2:4">
      <c r="B522" s="42"/>
      <c r="C522" s="42"/>
      <c r="D522" s="42"/>
    </row>
    <row r="523" spans="2:4">
      <c r="B523" s="42"/>
      <c r="C523" s="42"/>
      <c r="D523" s="42"/>
    </row>
    <row r="524" spans="2:4">
      <c r="B524" s="42"/>
      <c r="C524" s="42"/>
      <c r="D524" s="42"/>
    </row>
    <row r="525" spans="2:4">
      <c r="B525" s="42"/>
      <c r="C525" s="42"/>
      <c r="D525" s="42"/>
    </row>
    <row r="526" spans="2:4">
      <c r="B526" s="42"/>
      <c r="C526" s="42"/>
      <c r="D526" s="42"/>
    </row>
    <row r="527" spans="2:4">
      <c r="B527" s="42"/>
      <c r="C527" s="42"/>
      <c r="D527" s="42"/>
    </row>
    <row r="528" spans="2:4">
      <c r="B528" s="42"/>
      <c r="C528" s="42"/>
      <c r="D528" s="42"/>
    </row>
    <row r="529" spans="2:4">
      <c r="B529" s="42"/>
      <c r="C529" s="42"/>
      <c r="D529" s="42"/>
    </row>
    <row r="530" spans="2:4">
      <c r="B530" s="42"/>
      <c r="C530" s="42"/>
      <c r="D530" s="42"/>
    </row>
    <row r="531" spans="2:4">
      <c r="B531" s="42"/>
      <c r="C531" s="42"/>
      <c r="D531" s="42"/>
    </row>
    <row r="532" spans="2:4">
      <c r="B532" s="42"/>
      <c r="C532" s="42"/>
      <c r="D532" s="42"/>
    </row>
    <row r="533" spans="2:4">
      <c r="B533" s="42"/>
      <c r="C533" s="42"/>
      <c r="D533" s="42"/>
    </row>
    <row r="534" spans="2:4">
      <c r="B534" s="42"/>
      <c r="C534" s="42"/>
      <c r="D534" s="42"/>
    </row>
    <row r="535" spans="2:4">
      <c r="B535" s="42"/>
      <c r="C535" s="42"/>
      <c r="D535" s="42"/>
    </row>
    <row r="536" spans="2:4">
      <c r="B536" s="42"/>
      <c r="C536" s="42"/>
      <c r="D536" s="42"/>
    </row>
    <row r="537" spans="2:4">
      <c r="B537" s="42"/>
      <c r="C537" s="42"/>
      <c r="D537" s="42"/>
    </row>
    <row r="538" spans="2:4">
      <c r="B538" s="42"/>
      <c r="C538" s="42"/>
      <c r="D538" s="42"/>
    </row>
    <row r="539" spans="2:4">
      <c r="B539" s="42"/>
      <c r="C539" s="42"/>
      <c r="D539" s="42"/>
    </row>
    <row r="540" spans="2:4">
      <c r="B540" s="42"/>
      <c r="C540" s="42"/>
      <c r="D540" s="42"/>
    </row>
    <row r="541" spans="2:4">
      <c r="B541" s="42"/>
      <c r="C541" s="42"/>
      <c r="D541" s="42"/>
    </row>
    <row r="542" spans="2:4">
      <c r="B542" s="42"/>
      <c r="C542" s="42"/>
      <c r="D542" s="42"/>
    </row>
    <row r="543" spans="2:4">
      <c r="B543" s="42"/>
      <c r="C543" s="42"/>
      <c r="D543" s="42"/>
    </row>
    <row r="544" spans="2:4">
      <c r="B544" s="42"/>
      <c r="C544" s="42"/>
      <c r="D544" s="42"/>
    </row>
    <row r="545" spans="2:4">
      <c r="B545" s="42"/>
      <c r="C545" s="42"/>
      <c r="D545" s="42"/>
    </row>
    <row r="546" spans="2:4">
      <c r="B546" s="42"/>
      <c r="C546" s="42"/>
      <c r="D546" s="42"/>
    </row>
    <row r="547" spans="2:4">
      <c r="B547" s="42"/>
      <c r="C547" s="42"/>
      <c r="D547" s="42"/>
    </row>
    <row r="548" spans="2:4">
      <c r="B548" s="42"/>
      <c r="C548" s="42"/>
      <c r="D548" s="42"/>
    </row>
    <row r="549" spans="2:4">
      <c r="B549" s="42"/>
      <c r="C549" s="42"/>
      <c r="D549" s="42"/>
    </row>
    <row r="550" spans="2:4">
      <c r="B550" s="42"/>
      <c r="C550" s="42"/>
      <c r="D550" s="42"/>
    </row>
    <row r="551" spans="2:4">
      <c r="B551" s="42"/>
      <c r="C551" s="42"/>
      <c r="D551" s="42"/>
    </row>
    <row r="552" spans="2:4">
      <c r="B552" s="42"/>
      <c r="C552" s="42"/>
      <c r="D552" s="42"/>
    </row>
    <row r="553" spans="2:4">
      <c r="B553" s="42"/>
      <c r="C553" s="42"/>
      <c r="D553" s="42"/>
    </row>
    <row r="554" spans="2:4">
      <c r="B554" s="42"/>
      <c r="C554" s="42"/>
      <c r="D554" s="42"/>
    </row>
    <row r="555" spans="2:4">
      <c r="B555" s="42"/>
      <c r="C555" s="42"/>
      <c r="D555" s="42"/>
    </row>
    <row r="556" spans="2:4">
      <c r="B556" s="42"/>
      <c r="C556" s="42"/>
      <c r="D556" s="42"/>
    </row>
    <row r="557" spans="2:4">
      <c r="B557" s="42"/>
      <c r="C557" s="42"/>
      <c r="D557" s="42"/>
    </row>
    <row r="558" spans="2:4">
      <c r="B558" s="42"/>
      <c r="C558" s="42"/>
      <c r="D558" s="42"/>
    </row>
    <row r="559" spans="2:4">
      <c r="B559" s="42"/>
      <c r="C559" s="42"/>
      <c r="D559" s="42"/>
    </row>
    <row r="560" spans="2:4">
      <c r="B560" s="42"/>
      <c r="C560" s="42"/>
      <c r="D560" s="42"/>
    </row>
    <row r="561" spans="2:4">
      <c r="B561" s="42"/>
      <c r="C561" s="42"/>
      <c r="D561" s="42"/>
    </row>
    <row r="562" spans="2:4">
      <c r="B562" s="42"/>
      <c r="C562" s="42"/>
      <c r="D562" s="42"/>
    </row>
    <row r="563" spans="2:4">
      <c r="B563" s="42"/>
      <c r="C563" s="42"/>
      <c r="D563" s="42"/>
    </row>
    <row r="564" spans="2:4">
      <c r="B564" s="42"/>
      <c r="C564" s="42"/>
      <c r="D564" s="42"/>
    </row>
    <row r="565" spans="2:4">
      <c r="B565" s="42"/>
      <c r="C565" s="42"/>
      <c r="D565" s="42"/>
    </row>
    <row r="566" spans="2:4">
      <c r="B566" s="42"/>
      <c r="C566" s="42"/>
      <c r="D566" s="42"/>
    </row>
    <row r="567" spans="2:4">
      <c r="B567" s="42"/>
      <c r="C567" s="42"/>
      <c r="D567" s="42"/>
    </row>
    <row r="568" spans="2:4">
      <c r="B568" s="42"/>
      <c r="C568" s="42"/>
      <c r="D568" s="42"/>
    </row>
    <row r="569" spans="2:4">
      <c r="B569" s="42"/>
      <c r="C569" s="42"/>
      <c r="D569" s="42"/>
    </row>
    <row r="570" spans="2:4">
      <c r="B570" s="42"/>
      <c r="C570" s="42"/>
      <c r="D570" s="42"/>
    </row>
    <row r="571" spans="2:4">
      <c r="B571" s="42"/>
      <c r="C571" s="42"/>
      <c r="D571" s="42"/>
    </row>
    <row r="572" spans="2:4">
      <c r="B572" s="42"/>
      <c r="C572" s="42"/>
      <c r="D572" s="42"/>
    </row>
    <row r="573" spans="2:4">
      <c r="B573" s="42"/>
      <c r="C573" s="42"/>
      <c r="D573" s="42"/>
    </row>
    <row r="574" spans="2:4">
      <c r="B574" s="42"/>
      <c r="C574" s="42"/>
      <c r="D574" s="42"/>
    </row>
    <row r="575" spans="2:4">
      <c r="B575" s="42"/>
      <c r="C575" s="42"/>
      <c r="D575" s="42"/>
    </row>
    <row r="576" spans="2:4">
      <c r="B576" s="42"/>
      <c r="C576" s="42"/>
      <c r="D576" s="42"/>
    </row>
    <row r="577" spans="2:4">
      <c r="B577" s="42"/>
      <c r="C577" s="42"/>
      <c r="D577" s="42"/>
    </row>
    <row r="578" spans="2:4">
      <c r="B578" s="42"/>
      <c r="C578" s="42"/>
      <c r="D578" s="42"/>
    </row>
    <row r="579" spans="2:4">
      <c r="B579" s="42"/>
      <c r="C579" s="42"/>
      <c r="D579" s="42"/>
    </row>
    <row r="580" spans="2:4">
      <c r="B580" s="42"/>
      <c r="C580" s="42"/>
      <c r="D580" s="42"/>
    </row>
    <row r="581" spans="2:4">
      <c r="B581" s="42"/>
      <c r="C581" s="42"/>
      <c r="D581" s="42"/>
    </row>
    <row r="582" spans="2:4">
      <c r="B582" s="42"/>
      <c r="C582" s="42"/>
      <c r="D582" s="42"/>
    </row>
    <row r="583" spans="2:4">
      <c r="B583" s="42"/>
      <c r="C583" s="42"/>
      <c r="D583" s="42"/>
    </row>
    <row r="584" spans="2:4">
      <c r="B584" s="42"/>
      <c r="C584" s="42"/>
      <c r="D584" s="42"/>
    </row>
    <row r="585" spans="2:4">
      <c r="B585" s="42"/>
      <c r="C585" s="42"/>
      <c r="D585" s="42"/>
    </row>
    <row r="586" spans="2:4">
      <c r="B586" s="42"/>
      <c r="C586" s="42"/>
      <c r="D586" s="42"/>
    </row>
    <row r="587" spans="2:4">
      <c r="B587" s="42"/>
      <c r="C587" s="42"/>
      <c r="D587" s="42"/>
    </row>
    <row r="588" spans="2:4">
      <c r="B588" s="42"/>
      <c r="C588" s="42"/>
      <c r="D588" s="42"/>
    </row>
    <row r="589" spans="2:4">
      <c r="B589" s="42"/>
      <c r="C589" s="42"/>
      <c r="D589" s="42"/>
    </row>
    <row r="590" spans="2:4">
      <c r="B590" s="42"/>
      <c r="C590" s="42"/>
      <c r="D590" s="42"/>
    </row>
    <row r="591" spans="2:4">
      <c r="B591" s="42"/>
      <c r="C591" s="42"/>
      <c r="D591" s="42"/>
    </row>
    <row r="592" spans="2:4">
      <c r="B592" s="42"/>
      <c r="C592" s="42"/>
      <c r="D592" s="42"/>
    </row>
    <row r="593" spans="2:4">
      <c r="B593" s="42"/>
      <c r="C593" s="42"/>
      <c r="D593" s="42"/>
    </row>
    <row r="594" spans="2:4">
      <c r="B594" s="42"/>
      <c r="C594" s="42"/>
      <c r="D594" s="42"/>
    </row>
    <row r="595" spans="2:4">
      <c r="B595" s="42"/>
      <c r="C595" s="42"/>
      <c r="D595" s="42"/>
    </row>
    <row r="596" spans="2:4">
      <c r="B596" s="42"/>
      <c r="C596" s="42"/>
      <c r="D596" s="42"/>
    </row>
    <row r="597" spans="2:4">
      <c r="B597" s="42"/>
      <c r="C597" s="42"/>
      <c r="D597" s="42"/>
    </row>
    <row r="598" spans="2:4">
      <c r="B598" s="42"/>
      <c r="C598" s="42"/>
      <c r="D598" s="42"/>
    </row>
    <row r="599" spans="2:4">
      <c r="B599" s="42"/>
      <c r="C599" s="42"/>
      <c r="D599" s="42"/>
    </row>
    <row r="600" spans="2:4">
      <c r="B600" s="42"/>
      <c r="C600" s="42"/>
      <c r="D600" s="42"/>
    </row>
    <row r="601" spans="2:4">
      <c r="B601" s="42"/>
      <c r="C601" s="42"/>
      <c r="D601" s="42"/>
    </row>
    <row r="602" spans="2:4">
      <c r="B602" s="42"/>
      <c r="C602" s="42"/>
      <c r="D602" s="42"/>
    </row>
    <row r="603" spans="2:4">
      <c r="B603" s="42"/>
      <c r="C603" s="42"/>
      <c r="D603" s="42"/>
    </row>
    <row r="604" spans="2:4">
      <c r="B604" s="42"/>
      <c r="C604" s="42"/>
      <c r="D604" s="42"/>
    </row>
    <row r="605" spans="2:4">
      <c r="B605" s="42"/>
      <c r="C605" s="42"/>
      <c r="D605" s="42"/>
    </row>
    <row r="606" spans="2:4">
      <c r="B606" s="42"/>
      <c r="C606" s="42"/>
      <c r="D606" s="42"/>
    </row>
    <row r="607" spans="2:4">
      <c r="B607" s="42"/>
      <c r="C607" s="42"/>
      <c r="D607" s="42"/>
    </row>
    <row r="608" spans="2:4">
      <c r="B608" s="42"/>
      <c r="C608" s="42"/>
      <c r="D608" s="42"/>
    </row>
    <row r="609" spans="2:4">
      <c r="B609" s="42"/>
      <c r="C609" s="42"/>
      <c r="D609" s="42"/>
    </row>
    <row r="610" spans="2:4">
      <c r="B610" s="42"/>
      <c r="C610" s="42"/>
      <c r="D610" s="42"/>
    </row>
    <row r="611" spans="2:4">
      <c r="B611" s="42"/>
      <c r="C611" s="42"/>
      <c r="D611" s="42"/>
    </row>
    <row r="612" spans="2:4">
      <c r="B612" s="42"/>
      <c r="C612" s="42"/>
      <c r="D612" s="42"/>
    </row>
    <row r="613" spans="2:4">
      <c r="B613" s="42"/>
      <c r="C613" s="42"/>
      <c r="D613" s="42"/>
    </row>
    <row r="614" spans="2:4">
      <c r="B614" s="42"/>
      <c r="C614" s="42"/>
      <c r="D614" s="42"/>
    </row>
    <row r="615" spans="2:4">
      <c r="B615" s="42"/>
      <c r="C615" s="42"/>
      <c r="D615" s="42"/>
    </row>
    <row r="616" spans="2:4">
      <c r="B616" s="42"/>
      <c r="C616" s="42"/>
      <c r="D616" s="42"/>
    </row>
    <row r="617" spans="2:4">
      <c r="B617" s="42"/>
      <c r="C617" s="42"/>
      <c r="D617" s="42"/>
    </row>
    <row r="618" spans="2:4">
      <c r="B618" s="42"/>
      <c r="C618" s="42"/>
      <c r="D618" s="42"/>
    </row>
    <row r="619" spans="2:4">
      <c r="B619" s="42"/>
      <c r="C619" s="42"/>
      <c r="D619" s="42"/>
    </row>
    <row r="620" spans="2:4">
      <c r="B620" s="42"/>
      <c r="C620" s="42"/>
      <c r="D620" s="42"/>
    </row>
    <row r="621" spans="2:4">
      <c r="B621" s="42"/>
      <c r="C621" s="42"/>
      <c r="D621" s="42"/>
    </row>
    <row r="622" spans="2:4">
      <c r="B622" s="42"/>
      <c r="C622" s="42"/>
      <c r="D622" s="42"/>
    </row>
    <row r="623" spans="2:4">
      <c r="B623" s="42"/>
      <c r="C623" s="42"/>
      <c r="D623" s="42"/>
    </row>
    <row r="624" spans="2:4">
      <c r="B624" s="42"/>
      <c r="C624" s="42"/>
      <c r="D624" s="42"/>
    </row>
    <row r="625" spans="2:4">
      <c r="B625" s="42"/>
      <c r="C625" s="42"/>
      <c r="D625" s="42"/>
    </row>
    <row r="626" spans="2:4">
      <c r="B626" s="42"/>
      <c r="C626" s="42"/>
      <c r="D626" s="42"/>
    </row>
    <row r="627" spans="2:4">
      <c r="B627" s="42"/>
      <c r="C627" s="42"/>
      <c r="D627" s="42"/>
    </row>
    <row r="628" spans="2:4">
      <c r="B628" s="42"/>
      <c r="C628" s="42"/>
      <c r="D628" s="42"/>
    </row>
    <row r="629" spans="2:4">
      <c r="B629" s="42"/>
      <c r="C629" s="42"/>
      <c r="D629" s="42"/>
    </row>
    <row r="630" spans="2:4">
      <c r="B630" s="42"/>
      <c r="C630" s="42"/>
      <c r="D630" s="42"/>
    </row>
    <row r="631" spans="2:4">
      <c r="B631" s="42"/>
      <c r="C631" s="42"/>
      <c r="D631" s="42"/>
    </row>
    <row r="632" spans="2:4">
      <c r="B632" s="42"/>
      <c r="C632" s="42"/>
      <c r="D632" s="42"/>
    </row>
    <row r="633" spans="2:4">
      <c r="B633" s="42"/>
      <c r="C633" s="42"/>
      <c r="D633" s="42"/>
    </row>
    <row r="634" spans="2:4">
      <c r="B634" s="42"/>
      <c r="C634" s="42"/>
      <c r="D634" s="42"/>
    </row>
    <row r="635" spans="2:4">
      <c r="B635" s="42"/>
      <c r="C635" s="42"/>
      <c r="D635" s="42"/>
    </row>
    <row r="636" spans="2:4">
      <c r="B636" s="42"/>
      <c r="C636" s="42"/>
      <c r="D636" s="42"/>
    </row>
    <row r="637" spans="2:4">
      <c r="B637" s="42"/>
      <c r="C637" s="42"/>
      <c r="D637" s="42"/>
    </row>
    <row r="638" spans="2:4">
      <c r="B638" s="42"/>
      <c r="C638" s="42"/>
      <c r="D638" s="42"/>
    </row>
    <row r="639" spans="2:4">
      <c r="B639" s="42"/>
      <c r="C639" s="42"/>
      <c r="D639" s="42"/>
    </row>
    <row r="640" spans="2:4">
      <c r="B640" s="42"/>
      <c r="C640" s="42"/>
      <c r="D640" s="42"/>
    </row>
    <row r="641" spans="2:4">
      <c r="B641" s="42"/>
      <c r="C641" s="42"/>
      <c r="D641" s="42"/>
    </row>
    <row r="642" spans="2:4">
      <c r="B642" s="42"/>
      <c r="C642" s="42"/>
      <c r="D642" s="42"/>
    </row>
    <row r="643" spans="2:4">
      <c r="B643" s="42"/>
      <c r="C643" s="42"/>
      <c r="D643" s="42"/>
    </row>
    <row r="644" spans="2:4">
      <c r="B644" s="42"/>
      <c r="C644" s="42"/>
      <c r="D644" s="42"/>
    </row>
    <row r="645" spans="2:4">
      <c r="B645" s="42"/>
      <c r="C645" s="42"/>
      <c r="D645" s="42"/>
    </row>
    <row r="646" spans="2:4">
      <c r="B646" s="42"/>
      <c r="C646" s="42"/>
      <c r="D646" s="42"/>
    </row>
    <row r="647" spans="2:4">
      <c r="B647" s="42"/>
      <c r="C647" s="42"/>
      <c r="D647" s="42"/>
    </row>
    <row r="648" spans="2:4">
      <c r="B648" s="42"/>
      <c r="C648" s="42"/>
      <c r="D648" s="42"/>
    </row>
    <row r="649" spans="2:4">
      <c r="B649" s="42"/>
      <c r="C649" s="42"/>
      <c r="D649" s="42"/>
    </row>
    <row r="650" spans="2:4">
      <c r="B650" s="42"/>
      <c r="C650" s="42"/>
      <c r="D650" s="42"/>
    </row>
    <row r="651" spans="2:4">
      <c r="B651" s="42"/>
      <c r="C651" s="42"/>
      <c r="D651" s="42"/>
    </row>
    <row r="652" spans="2:4">
      <c r="B652" s="42"/>
      <c r="C652" s="42"/>
      <c r="D652" s="42"/>
    </row>
    <row r="653" spans="2:4">
      <c r="B653" s="42"/>
      <c r="C653" s="42"/>
      <c r="D653" s="42"/>
    </row>
    <row r="654" spans="2:4">
      <c r="B654" s="42"/>
      <c r="C654" s="42"/>
      <c r="D654" s="42"/>
    </row>
    <row r="655" spans="2:4">
      <c r="B655" s="42"/>
      <c r="C655" s="42"/>
      <c r="D655" s="42"/>
    </row>
    <row r="656" spans="2:4">
      <c r="B656" s="42"/>
      <c r="C656" s="42"/>
      <c r="D656" s="42"/>
    </row>
    <row r="657" spans="2:4">
      <c r="B657" s="42"/>
      <c r="C657" s="42"/>
      <c r="D657" s="42"/>
    </row>
    <row r="658" spans="2:4">
      <c r="B658" s="42"/>
      <c r="C658" s="42"/>
      <c r="D658" s="42"/>
    </row>
    <row r="659" spans="2:4">
      <c r="B659" s="42"/>
      <c r="C659" s="42"/>
      <c r="D659" s="42"/>
    </row>
    <row r="660" spans="2:4">
      <c r="B660" s="42"/>
      <c r="C660" s="42"/>
      <c r="D660" s="42"/>
    </row>
    <row r="661" spans="2:4">
      <c r="B661" s="42"/>
      <c r="C661" s="42"/>
      <c r="D661" s="42"/>
    </row>
    <row r="662" spans="2:4">
      <c r="B662" s="42"/>
      <c r="C662" s="42"/>
      <c r="D662" s="42"/>
    </row>
    <row r="663" spans="2:4">
      <c r="B663" s="42"/>
      <c r="C663" s="42"/>
      <c r="D663" s="42"/>
    </row>
    <row r="664" spans="2:4">
      <c r="B664" s="42"/>
      <c r="C664" s="42"/>
      <c r="D664" s="42"/>
    </row>
    <row r="665" spans="2:4">
      <c r="B665" s="42"/>
      <c r="C665" s="42"/>
      <c r="D665" s="42"/>
    </row>
    <row r="666" spans="2:4">
      <c r="B666" s="42"/>
      <c r="C666" s="42"/>
      <c r="D666" s="42"/>
    </row>
    <row r="667" spans="2:4">
      <c r="B667" s="42"/>
      <c r="C667" s="42"/>
      <c r="D667" s="42"/>
    </row>
    <row r="668" spans="2:4">
      <c r="B668" s="42"/>
      <c r="C668" s="42"/>
      <c r="D668" s="42"/>
    </row>
    <row r="669" spans="2:4">
      <c r="B669" s="42"/>
      <c r="C669" s="42"/>
      <c r="D669" s="42"/>
    </row>
    <row r="670" spans="2:4">
      <c r="B670" s="42"/>
      <c r="C670" s="42"/>
      <c r="D670" s="42"/>
    </row>
    <row r="671" spans="2:4">
      <c r="B671" s="42"/>
      <c r="C671" s="42"/>
      <c r="D671" s="42"/>
    </row>
    <row r="672" spans="2:4">
      <c r="B672" s="42"/>
      <c r="C672" s="42"/>
      <c r="D672" s="42"/>
    </row>
    <row r="673" spans="2:4">
      <c r="B673" s="42"/>
      <c r="C673" s="42"/>
      <c r="D673" s="42"/>
    </row>
    <row r="674" spans="2:4">
      <c r="B674" s="42"/>
      <c r="C674" s="42"/>
      <c r="D674" s="42"/>
    </row>
    <row r="675" spans="2:4">
      <c r="B675" s="42"/>
      <c r="C675" s="42"/>
      <c r="D675" s="42"/>
    </row>
    <row r="676" spans="2:4">
      <c r="B676" s="42"/>
      <c r="C676" s="42"/>
      <c r="D676" s="42"/>
    </row>
    <row r="677" spans="2:4">
      <c r="B677" s="42"/>
      <c r="C677" s="42"/>
      <c r="D677" s="42"/>
    </row>
    <row r="678" spans="2:4">
      <c r="B678" s="42"/>
      <c r="C678" s="42"/>
      <c r="D678" s="42"/>
    </row>
    <row r="679" spans="2:4">
      <c r="B679" s="42"/>
      <c r="C679" s="42"/>
      <c r="D679" s="42"/>
    </row>
    <row r="680" spans="2:4">
      <c r="B680" s="42"/>
      <c r="C680" s="42"/>
      <c r="D680" s="42"/>
    </row>
    <row r="681" spans="2:4">
      <c r="B681" s="42"/>
      <c r="C681" s="42"/>
      <c r="D681" s="42"/>
    </row>
    <row r="682" spans="2:4">
      <c r="B682" s="42"/>
      <c r="C682" s="42"/>
      <c r="D682" s="42"/>
    </row>
    <row r="683" spans="2:4">
      <c r="B683" s="42"/>
      <c r="C683" s="42"/>
      <c r="D683" s="42"/>
    </row>
    <row r="684" spans="2:4">
      <c r="B684" s="42"/>
      <c r="C684" s="42"/>
      <c r="D684" s="42"/>
    </row>
    <row r="685" spans="2:4">
      <c r="B685" s="42"/>
      <c r="C685" s="42"/>
      <c r="D685" s="42"/>
    </row>
    <row r="686" spans="2:4">
      <c r="B686" s="42"/>
      <c r="C686" s="42"/>
      <c r="D686" s="42"/>
    </row>
    <row r="687" spans="2:4">
      <c r="B687" s="42"/>
      <c r="C687" s="42"/>
      <c r="D687" s="42"/>
    </row>
    <row r="688" spans="2:4">
      <c r="B688" s="42"/>
      <c r="C688" s="42"/>
      <c r="D688" s="42"/>
    </row>
    <row r="689" spans="2:4">
      <c r="B689" s="42"/>
      <c r="C689" s="42"/>
      <c r="D689" s="42"/>
    </row>
    <row r="690" spans="2:4">
      <c r="B690" s="42"/>
      <c r="C690" s="42"/>
      <c r="D690" s="42"/>
    </row>
    <row r="691" spans="2:4">
      <c r="B691" s="42"/>
      <c r="C691" s="42"/>
      <c r="D691" s="42"/>
    </row>
    <row r="692" spans="2:4">
      <c r="B692" s="42"/>
      <c r="C692" s="42"/>
      <c r="D692" s="42"/>
    </row>
    <row r="693" spans="2:4">
      <c r="B693" s="42"/>
      <c r="C693" s="42"/>
      <c r="D693" s="42"/>
    </row>
    <row r="694" spans="2:4">
      <c r="B694" s="42"/>
      <c r="C694" s="42"/>
      <c r="D694" s="42"/>
    </row>
    <row r="695" spans="2:4">
      <c r="B695" s="42"/>
      <c r="C695" s="42"/>
      <c r="D695" s="42"/>
    </row>
    <row r="696" spans="2:4">
      <c r="B696" s="42"/>
      <c r="C696" s="42"/>
      <c r="D696" s="42"/>
    </row>
    <row r="697" spans="2:4">
      <c r="B697" s="42"/>
      <c r="C697" s="42"/>
      <c r="D697" s="42"/>
    </row>
    <row r="698" spans="2:4">
      <c r="B698" s="42"/>
      <c r="C698" s="42"/>
      <c r="D698" s="42"/>
    </row>
    <row r="699" spans="2:4">
      <c r="B699" s="42"/>
      <c r="C699" s="42"/>
      <c r="D699" s="42"/>
    </row>
    <row r="700" spans="2:4">
      <c r="B700" s="42"/>
      <c r="C700" s="42"/>
      <c r="D700" s="42"/>
    </row>
    <row r="701" spans="2:4">
      <c r="B701" s="42"/>
      <c r="C701" s="42"/>
      <c r="D701" s="42"/>
    </row>
    <row r="702" spans="2:4">
      <c r="B702" s="42"/>
      <c r="C702" s="42"/>
      <c r="D702" s="42"/>
    </row>
    <row r="703" spans="2:4">
      <c r="B703" s="42"/>
      <c r="C703" s="42"/>
      <c r="D703" s="42"/>
    </row>
    <row r="704" spans="2:4">
      <c r="B704" s="42"/>
      <c r="C704" s="42"/>
      <c r="D704" s="42"/>
    </row>
    <row r="705" spans="2:4">
      <c r="B705" s="42"/>
      <c r="C705" s="42"/>
      <c r="D705" s="42"/>
    </row>
    <row r="706" spans="2:4">
      <c r="B706" s="42"/>
      <c r="C706" s="42"/>
      <c r="D706" s="42"/>
    </row>
    <row r="707" spans="2:4">
      <c r="B707" s="42"/>
      <c r="C707" s="42"/>
      <c r="D707" s="42"/>
    </row>
    <row r="708" spans="2:4">
      <c r="B708" s="42"/>
      <c r="C708" s="42"/>
      <c r="D708" s="42"/>
    </row>
    <row r="709" spans="2:4">
      <c r="B709" s="42"/>
      <c r="C709" s="42"/>
      <c r="D709" s="42"/>
    </row>
    <row r="710" spans="2:4">
      <c r="B710" s="42"/>
      <c r="C710" s="42"/>
      <c r="D710" s="42"/>
    </row>
    <row r="711" spans="2:4">
      <c r="B711" s="42"/>
      <c r="C711" s="42"/>
      <c r="D711" s="42"/>
    </row>
    <row r="712" spans="2:4">
      <c r="B712" s="42"/>
      <c r="C712" s="42"/>
      <c r="D712" s="42"/>
    </row>
    <row r="713" spans="2:4">
      <c r="B713" s="42"/>
      <c r="C713" s="42"/>
      <c r="D713" s="42"/>
    </row>
    <row r="714" spans="2:4">
      <c r="B714" s="42"/>
      <c r="C714" s="42"/>
      <c r="D714" s="42"/>
    </row>
    <row r="715" spans="2:4">
      <c r="B715" s="42"/>
      <c r="C715" s="42"/>
      <c r="D715" s="42"/>
    </row>
    <row r="716" spans="2:4">
      <c r="B716" s="42"/>
      <c r="C716" s="42"/>
      <c r="D716" s="42"/>
    </row>
    <row r="717" spans="2:4">
      <c r="B717" s="42"/>
      <c r="C717" s="42"/>
      <c r="D717" s="42"/>
    </row>
    <row r="718" spans="2:4">
      <c r="B718" s="42"/>
      <c r="C718" s="42"/>
      <c r="D718" s="42"/>
    </row>
    <row r="719" spans="2:4">
      <c r="B719" s="42"/>
      <c r="C719" s="42"/>
      <c r="D719" s="42"/>
    </row>
    <row r="720" spans="2:4">
      <c r="B720" s="42"/>
      <c r="C720" s="42"/>
      <c r="D720" s="42"/>
    </row>
    <row r="721" spans="2:4">
      <c r="B721" s="42"/>
      <c r="C721" s="42"/>
      <c r="D721" s="42"/>
    </row>
    <row r="722" spans="2:4">
      <c r="B722" s="42"/>
      <c r="C722" s="42"/>
      <c r="D722" s="42"/>
    </row>
    <row r="723" spans="2:4">
      <c r="B723" s="42"/>
      <c r="C723" s="42"/>
      <c r="D723" s="42"/>
    </row>
    <row r="724" spans="2:4">
      <c r="B724" s="42"/>
      <c r="C724" s="42"/>
      <c r="D724" s="42"/>
    </row>
    <row r="725" spans="2:4">
      <c r="B725" s="42"/>
      <c r="C725" s="42"/>
      <c r="D725" s="42"/>
    </row>
    <row r="726" spans="2:4">
      <c r="B726" s="42"/>
      <c r="C726" s="42"/>
      <c r="D726" s="42"/>
    </row>
    <row r="727" spans="2:4">
      <c r="B727" s="42"/>
      <c r="C727" s="42"/>
      <c r="D727" s="42"/>
    </row>
    <row r="728" spans="2:4">
      <c r="B728" s="42"/>
      <c r="C728" s="42"/>
      <c r="D728" s="42"/>
    </row>
    <row r="729" spans="2:4">
      <c r="B729" s="42"/>
      <c r="C729" s="42"/>
      <c r="D729" s="42"/>
    </row>
    <row r="730" spans="2:4">
      <c r="B730" s="42"/>
      <c r="C730" s="42"/>
      <c r="D730" s="42"/>
    </row>
    <row r="731" spans="2:4">
      <c r="B731" s="42"/>
      <c r="C731" s="42"/>
      <c r="D731" s="42"/>
    </row>
    <row r="732" spans="2:4">
      <c r="B732" s="42"/>
      <c r="C732" s="42"/>
      <c r="D732" s="42"/>
    </row>
    <row r="733" spans="2:4">
      <c r="B733" s="42"/>
      <c r="C733" s="42"/>
      <c r="D733" s="42"/>
    </row>
    <row r="734" spans="2:4">
      <c r="B734" s="42"/>
      <c r="C734" s="42"/>
      <c r="D734" s="42"/>
    </row>
    <row r="735" spans="2:4">
      <c r="B735" s="42"/>
      <c r="C735" s="42"/>
      <c r="D735" s="42"/>
    </row>
    <row r="736" spans="2:4">
      <c r="B736" s="42"/>
      <c r="C736" s="42"/>
      <c r="D736" s="42"/>
    </row>
    <row r="737" spans="2:4">
      <c r="B737" s="42"/>
      <c r="C737" s="42"/>
      <c r="D737" s="42"/>
    </row>
    <row r="738" spans="2:4">
      <c r="B738" s="42"/>
      <c r="C738" s="42"/>
      <c r="D738" s="42"/>
    </row>
    <row r="739" spans="2:4">
      <c r="B739" s="42"/>
      <c r="C739" s="42"/>
      <c r="D739" s="42"/>
    </row>
    <row r="740" spans="2:4">
      <c r="B740" s="42"/>
      <c r="C740" s="42"/>
      <c r="D740" s="42"/>
    </row>
  </sheetData>
  <conditionalFormatting sqref="J42">
    <cfRule type="cellIs" dxfId="34" priority="7" operator="lessThanOrEqual">
      <formula>0</formula>
    </cfRule>
    <cfRule type="cellIs" dxfId="33" priority="6" operator="greaterThan">
      <formula>0</formula>
    </cfRule>
  </conditionalFormatting>
  <conditionalFormatting sqref="I46">
    <cfRule type="cellIs" dxfId="32" priority="5" operator="lessThan">
      <formula>0</formula>
    </cfRule>
  </conditionalFormatting>
  <conditionalFormatting sqref="I39">
    <cfRule type="cellIs" dxfId="31" priority="3" operator="greaterThan">
      <formula>0</formula>
    </cfRule>
    <cfRule type="cellIs" dxfId="30" priority="4" operator="lessThanOrEqual">
      <formula>0</formula>
    </cfRule>
  </conditionalFormatting>
  <conditionalFormatting sqref="I46">
    <cfRule type="cellIs" dxfId="29" priority="1" operator="greaterThan">
      <formula>0</formula>
    </cfRule>
    <cfRule type="cellIs" dxfId="28" priority="2" operator="lessThanOrEqual">
      <formula>0</formula>
    </cfRule>
  </conditionalFormatting>
  <printOptions horizontalCentered="1" verticalCentered="1"/>
  <pageMargins left="0.39370078740157483" right="0.39370078740157483" top="0.59055118110236227" bottom="0.59055118110236227" header="0.51181102362204722" footer="0.51181102362204722"/>
  <pageSetup paperSize="9" orientation="portrait" r:id="rId1"/>
  <headerFooter alignWithMargins="0">
    <oddFooter>Page &amp;P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3">
    <tabColor theme="6"/>
  </sheetPr>
  <dimension ref="A1:H15"/>
  <sheetViews>
    <sheetView workbookViewId="0">
      <selection activeCell="B11" sqref="B11:H100"/>
    </sheetView>
  </sheetViews>
  <sheetFormatPr baseColWidth="10" defaultRowHeight="12.75"/>
  <cols>
    <col min="1" max="1" width="2.5703125" style="877" customWidth="1"/>
    <col min="2" max="2" width="10.5703125" style="877" customWidth="1"/>
    <col min="3" max="3" width="25.140625" style="877" customWidth="1"/>
    <col min="4" max="4" width="10.85546875" style="877" customWidth="1"/>
    <col min="5" max="6" width="12.7109375" style="877" customWidth="1"/>
    <col min="7" max="7" width="11.42578125" style="877" customWidth="1"/>
    <col min="8" max="8" width="14" style="877" customWidth="1"/>
    <col min="9" max="16384" width="11.42578125" style="877"/>
  </cols>
  <sheetData>
    <row r="1" spans="1:8">
      <c r="A1" s="818">
        <v>111</v>
      </c>
      <c r="B1" s="155" t="str">
        <f>TRIM(CivilAdht&amp; " " &amp; NomAdht)</f>
        <v/>
      </c>
    </row>
    <row r="2" spans="1:8">
      <c r="A2" s="818">
        <v>111</v>
      </c>
      <c r="B2" s="155"/>
    </row>
    <row r="3" spans="1:8" ht="9.75" customHeight="1" thickBot="1">
      <c r="A3" s="818">
        <v>111</v>
      </c>
    </row>
    <row r="4" spans="1:8" ht="24.75" thickTop="1" thickBot="1">
      <c r="B4" s="1047" t="s">
        <v>348</v>
      </c>
      <c r="C4" s="1048"/>
      <c r="D4" s="1048"/>
      <c r="E4" s="1048"/>
      <c r="F4" s="1048"/>
      <c r="G4" s="1048"/>
      <c r="H4" s="1048"/>
    </row>
    <row r="5" spans="1:8" ht="30.75" thickTop="1">
      <c r="A5" s="818">
        <v>111</v>
      </c>
      <c r="B5" s="819"/>
      <c r="C5" s="819"/>
      <c r="D5" s="819"/>
      <c r="E5" s="819"/>
      <c r="F5" s="819"/>
      <c r="G5" s="819"/>
      <c r="H5" s="819"/>
    </row>
    <row r="6" spans="1:8" ht="9.75" customHeight="1">
      <c r="A6" s="818">
        <v>111</v>
      </c>
    </row>
    <row r="7" spans="1:8">
      <c r="B7" s="842" t="s">
        <v>349</v>
      </c>
      <c r="C7" s="824" t="s">
        <v>350</v>
      </c>
      <c r="D7" s="825" t="s">
        <v>10</v>
      </c>
      <c r="E7" s="826" t="s">
        <v>351</v>
      </c>
      <c r="F7" s="824" t="s">
        <v>205</v>
      </c>
      <c r="G7" s="826" t="s">
        <v>352</v>
      </c>
      <c r="H7" s="843" t="s">
        <v>353</v>
      </c>
    </row>
    <row r="8" spans="1:8">
      <c r="B8" s="844"/>
      <c r="C8" s="827"/>
      <c r="D8" s="831"/>
      <c r="E8" s="826" t="s">
        <v>355</v>
      </c>
      <c r="F8" s="824" t="s">
        <v>356</v>
      </c>
      <c r="G8" s="826"/>
      <c r="H8" s="843" t="s">
        <v>356</v>
      </c>
    </row>
    <row r="9" spans="1:8" ht="15" customHeight="1">
      <c r="B9" s="845"/>
      <c r="C9" s="846"/>
      <c r="D9" s="847" t="s">
        <v>114</v>
      </c>
      <c r="E9" s="848"/>
      <c r="F9" s="849" t="s">
        <v>569</v>
      </c>
      <c r="G9" s="850" t="s">
        <v>570</v>
      </c>
      <c r="H9" s="851" t="s">
        <v>484</v>
      </c>
    </row>
    <row r="10" spans="1:8" s="806" customFormat="1" ht="19.5" customHeight="1">
      <c r="B10" s="834" t="s">
        <v>1684</v>
      </c>
      <c r="C10" s="820" t="s">
        <v>1073</v>
      </c>
      <c r="D10" s="821">
        <v>58.23</v>
      </c>
      <c r="E10" s="822">
        <v>0.40934973637961336</v>
      </c>
      <c r="F10" s="823">
        <v>5.0650695517774347</v>
      </c>
      <c r="G10" s="823">
        <v>130.07818565872941</v>
      </c>
      <c r="H10" s="823">
        <v>658.85505753048255</v>
      </c>
    </row>
    <row r="11" spans="1:8" s="806" customFormat="1" ht="19.5" customHeight="1">
      <c r="B11" s="834" t="s">
        <v>1684</v>
      </c>
      <c r="C11" s="820" t="s">
        <v>1075</v>
      </c>
      <c r="D11" s="821">
        <v>14.56</v>
      </c>
      <c r="E11" s="822">
        <v>0.10235500878734623</v>
      </c>
      <c r="F11" s="823">
        <v>3.0056318681318679</v>
      </c>
      <c r="G11" s="823">
        <v>221.87217220419541</v>
      </c>
      <c r="H11" s="823">
        <v>666.86607142857133</v>
      </c>
    </row>
    <row r="12" spans="1:8" s="806" customFormat="1" ht="19.5" customHeight="1">
      <c r="B12" s="834" t="s">
        <v>1684</v>
      </c>
      <c r="C12" s="820" t="s">
        <v>1076</v>
      </c>
      <c r="D12" s="821">
        <v>43.29</v>
      </c>
      <c r="E12" s="822">
        <v>0.30432337434094903</v>
      </c>
      <c r="F12" s="823">
        <v>3.2331254331254331</v>
      </c>
      <c r="G12" s="823">
        <v>364.7392863777311</v>
      </c>
      <c r="H12" s="823">
        <v>1179.2478632478633</v>
      </c>
    </row>
    <row r="13" spans="1:8" s="806" customFormat="1" ht="19.5" customHeight="1">
      <c r="B13" s="834" t="s">
        <v>1684</v>
      </c>
      <c r="C13" s="820" t="s">
        <v>1077</v>
      </c>
      <c r="D13" s="821">
        <v>22.62</v>
      </c>
      <c r="E13" s="822">
        <v>0.1590158172231986</v>
      </c>
      <c r="F13" s="823">
        <v>5.5826702033598581</v>
      </c>
      <c r="G13" s="823">
        <v>101.2760532150776</v>
      </c>
      <c r="H13" s="823">
        <v>565.39080459770105</v>
      </c>
    </row>
    <row r="14" spans="1:8" s="806" customFormat="1" ht="19.5" customHeight="1">
      <c r="B14" s="834" t="s">
        <v>1684</v>
      </c>
      <c r="C14" s="820" t="s">
        <v>1078</v>
      </c>
      <c r="D14" s="821">
        <v>3.55</v>
      </c>
      <c r="E14" s="822">
        <v>2.4956063268892794E-2</v>
      </c>
      <c r="F14" s="823" t="s">
        <v>358</v>
      </c>
      <c r="G14" s="823" t="s">
        <v>358</v>
      </c>
      <c r="H14" s="823" t="s">
        <v>358</v>
      </c>
    </row>
    <row r="15" spans="1:8" s="806" customFormat="1" ht="19.5" customHeight="1">
      <c r="B15" s="829"/>
      <c r="C15" s="830" t="s">
        <v>80</v>
      </c>
      <c r="D15" s="832" t="str">
        <f>SUM(D10:D14)&amp;"  ha"</f>
        <v>142,25  ha</v>
      </c>
      <c r="E15" s="833">
        <f>SUM(E10:E14)</f>
        <v>1</v>
      </c>
    </row>
  </sheetData>
  <mergeCells count="1">
    <mergeCell ref="B4:H4"/>
  </mergeCells>
  <printOptions horizontalCentered="1"/>
  <pageMargins left="0.25" right="0.25" top="0.75" bottom="0.75" header="0.3" footer="0.3"/>
  <pageSetup paperSize="9" orientation="portrait" r:id="rId1"/>
  <headerFooter alignWithMargins="0">
    <oddFooter>Page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9">
    <tabColor theme="6"/>
  </sheetPr>
  <dimension ref="A1:N68"/>
  <sheetViews>
    <sheetView zoomScaleNormal="100" workbookViewId="0">
      <selection activeCell="B31" sqref="B31"/>
    </sheetView>
  </sheetViews>
  <sheetFormatPr baseColWidth="10" defaultRowHeight="12.75" outlineLevelRow="1" outlineLevelCol="1"/>
  <cols>
    <col min="1" max="1" width="2.7109375" style="42" customWidth="1"/>
    <col min="2" max="9" width="11.42578125" style="42"/>
    <col min="10" max="13" width="11.42578125" hidden="1" customWidth="1" outlineLevel="1"/>
    <col min="14" max="14" width="11.42578125" collapsed="1"/>
  </cols>
  <sheetData>
    <row r="1" spans="2:11" ht="9.75" customHeight="1"/>
    <row r="7" spans="2:11" ht="9.75" customHeight="1"/>
    <row r="9" spans="2:11" ht="15" customHeight="1">
      <c r="B9" s="140" t="s">
        <v>974</v>
      </c>
      <c r="E9" s="925"/>
    </row>
    <row r="10" spans="2:11" ht="15" customHeight="1">
      <c r="B10" s="140" t="s">
        <v>265</v>
      </c>
    </row>
    <row r="11" spans="2:11" ht="15" customHeight="1">
      <c r="B11" s="140"/>
    </row>
    <row r="12" spans="2:11" ht="15" customHeight="1">
      <c r="B12" s="140" t="s">
        <v>266</v>
      </c>
    </row>
    <row r="13" spans="2:11" ht="15" customHeight="1">
      <c r="B13" s="140" t="s">
        <v>267</v>
      </c>
    </row>
    <row r="14" spans="2:11" ht="15" customHeight="1"/>
    <row r="15" spans="2:11" ht="15" customHeight="1">
      <c r="D15" s="188" t="s">
        <v>224</v>
      </c>
    </row>
    <row r="16" spans="2:11" ht="15" customHeight="1">
      <c r="J16" s="11" t="s">
        <v>579</v>
      </c>
      <c r="K16" s="11" t="s">
        <v>911</v>
      </c>
    </row>
    <row r="17" spans="2:12" ht="15" customHeight="1">
      <c r="B17" s="140" t="s">
        <v>269</v>
      </c>
    </row>
    <row r="18" spans="2:12" ht="15" customHeight="1">
      <c r="B18" s="189" t="s">
        <v>268</v>
      </c>
    </row>
    <row r="19" spans="2:12" ht="15" customHeight="1">
      <c r="B19" s="190" t="str">
        <f>"La vôtre passe de "&amp;FIXED('A_Compte Résultat &amp; SIG NEX '!F24,0)&amp;" € / ha à "&amp;FIXED('A_Compte Résultat &amp; SIG NEX '!D24,0)&amp;" € / ha, soit une variation de "&amp;FIXED(L19,2)&amp;" %."</f>
        <v>La vôtre passe de 1 255 € / ha à 540 € / ha, soit une variation de -56,95 %.</v>
      </c>
      <c r="J19" s="870">
        <f>'A_Compte Résultat &amp; SIG NEX '!D24</f>
        <v>540.15611111111116</v>
      </c>
      <c r="K19" s="870">
        <f>'A_Compte Résultat &amp; SIG NEX '!F24</f>
        <v>1254.8503406089253</v>
      </c>
      <c r="L19" s="79">
        <f>+(J19-K19)/K19*100</f>
        <v>-56.954539228240044</v>
      </c>
    </row>
    <row r="20" spans="2:12" ht="15" customHeight="1">
      <c r="B20" s="190"/>
    </row>
    <row r="21" spans="2:12" ht="15" customHeight="1">
      <c r="B21" s="140"/>
    </row>
    <row r="22" spans="2:12" ht="15" customHeight="1">
      <c r="B22" s="191" t="s">
        <v>225</v>
      </c>
    </row>
    <row r="23" spans="2:12" ht="15" customHeight="1"/>
    <row r="24" spans="2:12" ht="15" customHeight="1">
      <c r="C24" s="140" t="s">
        <v>227</v>
      </c>
      <c r="D24" s="140"/>
    </row>
    <row r="25" spans="2:12" ht="15" customHeight="1">
      <c r="C25" s="140" t="s">
        <v>226</v>
      </c>
      <c r="D25" s="140"/>
    </row>
    <row r="26" spans="2:12" ht="15" customHeight="1">
      <c r="C26" s="140" t="s">
        <v>228</v>
      </c>
      <c r="D26" s="140"/>
    </row>
    <row r="27" spans="2:12" ht="15" customHeight="1">
      <c r="C27" s="140" t="s">
        <v>229</v>
      </c>
      <c r="D27" s="140"/>
    </row>
    <row r="28" spans="2:12" ht="15" customHeight="1"/>
    <row r="29" spans="2:12" ht="15" customHeight="1">
      <c r="D29" s="188" t="s">
        <v>230</v>
      </c>
    </row>
    <row r="30" spans="2:12" ht="15" customHeight="1"/>
    <row r="31" spans="2:12" ht="15" customHeight="1">
      <c r="B31" s="190" t="str">
        <f>IF($K$31&gt;$J$31,"Par rapport à la récolte précédente, vos charges de structure ont diminué de "&amp;FIXED($L$31)&amp;" "&amp;"%","Par rapport à la récolte précédente, vos charges de structure ont augmenté de "&amp;FIXED($L$31)&amp;" "&amp;"%.")</f>
        <v>Par rapport à la récolte précédente, vos charges de structure ont diminué de -18,54 %</v>
      </c>
      <c r="J31" s="870">
        <f>('A_Evolution chges'!C23+'A_Evolution chges'!C27+'A_Evolution chges'!C33+'A_Evolution chges'!C35+'A_Evolution chges'!C41+'A_Evolution chges'!C42+'A_Evolution chges'!C44)/UT_N</f>
        <v>759.6875</v>
      </c>
      <c r="K31" s="870">
        <f>('A_Evolution chges'!E23+'A_Evolution chges'!E27+'A_Evolution chges'!E33+'A_Evolution chges'!E35+'A_Evolution chges'!E41+'A_Evolution chges'!E42+'A_Evolution chges'!E44)/UT_N</f>
        <v>932.58333333333337</v>
      </c>
      <c r="L31" s="79">
        <f>+(J31-K31)/K31*100</f>
        <v>-18.53945134483067</v>
      </c>
    </row>
    <row r="32" spans="2:12" ht="6" customHeight="1"/>
    <row r="33" spans="2:4" ht="15" customHeight="1"/>
    <row r="34" spans="2:4" ht="15" customHeight="1">
      <c r="B34" s="140" t="s">
        <v>270</v>
      </c>
    </row>
    <row r="35" spans="2:4" ht="15" customHeight="1">
      <c r="B35" s="140" t="s">
        <v>271</v>
      </c>
    </row>
    <row r="36" spans="2:4" ht="15" customHeight="1"/>
    <row r="37" spans="2:4" ht="15" customHeight="1">
      <c r="D37" s="188" t="s">
        <v>97</v>
      </c>
    </row>
    <row r="38" spans="2:4" ht="15" customHeight="1"/>
    <row r="39" spans="2:4" ht="15" customHeight="1">
      <c r="B39" s="140" t="s">
        <v>272</v>
      </c>
    </row>
    <row r="40" spans="2:4" ht="15" customHeight="1">
      <c r="B40" s="140" t="s">
        <v>273</v>
      </c>
    </row>
    <row r="41" spans="2:4" ht="15" customHeight="1">
      <c r="B41" s="140" t="s">
        <v>274</v>
      </c>
    </row>
    <row r="42" spans="2:4" ht="15" customHeight="1">
      <c r="B42" s="140" t="s">
        <v>275</v>
      </c>
    </row>
    <row r="43" spans="2:4" ht="15" customHeight="1">
      <c r="B43" s="140" t="s">
        <v>281</v>
      </c>
    </row>
    <row r="44" spans="2:4" ht="15" customHeight="1">
      <c r="B44" s="140" t="s">
        <v>231</v>
      </c>
    </row>
    <row r="45" spans="2:4" ht="15" customHeight="1">
      <c r="B45" s="140"/>
    </row>
    <row r="46" spans="2:4" ht="15" customHeight="1">
      <c r="B46" s="190" t="str">
        <f>"Votre excédent brut d'exploitation s'élève au titre du dernier exercice à "&amp;FIXED('A_Compte Résultat &amp; SIG NEX '!C39,0)&amp;" €"</f>
        <v>Votre excédent brut d'exploitation s'élève au titre du dernier exercice à -12 076 €</v>
      </c>
    </row>
    <row r="47" spans="2:4" ht="15" customHeight="1">
      <c r="B47" s="190" t="str">
        <f>"soit "&amp;FIXED('A_Compte Résultat &amp; SIG NEX '!D39,0)&amp;" €/ ha."</f>
        <v>soit -84 €/ ha.</v>
      </c>
    </row>
    <row r="48" spans="2:4" ht="15" customHeight="1">
      <c r="B48" s="190"/>
    </row>
    <row r="49" spans="2:9" ht="15" customHeight="1">
      <c r="B49" s="190" t="str">
        <f>"Sur l'exercice précédent, il était de "&amp;FIXED('A_Compte Résultat &amp; SIG NEX '!E39,0)&amp;" €  soit "&amp;FIXED('A_Compte Résultat &amp; SIG NEX '!F39,0)&amp; " € / ha."</f>
        <v>Sur l'exercice précédent, il était de 70 877 €  soit 493 € / ha.</v>
      </c>
    </row>
    <row r="50" spans="2:9" ht="5.25" customHeight="1"/>
    <row r="51" spans="2:9">
      <c r="B51" s="155" t="str">
        <f>TRIM(CivilAdht&amp; " " &amp; NomAdht)</f>
        <v/>
      </c>
      <c r="I51" s="134"/>
    </row>
    <row r="54" spans="2:9" hidden="1" outlineLevel="1"/>
    <row r="55" spans="2:9" hidden="1" outlineLevel="1"/>
    <row r="56" spans="2:9" hidden="1" outlineLevel="1">
      <c r="B56" s="155"/>
      <c r="I56" s="155"/>
    </row>
    <row r="57" spans="2:9" hidden="1" outlineLevel="1"/>
    <row r="58" spans="2:9" hidden="1" outlineLevel="1"/>
    <row r="59" spans="2:9" hidden="1" outlineLevel="1"/>
    <row r="60" spans="2:9" hidden="1" outlineLevel="1"/>
    <row r="61" spans="2:9" hidden="1" outlineLevel="1"/>
    <row r="62" spans="2:9" hidden="1" outlineLevel="1">
      <c r="B62" s="42" t="s">
        <v>298</v>
      </c>
      <c r="C62" s="42" t="str">
        <f>IF(MonnaieDG = "Euro","€uros","Francs")</f>
        <v>€uros</v>
      </c>
    </row>
    <row r="63" spans="2:9" hidden="1" outlineLevel="1"/>
    <row r="64" spans="2:9" hidden="1" outlineLevel="1"/>
    <row r="65" hidden="1" outlineLevel="1"/>
    <row r="66" hidden="1" outlineLevel="1"/>
    <row r="67" hidden="1" outlineLevel="1"/>
    <row r="68" collapsed="1"/>
  </sheetData>
  <printOptions horizontalCentered="1" verticalCentered="1"/>
  <pageMargins left="0.59055118110236227" right="0.39370078740157483" top="0.59055118110236227" bottom="0.39370078740157483" header="0.51181102362204722" footer="0.51181102362204722"/>
  <pageSetup paperSize="9" orientation="portrait" r:id="rId1"/>
  <headerFooter alignWithMargins="0">
    <oddFooter>Page &amp;P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4">
    <tabColor theme="6"/>
  </sheetPr>
  <dimension ref="A9:L72"/>
  <sheetViews>
    <sheetView topLeftCell="A25" zoomScaleNormal="100" workbookViewId="0">
      <selection activeCell="M50" sqref="M50"/>
    </sheetView>
  </sheetViews>
  <sheetFormatPr baseColWidth="10" defaultRowHeight="12.75" outlineLevelRow="1" outlineLevelCol="1"/>
  <cols>
    <col min="1" max="1" width="2.7109375" style="42" customWidth="1"/>
    <col min="2" max="5" width="11.42578125" style="42"/>
    <col min="6" max="6" width="16.140625" style="42" customWidth="1"/>
    <col min="7" max="8" width="11.42578125" style="42"/>
    <col min="9" max="9" width="18" style="877" hidden="1" customWidth="1" outlineLevel="1"/>
    <col min="10" max="11" width="11.42578125" style="877" hidden="1" customWidth="1" outlineLevel="1"/>
    <col min="12" max="12" width="11.42578125" style="877" collapsed="1"/>
    <col min="13" max="16384" width="11.42578125" style="877"/>
  </cols>
  <sheetData>
    <row r="9" spans="2:10" ht="15" customHeight="1">
      <c r="B9" s="140" t="s">
        <v>276</v>
      </c>
    </row>
    <row r="10" spans="2:10" ht="15" customHeight="1">
      <c r="B10" s="140" t="s">
        <v>277</v>
      </c>
    </row>
    <row r="11" spans="2:10" ht="15" customHeight="1">
      <c r="B11" s="140" t="s">
        <v>311</v>
      </c>
    </row>
    <row r="12" spans="2:10" ht="15" customHeight="1"/>
    <row r="13" spans="2:10" ht="15" customHeight="1">
      <c r="D13" s="188" t="s">
        <v>232</v>
      </c>
    </row>
    <row r="14" spans="2:10" ht="15" customHeight="1">
      <c r="B14" s="304"/>
    </row>
    <row r="15" spans="2:10" ht="15" customHeight="1">
      <c r="B15" s="906" t="str">
        <f>IF('A_Compte Résultat &amp; SIG NEX '!C41=0," ","Vos frais financiers s'élèvent à "&amp;FIXED('A_Compte Résultat &amp; SIG NEX '!C41,0)&amp;" €, soit "&amp;FIXED('A_Compte Résultat &amp; SIG NEX '!D41,0)&amp;" € / ha.")</f>
        <v>Vos frais financiers s'élèvent à 3 722 €, soit 26 € / ha.</v>
      </c>
    </row>
    <row r="16" spans="2:10" ht="15" customHeight="1">
      <c r="B16" s="906" t="str">
        <f>IF('A_Compte Résultat &amp; SIG NEX '!C43=0," ","Ils sont compensés en partie par les produits financiers pour un montant de "&amp;FIXED('A_Compte Résultat &amp; SIG NEX '!C43,0)&amp;" €.")</f>
        <v>Ils sont compensés en partie par les produits financiers pour un montant de 132 €.</v>
      </c>
      <c r="I16" s="877" t="s">
        <v>297</v>
      </c>
      <c r="J16" s="877" t="s">
        <v>282</v>
      </c>
    </row>
    <row r="17" spans="2:10" ht="15" customHeight="1">
      <c r="B17" s="906" t="str">
        <f>IF('A_Compte Résultat &amp; SIG NEX '!C43=0," ","soit "&amp;FIXED('A_Compte Résultat &amp; SIG NEX '!D43,0)&amp;" € / ha.")</f>
        <v>soit 1 € / ha.</v>
      </c>
      <c r="I17" s="79">
        <f>'A_Compte Résultat &amp; SIG NEX '!D41-'A_Compte Résultat &amp; SIG NEX '!D43</f>
        <v>24.930555555555554</v>
      </c>
      <c r="J17" s="877">
        <f>IF(MonnaieDG = "Franc",400,400/6.55957)</f>
        <v>60.979606894964149</v>
      </c>
    </row>
    <row r="18" spans="2:10" ht="15" customHeight="1">
      <c r="B18" s="906" t="str">
        <f>IF('A_Compte Résultat &amp; SIG NEX '!D41=0," ",IF($I$17&lt;$J$17,"Votre charge financière nette est inférieure à la moyenne la plus souvent constatée.","Votre charge financière nette est supérieure à la moyenne la plus souvent constatée."))</f>
        <v>Votre charge financière nette est inférieure à la moyenne la plus souvent constatée.</v>
      </c>
    </row>
    <row r="19" spans="2:10" ht="15" customHeight="1">
      <c r="B19" s="906"/>
    </row>
    <row r="20" spans="2:10" ht="15" customHeight="1">
      <c r="D20" s="188" t="str">
        <f>"LA CAPACITE D'AUTOFINANCEMENT"</f>
        <v>LA CAPACITE D'AUTOFINANCEMENT</v>
      </c>
    </row>
    <row r="21" spans="2:10" ht="15" customHeight="1"/>
    <row r="22" spans="2:10" ht="15" customHeight="1">
      <c r="B22" s="926" t="s">
        <v>975</v>
      </c>
      <c r="C22" s="925"/>
      <c r="D22" s="925"/>
      <c r="E22" s="925"/>
    </row>
    <row r="23" spans="2:10" ht="15" customHeight="1">
      <c r="B23" s="140"/>
    </row>
    <row r="24" spans="2:10" ht="15" customHeight="1">
      <c r="B24" s="140" t="s">
        <v>233</v>
      </c>
    </row>
    <row r="25" spans="2:10" ht="15" customHeight="1">
      <c r="B25" s="140"/>
    </row>
    <row r="26" spans="2:10" ht="15" customHeight="1">
      <c r="B26" s="140" t="s">
        <v>234</v>
      </c>
    </row>
    <row r="27" spans="2:10" ht="15" customHeight="1"/>
    <row r="28" spans="2:10" ht="15" customHeight="1">
      <c r="E28" s="140" t="s">
        <v>235</v>
      </c>
    </row>
    <row r="29" spans="2:10" ht="15" customHeight="1"/>
    <row r="30" spans="2:10" ht="15" customHeight="1">
      <c r="C30" s="193" t="s">
        <v>317</v>
      </c>
      <c r="F30" s="190"/>
      <c r="G30" s="190" t="str">
        <f>IF('A_Compte Résultat &amp; SIG NEX '!C42=0," "," soit "&amp;FIXED('A_Compte Résultat &amp; SIG NEX '!C42,0)&amp;" €.")</f>
        <v xml:space="preserve"> soit 19 537 €.</v>
      </c>
    </row>
    <row r="31" spans="2:10" ht="15" customHeight="1">
      <c r="C31" s="193" t="s">
        <v>291</v>
      </c>
      <c r="G31" s="190" t="str">
        <f>IF('A_Variat fds de R'!D13=0," "," soit "&amp;FIXED('A_Variat fds de R'!D13,0)&amp;" €")</f>
        <v xml:space="preserve"> </v>
      </c>
    </row>
    <row r="32" spans="2:10" ht="15" customHeight="1">
      <c r="C32" s="903" t="s">
        <v>250</v>
      </c>
      <c r="D32" s="304"/>
      <c r="E32" s="304"/>
      <c r="F32" s="304"/>
    </row>
    <row r="33" spans="2:11" ht="15" customHeight="1">
      <c r="C33" s="904" t="s">
        <v>292</v>
      </c>
      <c r="D33" s="304"/>
      <c r="E33" s="905"/>
      <c r="F33" s="304"/>
      <c r="G33" s="190" t="str">
        <f>IF('A_Variat fds de R'!D17=0," "," soit "&amp;FIXED('A_Variat fds de R'!D17,0)&amp;" €.")</f>
        <v xml:space="preserve"> </v>
      </c>
    </row>
    <row r="34" spans="2:11" ht="15" customHeight="1"/>
    <row r="35" spans="2:11" ht="15" customHeight="1">
      <c r="E35" s="140" t="s">
        <v>249</v>
      </c>
      <c r="G35" s="190" t="str">
        <f>IF(R_1670=0," "," soit "&amp;FIXED(R_1670,0)&amp;" "&amp;C63&amp; " .")</f>
        <v xml:space="preserve"> </v>
      </c>
    </row>
    <row r="36" spans="2:11" ht="15" customHeight="1"/>
    <row r="37" spans="2:11" ht="15" customHeight="1">
      <c r="B37" s="140" t="s">
        <v>236</v>
      </c>
      <c r="C37" s="140"/>
    </row>
    <row r="38" spans="2:11" ht="15" customHeight="1">
      <c r="B38" s="140"/>
      <c r="C38" s="140"/>
    </row>
    <row r="39" spans="2:11" ht="15" customHeight="1">
      <c r="B39" s="140"/>
      <c r="C39" s="193" t="s">
        <v>237</v>
      </c>
    </row>
    <row r="40" spans="2:11" ht="15" customHeight="1">
      <c r="B40" s="140"/>
      <c r="C40" s="193" t="s">
        <v>253</v>
      </c>
    </row>
    <row r="41" spans="2:11" ht="15" customHeight="1">
      <c r="B41" s="140"/>
      <c r="C41" s="140" t="s">
        <v>254</v>
      </c>
    </row>
    <row r="42" spans="2:11" ht="15" customHeight="1">
      <c r="B42" s="140"/>
      <c r="C42" s="193" t="s">
        <v>251</v>
      </c>
    </row>
    <row r="43" spans="2:11" ht="15" customHeight="1">
      <c r="B43" s="140"/>
      <c r="C43" s="140" t="s">
        <v>252</v>
      </c>
    </row>
    <row r="44" spans="2:11" ht="9.75" customHeight="1"/>
    <row r="45" spans="2:11" ht="15" customHeight="1">
      <c r="B45" s="907" t="str">
        <f>+"Votre capacité d'autofinancement"</f>
        <v>Votre capacité d'autofinancement</v>
      </c>
      <c r="C45" s="908"/>
      <c r="D45" s="908"/>
      <c r="E45" s="910" t="str">
        <f>"passe de "&amp;FIXED('A_Variat fds de R'!C19,0)&amp;" € à "&amp;FIXED('A_Variat fds de R'!D19,0)&amp;" €."</f>
        <v>passe de 73 850 € à -8 084 €.</v>
      </c>
      <c r="F45" s="908"/>
      <c r="G45" s="908"/>
      <c r="H45" s="908"/>
      <c r="J45" s="68" t="s">
        <v>293</v>
      </c>
      <c r="K45" s="68"/>
    </row>
    <row r="46" spans="2:11" ht="15" customHeight="1">
      <c r="B46" s="908"/>
      <c r="C46" s="908"/>
      <c r="D46" s="908"/>
      <c r="E46" s="908"/>
      <c r="F46" s="908"/>
      <c r="G46" s="908"/>
      <c r="H46" s="908"/>
      <c r="J46" s="68" t="s">
        <v>294</v>
      </c>
      <c r="K46" s="94">
        <f>'A_Variat fds de R'!D21</f>
        <v>24821</v>
      </c>
    </row>
    <row r="47" spans="2:11" ht="15" customHeight="1">
      <c r="B47" s="909" t="str">
        <f>IF($K$47&lt;$K$46,"Après prélèvements personnels pour "&amp;FIXED(K48,0)&amp;" € , la capacité nette d'autofinancement,","Après apports personnels pour "&amp;FIXED(K48,0)&amp;" € , la capacité nette d'autofinancement,")</f>
        <v>Après prélèvements personnels pour -24 821 € , la capacité nette d'autofinancement,</v>
      </c>
      <c r="C47" s="908"/>
      <c r="D47" s="908"/>
      <c r="E47" s="908"/>
      <c r="F47" s="908"/>
      <c r="G47" s="908"/>
      <c r="H47" s="908"/>
      <c r="J47" s="68" t="s">
        <v>295</v>
      </c>
      <c r="K47" s="94">
        <f>'A_Variat fds de R'!D23</f>
        <v>0</v>
      </c>
    </row>
    <row r="48" spans="2:11" ht="15" customHeight="1">
      <c r="B48" s="910" t="str">
        <f>"s'établit à "&amp;FIXED('A_Variat fds de R'!D25,0)&amp;" € ."</f>
        <v>s'établit à -32 905 € .</v>
      </c>
      <c r="C48" s="908"/>
      <c r="D48" s="908"/>
      <c r="E48" s="908"/>
      <c r="F48" s="908"/>
      <c r="G48" s="908"/>
      <c r="H48" s="908"/>
      <c r="J48" s="68"/>
      <c r="K48" s="95" t="str">
        <f>FIXED($K$47-$K$46)</f>
        <v>-24 821,00</v>
      </c>
    </row>
    <row r="49" spans="2:11" ht="15" customHeight="1">
      <c r="B49" s="910"/>
      <c r="C49" s="908"/>
      <c r="D49" s="908"/>
      <c r="E49" s="908"/>
      <c r="F49" s="908"/>
      <c r="G49" s="908"/>
      <c r="H49" s="908"/>
      <c r="J49" s="68"/>
      <c r="K49" s="519"/>
    </row>
    <row r="50" spans="2:11" ht="12.75" customHeight="1">
      <c r="B50" s="908"/>
      <c r="C50" s="908"/>
      <c r="D50" s="908"/>
      <c r="E50" s="908"/>
      <c r="F50" s="908"/>
      <c r="G50" s="908"/>
      <c r="H50" s="908"/>
    </row>
    <row r="51" spans="2:11" ht="15" customHeight="1">
      <c r="B51" s="155" t="str">
        <f>TRIM(CivilAdht&amp; " " &amp; NomAdht)</f>
        <v/>
      </c>
      <c r="C51" s="155"/>
      <c r="H51" s="155"/>
      <c r="I51" s="63"/>
    </row>
    <row r="52" spans="2:11" ht="15" customHeight="1"/>
    <row r="53" spans="2:11" ht="15" hidden="1" customHeight="1" outlineLevel="1"/>
    <row r="54" spans="2:11" ht="15" hidden="1" customHeight="1" outlineLevel="1"/>
    <row r="55" spans="2:11" ht="15" hidden="1" customHeight="1" outlineLevel="1"/>
    <row r="56" spans="2:11" ht="15" hidden="1" customHeight="1" outlineLevel="1"/>
    <row r="57" spans="2:11" hidden="1" outlineLevel="1"/>
    <row r="58" spans="2:11" hidden="1" outlineLevel="1"/>
    <row r="59" spans="2:11" hidden="1" outlineLevel="1"/>
    <row r="60" spans="2:11" hidden="1" outlineLevel="1"/>
    <row r="61" spans="2:11" hidden="1" outlineLevel="1"/>
    <row r="62" spans="2:11" hidden="1" outlineLevel="1"/>
    <row r="63" spans="2:11" hidden="1" outlineLevel="1">
      <c r="B63" s="42" t="s">
        <v>298</v>
      </c>
      <c r="C63" s="42" t="str">
        <f>IF(MonnaieDG = "Euro","€uros","Francs")</f>
        <v>€uros</v>
      </c>
    </row>
    <row r="64" spans="2:11" hidden="1" outlineLevel="1"/>
    <row r="65" spans="2:2" hidden="1" outlineLevel="1"/>
    <row r="66" spans="2:2" hidden="1" outlineLevel="1"/>
    <row r="67" spans="2:2" hidden="1" outlineLevel="1"/>
    <row r="68" spans="2:2" hidden="1" outlineLevel="1" collapsed="1">
      <c r="B68" s="42" t="str">
        <f>FinExN</f>
        <v>30/06/2017</v>
      </c>
    </row>
    <row r="69" spans="2:2" hidden="1" outlineLevel="1">
      <c r="B69" s="42" t="str">
        <f>LEFT(B68,5)</f>
        <v>30/06</v>
      </c>
    </row>
    <row r="70" spans="2:2" hidden="1" outlineLevel="1">
      <c r="B70" s="42" t="str">
        <f>RIGHT(B69,2)</f>
        <v>06</v>
      </c>
    </row>
    <row r="71" spans="2:2" hidden="1" outlineLevel="1">
      <c r="B71" s="42" t="str">
        <f>IF(OR(B70="06",B70="05"), "*Influencé par la présence d'une créance DPU de la récolte suivante", " ")</f>
        <v>*Influencé par la présence d'une créance DPU de la récolte suivante</v>
      </c>
    </row>
    <row r="72" spans="2:2" collapsed="1"/>
  </sheetData>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oddFooter>Page &amp;P</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6">
    <tabColor theme="6"/>
  </sheetPr>
  <dimension ref="A8:N83"/>
  <sheetViews>
    <sheetView topLeftCell="A31" zoomScaleNormal="100" workbookViewId="0">
      <selection activeCell="B40" sqref="B40"/>
    </sheetView>
  </sheetViews>
  <sheetFormatPr baseColWidth="10" defaultRowHeight="12.75" outlineLevelRow="1" outlineLevelCol="1"/>
  <cols>
    <col min="1" max="1" width="2.7109375" style="42" customWidth="1"/>
    <col min="2" max="5" width="11.42578125" style="42"/>
    <col min="6" max="6" width="19" style="42" customWidth="1"/>
    <col min="7" max="8" width="11.42578125" style="42"/>
    <col min="9" max="12" width="11.42578125" style="877" hidden="1" customWidth="1" outlineLevel="1"/>
    <col min="13" max="13" width="11.42578125" style="877" collapsed="1"/>
    <col min="14" max="16384" width="11.42578125" style="877"/>
  </cols>
  <sheetData>
    <row r="8" spans="2:10" ht="15" customHeight="1"/>
    <row r="9" spans="2:10" ht="15" customHeight="1">
      <c r="D9" s="188" t="s">
        <v>238</v>
      </c>
    </row>
    <row r="10" spans="2:10" ht="15" customHeight="1"/>
    <row r="11" spans="2:10" ht="15" customHeight="1">
      <c r="B11" s="140" t="s">
        <v>278</v>
      </c>
    </row>
    <row r="12" spans="2:10" ht="15" customHeight="1">
      <c r="B12" s="140" t="s">
        <v>279</v>
      </c>
    </row>
    <row r="13" spans="2:10" ht="15" customHeight="1"/>
    <row r="14" spans="2:10" ht="15" customHeight="1">
      <c r="D14" s="47" t="s">
        <v>242</v>
      </c>
      <c r="E14" s="128"/>
      <c r="F14" s="128"/>
      <c r="G14" s="190" t="str">
        <f>IF('A_Résult à Trésor'!D28=0," "," soit "&amp;FIXED('A_Résult à Trésor'!D28,0)&amp;" €.")</f>
        <v xml:space="preserve"> </v>
      </c>
      <c r="J14" s="109">
        <f>R_1670 + R_1172 + R_1173 + R_1174 + R_1166 + R_1167</f>
        <v>0</v>
      </c>
    </row>
    <row r="15" spans="2:10" ht="15" customHeight="1">
      <c r="D15" s="47" t="s">
        <v>239</v>
      </c>
      <c r="E15" s="128"/>
      <c r="F15" s="128"/>
      <c r="G15" s="190" t="str">
        <f>IF('A_Résult à Trésor'!D30=0," "," soit "&amp;FIXED('A_Résult à Trésor'!D30,0)&amp;" €.")</f>
        <v xml:space="preserve"> </v>
      </c>
    </row>
    <row r="16" spans="2:10" ht="15" customHeight="1">
      <c r="D16" s="47" t="s">
        <v>240</v>
      </c>
      <c r="E16" s="128"/>
      <c r="F16" s="128"/>
      <c r="G16" s="190" t="str">
        <f>IF('A_Résult à Trésor'!D333=0," "," soit "&amp;FIXED('A_Résult à Trésor'!D33,0)&amp;" €.")</f>
        <v xml:space="preserve"> </v>
      </c>
    </row>
    <row r="17" spans="2:7" ht="15" customHeight="1">
      <c r="D17" s="47" t="s">
        <v>241</v>
      </c>
      <c r="E17" s="128"/>
      <c r="F17" s="128"/>
      <c r="G17" s="190" t="str">
        <f>IF('A_Résult à Trésor'!D29=0," "," soit "&amp;FIXED('A_Résult à Trésor'!D29,0)&amp;" €.")</f>
        <v xml:space="preserve"> soit 182 €.</v>
      </c>
    </row>
    <row r="18" spans="2:7" ht="15" customHeight="1"/>
    <row r="19" spans="2:7" ht="15" customHeight="1"/>
    <row r="20" spans="2:7" ht="15" customHeight="1">
      <c r="D20" s="188" t="s">
        <v>243</v>
      </c>
    </row>
    <row r="21" spans="2:7" ht="15" customHeight="1"/>
    <row r="22" spans="2:7" ht="15" customHeight="1">
      <c r="B22" s="140" t="s">
        <v>244</v>
      </c>
    </row>
    <row r="23" spans="2:7" ht="15" customHeight="1"/>
    <row r="24" spans="2:7" ht="15" customHeight="1">
      <c r="D24" s="47" t="s">
        <v>245</v>
      </c>
      <c r="G24" s="190" t="str">
        <f>IF('A_Résult à Trésor'!D52=0," "," soit "&amp;FIXED('A_Résult à Trésor'!D52,0)&amp;" €.")</f>
        <v xml:space="preserve"> </v>
      </c>
    </row>
    <row r="25" spans="2:7" ht="15" customHeight="1">
      <c r="D25" s="47" t="s">
        <v>246</v>
      </c>
      <c r="G25" s="190" t="str">
        <f>IF('A_Résult à Trésor'!D53=0," "," soit "&amp;FIXED('A_Résult à Trésor'!D53,0)&amp;" €.")</f>
        <v xml:space="preserve"> soit 26 411 €.</v>
      </c>
    </row>
    <row r="26" spans="2:7" ht="15" customHeight="1"/>
    <row r="27" spans="2:7" ht="15" customHeight="1">
      <c r="B27" s="911" t="str">
        <f>IF('A_Résult à Trésor'!D58&lt;'A_Résult à Trésor'!D35,"Les ressources sont supérieures aux emplois, la différence est venue conforter le fonds de","Les emplois sont supérieurs aux ressources, la différence est venue dégrader le fonds de")</f>
        <v>Les emplois sont supérieurs aux ressources, la différence est venue dégrader le fonds de</v>
      </c>
    </row>
    <row r="28" spans="2:7" ht="15" customHeight="1">
      <c r="B28" s="912" t="str">
        <f>IF('A_Variat fds de R'!D57&lt;&gt; 0,"roulement pour "&amp;FIXED('A_Variat fds de R'!D39,0)&amp;" €.")</f>
        <v>roulement pour -59 135 €.</v>
      </c>
    </row>
    <row r="29" spans="2:7" ht="15" customHeight="1">
      <c r="B29" s="911"/>
    </row>
    <row r="30" spans="2:7" ht="15" customHeight="1">
      <c r="B30" s="912" t="str">
        <f>IF('A_Variat fds de R'!D63&lt; 0,"Votre fonds de roulement négatif est de "&amp;FIXED('A_Variat fds de R'!D63,0)&amp;" €  ce qui signifie que l'actif immobilisé"," ")</f>
        <v xml:space="preserve"> </v>
      </c>
    </row>
    <row r="31" spans="2:7" ht="15" customHeight="1">
      <c r="B31" s="911" t="str">
        <f>IF('A_Variat fds de R'!D63&lt;0,"est financé à due concurrence par le cycle d'exploitation (fournisseurs - courts termes -…)"," ")</f>
        <v xml:space="preserve"> </v>
      </c>
    </row>
    <row r="32" spans="2:7" ht="15" customHeight="1">
      <c r="B32" s="304"/>
    </row>
    <row r="33" spans="2:14" ht="15" customHeight="1">
      <c r="B33" s="304"/>
    </row>
    <row r="34" spans="2:14" ht="15" customHeight="1">
      <c r="D34" s="188" t="s">
        <v>247</v>
      </c>
    </row>
    <row r="35" spans="2:14" ht="15" customHeight="1"/>
    <row r="36" spans="2:14" ht="15" customHeight="1">
      <c r="B36" s="140" t="s">
        <v>316</v>
      </c>
    </row>
    <row r="37" spans="2:14" ht="15" customHeight="1">
      <c r="B37" s="190" t="str">
        <f>"Le vôtre forme un total de "&amp;FIXED('A_Bilan NEX'!C31,0)&amp;" €."</f>
        <v>Le vôtre forme un total de 346 597 €.</v>
      </c>
      <c r="D37" s="190"/>
      <c r="E37" s="190"/>
      <c r="N37" s="190"/>
    </row>
    <row r="38" spans="2:14" ht="15" customHeight="1">
      <c r="B38" s="140"/>
    </row>
    <row r="39" spans="2:14" ht="15" customHeight="1">
      <c r="B39" s="140" t="s">
        <v>976</v>
      </c>
    </row>
    <row r="40" spans="2:14" ht="15" customHeight="1">
      <c r="B40" s="140"/>
    </row>
    <row r="41" spans="2:14" ht="15" customHeight="1">
      <c r="B41" s="140" t="s">
        <v>248</v>
      </c>
    </row>
    <row r="42" spans="2:14" ht="15" customHeight="1">
      <c r="B42" s="190" t="str">
        <f>IF('A_Bilan NEX'!C48&lt;&gt;0,"montant de "&amp;FIXED('A_Bilan NEX'!C36,0)&amp;" € et les dettes pour un montant de "&amp;FIXED(DONNEES_LIASSE_RN!D337,0)&amp;" €"," montant de "&amp;FIXED('A_Bilan NEX'!C36,0)&amp;" €.")</f>
        <v>montant de 85 086 € et les dettes pour un montant de 261 511 €</v>
      </c>
    </row>
    <row r="43" spans="2:14" ht="15" customHeight="1">
      <c r="B43" s="140"/>
    </row>
    <row r="44" spans="2:14" ht="15" customHeight="1">
      <c r="B44" s="140" t="s">
        <v>310</v>
      </c>
    </row>
    <row r="45" spans="2:14" ht="15" customHeight="1">
      <c r="B45" s="140" t="s">
        <v>280</v>
      </c>
    </row>
    <row r="46" spans="2:14" ht="15" customHeight="1"/>
    <row r="47" spans="2:14" ht="15" customHeight="1"/>
    <row r="48" spans="2:14" ht="15" customHeight="1"/>
    <row r="49" spans="2:8" ht="15" customHeight="1">
      <c r="B49" s="155"/>
      <c r="H49" s="155"/>
    </row>
    <row r="50" spans="2:8" ht="15" customHeight="1">
      <c r="B50" s="155"/>
      <c r="H50" s="155"/>
    </row>
    <row r="51" spans="2:8" ht="15" customHeight="1"/>
    <row r="52" spans="2:8" ht="15" hidden="1" customHeight="1" outlineLevel="1"/>
    <row r="53" spans="2:8" ht="15" hidden="1" customHeight="1" outlineLevel="1"/>
    <row r="54" spans="2:8" ht="15" hidden="1" customHeight="1" outlineLevel="1"/>
    <row r="55" spans="2:8" hidden="1" outlineLevel="1"/>
    <row r="56" spans="2:8" hidden="1" outlineLevel="1"/>
    <row r="57" spans="2:8" hidden="1" outlineLevel="1"/>
    <row r="58" spans="2:8" hidden="1" outlineLevel="1"/>
    <row r="59" spans="2:8" hidden="1" outlineLevel="1"/>
    <row r="60" spans="2:8" hidden="1" outlineLevel="1"/>
    <row r="61" spans="2:8" hidden="1" outlineLevel="1"/>
    <row r="62" spans="2:8" hidden="1" outlineLevel="1">
      <c r="B62" s="42" t="s">
        <v>298</v>
      </c>
      <c r="C62" s="42" t="str">
        <f>IF(MonnaieDG = "Euro","€uros","Francs")</f>
        <v>€uros</v>
      </c>
    </row>
    <row r="63" spans="2:8" hidden="1" outlineLevel="1"/>
    <row r="64" spans="2:8" hidden="1" outlineLevel="1"/>
    <row r="65" spans="2:2" hidden="1" outlineLevel="1"/>
    <row r="66" spans="2:2" hidden="1" outlineLevel="1"/>
    <row r="67" spans="2:2" hidden="1" outlineLevel="1"/>
    <row r="68" spans="2:2" hidden="1" outlineLevel="1"/>
    <row r="69" spans="2:2" hidden="1" outlineLevel="1"/>
    <row r="70" spans="2:2" hidden="1" outlineLevel="1"/>
    <row r="71" spans="2:2" hidden="1" outlineLevel="1"/>
    <row r="72" spans="2:2" hidden="1" outlineLevel="1"/>
    <row r="73" spans="2:2" hidden="1" outlineLevel="1"/>
    <row r="74" spans="2:2" hidden="1" outlineLevel="1"/>
    <row r="75" spans="2:2" hidden="1" outlineLevel="1"/>
    <row r="76" spans="2:2" hidden="1" outlineLevel="1"/>
    <row r="77" spans="2:2" hidden="1" outlineLevel="1"/>
    <row r="78" spans="2:2" hidden="1" outlineLevel="1"/>
    <row r="79" spans="2:2" hidden="1" outlineLevel="1">
      <c r="B79" s="42" t="str">
        <f>FinExN</f>
        <v>30/06/2017</v>
      </c>
    </row>
    <row r="80" spans="2:2" hidden="1" outlineLevel="1">
      <c r="B80" s="42" t="str">
        <f>LEFT(B79,5)</f>
        <v>30/06</v>
      </c>
    </row>
    <row r="81" spans="2:2" hidden="1" outlineLevel="1">
      <c r="B81" s="42" t="str">
        <f>RIGHT(B80,2)</f>
        <v>06</v>
      </c>
    </row>
    <row r="82" spans="2:2" hidden="1" outlineLevel="1">
      <c r="B82" s="42" t="str">
        <f>IF(OR(B81="06",B81="05"), "*Influencé par la présence d'une créance DPU de la récolte suivante", " ")</f>
        <v>*Influencé par la présence d'une créance DPU de la récolte suivante</v>
      </c>
    </row>
    <row r="83" spans="2:2" collapsed="1"/>
  </sheetData>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oddFooter>Page &amp;P</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5">
    <tabColor theme="6"/>
  </sheetPr>
  <dimension ref="A1:P77"/>
  <sheetViews>
    <sheetView zoomScaleNormal="100" workbookViewId="0">
      <selection activeCell="A45" sqref="A45:XFD46"/>
    </sheetView>
  </sheetViews>
  <sheetFormatPr baseColWidth="10" defaultRowHeight="12.75" outlineLevelRow="1" outlineLevelCol="1"/>
  <cols>
    <col min="1" max="1" width="2.7109375" style="42" customWidth="1"/>
    <col min="2" max="8" width="11.42578125" style="42"/>
    <col min="9" max="9" width="4.7109375" style="877" customWidth="1"/>
    <col min="10" max="15" width="11.42578125" style="877" hidden="1" customWidth="1" outlineLevel="1"/>
    <col min="16" max="16" width="11.42578125" style="877" collapsed="1"/>
    <col min="17" max="16384" width="11.42578125" style="877"/>
  </cols>
  <sheetData>
    <row r="1" spans="2:16" ht="10.5" customHeight="1"/>
    <row r="2" spans="2:16" ht="9.75" customHeight="1"/>
    <row r="5" spans="2:16" ht="8.25" customHeight="1"/>
    <row r="7" spans="2:16" ht="3" customHeight="1"/>
    <row r="8" spans="2:16" ht="15" customHeight="1">
      <c r="D8" s="188" t="s">
        <v>255</v>
      </c>
    </row>
    <row r="9" spans="2:16" ht="3.75" customHeight="1"/>
    <row r="10" spans="2:16" ht="15" customHeight="1">
      <c r="B10" s="140" t="s">
        <v>256</v>
      </c>
    </row>
    <row r="11" spans="2:16" ht="5.25" customHeight="1">
      <c r="B11" s="140"/>
    </row>
    <row r="12" spans="2:16" ht="15" customHeight="1">
      <c r="B12" s="140" t="s">
        <v>257</v>
      </c>
    </row>
    <row r="13" spans="2:16" ht="6" customHeight="1"/>
    <row r="14" spans="2:16" ht="15" customHeight="1">
      <c r="E14" s="48" t="str">
        <f>"Le ratio de solvabilité à court terme"</f>
        <v>Le ratio de solvabilité à court terme</v>
      </c>
      <c r="P14" s="42"/>
    </row>
    <row r="15" spans="2:16" ht="3.75" customHeight="1"/>
    <row r="16" spans="2:16" ht="15" customHeight="1">
      <c r="B16" s="140" t="s">
        <v>258</v>
      </c>
    </row>
    <row r="17" spans="2:16" ht="15" customHeight="1">
      <c r="B17" s="140" t="s">
        <v>259</v>
      </c>
    </row>
    <row r="18" spans="2:16" ht="15" customHeight="1">
      <c r="B18" s="190" t="str">
        <f>"Le vôtre ressort à "&amp;FIXED('A_Ratios NEX'!E33)&amp;" ."</f>
        <v>Le vôtre ressort à 0,39 .</v>
      </c>
    </row>
    <row r="19" spans="2:16" ht="5.25" customHeight="1"/>
    <row r="20" spans="2:16" ht="15" customHeight="1">
      <c r="E20" s="48" t="str">
        <f>"Le ratio d'autonomie financière "</f>
        <v xml:space="preserve">Le ratio d'autonomie financière </v>
      </c>
      <c r="P20" s="42"/>
    </row>
    <row r="21" spans="2:16" ht="3.75" customHeight="1"/>
    <row r="22" spans="2:16" ht="15" customHeight="1">
      <c r="B22" s="140" t="s">
        <v>260</v>
      </c>
    </row>
    <row r="23" spans="2:16" ht="15" customHeight="1">
      <c r="B23" s="140" t="s">
        <v>313</v>
      </c>
    </row>
    <row r="24" spans="2:16" ht="15" customHeight="1">
      <c r="B24" s="190" t="str">
        <f>"Le vôtre ressort à "&amp;FIXED('A_Ratios NEX'!E23)&amp;"."</f>
        <v>Le vôtre ressort à 0,25.</v>
      </c>
    </row>
    <row r="25" spans="2:16" ht="4.5" customHeight="1"/>
    <row r="26" spans="2:16" ht="15" customHeight="1">
      <c r="E26" s="48" t="str">
        <f>"Le ratio d'endettement "</f>
        <v xml:space="preserve">Le ratio d'endettement </v>
      </c>
      <c r="P26" s="42"/>
    </row>
    <row r="27" spans="2:16" ht="4.5" customHeight="1"/>
    <row r="28" spans="2:16" ht="15" customHeight="1">
      <c r="B28" s="140" t="s">
        <v>261</v>
      </c>
    </row>
    <row r="29" spans="2:16" ht="15" customHeight="1">
      <c r="B29" s="190" t="str">
        <f>"Le vôtre ressort à "&amp;FIXED('A_Ratios NEX'!E38)&amp;" ."</f>
        <v>Le vôtre ressort à 0,75 .</v>
      </c>
    </row>
    <row r="30" spans="2:16" ht="3.75" customHeight="1"/>
    <row r="31" spans="2:16" ht="15" customHeight="1">
      <c r="E31" s="197" t="s">
        <v>262</v>
      </c>
    </row>
    <row r="32" spans="2:16" ht="3.75" customHeight="1"/>
    <row r="33" spans="2:16" ht="15" customHeight="1">
      <c r="B33" s="190" t="str">
        <f>"Votre ratio ressort à "&amp;FIXED('A_Ratios NEX'!E28)&amp;" ."</f>
        <v>Votre ratio ressort à 0,95 .</v>
      </c>
    </row>
    <row r="34" spans="2:16" ht="15" customHeight="1">
      <c r="B34" s="189" t="str">
        <f>IF(D_37186&lt;0.5,"Votre stratégie repose sur un renouvellement intensif de vos équipements.","On peut dire que le vieillissement de vos équipements appelle une attention particulière.")</f>
        <v>On peut dire que le vieillissement de vos équipements appelle une attention particulière.</v>
      </c>
    </row>
    <row r="35" spans="2:16" ht="9" customHeight="1"/>
    <row r="36" spans="2:16" ht="15" customHeight="1">
      <c r="E36" s="48" t="str">
        <f>"Le ratio de fonds de roulement "</f>
        <v xml:space="preserve">Le ratio de fonds de roulement </v>
      </c>
      <c r="P36" s="42"/>
    </row>
    <row r="37" spans="2:16" ht="4.5" customHeight="1"/>
    <row r="38" spans="2:16" ht="15" customHeight="1">
      <c r="B38" s="140" t="s">
        <v>263</v>
      </c>
    </row>
    <row r="39" spans="2:16" ht="15" customHeight="1">
      <c r="B39" s="190" t="str">
        <f>"Votre ratio ressort à "&amp;FIXED('A_Ratios NEX'!E52,0)&amp;" € / ha."</f>
        <v>Votre ratio ressort à 108 € / ha.</v>
      </c>
    </row>
    <row r="40" spans="2:16" ht="13.5" customHeight="1"/>
    <row r="41" spans="2:16" ht="15" customHeight="1">
      <c r="D41" s="188" t="s">
        <v>264</v>
      </c>
    </row>
    <row r="42" spans="2:16" ht="5.25" customHeight="1"/>
    <row r="43" spans="2:16" ht="15" customHeight="1">
      <c r="B43" s="189" t="str">
        <f>IF('A_Points forts faibles NEX'!$M$6&lt;0,"Votre produit brut est en réduction sous l'influence de votre environnement.",IF('A_Points forts faibles NEX'!$M$6&gt;3,"Malgré l'environnement, votre produit brut est en augmentation.","Votre adaptation à l'environnement vous permet de maintenir votre produit brut."))</f>
        <v>Votre produit brut est en réduction sous l'influence de votre environnement.</v>
      </c>
      <c r="J43" s="877" t="s">
        <v>361</v>
      </c>
    </row>
    <row r="44" spans="2:16" ht="5.25" customHeight="1"/>
    <row r="45" spans="2:16" ht="6" customHeight="1"/>
    <row r="46" spans="2:16" ht="14.25">
      <c r="B46" s="189" t="str">
        <f>"Ces opérations conduisent à un excédent brut d'exploitation variant de " &amp;FIXED('A_Compte Résultat &amp; SIG NEX '!E39,0)&amp;" €"</f>
        <v>Ces opérations conduisent à un excédent brut d'exploitation variant de 70 877 €</v>
      </c>
    </row>
    <row r="47" spans="2:16" ht="13.5" customHeight="1">
      <c r="B47" s="189" t="str">
        <f>" à " &amp;FIXED('A_Compte Résultat &amp; SIG NEX '!C39,0)&amp;" €."</f>
        <v xml:space="preserve"> à -12 076 €.</v>
      </c>
    </row>
    <row r="48" spans="2:16" ht="6" customHeight="1">
      <c r="B48" s="189"/>
    </row>
    <row r="49" spans="1:13" ht="14.25">
      <c r="B49" s="913" t="str">
        <f>IF(AND('A_Compte Résultat &amp; SIG NEX '!C41 &gt; 'A_Compte Résultat &amp; SIG NEX '!E41,'A_Résult à Trésor'!D29&gt;0),"L'augmentation des charges financières est consécutive à la réalisation d'un nouvel "," ")</f>
        <v xml:space="preserve">L'augmentation des charges financières est consécutive à la réalisation d'un nouvel </v>
      </c>
      <c r="I49" s="63"/>
    </row>
    <row r="50" spans="1:13" ht="14.25">
      <c r="B50" s="913" t="str">
        <f>IF(AND('A_Compte Résultat &amp; SIG NEX '!C41 &gt; 'A_Compte Résultat &amp; SIG NEX '!E41,'A_Résult à Trésor'!D29&gt;0),"emprunt."," ")</f>
        <v>emprunt.</v>
      </c>
      <c r="I50" s="63"/>
    </row>
    <row r="51" spans="1:13" ht="4.5" customHeight="1"/>
    <row r="52" spans="1:13" ht="14.25">
      <c r="B52" s="189" t="str">
        <f>"Le résultat courant de l'exercice s'inscrit pour " &amp;FIXED('A_Compte Résultat &amp; SIG NEX '!C47,0)&amp;" € contre " &amp;FIXED('A_Compte Résultat &amp; SIG NEX '!E47,0)&amp;" €."</f>
        <v>Le résultat courant de l'exercice s'inscrit pour -27 621 € contre 49 204 €.</v>
      </c>
      <c r="K52" s="29" t="s">
        <v>983</v>
      </c>
      <c r="L52" s="29"/>
      <c r="M52" s="71">
        <f>'A_Résult à Trésor'!D33</f>
        <v>0</v>
      </c>
    </row>
    <row r="53" spans="1:13" ht="6" customHeight="1"/>
    <row r="54" spans="1:13" ht="14.25">
      <c r="B54" s="189" t="str">
        <f>"Le résultat net de l'exercice s'inscrit pour " &amp;FIXED('A_Compte Résultat &amp; SIG NEX '!C51,0)&amp;" €  contre " &amp;FIXED('A_Compte Résultat &amp; SIG NEX '!E51,0)&amp;" €."</f>
        <v>Le résultat net de l'exercice s'inscrit pour -27 621 €  contre 49 204 €.</v>
      </c>
      <c r="K54" s="29" t="s">
        <v>979</v>
      </c>
      <c r="L54" s="29"/>
      <c r="M54" s="71">
        <f>'A_Résult à Trésor'!D57</f>
        <v>24821</v>
      </c>
    </row>
    <row r="55" spans="1:13" ht="6" customHeight="1"/>
    <row r="56" spans="1:13" ht="14.25">
      <c r="B56" s="189" t="str">
        <f>IF('A_Variat fds de R'!D39&gt;0,"Le niveau acceptable des prélèvements privés permet de maintenir dans l'entreprise","Le niveau des prélèvements personnels absorbe la totalité des ressources et prive")</f>
        <v>Le niveau des prélèvements personnels absorbe la totalité des ressources et prive</v>
      </c>
      <c r="K56" s="29" t="s">
        <v>980</v>
      </c>
      <c r="L56" s="29"/>
      <c r="M56" s="71">
        <f>'A_Compte Résultat &amp; SIG NEX '!C51</f>
        <v>-27620.999999999993</v>
      </c>
    </row>
    <row r="57" spans="1:13" ht="12.75" customHeight="1">
      <c r="B57" s="189" t="str">
        <f>IF('A_Variat fds de R'!D39&gt;0,"les ressources nécessaires au remboursement des emprunts et des investissements.","l'entreprise de sa capacité à rembourser ses emprunts et à investir.")</f>
        <v>l'entreprise de sa capacité à rembourser ses emprunts et à investir.</v>
      </c>
      <c r="K57" s="29"/>
      <c r="L57" s="29"/>
      <c r="M57" s="975">
        <f>-M54+M56</f>
        <v>-52441.999999999993</v>
      </c>
    </row>
    <row r="58" spans="1:13" ht="12.75" customHeight="1">
      <c r="B58" s="189"/>
    </row>
    <row r="59" spans="1:13" ht="13.5" customHeight="1">
      <c r="B59" s="198"/>
      <c r="I59" s="63"/>
    </row>
    <row r="60" spans="1:13" ht="13.5" customHeight="1">
      <c r="B60" s="198"/>
      <c r="C60" s="198"/>
      <c r="I60" s="63"/>
    </row>
    <row r="61" spans="1:13" s="28" customFormat="1">
      <c r="A61" s="199"/>
      <c r="B61" s="200" t="str">
        <f>TRIM(CivilAdht&amp; " " &amp; NomAdht)</f>
        <v/>
      </c>
      <c r="C61" s="199"/>
      <c r="D61" s="199"/>
      <c r="E61" s="199"/>
      <c r="F61" s="199"/>
      <c r="G61" s="199"/>
      <c r="H61" s="201"/>
      <c r="I61" s="77"/>
    </row>
    <row r="62" spans="1:13">
      <c r="B62" s="200"/>
      <c r="C62" s="199"/>
      <c r="D62" s="199"/>
      <c r="E62" s="199"/>
      <c r="F62" s="199"/>
      <c r="G62" s="199"/>
      <c r="H62" s="201"/>
    </row>
    <row r="64" spans="1:13" hidden="1" outlineLevel="1">
      <c r="B64" s="42" t="s">
        <v>298</v>
      </c>
      <c r="C64" s="42" t="str">
        <f>IF(MonnaieDG = "Euro","€uros","Francs")</f>
        <v>€uros</v>
      </c>
    </row>
    <row r="65" spans="2:2" hidden="1" outlineLevel="1"/>
    <row r="66" spans="2:2" hidden="1" outlineLevel="1"/>
    <row r="67" spans="2:2" hidden="1" outlineLevel="1"/>
    <row r="68" spans="2:2" hidden="1" outlineLevel="1"/>
    <row r="69" spans="2:2" hidden="1" outlineLevel="1"/>
    <row r="70" spans="2:2" hidden="1" outlineLevel="1"/>
    <row r="71" spans="2:2" hidden="1" outlineLevel="1"/>
    <row r="72" spans="2:2" hidden="1" outlineLevel="1"/>
    <row r="73" spans="2:2" hidden="1" outlineLevel="1">
      <c r="B73" s="42" t="str">
        <f>FinExN</f>
        <v>30/06/2017</v>
      </c>
    </row>
    <row r="74" spans="2:2" hidden="1" outlineLevel="1">
      <c r="B74" s="42" t="str">
        <f>LEFT(B73,5)</f>
        <v>30/06</v>
      </c>
    </row>
    <row r="75" spans="2:2" hidden="1" outlineLevel="1">
      <c r="B75" s="42" t="str">
        <f>RIGHT(B74,2)</f>
        <v>06</v>
      </c>
    </row>
    <row r="76" spans="2:2" hidden="1" outlineLevel="1">
      <c r="B76" s="42" t="str">
        <f>IF(OR(B75="06",B75="05"), "*Influencé par la présence d'une créance DPU de la récolte suivante", " ")</f>
        <v>*Influencé par la présence d'une créance DPU de la récolte suivante</v>
      </c>
    </row>
    <row r="77" spans="2:2" collapsed="1"/>
  </sheetData>
  <conditionalFormatting sqref="M57">
    <cfRule type="cellIs" dxfId="27" priority="1" operator="greaterThan">
      <formula>0</formula>
    </cfRule>
    <cfRule type="cellIs" dxfId="26" priority="2" operator="lessThanOrEqual">
      <formula>0</formula>
    </cfRule>
  </conditionalFormatting>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oddFooter>Page &amp;P</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0">
    <tabColor theme="6"/>
  </sheetPr>
  <dimension ref="A9:K51"/>
  <sheetViews>
    <sheetView showZeros="0" zoomScaleNormal="100" workbookViewId="0">
      <selection activeCell="B50" sqref="B50"/>
    </sheetView>
  </sheetViews>
  <sheetFormatPr baseColWidth="10" defaultRowHeight="12.75"/>
  <cols>
    <col min="1" max="1" width="1.42578125" style="42" customWidth="1"/>
    <col min="2" max="2" width="40" style="42" customWidth="1"/>
    <col min="3" max="3" width="11" style="42" customWidth="1"/>
    <col min="4" max="4" width="7.85546875" style="202" customWidth="1"/>
    <col min="5" max="5" width="11" style="42" customWidth="1"/>
    <col min="6" max="6" width="7.85546875" style="202" customWidth="1"/>
    <col min="7" max="7" width="10.140625" style="203" customWidth="1"/>
    <col min="8" max="8" width="2.7109375" style="42" customWidth="1"/>
  </cols>
  <sheetData>
    <row r="9" spans="1:8" ht="9.75" customHeight="1"/>
    <row r="10" spans="1:8" ht="9" customHeight="1"/>
    <row r="11" spans="1:8" ht="7.5" customHeight="1"/>
    <row r="12" spans="1:8" ht="14.25" customHeight="1" thickBot="1"/>
    <row r="13" spans="1:8" ht="18" customHeight="1">
      <c r="B13" s="204"/>
      <c r="C13" s="439" t="str">
        <f>" du "&amp;TEXT(DebutExNAA,"jj mm aa")</f>
        <v xml:space="preserve"> du 01 07 16</v>
      </c>
      <c r="D13" s="439"/>
      <c r="E13" s="439" t="str">
        <f>" du "&amp;TEXT(DebutExN1AA,"jj mm aa")</f>
        <v xml:space="preserve"> du 01 07 15</v>
      </c>
      <c r="F13" s="439"/>
      <c r="G13" s="440"/>
      <c r="H13" s="205"/>
    </row>
    <row r="14" spans="1:8" ht="18" customHeight="1">
      <c r="B14" s="206"/>
      <c r="C14" s="441" t="str">
        <f>" au "&amp;TEXT(FinExNAA,"jj mm aa")</f>
        <v xml:space="preserve"> au 30 06 17</v>
      </c>
      <c r="D14" s="441"/>
      <c r="E14" s="441" t="str">
        <f>" au "&amp;TEXT(FinExN1AA,"jj mm aa")</f>
        <v xml:space="preserve"> au 30 06 16</v>
      </c>
      <c r="F14" s="441"/>
      <c r="G14" s="442" t="s">
        <v>138</v>
      </c>
      <c r="H14" s="205"/>
    </row>
    <row r="15" spans="1:8" ht="20.100000000000001" customHeight="1">
      <c r="B15" s="206"/>
      <c r="C15" s="441" t="s">
        <v>113</v>
      </c>
      <c r="D15" s="441" t="s">
        <v>114</v>
      </c>
      <c r="E15" s="441" t="s">
        <v>115</v>
      </c>
      <c r="F15" s="441" t="s">
        <v>114</v>
      </c>
      <c r="G15" s="442" t="s">
        <v>139</v>
      </c>
      <c r="H15" s="205"/>
    </row>
    <row r="16" spans="1:8" s="53" customFormat="1" ht="23.1" customHeight="1">
      <c r="A16" s="207"/>
      <c r="B16" s="432" t="s">
        <v>116</v>
      </c>
      <c r="C16" s="443">
        <f>+C17+C18+C19+C20+C21</f>
        <v>93169</v>
      </c>
      <c r="D16" s="444">
        <f t="shared" ref="D16:D25" si="0">C16/UT_N</f>
        <v>647.00694444444446</v>
      </c>
      <c r="E16" s="443">
        <f>+E17+E18+E19+E20+E21</f>
        <v>85651</v>
      </c>
      <c r="F16" s="444">
        <f t="shared" ref="F16:F25" si="1">E16/UT_N1</f>
        <v>595.37745029890164</v>
      </c>
      <c r="G16" s="445">
        <f t="shared" ref="G16:G22" si="2">IF(F16=0,"NS",((D16-F16)/F16*100))</f>
        <v>8.6717248225680859</v>
      </c>
      <c r="H16" s="208"/>
    </row>
    <row r="17" spans="1:8" ht="16.5" customHeight="1">
      <c r="B17" s="206" t="s">
        <v>120</v>
      </c>
      <c r="C17" s="209">
        <f>ZD_N+CHX_INFO_C!D16</f>
        <v>33816</v>
      </c>
      <c r="D17" s="210">
        <f t="shared" si="0"/>
        <v>234.83333333333334</v>
      </c>
      <c r="E17" s="209">
        <f>ZD_N1+CHX_INFO_C!E16</f>
        <v>39322</v>
      </c>
      <c r="F17" s="210">
        <f t="shared" si="1"/>
        <v>273.33518698734878</v>
      </c>
      <c r="G17" s="211">
        <f t="shared" si="2"/>
        <v>-14.085948493633746</v>
      </c>
      <c r="H17" s="125"/>
    </row>
    <row r="18" spans="1:8" ht="16.5" customHeight="1">
      <c r="B18" s="206" t="s">
        <v>119</v>
      </c>
      <c r="C18" s="209">
        <f>ZE_N+CHX_INFO_C!D18</f>
        <v>23562</v>
      </c>
      <c r="D18" s="210">
        <f t="shared" si="0"/>
        <v>163.625</v>
      </c>
      <c r="E18" s="209">
        <f>ZE_N1+CHX_INFO_C!E18</f>
        <v>15824</v>
      </c>
      <c r="F18" s="210">
        <f t="shared" si="1"/>
        <v>109.99582927846517</v>
      </c>
      <c r="G18" s="211">
        <f t="shared" si="2"/>
        <v>48.755640166835192</v>
      </c>
      <c r="H18" s="125"/>
    </row>
    <row r="19" spans="1:8" ht="16.5" customHeight="1">
      <c r="B19" s="206" t="s">
        <v>117</v>
      </c>
      <c r="C19" s="209">
        <f>ZF_2151_N+CHX_INFO_C!D17</f>
        <v>35791</v>
      </c>
      <c r="D19" s="210">
        <f t="shared" si="0"/>
        <v>248.54861111111111</v>
      </c>
      <c r="E19" s="209">
        <f>ZF_2151_N1+CHX_INFO_C!E17</f>
        <v>30505</v>
      </c>
      <c r="F19" s="210">
        <f t="shared" si="1"/>
        <v>212.04643403308771</v>
      </c>
      <c r="G19" s="211">
        <f t="shared" si="2"/>
        <v>17.214237647744461</v>
      </c>
      <c r="H19" s="125"/>
    </row>
    <row r="20" spans="1:8" ht="16.5" customHeight="1">
      <c r="B20" s="206" t="s">
        <v>747</v>
      </c>
      <c r="C20" s="209">
        <f>ZG_N+CHX_INFO_C!D19</f>
        <v>0</v>
      </c>
      <c r="D20" s="210">
        <f t="shared" si="0"/>
        <v>0</v>
      </c>
      <c r="E20" s="209">
        <f>ZG_N1+CHX_INFO_C!E19</f>
        <v>0</v>
      </c>
      <c r="F20" s="210">
        <f t="shared" si="1"/>
        <v>0</v>
      </c>
      <c r="G20" s="211" t="str">
        <f t="shared" si="2"/>
        <v>NS</v>
      </c>
      <c r="H20" s="125"/>
    </row>
    <row r="21" spans="1:8" ht="16.5" customHeight="1">
      <c r="B21" s="206" t="s">
        <v>748</v>
      </c>
      <c r="C21" s="209">
        <f>ZH_N+CHX_INFO_C!D20</f>
        <v>0</v>
      </c>
      <c r="D21" s="210">
        <f t="shared" si="0"/>
        <v>0</v>
      </c>
      <c r="E21" s="209">
        <f>ZH_N1+CHX_INFO_C!E20</f>
        <v>0</v>
      </c>
      <c r="F21" s="210">
        <f t="shared" si="1"/>
        <v>0</v>
      </c>
      <c r="G21" s="211" t="str">
        <f t="shared" si="2"/>
        <v>NS</v>
      </c>
      <c r="H21" s="125"/>
    </row>
    <row r="22" spans="1:8" ht="16.5" customHeight="1">
      <c r="B22" s="973" t="s">
        <v>977</v>
      </c>
      <c r="C22" s="970">
        <f>ZJ_N+GA_N-(CHX_INFO_C!D16+CHX_INFO_C!D17+CHX_INFO_C!D18+CHX_INFO_C!D19+CHX_INFO_C!D20)-CHX_INFO_C!D22</f>
        <v>293</v>
      </c>
      <c r="D22" s="971">
        <f t="shared" si="0"/>
        <v>2.0347222222222223</v>
      </c>
      <c r="E22" s="970">
        <f>ZJ_N1+GA_N1-(CHX_INFO_C!E16+CHX_INFO_C!E17+CHX_INFO_C!E18+CHX_INFO_C!E19+CHX_INFO_C!E20)-CHX_INFO_C!E22</f>
        <v>264</v>
      </c>
      <c r="F22" s="971">
        <f t="shared" si="1"/>
        <v>1.8351174753232307</v>
      </c>
      <c r="G22" s="972">
        <f t="shared" si="2"/>
        <v>10.87694654882157</v>
      </c>
      <c r="H22" s="125"/>
    </row>
    <row r="23" spans="1:8" s="53" customFormat="1" ht="23.1" customHeight="1">
      <c r="A23" s="207"/>
      <c r="B23" s="432" t="s">
        <v>123</v>
      </c>
      <c r="C23" s="443">
        <f>C24+C25</f>
        <v>0</v>
      </c>
      <c r="D23" s="444">
        <f t="shared" si="0"/>
        <v>0</v>
      </c>
      <c r="E23" s="443">
        <f>E24+E25</f>
        <v>0</v>
      </c>
      <c r="F23" s="444">
        <f t="shared" si="1"/>
        <v>0</v>
      </c>
      <c r="G23" s="445" t="str">
        <f>IF(F23=0,"NS",((D23-F23)/F23*100))</f>
        <v>NS</v>
      </c>
      <c r="H23" s="208"/>
    </row>
    <row r="24" spans="1:8" ht="16.5" customHeight="1">
      <c r="B24" s="206" t="s">
        <v>121</v>
      </c>
      <c r="C24" s="209">
        <f>GE_N-HV_N</f>
        <v>0</v>
      </c>
      <c r="D24" s="210">
        <f t="shared" si="0"/>
        <v>0</v>
      </c>
      <c r="E24" s="209">
        <f>GE_N1-HV_N1</f>
        <v>0</v>
      </c>
      <c r="F24" s="210">
        <f t="shared" si="1"/>
        <v>0</v>
      </c>
      <c r="G24" s="211" t="str">
        <f>IF(F24=0,"NS",((D24-F24)/F24*100))</f>
        <v>NS</v>
      </c>
      <c r="H24" s="212"/>
    </row>
    <row r="25" spans="1:8" ht="16.5" customHeight="1">
      <c r="B25" s="206" t="s">
        <v>122</v>
      </c>
      <c r="C25" s="209">
        <f>GG_N</f>
        <v>0</v>
      </c>
      <c r="D25" s="210">
        <f t="shared" si="0"/>
        <v>0</v>
      </c>
      <c r="E25" s="209">
        <f>GG_N1</f>
        <v>0</v>
      </c>
      <c r="F25" s="210">
        <f t="shared" si="1"/>
        <v>0</v>
      </c>
      <c r="G25" s="211" t="str">
        <f>IF(F25=0,"NS",((D25-F25)/F25*100))</f>
        <v>NS</v>
      </c>
      <c r="H25" s="212"/>
    </row>
    <row r="26" spans="1:8" ht="3.75" customHeight="1">
      <c r="B26" s="206"/>
      <c r="C26" s="209"/>
      <c r="D26" s="210"/>
      <c r="E26" s="209"/>
      <c r="F26" s="210"/>
      <c r="G26" s="211"/>
      <c r="H26" s="212"/>
    </row>
    <row r="27" spans="1:8" s="53" customFormat="1" ht="23.1" customHeight="1">
      <c r="A27" s="207"/>
      <c r="B27" s="432" t="s">
        <v>124</v>
      </c>
      <c r="C27" s="443">
        <f>C28+C29+C30+C31</f>
        <v>47503.86</v>
      </c>
      <c r="D27" s="444">
        <f>C27/UT_N</f>
        <v>329.88791666666668</v>
      </c>
      <c r="E27" s="443">
        <f>E28+E29+E30+E31</f>
        <v>58485.55</v>
      </c>
      <c r="F27" s="444">
        <f>E27/UT_N1</f>
        <v>406.54490476852493</v>
      </c>
      <c r="G27" s="445">
        <f t="shared" ref="G27:G31" si="3">IF(F27=0,"NS",((D27-F27)/F27*100))</f>
        <v>-18.855724718897793</v>
      </c>
      <c r="H27" s="208"/>
    </row>
    <row r="28" spans="1:8" ht="16.5" customHeight="1">
      <c r="B28" s="206" t="s">
        <v>125</v>
      </c>
      <c r="C28" s="209">
        <f>ZI_N+CHX_INFO_C!D22</f>
        <v>6046</v>
      </c>
      <c r="D28" s="210">
        <f>C28/UT_N</f>
        <v>41.986111111111114</v>
      </c>
      <c r="E28" s="209">
        <f>ZI_N1+CHX_INFO_C!E22</f>
        <v>5604</v>
      </c>
      <c r="F28" s="210">
        <f>E28/UT_N1</f>
        <v>38.954539135270402</v>
      </c>
      <c r="G28" s="211">
        <f t="shared" si="3"/>
        <v>7.7823330557538357</v>
      </c>
      <c r="H28" s="212"/>
    </row>
    <row r="29" spans="1:8" ht="16.5" customHeight="1">
      <c r="B29" s="206" t="s">
        <v>126</v>
      </c>
      <c r="C29" s="209">
        <f>ZL_N</f>
        <v>14873</v>
      </c>
      <c r="D29" s="210">
        <f>C29/UT_N</f>
        <v>103.28472222222223</v>
      </c>
      <c r="E29" s="209">
        <f>ZL_N1</f>
        <v>16754</v>
      </c>
      <c r="F29" s="210">
        <f>E29/UT_N1</f>
        <v>116.46044765744473</v>
      </c>
      <c r="G29" s="211">
        <f t="shared" si="3"/>
        <v>-11.31347654954703</v>
      </c>
      <c r="H29" s="212"/>
    </row>
    <row r="30" spans="1:8" ht="16.5" customHeight="1">
      <c r="B30" s="206" t="s">
        <v>127</v>
      </c>
      <c r="C30" s="209">
        <f>CHX_INFO_C!D26</f>
        <v>9105.86</v>
      </c>
      <c r="D30" s="210">
        <f>C30/UT_N</f>
        <v>63.235138888888891</v>
      </c>
      <c r="E30" s="209">
        <f>CHX_INFO_C!E26</f>
        <v>13540.55</v>
      </c>
      <c r="F30" s="210">
        <f>E30/UT_N1</f>
        <v>94.123105797302912</v>
      </c>
      <c r="G30" s="211">
        <f t="shared" si="3"/>
        <v>-32.816561509277257</v>
      </c>
      <c r="H30" s="212"/>
    </row>
    <row r="31" spans="1:8" ht="16.5" customHeight="1">
      <c r="B31" s="206" t="s">
        <v>344</v>
      </c>
      <c r="C31" s="209">
        <f>QA_N+PW_N</f>
        <v>17479</v>
      </c>
      <c r="D31" s="210">
        <f>C31/UT_N</f>
        <v>121.38194444444444</v>
      </c>
      <c r="E31" s="209">
        <f>QA_N1+PW_N1</f>
        <v>22587</v>
      </c>
      <c r="F31" s="210">
        <f>E31/UT_N1</f>
        <v>157.00681217850686</v>
      </c>
      <c r="G31" s="211">
        <f t="shared" si="3"/>
        <v>-22.690014044460177</v>
      </c>
      <c r="H31" s="212"/>
    </row>
    <row r="32" spans="1:8" ht="6.75" customHeight="1">
      <c r="B32" s="206"/>
      <c r="C32" s="209"/>
      <c r="D32" s="210"/>
      <c r="E32" s="209"/>
      <c r="F32" s="210"/>
      <c r="G32" s="211"/>
      <c r="H32" s="212"/>
    </row>
    <row r="33" spans="1:11" s="53" customFormat="1" ht="23.1" customHeight="1">
      <c r="A33" s="207"/>
      <c r="B33" s="958" t="s">
        <v>129</v>
      </c>
      <c r="C33" s="959">
        <f>ZO_N</f>
        <v>12397</v>
      </c>
      <c r="D33" s="960">
        <f>C33/UT_N</f>
        <v>86.090277777777771</v>
      </c>
      <c r="E33" s="959">
        <f>ZO_N1</f>
        <v>13446</v>
      </c>
      <c r="F33" s="960">
        <f>E33/UT_N1</f>
        <v>93.465869595439997</v>
      </c>
      <c r="G33" s="961">
        <f>IF(F33=0,"NS",((D33-F33)/F33*100))</f>
        <v>-7.8912140330870741</v>
      </c>
      <c r="H33" s="208"/>
      <c r="J33" s="914"/>
      <c r="K33" s="916"/>
    </row>
    <row r="34" spans="1:11" s="53" customFormat="1" ht="11.25" customHeight="1">
      <c r="A34" s="207"/>
      <c r="B34" s="948"/>
      <c r="C34" s="949"/>
      <c r="D34" s="950"/>
      <c r="E34" s="949"/>
      <c r="F34" s="950"/>
      <c r="G34" s="951"/>
      <c r="H34" s="208"/>
    </row>
    <row r="35" spans="1:11" s="38" customFormat="1" ht="16.5" customHeight="1">
      <c r="A35" s="110"/>
      <c r="B35" s="952" t="s">
        <v>130</v>
      </c>
      <c r="C35" s="953">
        <f>C36+C37+C38+C39</f>
        <v>35368.14</v>
      </c>
      <c r="D35" s="954">
        <f>C35/UT_N</f>
        <v>245.61208333333332</v>
      </c>
      <c r="E35" s="955">
        <f>E36+E37+E38+E39</f>
        <v>34031.450000000004</v>
      </c>
      <c r="F35" s="956">
        <f>E35/UT_N1</f>
        <v>236.55950229389686</v>
      </c>
      <c r="G35" s="957">
        <f>IF(F35=0,"NS",((D35-F35)/F35*100))</f>
        <v>3.826767029713189</v>
      </c>
      <c r="H35" s="219"/>
      <c r="J35" s="915"/>
      <c r="K35" s="53"/>
    </row>
    <row r="36" spans="1:11" ht="16.5" customHeight="1">
      <c r="B36" s="962" t="s">
        <v>131</v>
      </c>
      <c r="C36" s="963">
        <f>CHX_INFO_C!D23</f>
        <v>7501</v>
      </c>
      <c r="D36" s="964">
        <f>C36/UT_N</f>
        <v>52.090277777777779</v>
      </c>
      <c r="E36" s="963">
        <f>CHX_INFO_C!E23</f>
        <v>6994</v>
      </c>
      <c r="F36" s="964">
        <f>E36/UT_N1</f>
        <v>48.616710690949532</v>
      </c>
      <c r="G36" s="965">
        <f>IF(F36=0,"NS",((D36-F36)/F36*100))</f>
        <v>7.1448007021891859</v>
      </c>
      <c r="H36" s="125"/>
    </row>
    <row r="37" spans="1:11" ht="16.5" customHeight="1">
      <c r="B37" s="206" t="s">
        <v>132</v>
      </c>
      <c r="C37" s="209">
        <f>CHX_INFO_C!D25-CHX_INFO_C!D26</f>
        <v>6437.25</v>
      </c>
      <c r="D37" s="210">
        <f>C37/UT_N</f>
        <v>44.703125</v>
      </c>
      <c r="E37" s="209">
        <f>CHX_INFO_C!E25-CHX_INFO_C!E26</f>
        <v>2016.3700000000008</v>
      </c>
      <c r="F37" s="210">
        <f>E37/UT_N1</f>
        <v>14.016196301960244</v>
      </c>
      <c r="G37" s="211">
        <f>IF(F37=0,"NS",((D37-F37)/F37*100))</f>
        <v>218.93906190332123</v>
      </c>
      <c r="H37" s="125"/>
    </row>
    <row r="38" spans="1:11" ht="16.5" customHeight="1">
      <c r="B38" s="206" t="s">
        <v>133</v>
      </c>
      <c r="C38" s="209">
        <f>CHX_INFO_C!D24</f>
        <v>9586</v>
      </c>
      <c r="D38" s="210">
        <f>C38/UT_N</f>
        <v>66.569444444444443</v>
      </c>
      <c r="E38" s="209">
        <f>CHX_INFO_C!E24</f>
        <v>8720</v>
      </c>
      <c r="F38" s="210">
        <f>E38/UT_N1</f>
        <v>60.614486306130956</v>
      </c>
      <c r="G38" s="211">
        <f>IF(F38=0,"NS",((D38-F38)/F38*100))</f>
        <v>9.8243151121304848</v>
      </c>
      <c r="H38" s="125"/>
    </row>
    <row r="39" spans="1:11" ht="16.5" customHeight="1">
      <c r="B39" s="206" t="s">
        <v>134</v>
      </c>
      <c r="C39" s="209">
        <f>GC_N-ZL_N-CHX_INFO_C!D23-CHX_INFO_C!D24-CHX_INFO_C!D25-ZO_N</f>
        <v>11843.89</v>
      </c>
      <c r="D39" s="210">
        <f>C39/UT_N</f>
        <v>82.249236111111102</v>
      </c>
      <c r="E39" s="209">
        <f>GC_N1-ZL_N1-CHX_INFO_C!E23-CHX_INFO_C!E24-CHX_INFO_C!E25-ZO_N1</f>
        <v>16301.080000000002</v>
      </c>
      <c r="F39" s="210">
        <f>E39/UT_N1</f>
        <v>113.31210899485612</v>
      </c>
      <c r="G39" s="211">
        <f>IF(F39=0,"NS",((D39-F39)/F39*100))</f>
        <v>-27.413551084072697</v>
      </c>
      <c r="H39" s="125"/>
    </row>
    <row r="40" spans="1:11" ht="6.75" customHeight="1">
      <c r="B40" s="206"/>
      <c r="C40" s="209"/>
      <c r="D40" s="210"/>
      <c r="E40" s="209"/>
      <c r="F40" s="210"/>
      <c r="G40" s="211"/>
      <c r="H40" s="125"/>
    </row>
    <row r="41" spans="1:11" s="509" customFormat="1" ht="16.5" customHeight="1">
      <c r="A41" s="507"/>
      <c r="B41" s="966" t="s">
        <v>135</v>
      </c>
      <c r="C41" s="967">
        <f>GD_N</f>
        <v>1302</v>
      </c>
      <c r="D41" s="968">
        <f>C41/UT_N</f>
        <v>9.0416666666666661</v>
      </c>
      <c r="E41" s="967">
        <f>GD_N1</f>
        <v>3174</v>
      </c>
      <c r="F41" s="968">
        <f>E41/UT_N1</f>
        <v>22.063116919227024</v>
      </c>
      <c r="G41" s="969">
        <f>IF(F41=0,"NS",((D41-F41)/F41*100))</f>
        <v>-59.019087376601554</v>
      </c>
      <c r="H41" s="508"/>
    </row>
    <row r="42" spans="1:11" s="509" customFormat="1" ht="16.5" customHeight="1">
      <c r="A42" s="507"/>
      <c r="B42" s="503" t="s">
        <v>136</v>
      </c>
      <c r="C42" s="443">
        <f>GF_N</f>
        <v>10766</v>
      </c>
      <c r="D42" s="444">
        <f>C42/UT_N</f>
        <v>74.763888888888886</v>
      </c>
      <c r="E42" s="443">
        <f>GF_N1</f>
        <v>23096</v>
      </c>
      <c r="F42" s="444">
        <f>E42/UT_N1</f>
        <v>160.54497428055052</v>
      </c>
      <c r="G42" s="445">
        <f>IF(F42=0,"NS",((D42-F42)/F42*100))</f>
        <v>-53.431186978024094</v>
      </c>
      <c r="H42" s="508"/>
    </row>
    <row r="43" spans="1:11" s="509" customFormat="1" ht="16.5" customHeight="1">
      <c r="A43" s="507"/>
      <c r="B43" s="432" t="s">
        <v>137</v>
      </c>
      <c r="C43" s="443">
        <f>GY_N</f>
        <v>-3590</v>
      </c>
      <c r="D43" s="444">
        <f>C43/UT_N</f>
        <v>-24.930555555555557</v>
      </c>
      <c r="E43" s="443">
        <f>GY_N1</f>
        <v>-3409</v>
      </c>
      <c r="F43" s="444">
        <f>E43/UT_N1</f>
        <v>-23.696649520367021</v>
      </c>
      <c r="G43" s="445">
        <f>IF(F43=0,"NS",((D43-F43)/F43*100))</f>
        <v>5.2070907076040704</v>
      </c>
      <c r="H43" s="508"/>
    </row>
    <row r="44" spans="1:11" s="509" customFormat="1" ht="16.5" customHeight="1">
      <c r="A44" s="507"/>
      <c r="B44" s="504" t="s">
        <v>749</v>
      </c>
      <c r="C44" s="443">
        <f>UB_N-PW_N-QA_N+GI_N+GJ_N+GK_N</f>
        <v>2058</v>
      </c>
      <c r="D44" s="444">
        <f>C44/UT_N</f>
        <v>14.291666666666666</v>
      </c>
      <c r="E44" s="443">
        <f>UB_N1-PW_N1-QA_N1+GI_N1+GJ_N1+GK_N1</f>
        <v>2059</v>
      </c>
      <c r="F44" s="444">
        <f>E44/UT_N1</f>
        <v>14.312526067009591</v>
      </c>
      <c r="G44" s="445">
        <f>IF(F44=0,"NS",((D44-F44)/F44*100))</f>
        <v>-0.14574226971020679</v>
      </c>
      <c r="H44" s="508"/>
      <c r="J44" s="861"/>
    </row>
    <row r="45" spans="1:11" s="509" customFormat="1" ht="16.5" customHeight="1" thickBot="1">
      <c r="A45" s="507"/>
      <c r="B45" s="430" t="s">
        <v>750</v>
      </c>
      <c r="C45" s="431">
        <f>GZ_N+FX_N+FW_N-GL_N-CHX_INFO_C!D27</f>
        <v>7581.5199999999968</v>
      </c>
      <c r="D45" s="446">
        <f>C45/UT_N</f>
        <v>52.64944444444442</v>
      </c>
      <c r="E45" s="431">
        <f>GZ_N1+FX_N1+FW_N1-GL_N1-CHX_INFO_C!E27</f>
        <v>6382.2300000000032</v>
      </c>
      <c r="F45" s="446">
        <f>E45/UT_N1</f>
        <v>44.364173502015866</v>
      </c>
      <c r="G45" s="510">
        <f>IF(F45=0,"NS",((D45-F45)/F45*100))</f>
        <v>18.675589531837169</v>
      </c>
      <c r="H45" s="508"/>
    </row>
    <row r="46" spans="1:11" s="509" customFormat="1" ht="16.5" customHeight="1" thickBot="1">
      <c r="A46" s="507"/>
      <c r="B46" s="505"/>
      <c r="C46" s="494"/>
      <c r="D46" s="506"/>
      <c r="E46" s="494"/>
      <c r="F46" s="506"/>
      <c r="G46" s="506"/>
      <c r="H46" s="508"/>
    </row>
    <row r="47" spans="1:11" s="53" customFormat="1" ht="15" customHeight="1" thickBot="1">
      <c r="A47" s="207"/>
      <c r="B47" s="511" t="s">
        <v>21</v>
      </c>
      <c r="C47" s="512">
        <f>GN_N+GY_N</f>
        <v>-27621</v>
      </c>
      <c r="D47" s="513">
        <f>C47/UT_N</f>
        <v>-191.8125</v>
      </c>
      <c r="E47" s="512">
        <f>GN_N1+GY_N1</f>
        <v>49203</v>
      </c>
      <c r="F47" s="513">
        <f>E47/UT_N1</f>
        <v>342.02001946336713</v>
      </c>
      <c r="G47" s="514">
        <f>IF(F47=0,"NS",((D47-F47)/F47*100))</f>
        <v>-156.0822434607646</v>
      </c>
      <c r="H47" s="208"/>
    </row>
    <row r="48" spans="1:11">
      <c r="B48" s="220" t="s">
        <v>208</v>
      </c>
    </row>
    <row r="49" spans="2:8" ht="7.5" customHeight="1">
      <c r="B49" s="155"/>
      <c r="C49" s="135"/>
      <c r="D49" s="136"/>
      <c r="G49" s="221"/>
      <c r="H49" s="222"/>
    </row>
    <row r="50" spans="2:8">
      <c r="B50" s="155"/>
      <c r="C50" s="294"/>
      <c r="D50" s="294"/>
      <c r="E50" s="294"/>
      <c r="G50" s="221"/>
    </row>
    <row r="51" spans="2:8" ht="3.75" customHeight="1">
      <c r="C51" s="86"/>
    </row>
  </sheetData>
  <conditionalFormatting sqref="E16:G47">
    <cfRule type="expression" dxfId="25" priority="1">
      <formula>ISERROR($F$16)</formula>
    </cfRule>
  </conditionalFormatting>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oddFooter>Page &amp;P</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1"/>
  <dimension ref="B4:E43"/>
  <sheetViews>
    <sheetView workbookViewId="0">
      <selection activeCell="E21" sqref="E21"/>
    </sheetView>
  </sheetViews>
  <sheetFormatPr baseColWidth="10" defaultRowHeight="12.75"/>
  <cols>
    <col min="3" max="3" width="16.7109375" customWidth="1"/>
  </cols>
  <sheetData>
    <row r="4" spans="2:5">
      <c r="B4" s="1"/>
      <c r="C4" s="4"/>
    </row>
    <row r="5" spans="2:5">
      <c r="B5" s="4"/>
      <c r="C5" s="4"/>
    </row>
    <row r="6" spans="2:5">
      <c r="C6" s="12"/>
      <c r="D6" s="20" t="str">
        <f>TEXT(FinExNAA,"jj/mm/aaaa")</f>
        <v>30/06/2017</v>
      </c>
      <c r="E6" s="20" t="str">
        <f>TEXT(FinExN1AA,"jj/mm/aaaa")</f>
        <v>30/06/2016</v>
      </c>
    </row>
    <row r="7" spans="2:5">
      <c r="C7" s="12" t="s">
        <v>209</v>
      </c>
      <c r="D7" s="862">
        <f>'A_Evolution chges'!C16</f>
        <v>93169</v>
      </c>
      <c r="E7" s="862">
        <f>'A_Evolution chges'!E16</f>
        <v>85651</v>
      </c>
    </row>
    <row r="8" spans="2:5">
      <c r="C8" s="12" t="s">
        <v>210</v>
      </c>
      <c r="D8" s="862">
        <f>'A_Evolution chges'!C23</f>
        <v>0</v>
      </c>
      <c r="E8" s="862">
        <f>'A_Evolution chges'!E23</f>
        <v>0</v>
      </c>
    </row>
    <row r="9" spans="2:5">
      <c r="C9" s="12" t="s">
        <v>211</v>
      </c>
      <c r="D9" s="863">
        <f>'A_Evolution chges'!C27</f>
        <v>47503.86</v>
      </c>
      <c r="E9" s="863">
        <f>'A_Evolution chges'!E27</f>
        <v>58485.55</v>
      </c>
    </row>
    <row r="10" spans="2:5">
      <c r="C10" s="12" t="s">
        <v>212</v>
      </c>
      <c r="D10" s="862">
        <f>'A_Evolution chges'!C33</f>
        <v>12397</v>
      </c>
      <c r="E10" s="862">
        <f>'A_Evolution chges'!E33</f>
        <v>13446</v>
      </c>
    </row>
    <row r="11" spans="2:5">
      <c r="C11" s="12" t="s">
        <v>213</v>
      </c>
      <c r="D11" s="862">
        <f>GF_N</f>
        <v>10766</v>
      </c>
      <c r="E11" s="862">
        <f>GF_N1</f>
        <v>23096</v>
      </c>
    </row>
    <row r="12" spans="2:5">
      <c r="C12" s="64" t="s">
        <v>23</v>
      </c>
      <c r="D12" s="65">
        <f>GX_N</f>
        <v>3722</v>
      </c>
      <c r="E12" s="65">
        <f>GX_N1</f>
        <v>3511</v>
      </c>
    </row>
    <row r="34" spans="3:5">
      <c r="C34" s="12"/>
      <c r="D34" s="20" t="str">
        <f>TEXT(FinExNAA,"jj/mm/aaaa")</f>
        <v>30/06/2017</v>
      </c>
      <c r="E34" s="20"/>
    </row>
    <row r="35" spans="3:5">
      <c r="C35" s="12" t="s">
        <v>209</v>
      </c>
      <c r="D35" s="862">
        <f>'A_Evolution chges'!C16</f>
        <v>93169</v>
      </c>
      <c r="E35" s="12"/>
    </row>
    <row r="36" spans="3:5">
      <c r="C36" s="12" t="s">
        <v>210</v>
      </c>
      <c r="D36" s="862">
        <f>'A_Evolution chges'!C23</f>
        <v>0</v>
      </c>
      <c r="E36" s="12"/>
    </row>
    <row r="37" spans="3:5">
      <c r="C37" s="12" t="s">
        <v>211</v>
      </c>
      <c r="D37" s="862">
        <f>'A_Evolution chges'!C27</f>
        <v>47503.86</v>
      </c>
      <c r="E37" s="12"/>
    </row>
    <row r="38" spans="3:5">
      <c r="C38" s="12" t="s">
        <v>212</v>
      </c>
      <c r="D38" s="862">
        <f>'A_Evolution chges'!C33</f>
        <v>12397</v>
      </c>
      <c r="E38" s="12"/>
    </row>
    <row r="39" spans="3:5">
      <c r="C39" s="12" t="s">
        <v>214</v>
      </c>
      <c r="D39" s="862">
        <f>'A_Evolution chges'!C35+'A_Evolution chges'!C41+'A_Evolution chges'!C42+'A_Evolution chges'!C43+'A_Evolution chges'!C44+'A_Evolution chges'!C45+'A_Evolution chges'!C22</f>
        <v>53778.659999999996</v>
      </c>
      <c r="E39" s="12"/>
    </row>
    <row r="40" spans="3:5">
      <c r="C40" s="64" t="s">
        <v>215</v>
      </c>
      <c r="D40" s="862">
        <f>'A_Evolution chges'!C47</f>
        <v>-27621</v>
      </c>
      <c r="E40" s="12"/>
    </row>
    <row r="42" spans="3:5">
      <c r="D42" s="4"/>
    </row>
    <row r="43" spans="3:5">
      <c r="D43" s="4"/>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2">
    <tabColor theme="6"/>
  </sheetPr>
  <dimension ref="A1:M94"/>
  <sheetViews>
    <sheetView showZeros="0" zoomScaleNormal="100" workbookViewId="0">
      <selection activeCell="R45" sqref="R44:R45"/>
    </sheetView>
  </sheetViews>
  <sheetFormatPr baseColWidth="10" defaultRowHeight="12.75" outlineLevelCol="1"/>
  <cols>
    <col min="1" max="1" width="2.7109375" style="42" customWidth="1"/>
    <col min="2" max="2" width="15.7109375" style="42" customWidth="1"/>
    <col min="3" max="3" width="30.7109375" style="42" customWidth="1"/>
    <col min="4" max="4" width="5.7109375" style="42" customWidth="1"/>
    <col min="5" max="5" width="15.7109375" style="42" customWidth="1"/>
    <col min="6" max="6" width="18.7109375" style="42" customWidth="1"/>
    <col min="7" max="7" width="2.7109375" style="42" customWidth="1"/>
    <col min="8" max="8" width="11.42578125" hidden="1" customWidth="1" outlineLevel="1"/>
    <col min="9" max="9" width="25.42578125" hidden="1" customWidth="1" outlineLevel="1"/>
    <col min="10" max="12" width="11.42578125" hidden="1" customWidth="1" outlineLevel="1"/>
    <col min="13" max="13" width="11.42578125" collapsed="1"/>
  </cols>
  <sheetData>
    <row r="1" spans="1:11" ht="12.75" customHeight="1">
      <c r="A1" s="125"/>
      <c r="B1" s="125"/>
      <c r="C1" s="125"/>
      <c r="D1" s="125"/>
      <c r="E1" s="125"/>
      <c r="F1" s="125"/>
      <c r="G1" s="125"/>
      <c r="H1" s="3"/>
      <c r="I1" s="4"/>
    </row>
    <row r="2" spans="1:11">
      <c r="A2" s="125"/>
      <c r="B2" s="125"/>
      <c r="C2" s="125"/>
      <c r="D2" s="125"/>
      <c r="E2" s="125"/>
      <c r="F2" s="125"/>
      <c r="G2" s="125"/>
    </row>
    <row r="3" spans="1:11" ht="20.100000000000001" customHeight="1">
      <c r="A3" s="125"/>
      <c r="B3" s="223"/>
      <c r="C3" s="125"/>
      <c r="D3" s="125"/>
      <c r="E3" s="125"/>
      <c r="F3" s="125"/>
      <c r="G3" s="125"/>
      <c r="H3" s="4"/>
      <c r="I3" s="4"/>
    </row>
    <row r="4" spans="1:11" ht="21.75" customHeight="1">
      <c r="A4" s="125"/>
      <c r="B4" s="224"/>
      <c r="C4" s="225"/>
      <c r="D4" s="225"/>
      <c r="E4" s="225"/>
      <c r="F4" s="225"/>
      <c r="G4" s="226"/>
      <c r="H4" s="1"/>
      <c r="I4" s="4"/>
    </row>
    <row r="5" spans="1:11" ht="13.5" customHeight="1">
      <c r="A5" s="125"/>
      <c r="B5" s="125"/>
      <c r="C5" s="125"/>
      <c r="D5" s="125"/>
      <c r="E5" s="125"/>
      <c r="F5" s="125"/>
      <c r="G5" s="125"/>
      <c r="H5" s="4"/>
      <c r="I5" s="4"/>
    </row>
    <row r="6" spans="1:11">
      <c r="A6" s="125"/>
      <c r="B6" s="125"/>
      <c r="C6" s="125"/>
      <c r="D6" s="125"/>
      <c r="E6" s="125"/>
      <c r="F6" s="125"/>
      <c r="G6" s="125"/>
      <c r="I6" s="12"/>
      <c r="J6" s="20" t="str">
        <f>TEXT(FinExN,"jj/mm/aaaa")</f>
        <v>30/06/2017</v>
      </c>
      <c r="K6" s="20" t="str">
        <f>TEXT(FinExN1,"jj/mm/aaaa")</f>
        <v>30/06/2016</v>
      </c>
    </row>
    <row r="7" spans="1:11">
      <c r="A7" s="125"/>
      <c r="B7" s="125"/>
      <c r="C7" s="125"/>
      <c r="D7" s="125"/>
      <c r="E7" s="125"/>
      <c r="F7" s="125"/>
      <c r="G7" s="125"/>
      <c r="I7" s="12" t="s">
        <v>209</v>
      </c>
      <c r="J7" s="12">
        <f>D_37060</f>
        <v>93183</v>
      </c>
      <c r="K7" s="12">
        <f>D_37060_1</f>
        <v>85661</v>
      </c>
    </row>
    <row r="8" spans="1:11">
      <c r="A8" s="125"/>
      <c r="B8" s="125"/>
      <c r="C8" s="125"/>
      <c r="D8" s="125"/>
      <c r="E8" s="125"/>
      <c r="F8" s="125"/>
      <c r="G8" s="125"/>
      <c r="I8" s="12" t="s">
        <v>210</v>
      </c>
      <c r="J8" s="12">
        <f>D_37066</f>
        <v>0</v>
      </c>
      <c r="K8" s="12">
        <f>D_37066_1</f>
        <v>0</v>
      </c>
    </row>
    <row r="9" spans="1:11">
      <c r="A9" s="125"/>
      <c r="B9" s="125"/>
      <c r="C9" s="125"/>
      <c r="D9" s="125"/>
      <c r="E9" s="125"/>
      <c r="F9" s="125"/>
      <c r="G9" s="125"/>
      <c r="I9" s="12" t="s">
        <v>211</v>
      </c>
      <c r="J9" s="21">
        <f>+D_37007 +D_37072</f>
        <v>38154</v>
      </c>
      <c r="K9" s="21">
        <f>+D_37007_1 + D_37072_1</f>
        <v>44815</v>
      </c>
    </row>
    <row r="10" spans="1:11">
      <c r="A10" s="125"/>
      <c r="B10" s="125"/>
      <c r="C10" s="125"/>
      <c r="D10" s="125"/>
      <c r="E10" s="125"/>
      <c r="F10" s="125"/>
      <c r="G10" s="125"/>
      <c r="I10" s="12" t="s">
        <v>212</v>
      </c>
      <c r="J10" s="12">
        <f>D_30470</f>
        <v>12397</v>
      </c>
      <c r="K10" s="12">
        <f>D_30470_1</f>
        <v>13446</v>
      </c>
    </row>
    <row r="11" spans="1:11">
      <c r="A11" s="125"/>
      <c r="B11" s="125"/>
      <c r="C11" s="125"/>
      <c r="D11" s="125"/>
      <c r="E11" s="125"/>
      <c r="F11" s="125"/>
      <c r="G11" s="125"/>
      <c r="I11" s="12" t="s">
        <v>213</v>
      </c>
      <c r="J11" s="12">
        <f>R_646</f>
        <v>10766</v>
      </c>
      <c r="K11" s="12">
        <f>R_646_1</f>
        <v>23096</v>
      </c>
    </row>
    <row r="12" spans="1:11">
      <c r="A12" s="125"/>
      <c r="B12" s="125"/>
      <c r="C12" s="125"/>
      <c r="D12" s="125"/>
      <c r="E12" s="125"/>
      <c r="F12" s="125"/>
      <c r="G12" s="125"/>
      <c r="I12" s="64" t="s">
        <v>23</v>
      </c>
      <c r="J12" s="65">
        <f>R_722</f>
        <v>3722</v>
      </c>
      <c r="K12" s="65">
        <f>R_722_1</f>
        <v>3511</v>
      </c>
    </row>
    <row r="13" spans="1:11">
      <c r="A13" s="125"/>
      <c r="B13" s="125"/>
      <c r="C13" s="125"/>
      <c r="D13" s="125"/>
      <c r="E13" s="125"/>
      <c r="F13" s="125"/>
      <c r="G13" s="125"/>
    </row>
    <row r="14" spans="1:11">
      <c r="A14" s="125"/>
      <c r="B14" s="125"/>
      <c r="C14" s="125"/>
      <c r="D14" s="125"/>
      <c r="E14" s="125"/>
      <c r="F14" s="125"/>
      <c r="G14" s="125"/>
    </row>
    <row r="15" spans="1:11">
      <c r="A15" s="125"/>
      <c r="B15" s="125"/>
      <c r="C15" s="125"/>
      <c r="D15" s="125"/>
      <c r="E15" s="125"/>
      <c r="F15" s="125"/>
      <c r="G15" s="125"/>
    </row>
    <row r="16" spans="1:11">
      <c r="A16" s="125"/>
      <c r="B16" s="125"/>
      <c r="C16" s="125"/>
      <c r="D16" s="125"/>
      <c r="E16" s="125"/>
      <c r="F16" s="125"/>
      <c r="G16" s="125"/>
    </row>
    <row r="17" spans="1:7">
      <c r="A17" s="125"/>
      <c r="B17" s="125"/>
      <c r="C17" s="125"/>
      <c r="D17" s="125"/>
      <c r="E17" s="125"/>
      <c r="F17" s="125"/>
      <c r="G17" s="125"/>
    </row>
    <row r="18" spans="1:7">
      <c r="A18" s="125"/>
      <c r="B18" s="125"/>
      <c r="C18" s="125"/>
      <c r="D18" s="125"/>
      <c r="E18" s="125"/>
      <c r="F18" s="125"/>
      <c r="G18" s="125"/>
    </row>
    <row r="19" spans="1:7">
      <c r="A19" s="125"/>
      <c r="B19" s="125"/>
      <c r="C19" s="125"/>
      <c r="D19" s="125"/>
      <c r="E19" s="125"/>
      <c r="F19" s="125"/>
      <c r="G19" s="125"/>
    </row>
    <row r="20" spans="1:7">
      <c r="A20" s="125"/>
      <c r="B20" s="125"/>
      <c r="C20" s="125"/>
      <c r="D20" s="125"/>
      <c r="E20" s="125"/>
      <c r="F20" s="125"/>
      <c r="G20" s="125"/>
    </row>
    <row r="21" spans="1:7">
      <c r="A21" s="125"/>
      <c r="B21" s="125"/>
      <c r="C21" s="125"/>
      <c r="D21" s="125"/>
      <c r="E21" s="125"/>
      <c r="F21" s="125"/>
      <c r="G21" s="125"/>
    </row>
    <row r="22" spans="1:7">
      <c r="A22" s="125"/>
      <c r="B22" s="125"/>
      <c r="C22" s="125"/>
      <c r="D22" s="125"/>
      <c r="E22" s="125"/>
      <c r="F22" s="125"/>
      <c r="G22" s="125"/>
    </row>
    <row r="23" spans="1:7">
      <c r="A23" s="125"/>
      <c r="B23" s="125"/>
      <c r="C23" s="125"/>
      <c r="D23" s="125"/>
      <c r="E23" s="125"/>
      <c r="F23" s="125"/>
      <c r="G23" s="125"/>
    </row>
    <row r="24" spans="1:7">
      <c r="A24" s="125"/>
      <c r="B24" s="125"/>
      <c r="C24" s="125"/>
      <c r="D24" s="125"/>
      <c r="E24" s="125"/>
      <c r="F24" s="125"/>
      <c r="G24" s="125"/>
    </row>
    <row r="25" spans="1:7">
      <c r="A25" s="125"/>
      <c r="B25" s="125"/>
      <c r="C25" s="125"/>
      <c r="D25" s="125"/>
      <c r="E25" s="125"/>
      <c r="F25" s="125"/>
      <c r="G25" s="125"/>
    </row>
    <row r="26" spans="1:7">
      <c r="A26" s="125"/>
      <c r="B26" s="125"/>
      <c r="C26" s="125"/>
      <c r="D26" s="125"/>
      <c r="E26" s="125"/>
      <c r="F26" s="125"/>
      <c r="G26" s="125"/>
    </row>
    <row r="27" spans="1:7">
      <c r="A27" s="125"/>
      <c r="B27" s="125"/>
      <c r="C27" s="125"/>
      <c r="D27" s="125"/>
      <c r="E27" s="125"/>
      <c r="F27" s="125"/>
      <c r="G27" s="125"/>
    </row>
    <row r="28" spans="1:7">
      <c r="A28" s="125"/>
      <c r="B28" s="125"/>
      <c r="C28" s="125"/>
      <c r="D28" s="125"/>
      <c r="E28" s="125"/>
      <c r="F28" s="125"/>
      <c r="G28" s="125"/>
    </row>
    <row r="29" spans="1:7">
      <c r="A29" s="125"/>
      <c r="B29" s="125"/>
      <c r="C29" s="125"/>
      <c r="D29" s="125"/>
      <c r="E29" s="125"/>
      <c r="F29" s="125"/>
      <c r="G29" s="125"/>
    </row>
    <row r="30" spans="1:7">
      <c r="A30" s="125"/>
      <c r="B30" s="125"/>
      <c r="C30" s="125"/>
      <c r="D30" s="125"/>
      <c r="E30" s="125"/>
      <c r="F30" s="125"/>
      <c r="G30" s="125"/>
    </row>
    <row r="31" spans="1:7">
      <c r="A31" s="125"/>
      <c r="B31" s="125"/>
      <c r="C31" s="125"/>
      <c r="D31" s="125"/>
      <c r="E31" s="125"/>
      <c r="F31" s="125"/>
      <c r="G31" s="125"/>
    </row>
    <row r="32" spans="1:7">
      <c r="A32" s="125"/>
      <c r="B32" s="125"/>
      <c r="C32" s="125"/>
      <c r="D32" s="125"/>
      <c r="E32" s="125"/>
      <c r="F32" s="125"/>
      <c r="G32" s="125"/>
    </row>
    <row r="33" spans="1:11">
      <c r="A33" s="125"/>
      <c r="B33" s="125"/>
      <c r="C33" s="125"/>
      <c r="D33" s="125"/>
      <c r="E33" s="125"/>
      <c r="F33" s="125"/>
      <c r="G33" s="125"/>
    </row>
    <row r="34" spans="1:11">
      <c r="A34" s="125"/>
      <c r="B34" s="125"/>
      <c r="C34" s="125"/>
      <c r="D34" s="125"/>
      <c r="E34" s="125"/>
      <c r="F34" s="125"/>
      <c r="G34" s="125"/>
      <c r="I34" s="12"/>
      <c r="J34" s="20" t="str">
        <f>TEXT(FinExN,"jj/mm/aaaa")</f>
        <v>30/06/2017</v>
      </c>
      <c r="K34" s="20"/>
    </row>
    <row r="35" spans="1:11">
      <c r="A35" s="125"/>
      <c r="B35" s="125"/>
      <c r="C35" s="125"/>
      <c r="D35" s="125"/>
      <c r="E35" s="125"/>
      <c r="F35" s="125"/>
      <c r="G35" s="125"/>
      <c r="I35" s="12" t="s">
        <v>209</v>
      </c>
      <c r="J35" s="12">
        <f>D_37060</f>
        <v>93183</v>
      </c>
      <c r="K35" s="12"/>
    </row>
    <row r="36" spans="1:11">
      <c r="A36" s="125"/>
      <c r="B36" s="125"/>
      <c r="C36" s="125"/>
      <c r="D36" s="125"/>
      <c r="E36" s="125"/>
      <c r="F36" s="125"/>
      <c r="G36" s="125"/>
      <c r="I36" s="12" t="s">
        <v>210</v>
      </c>
      <c r="J36" s="12">
        <f>D_37066</f>
        <v>0</v>
      </c>
      <c r="K36" s="12"/>
    </row>
    <row r="37" spans="1:11">
      <c r="A37" s="125"/>
      <c r="B37" s="125"/>
      <c r="C37" s="125"/>
      <c r="D37" s="125"/>
      <c r="E37" s="125"/>
      <c r="F37" s="125"/>
      <c r="G37" s="125"/>
      <c r="I37" s="12" t="s">
        <v>211</v>
      </c>
      <c r="J37" s="12">
        <f>(+D_37007 + D_37072)</f>
        <v>38154</v>
      </c>
      <c r="K37" s="12"/>
    </row>
    <row r="38" spans="1:11">
      <c r="A38" s="125"/>
      <c r="B38" s="125"/>
      <c r="C38" s="125"/>
      <c r="D38" s="125"/>
      <c r="E38" s="125"/>
      <c r="F38" s="125"/>
      <c r="G38" s="125"/>
      <c r="I38" s="12" t="s">
        <v>212</v>
      </c>
      <c r="J38" s="12">
        <f>D_30470</f>
        <v>12397</v>
      </c>
      <c r="K38" s="12"/>
    </row>
    <row r="39" spans="1:11">
      <c r="A39" s="125"/>
      <c r="B39" s="125"/>
      <c r="C39" s="125"/>
      <c r="D39" s="125"/>
      <c r="E39" s="125"/>
      <c r="F39" s="125"/>
      <c r="G39" s="125"/>
      <c r="I39" s="12" t="s">
        <v>214</v>
      </c>
      <c r="J39" s="12">
        <f>D_37075 + R_640 + D_30500 - D_37080 - D_37081 - D_30470</f>
        <v>18825</v>
      </c>
      <c r="K39" s="12"/>
    </row>
    <row r="40" spans="1:11">
      <c r="A40" s="125"/>
      <c r="B40" s="125"/>
      <c r="C40" s="125"/>
      <c r="D40" s="125"/>
      <c r="E40" s="125"/>
      <c r="F40" s="125"/>
      <c r="G40" s="125"/>
      <c r="I40" s="64" t="s">
        <v>215</v>
      </c>
      <c r="J40" s="12">
        <f>D_37014</f>
        <v>-27622</v>
      </c>
      <c r="K40" s="12"/>
    </row>
    <row r="41" spans="1:11">
      <c r="A41" s="125"/>
      <c r="B41" s="125"/>
      <c r="C41" s="125"/>
      <c r="D41" s="125"/>
      <c r="E41" s="125"/>
      <c r="F41" s="125"/>
      <c r="G41" s="125"/>
    </row>
    <row r="42" spans="1:11">
      <c r="A42" s="125"/>
      <c r="B42" s="125"/>
      <c r="C42" s="125"/>
      <c r="D42" s="125"/>
      <c r="E42" s="125"/>
      <c r="F42" s="125"/>
      <c r="G42" s="125"/>
      <c r="J42" s="4"/>
    </row>
    <row r="43" spans="1:11">
      <c r="A43" s="125"/>
      <c r="B43" s="125"/>
      <c r="C43" s="125"/>
      <c r="D43" s="125"/>
      <c r="E43" s="125"/>
      <c r="F43" s="125"/>
      <c r="G43" s="125"/>
      <c r="J43" s="4"/>
    </row>
    <row r="44" spans="1:11">
      <c r="A44" s="125"/>
      <c r="B44" s="125"/>
      <c r="C44" s="125"/>
      <c r="D44" s="125"/>
      <c r="E44" s="125"/>
      <c r="F44" s="125"/>
      <c r="G44" s="125"/>
      <c r="J44" s="4"/>
    </row>
    <row r="45" spans="1:11">
      <c r="A45" s="125"/>
      <c r="B45" s="125"/>
      <c r="C45" s="125"/>
      <c r="D45" s="125"/>
      <c r="E45" s="125"/>
      <c r="F45" s="125"/>
      <c r="G45" s="125"/>
      <c r="J45" s="4"/>
    </row>
    <row r="46" spans="1:11">
      <c r="A46" s="125"/>
      <c r="B46" s="125"/>
      <c r="C46" s="125"/>
      <c r="D46" s="125"/>
      <c r="E46" s="125"/>
      <c r="F46" s="125"/>
      <c r="G46" s="125"/>
      <c r="J46" s="4"/>
    </row>
    <row r="47" spans="1:11">
      <c r="A47" s="125"/>
      <c r="B47" s="125"/>
      <c r="C47" s="125"/>
      <c r="D47" s="125"/>
      <c r="E47" s="125"/>
      <c r="F47" s="125"/>
      <c r="G47" s="125"/>
      <c r="J47" s="4"/>
    </row>
    <row r="48" spans="1:11">
      <c r="A48" s="125"/>
      <c r="B48" s="125"/>
      <c r="C48" s="125"/>
      <c r="D48" s="125"/>
      <c r="E48" s="125"/>
      <c r="F48" s="125"/>
      <c r="G48" s="125"/>
    </row>
    <row r="49" spans="1:13">
      <c r="A49" s="125"/>
      <c r="B49" s="125"/>
      <c r="C49" s="125"/>
      <c r="D49" s="125"/>
      <c r="E49" s="125"/>
      <c r="F49" s="125"/>
      <c r="G49" s="125"/>
    </row>
    <row r="50" spans="1:13">
      <c r="A50" s="125"/>
      <c r="B50" s="125"/>
      <c r="C50" s="125"/>
      <c r="D50" s="125"/>
      <c r="E50" s="125"/>
      <c r="F50" s="125"/>
      <c r="G50" s="125"/>
    </row>
    <row r="51" spans="1:13">
      <c r="A51" s="125"/>
      <c r="B51" s="125"/>
      <c r="C51" s="125"/>
      <c r="D51" s="125"/>
      <c r="E51" s="125"/>
      <c r="F51" s="125"/>
      <c r="G51" s="125"/>
    </row>
    <row r="52" spans="1:13">
      <c r="A52" s="125"/>
      <c r="B52" s="125"/>
      <c r="C52" s="125"/>
      <c r="D52" s="125"/>
      <c r="E52" s="125"/>
      <c r="F52" s="125"/>
      <c r="G52" s="125"/>
    </row>
    <row r="53" spans="1:13">
      <c r="A53" s="125"/>
      <c r="B53" s="125"/>
      <c r="C53" s="125"/>
      <c r="D53" s="125"/>
      <c r="E53" s="125"/>
      <c r="F53" s="125"/>
      <c r="G53" s="125"/>
    </row>
    <row r="54" spans="1:13">
      <c r="A54" s="125"/>
      <c r="B54" s="125"/>
      <c r="C54" s="125"/>
      <c r="D54" s="125"/>
      <c r="E54" s="125"/>
      <c r="F54" s="125"/>
      <c r="G54" s="125"/>
    </row>
    <row r="55" spans="1:13">
      <c r="A55" s="125"/>
      <c r="B55" s="155" t="str">
        <f>TRIM(CivilAdht&amp; " " &amp; NomAdht)</f>
        <v/>
      </c>
      <c r="C55" s="135"/>
      <c r="D55" s="135"/>
      <c r="F55" s="227"/>
      <c r="I55" s="4"/>
    </row>
    <row r="56" spans="1:13">
      <c r="A56" s="125"/>
      <c r="B56" s="125"/>
      <c r="C56" s="125"/>
      <c r="D56" s="125"/>
      <c r="E56" s="125"/>
      <c r="F56" s="125"/>
      <c r="G56" s="125"/>
    </row>
    <row r="57" spans="1:13">
      <c r="A57" s="125"/>
      <c r="B57" s="125"/>
      <c r="C57" s="125"/>
      <c r="D57" s="125"/>
      <c r="E57" s="125"/>
      <c r="F57" s="125"/>
      <c r="G57" s="125"/>
    </row>
    <row r="58" spans="1:13">
      <c r="A58" s="125"/>
      <c r="B58" s="125"/>
      <c r="C58" s="125"/>
      <c r="D58" s="125"/>
      <c r="E58" s="125"/>
      <c r="F58" s="125"/>
      <c r="G58" s="125"/>
      <c r="H58" s="4"/>
      <c r="I58" s="4"/>
      <c r="J58" s="4"/>
      <c r="K58" s="4"/>
      <c r="L58" s="4"/>
      <c r="M58" s="4"/>
    </row>
    <row r="59" spans="1:13" ht="15">
      <c r="A59" s="125"/>
      <c r="B59" s="230"/>
      <c r="C59" s="125"/>
      <c r="D59" s="125"/>
      <c r="E59" s="125"/>
      <c r="F59" s="125"/>
      <c r="G59" s="125"/>
      <c r="H59" s="4"/>
      <c r="I59" s="4"/>
      <c r="J59" s="4"/>
      <c r="K59" s="4"/>
      <c r="L59" s="4"/>
      <c r="M59" s="4"/>
    </row>
    <row r="60" spans="1:13">
      <c r="A60" s="125"/>
      <c r="B60" s="125"/>
      <c r="C60" s="125"/>
      <c r="D60" s="125"/>
      <c r="E60" s="125"/>
      <c r="F60" s="125"/>
      <c r="G60" s="125"/>
      <c r="H60" s="4"/>
      <c r="I60" s="4"/>
      <c r="J60" s="4"/>
      <c r="K60" s="4"/>
      <c r="L60" s="4"/>
      <c r="M60" s="4"/>
    </row>
    <row r="61" spans="1:13" ht="15">
      <c r="A61" s="125"/>
      <c r="B61" s="125"/>
      <c r="C61" s="853"/>
      <c r="D61" s="231"/>
      <c r="E61" s="232"/>
      <c r="F61" s="125"/>
      <c r="G61" s="125"/>
      <c r="H61" s="4"/>
      <c r="I61" s="4"/>
      <c r="J61" s="4"/>
      <c r="K61" s="4"/>
      <c r="L61" s="4"/>
      <c r="M61" s="4"/>
    </row>
    <row r="62" spans="1:13" ht="5.0999999999999996" customHeight="1">
      <c r="A62" s="125"/>
      <c r="B62" s="125"/>
      <c r="C62" s="853"/>
      <c r="D62" s="853"/>
      <c r="E62" s="232"/>
      <c r="F62" s="125"/>
      <c r="G62" s="125"/>
      <c r="H62" s="4"/>
      <c r="I62" s="4"/>
      <c r="J62" s="4"/>
      <c r="K62" s="4"/>
      <c r="L62" s="4"/>
      <c r="M62" s="4"/>
    </row>
    <row r="63" spans="1:13" ht="15">
      <c r="A63" s="125"/>
      <c r="B63" s="125"/>
      <c r="C63" s="853"/>
      <c r="D63" s="853"/>
      <c r="E63" s="232"/>
      <c r="F63" s="125"/>
      <c r="G63" s="125"/>
      <c r="H63" s="4"/>
      <c r="I63" s="4"/>
      <c r="J63" s="4"/>
      <c r="K63" s="4"/>
      <c r="L63" s="4"/>
      <c r="M63" s="4"/>
    </row>
    <row r="64" spans="1:13" ht="5.0999999999999996" customHeight="1">
      <c r="A64" s="125"/>
      <c r="B64" s="125"/>
      <c r="C64" s="853"/>
      <c r="D64" s="853"/>
      <c r="E64" s="232"/>
      <c r="F64" s="125"/>
      <c r="G64" s="125"/>
      <c r="H64" s="4"/>
      <c r="I64" s="4"/>
      <c r="J64" s="4"/>
      <c r="K64" s="4"/>
      <c r="L64" s="4"/>
      <c r="M64" s="4"/>
    </row>
    <row r="65" spans="1:13" ht="15">
      <c r="A65" s="125"/>
      <c r="B65" s="125"/>
      <c r="C65" s="853"/>
      <c r="D65" s="853"/>
      <c r="E65" s="232"/>
      <c r="F65" s="125"/>
      <c r="G65" s="125"/>
      <c r="H65" s="4"/>
      <c r="I65" s="4"/>
      <c r="J65" s="4"/>
      <c r="K65" s="4"/>
      <c r="L65" s="4"/>
      <c r="M65" s="4"/>
    </row>
    <row r="66" spans="1:13" ht="5.0999999999999996" customHeight="1">
      <c r="A66" s="125"/>
      <c r="B66" s="125"/>
      <c r="C66" s="853"/>
      <c r="D66" s="853"/>
      <c r="E66" s="232"/>
      <c r="F66" s="125"/>
      <c r="G66" s="125"/>
      <c r="H66" s="4"/>
      <c r="I66" s="4"/>
      <c r="J66" s="4"/>
      <c r="K66" s="4"/>
      <c r="L66" s="4"/>
      <c r="M66" s="4"/>
    </row>
    <row r="67" spans="1:13" ht="15">
      <c r="A67" s="125"/>
      <c r="B67" s="125"/>
      <c r="C67" s="853"/>
      <c r="D67" s="853"/>
      <c r="E67" s="232"/>
      <c r="F67" s="125"/>
      <c r="G67" s="125"/>
      <c r="H67" s="4"/>
      <c r="I67" s="4"/>
      <c r="J67" s="4"/>
      <c r="K67" s="4"/>
      <c r="L67" s="4"/>
      <c r="M67" s="4"/>
    </row>
    <row r="68" spans="1:13" ht="5.0999999999999996" customHeight="1">
      <c r="A68" s="125"/>
      <c r="B68" s="125"/>
      <c r="C68" s="853"/>
      <c r="D68" s="853"/>
      <c r="E68" s="232"/>
      <c r="F68" s="125"/>
      <c r="G68" s="125"/>
      <c r="H68" s="4"/>
      <c r="I68" s="4"/>
      <c r="J68" s="4"/>
      <c r="K68" s="4"/>
      <c r="L68" s="4"/>
      <c r="M68" s="4"/>
    </row>
    <row r="69" spans="1:13" ht="15">
      <c r="A69" s="125"/>
      <c r="B69" s="125"/>
      <c r="C69" s="853"/>
      <c r="D69" s="853"/>
      <c r="E69" s="232"/>
      <c r="F69" s="125"/>
      <c r="G69" s="125"/>
      <c r="H69" s="4"/>
      <c r="I69" s="4"/>
      <c r="J69" s="4"/>
      <c r="K69" s="4"/>
      <c r="L69" s="4"/>
      <c r="M69" s="4"/>
    </row>
    <row r="70" spans="1:13">
      <c r="A70" s="125"/>
      <c r="B70" s="125"/>
      <c r="C70" s="125"/>
      <c r="D70" s="125"/>
      <c r="E70" s="125"/>
      <c r="F70" s="125"/>
      <c r="G70" s="125"/>
      <c r="H70" s="4"/>
      <c r="I70" s="4"/>
      <c r="J70" s="4"/>
      <c r="K70" s="4"/>
      <c r="L70" s="4"/>
      <c r="M70" s="4"/>
    </row>
    <row r="71" spans="1:13">
      <c r="A71" s="125"/>
      <c r="B71" s="125"/>
      <c r="C71" s="125"/>
      <c r="D71" s="125"/>
      <c r="E71" s="125"/>
      <c r="F71" s="125"/>
      <c r="G71" s="125"/>
      <c r="H71" s="4"/>
      <c r="I71" s="4"/>
      <c r="J71" s="4"/>
      <c r="K71" s="4"/>
      <c r="L71" s="4"/>
      <c r="M71" s="4"/>
    </row>
    <row r="72" spans="1:13" ht="15">
      <c r="A72" s="125"/>
      <c r="B72" s="230"/>
      <c r="C72" s="125"/>
      <c r="D72" s="125"/>
      <c r="E72" s="125"/>
      <c r="F72" s="125"/>
      <c r="G72" s="125"/>
      <c r="H72" s="4"/>
      <c r="I72" s="4"/>
      <c r="J72" s="4"/>
      <c r="K72" s="4"/>
      <c r="L72" s="4"/>
      <c r="M72" s="4"/>
    </row>
    <row r="73" spans="1:13">
      <c r="A73" s="125"/>
      <c r="B73" s="125"/>
      <c r="C73" s="125"/>
      <c r="D73" s="125"/>
      <c r="E73" s="125"/>
      <c r="F73" s="125"/>
      <c r="G73" s="125"/>
      <c r="H73" s="4"/>
      <c r="I73" s="4"/>
      <c r="J73" s="4"/>
      <c r="K73" s="4"/>
      <c r="L73" s="4"/>
      <c r="M73" s="4"/>
    </row>
    <row r="74" spans="1:13">
      <c r="A74" s="125"/>
      <c r="B74" s="125"/>
      <c r="C74" s="125"/>
      <c r="D74" s="125"/>
      <c r="E74" s="125"/>
      <c r="F74" s="125"/>
      <c r="G74" s="125"/>
      <c r="H74" s="4"/>
      <c r="I74" s="4"/>
      <c r="J74" s="4"/>
      <c r="K74" s="4"/>
      <c r="L74" s="4"/>
      <c r="M74" s="4"/>
    </row>
    <row r="75" spans="1:13">
      <c r="A75" s="125"/>
      <c r="B75" s="125"/>
      <c r="C75" s="125"/>
      <c r="D75" s="125"/>
      <c r="E75" s="125"/>
      <c r="F75" s="125"/>
      <c r="G75" s="125"/>
      <c r="H75" s="4"/>
      <c r="I75" s="4"/>
      <c r="J75" s="4"/>
      <c r="K75" s="4"/>
      <c r="L75" s="4"/>
      <c r="M75" s="4"/>
    </row>
    <row r="76" spans="1:13">
      <c r="A76" s="125"/>
      <c r="B76" s="125"/>
      <c r="C76" s="125"/>
      <c r="D76" s="125"/>
      <c r="E76" s="125"/>
      <c r="F76" s="125"/>
      <c r="G76" s="125"/>
      <c r="H76" s="4"/>
      <c r="I76" s="4"/>
      <c r="J76" s="4"/>
      <c r="K76" s="4"/>
      <c r="L76" s="4"/>
      <c r="M76" s="4"/>
    </row>
    <row r="77" spans="1:13">
      <c r="A77" s="125"/>
      <c r="B77" s="125"/>
      <c r="C77" s="125"/>
      <c r="D77" s="125"/>
      <c r="E77" s="125"/>
      <c r="F77" s="125"/>
      <c r="G77" s="125"/>
      <c r="H77" s="4"/>
      <c r="I77" s="4"/>
      <c r="J77" s="4"/>
      <c r="K77" s="4"/>
      <c r="L77" s="4"/>
      <c r="M77" s="4"/>
    </row>
    <row r="78" spans="1:13">
      <c r="A78" s="125"/>
      <c r="B78" s="125"/>
      <c r="C78" s="125"/>
      <c r="D78" s="125"/>
      <c r="E78" s="125"/>
      <c r="F78" s="125"/>
      <c r="G78" s="125"/>
      <c r="H78" s="4"/>
      <c r="I78" s="4"/>
      <c r="J78" s="4"/>
      <c r="K78" s="4"/>
      <c r="L78" s="4"/>
      <c r="M78" s="4"/>
    </row>
    <row r="79" spans="1:13">
      <c r="A79" s="125"/>
      <c r="B79" s="125"/>
      <c r="C79" s="125"/>
      <c r="D79" s="125"/>
      <c r="E79" s="125"/>
      <c r="F79" s="125"/>
      <c r="G79" s="125"/>
      <c r="H79" s="4"/>
      <c r="I79" s="4"/>
      <c r="J79" s="4"/>
      <c r="K79" s="4"/>
      <c r="L79" s="4"/>
      <c r="M79" s="4"/>
    </row>
    <row r="80" spans="1:13">
      <c r="A80" s="125"/>
      <c r="B80" s="125"/>
      <c r="C80" s="125"/>
      <c r="D80" s="125"/>
      <c r="E80" s="125"/>
      <c r="F80" s="125"/>
      <c r="G80" s="125"/>
      <c r="H80" s="4"/>
      <c r="I80" s="4"/>
      <c r="J80" s="4"/>
      <c r="K80" s="4"/>
      <c r="L80" s="4"/>
      <c r="M80" s="4"/>
    </row>
    <row r="81" spans="1:13">
      <c r="A81" s="125"/>
      <c r="B81" s="125"/>
      <c r="C81" s="125"/>
      <c r="D81" s="125"/>
      <c r="E81" s="125"/>
      <c r="F81" s="125"/>
      <c r="G81" s="125"/>
      <c r="H81" s="4"/>
      <c r="I81" s="4"/>
      <c r="J81" s="4"/>
      <c r="K81" s="4"/>
      <c r="L81" s="4"/>
      <c r="M81" s="4"/>
    </row>
    <row r="82" spans="1:13">
      <c r="A82" s="125"/>
      <c r="B82" s="125"/>
      <c r="C82" s="125"/>
      <c r="D82" s="125"/>
      <c r="E82" s="125"/>
      <c r="F82" s="125"/>
      <c r="G82" s="125"/>
      <c r="H82" s="4"/>
      <c r="I82" s="4"/>
      <c r="J82" s="4"/>
      <c r="K82" s="4"/>
      <c r="L82" s="4"/>
      <c r="M82" s="4"/>
    </row>
    <row r="83" spans="1:13">
      <c r="A83" s="125"/>
      <c r="B83" s="125"/>
      <c r="C83" s="125"/>
      <c r="D83" s="125"/>
      <c r="E83" s="125"/>
      <c r="F83" s="125"/>
      <c r="G83" s="125"/>
      <c r="H83" s="4"/>
      <c r="I83" s="4"/>
      <c r="J83" s="4"/>
      <c r="K83" s="4"/>
      <c r="L83" s="4"/>
      <c r="M83" s="4"/>
    </row>
    <row r="84" spans="1:13">
      <c r="A84" s="125"/>
      <c r="B84" s="125"/>
      <c r="C84" s="125"/>
      <c r="D84" s="125"/>
      <c r="E84" s="125"/>
      <c r="F84" s="125"/>
      <c r="G84" s="125"/>
      <c r="H84" s="4"/>
      <c r="I84" s="4"/>
      <c r="J84" s="4"/>
      <c r="K84" s="4"/>
      <c r="L84" s="4"/>
      <c r="M84" s="4"/>
    </row>
    <row r="85" spans="1:13">
      <c r="A85" s="125"/>
      <c r="B85" s="125"/>
      <c r="C85" s="125"/>
      <c r="D85" s="125"/>
      <c r="E85" s="125"/>
      <c r="F85" s="125"/>
      <c r="G85" s="125"/>
      <c r="H85" s="4"/>
      <c r="I85" s="4"/>
      <c r="J85" s="4"/>
      <c r="K85" s="4"/>
      <c r="L85" s="4"/>
      <c r="M85" s="4"/>
    </row>
    <row r="86" spans="1:13">
      <c r="A86" s="125"/>
      <c r="B86" s="125"/>
      <c r="C86" s="125"/>
      <c r="D86" s="125"/>
      <c r="E86" s="125"/>
      <c r="F86" s="125"/>
      <c r="G86" s="125"/>
      <c r="H86" s="4"/>
      <c r="I86" s="4"/>
      <c r="J86" s="4"/>
      <c r="K86" s="4"/>
      <c r="L86" s="4"/>
      <c r="M86" s="4"/>
    </row>
    <row r="87" spans="1:13">
      <c r="A87" s="125"/>
      <c r="B87" s="125"/>
      <c r="C87" s="125"/>
      <c r="D87" s="125"/>
      <c r="E87" s="125"/>
      <c r="F87" s="125"/>
      <c r="G87" s="125"/>
      <c r="H87" s="4"/>
      <c r="I87" s="4"/>
      <c r="J87" s="4"/>
      <c r="K87" s="4"/>
      <c r="L87" s="4"/>
      <c r="M87" s="4"/>
    </row>
    <row r="88" spans="1:13">
      <c r="A88" s="125"/>
      <c r="B88" s="125"/>
      <c r="C88" s="125"/>
      <c r="D88" s="125"/>
      <c r="E88" s="125"/>
      <c r="F88" s="125"/>
      <c r="G88" s="125"/>
      <c r="H88" s="4"/>
      <c r="I88" s="4"/>
      <c r="J88" s="4"/>
      <c r="K88" s="4"/>
      <c r="L88" s="4"/>
      <c r="M88" s="4"/>
    </row>
    <row r="89" spans="1:13">
      <c r="A89" s="125"/>
      <c r="B89" s="125"/>
      <c r="C89" s="125"/>
      <c r="D89" s="125"/>
      <c r="E89" s="125"/>
      <c r="F89" s="125"/>
      <c r="G89" s="125"/>
      <c r="H89" s="4"/>
      <c r="I89" s="4"/>
      <c r="J89" s="4"/>
      <c r="K89" s="4"/>
      <c r="L89" s="4"/>
      <c r="M89" s="4"/>
    </row>
    <row r="90" spans="1:13">
      <c r="A90" s="125"/>
      <c r="B90" s="125"/>
      <c r="C90" s="125"/>
      <c r="D90" s="125"/>
      <c r="E90" s="125"/>
      <c r="F90" s="125"/>
      <c r="G90" s="125"/>
      <c r="H90" s="4"/>
      <c r="I90" s="4"/>
      <c r="J90" s="4"/>
      <c r="K90" s="4"/>
      <c r="L90" s="4"/>
      <c r="M90" s="4"/>
    </row>
    <row r="91" spans="1:13" ht="6.95" customHeight="1">
      <c r="A91" s="125"/>
      <c r="B91" s="125"/>
      <c r="C91" s="125"/>
      <c r="D91" s="125"/>
      <c r="E91" s="125"/>
      <c r="F91" s="125"/>
      <c r="G91" s="125"/>
      <c r="H91" s="4"/>
      <c r="I91" s="4"/>
      <c r="J91" s="4"/>
      <c r="K91" s="4"/>
      <c r="L91" s="4"/>
      <c r="M91" s="4"/>
    </row>
    <row r="92" spans="1:13">
      <c r="A92" s="125"/>
      <c r="B92" s="125"/>
      <c r="C92" s="125"/>
      <c r="D92" s="125"/>
      <c r="E92" s="125"/>
      <c r="F92" s="125"/>
      <c r="G92" s="125"/>
      <c r="H92" s="4"/>
      <c r="I92" s="4"/>
      <c r="J92" s="4"/>
      <c r="K92" s="4"/>
      <c r="L92" s="4"/>
      <c r="M92" s="4"/>
    </row>
    <row r="93" spans="1:13">
      <c r="A93" s="125"/>
      <c r="B93" s="125"/>
      <c r="C93" s="125"/>
      <c r="D93" s="125"/>
      <c r="E93" s="125"/>
      <c r="F93" s="125"/>
      <c r="G93" s="125"/>
      <c r="H93" s="4"/>
      <c r="I93" s="4"/>
      <c r="J93" s="4"/>
      <c r="K93" s="4"/>
      <c r="L93" s="4"/>
      <c r="M93" s="4"/>
    </row>
    <row r="94" spans="1:13">
      <c r="A94" s="125"/>
      <c r="B94" s="125"/>
      <c r="C94" s="125"/>
      <c r="D94" s="125"/>
      <c r="E94" s="125"/>
      <c r="F94" s="125"/>
      <c r="G94" s="125"/>
      <c r="H94" s="4"/>
      <c r="I94" s="4"/>
      <c r="J94" s="4"/>
      <c r="K94" s="4"/>
      <c r="L94" s="4"/>
      <c r="M94" s="4"/>
    </row>
  </sheetData>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oddFooter>Page &amp;P</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5">
    <tabColor theme="6"/>
  </sheetPr>
  <dimension ref="A1:P76"/>
  <sheetViews>
    <sheetView showZeros="0" workbookViewId="0">
      <selection activeCell="F10" sqref="F10"/>
    </sheetView>
  </sheetViews>
  <sheetFormatPr baseColWidth="10" defaultRowHeight="12.75" outlineLevelRow="1"/>
  <cols>
    <col min="1" max="1" width="1.85546875" style="42" customWidth="1"/>
    <col min="2" max="2" width="34.7109375" style="42" customWidth="1"/>
    <col min="3" max="3" width="10.7109375" style="42" customWidth="1"/>
    <col min="4" max="4" width="6.7109375" style="266" customWidth="1"/>
    <col min="5" max="5" width="10.7109375" style="42" customWidth="1"/>
    <col min="6" max="6" width="6.7109375" style="266" customWidth="1"/>
    <col min="7" max="7" width="10.7109375" style="42" customWidth="1"/>
    <col min="8" max="8" width="6.7109375" style="265" customWidth="1"/>
    <col min="9" max="9" width="2.7109375" style="42" customWidth="1"/>
  </cols>
  <sheetData>
    <row r="1" spans="1:9" ht="8.25" customHeight="1">
      <c r="A1" s="125"/>
      <c r="B1" s="125"/>
      <c r="C1" s="125"/>
      <c r="D1" s="183"/>
      <c r="E1" s="125"/>
      <c r="F1" s="183"/>
      <c r="G1" s="125"/>
      <c r="H1" s="258"/>
      <c r="I1" s="125"/>
    </row>
    <row r="2" spans="1:9" ht="20.100000000000001" customHeight="1">
      <c r="A2" s="125"/>
      <c r="B2" s="223"/>
      <c r="C2" s="125"/>
      <c r="D2" s="183"/>
      <c r="E2" s="125"/>
      <c r="F2" s="183"/>
      <c r="G2" s="125"/>
      <c r="H2" s="258"/>
      <c r="I2" s="125"/>
    </row>
    <row r="3" spans="1:9" ht="24" customHeight="1">
      <c r="A3" s="125"/>
      <c r="B3" s="224"/>
      <c r="C3" s="225"/>
      <c r="D3" s="183"/>
      <c r="E3" s="225"/>
      <c r="F3" s="183"/>
      <c r="G3" s="225"/>
      <c r="H3" s="258"/>
      <c r="I3" s="125"/>
    </row>
    <row r="4" spans="1:9" ht="20.100000000000001" customHeight="1">
      <c r="A4" s="125"/>
      <c r="B4" s="224"/>
      <c r="C4" s="225"/>
      <c r="D4" s="183"/>
      <c r="E4" s="225"/>
      <c r="F4" s="183"/>
      <c r="G4" s="225"/>
      <c r="H4" s="258"/>
      <c r="I4" s="125"/>
    </row>
    <row r="5" spans="1:9" ht="7.5" customHeight="1">
      <c r="A5" s="125"/>
      <c r="B5" s="224"/>
      <c r="C5" s="224"/>
      <c r="D5" s="259"/>
      <c r="E5" s="224"/>
      <c r="F5" s="259"/>
      <c r="G5" s="224"/>
      <c r="H5" s="260"/>
      <c r="I5" s="125"/>
    </row>
    <row r="6" spans="1:9" ht="13.5" thickBot="1">
      <c r="A6" s="125"/>
      <c r="B6" s="125"/>
      <c r="C6" s="125"/>
      <c r="D6" s="183"/>
      <c r="E6" s="125"/>
      <c r="F6" s="183"/>
      <c r="G6" s="125"/>
      <c r="H6" s="258"/>
      <c r="I6" s="125"/>
    </row>
    <row r="7" spans="1:9" s="2" customFormat="1" ht="15" customHeight="1">
      <c r="A7" s="49"/>
      <c r="B7" s="245"/>
      <c r="C7" s="412" t="str">
        <f>TEXT(FinExNAA,"jj/mm/aaaa")</f>
        <v>30/06/2017</v>
      </c>
      <c r="D7" s="413"/>
      <c r="E7" s="412" t="str">
        <f>TEXT(FinExN1AA,"jj/mm/aaaa")</f>
        <v>30/06/2016</v>
      </c>
      <c r="F7" s="413"/>
      <c r="G7" s="412" t="str">
        <f>TEXT(FinExN2AA,"jj/mm/aaaa")</f>
        <v>30/06/2015</v>
      </c>
      <c r="H7" s="414"/>
      <c r="I7" s="49"/>
    </row>
    <row r="8" spans="1:9" s="2" customFormat="1" ht="15" customHeight="1">
      <c r="A8" s="49"/>
      <c r="B8" s="246"/>
      <c r="C8" s="247"/>
      <c r="D8" s="247" t="s">
        <v>11</v>
      </c>
      <c r="E8" s="247"/>
      <c r="F8" s="247" t="s">
        <v>11</v>
      </c>
      <c r="G8" s="261"/>
      <c r="H8" s="262" t="s">
        <v>11</v>
      </c>
      <c r="I8" s="49"/>
    </row>
    <row r="9" spans="1:9" s="23" customFormat="1" ht="15" customHeight="1">
      <c r="A9" s="237"/>
      <c r="B9" s="485" t="s">
        <v>107</v>
      </c>
      <c r="C9" s="857">
        <f>UT_N</f>
        <v>144</v>
      </c>
      <c r="D9" s="487"/>
      <c r="E9" s="857">
        <f>UT_N1</f>
        <v>143.86000000000001</v>
      </c>
      <c r="F9" s="487"/>
      <c r="G9" s="857">
        <f>UT_N2</f>
        <v>143.86000000000001</v>
      </c>
      <c r="H9" s="415"/>
      <c r="I9" s="237"/>
    </row>
    <row r="10" spans="1:9" s="2" customFormat="1" ht="15" customHeight="1">
      <c r="A10" s="49"/>
      <c r="B10" s="854" t="s">
        <v>12</v>
      </c>
      <c r="C10" s="855">
        <f>FC_N</f>
        <v>111666</v>
      </c>
      <c r="D10" s="856">
        <f t="shared" ref="D10:D15" si="0">C10/UT_N</f>
        <v>775.45833333333337</v>
      </c>
      <c r="E10" s="855">
        <f>FC_N1</f>
        <v>228392</v>
      </c>
      <c r="F10" s="856">
        <f t="shared" ref="F10:F15" si="1">E10/UT_N1</f>
        <v>1587.5990546364519</v>
      </c>
      <c r="G10" s="855">
        <f>FC_N2</f>
        <v>196436</v>
      </c>
      <c r="H10" s="263">
        <f t="shared" ref="H10:H15" si="2">G10/UT_N2</f>
        <v>1365.4664256916444</v>
      </c>
      <c r="I10" s="49"/>
    </row>
    <row r="11" spans="1:9" s="2" customFormat="1" ht="15" customHeight="1">
      <c r="A11" s="49"/>
      <c r="B11" s="854" t="s">
        <v>14</v>
      </c>
      <c r="C11" s="855">
        <f>FF_N+FL_N</f>
        <v>0</v>
      </c>
      <c r="D11" s="856">
        <f t="shared" si="0"/>
        <v>0</v>
      </c>
      <c r="E11" s="855">
        <f>FF_N1+FL_N1</f>
        <v>0</v>
      </c>
      <c r="F11" s="856">
        <f t="shared" si="1"/>
        <v>0</v>
      </c>
      <c r="G11" s="855">
        <f>FF_N2+FL_N2</f>
        <v>0</v>
      </c>
      <c r="H11" s="263">
        <f t="shared" si="2"/>
        <v>0</v>
      </c>
      <c r="I11" s="49"/>
    </row>
    <row r="12" spans="1:9" s="2" customFormat="1" ht="15" hidden="1" customHeight="1">
      <c r="A12" s="49"/>
      <c r="B12" s="854" t="str">
        <f>" + aides compensatoires"</f>
        <v xml:space="preserve"> + aides compensatoires</v>
      </c>
      <c r="C12" s="497" t="e">
        <f>R_11023</f>
        <v>#NAME?</v>
      </c>
      <c r="D12" s="856" t="e">
        <f t="shared" si="0"/>
        <v>#NAME?</v>
      </c>
      <c r="E12" s="497" t="e">
        <f>R_11023_1</f>
        <v>#NAME?</v>
      </c>
      <c r="F12" s="856" t="e">
        <f t="shared" si="1"/>
        <v>#NAME?</v>
      </c>
      <c r="G12" s="497" t="e">
        <f>R_11023_2</f>
        <v>#NAME?</v>
      </c>
      <c r="H12" s="263" t="e">
        <f t="shared" si="2"/>
        <v>#NAME?</v>
      </c>
      <c r="I12" s="49"/>
    </row>
    <row r="13" spans="1:9" s="2" customFormat="1" ht="15" customHeight="1">
      <c r="A13" s="49"/>
      <c r="B13" s="854" t="str">
        <f>" +/- variation de stocks"</f>
        <v xml:space="preserve"> +/- variation de stocks</v>
      </c>
      <c r="C13" s="855">
        <f>FS_N+FT_N</f>
        <v>18711</v>
      </c>
      <c r="D13" s="856">
        <f t="shared" si="0"/>
        <v>129.9375</v>
      </c>
      <c r="E13" s="855">
        <f>FS_N1+FT_N1</f>
        <v>-11221</v>
      </c>
      <c r="F13" s="856">
        <f t="shared" si="1"/>
        <v>-77.999443903795353</v>
      </c>
      <c r="G13" s="855">
        <f>FS_N2+FT_N2</f>
        <v>19248</v>
      </c>
      <c r="H13" s="263">
        <f t="shared" si="2"/>
        <v>133.79674683720282</v>
      </c>
      <c r="I13" s="49"/>
    </row>
    <row r="14" spans="1:9" s="2" customFormat="1" ht="15" customHeight="1">
      <c r="A14" s="49"/>
      <c r="B14" s="854" t="s">
        <v>342</v>
      </c>
      <c r="C14" s="855">
        <f>CHX_INFO_C!D27</f>
        <v>36027.480000000003</v>
      </c>
      <c r="D14" s="856">
        <f t="shared" si="0"/>
        <v>250.19083333333336</v>
      </c>
      <c r="E14" s="855">
        <f>CHX_INFO_C!E27</f>
        <v>39443.769999999997</v>
      </c>
      <c r="F14" s="856">
        <f t="shared" si="1"/>
        <v>274.18163492284162</v>
      </c>
      <c r="G14" s="855">
        <f>CHX_INFO_C!F27</f>
        <v>41756.620000000003</v>
      </c>
      <c r="H14" s="263">
        <f t="shared" si="2"/>
        <v>290.25872375921034</v>
      </c>
      <c r="I14" s="49"/>
    </row>
    <row r="15" spans="1:9" s="2" customFormat="1" ht="15" customHeight="1">
      <c r="A15" s="49"/>
      <c r="B15" s="854" t="s">
        <v>735</v>
      </c>
      <c r="C15" s="855">
        <f>FY_N -FC_N-FF_N-FL_N-FS_N-FT_N- FW_N- GZ_N-FX_N</f>
        <v>4840</v>
      </c>
      <c r="D15" s="856">
        <f t="shared" si="0"/>
        <v>33.611111111111114</v>
      </c>
      <c r="E15" s="855">
        <f>FY_N1 -FC_N1-FF_N1-FL_N1-FS_N1-FT_N1- FW_N1- GZ_N1-FX_N1</f>
        <v>9823</v>
      </c>
      <c r="F15" s="856">
        <f t="shared" si="1"/>
        <v>68.281662727651877</v>
      </c>
      <c r="G15" s="855">
        <f>FY_N2 -FC_N2-FF_N2-FL_N2-FS_N2-FT_N2- FW_N2- GZ_N2-FX_N2</f>
        <v>4153</v>
      </c>
      <c r="H15" s="263">
        <f t="shared" si="2"/>
        <v>28.868344223550672</v>
      </c>
      <c r="I15" s="49"/>
    </row>
    <row r="16" spans="1:9" s="2" customFormat="1" ht="4.5" customHeight="1">
      <c r="A16" s="49"/>
      <c r="B16" s="854"/>
      <c r="C16" s="855"/>
      <c r="D16" s="856"/>
      <c r="E16" s="855"/>
      <c r="F16" s="856"/>
      <c r="G16" s="855"/>
      <c r="H16" s="263"/>
      <c r="I16" s="49"/>
    </row>
    <row r="17" spans="1:14" s="2" customFormat="1" ht="6.95" customHeight="1">
      <c r="A17" s="49"/>
      <c r="B17" s="253"/>
      <c r="C17" s="855"/>
      <c r="D17" s="856"/>
      <c r="E17" s="855"/>
      <c r="F17" s="856"/>
      <c r="G17" s="855"/>
      <c r="H17" s="263"/>
      <c r="I17" s="49"/>
    </row>
    <row r="18" spans="1:14" s="386" customFormat="1" ht="20.100000000000001" customHeight="1">
      <c r="A18" s="385"/>
      <c r="B18" s="420" t="s">
        <v>104</v>
      </c>
      <c r="C18" s="421">
        <f>C10+C11+C13+C14+C15</f>
        <v>171244.48</v>
      </c>
      <c r="D18" s="452">
        <f>C18/UT_N</f>
        <v>1189.1977777777779</v>
      </c>
      <c r="E18" s="421">
        <f>E10+E11+E13+E14+E15</f>
        <v>266437.77</v>
      </c>
      <c r="F18" s="452">
        <f>E18/UT_N1</f>
        <v>1852.0629083831502</v>
      </c>
      <c r="G18" s="421">
        <f>G10+G11+G13+G14+G15</f>
        <v>261593.62</v>
      </c>
      <c r="H18" s="423">
        <f>G18/UT_N2</f>
        <v>1818.3902405116082</v>
      </c>
      <c r="I18" s="385"/>
      <c r="J18" s="494"/>
    </row>
    <row r="19" spans="1:14" s="2" customFormat="1" ht="6.95" customHeight="1">
      <c r="A19" s="49"/>
      <c r="B19" s="254"/>
      <c r="C19" s="255"/>
      <c r="D19" s="453"/>
      <c r="E19" s="255"/>
      <c r="F19" s="453"/>
      <c r="G19" s="255"/>
      <c r="H19" s="264"/>
      <c r="I19" s="49"/>
      <c r="J19" s="495"/>
    </row>
    <row r="20" spans="1:14" s="2" customFormat="1" ht="15" customHeight="1">
      <c r="A20" s="49"/>
      <c r="B20" s="854" t="str">
        <f>" - charges d'approvisionnements"</f>
        <v xml:space="preserve"> - charges d'approvisionnements</v>
      </c>
      <c r="C20" s="855">
        <f>ZK_N-ZI_N</f>
        <v>91679</v>
      </c>
      <c r="D20" s="856">
        <f>C20/UT_N</f>
        <v>636.65972222222217</v>
      </c>
      <c r="E20" s="855">
        <f>ZK_N1-ZI_N1</f>
        <v>85348</v>
      </c>
      <c r="F20" s="856">
        <f>E20/UT_N1</f>
        <v>593.27123592381474</v>
      </c>
      <c r="G20" s="855">
        <f>ZK_N2-ZI_N2</f>
        <v>97074</v>
      </c>
      <c r="H20" s="263">
        <f>G20/UT_N2</f>
        <v>674.78103711942163</v>
      </c>
      <c r="I20" s="49"/>
      <c r="J20" s="496"/>
      <c r="K20" s="858"/>
      <c r="L20" s="858"/>
      <c r="M20" s="858"/>
      <c r="N20" s="858"/>
    </row>
    <row r="21" spans="1:14" s="852" customFormat="1" ht="15" customHeight="1">
      <c r="A21" s="853"/>
      <c r="B21" s="854" t="str">
        <f>" +/- variation de stocks"</f>
        <v xml:space="preserve"> +/- variation de stocks</v>
      </c>
      <c r="C21" s="855">
        <f>GA_N-CHX_INFO_C!D22</f>
        <v>1783</v>
      </c>
      <c r="D21" s="856">
        <f>C21/UT_N</f>
        <v>12.381944444444445</v>
      </c>
      <c r="E21" s="855">
        <f>GA_N1-CHX_INFO_C!E22</f>
        <v>567</v>
      </c>
      <c r="F21" s="856">
        <f>E21/UT_N1</f>
        <v>3.9413318504101205</v>
      </c>
      <c r="G21" s="855">
        <f>GA_N2-CHX_INFO_C!F22</f>
        <v>-2350</v>
      </c>
      <c r="H21" s="263">
        <f>G21/UT_N2</f>
        <v>-16.335326011399971</v>
      </c>
      <c r="I21" s="853"/>
      <c r="J21" s="858"/>
      <c r="L21" s="859"/>
    </row>
    <row r="22" spans="1:14" s="2" customFormat="1" ht="15" customHeight="1">
      <c r="A22" s="49"/>
      <c r="B22" s="854" t="str">
        <f>" - achats animaux"</f>
        <v xml:space="preserve"> - achats animaux</v>
      </c>
      <c r="C22" s="855">
        <f>GB_N+CHX_INFO_C!D21</f>
        <v>0</v>
      </c>
      <c r="D22" s="856">
        <f>C22/UT_N</f>
        <v>0</v>
      </c>
      <c r="E22" s="855">
        <f>GB_N1+CHX_INFO_C!E21</f>
        <v>0</v>
      </c>
      <c r="F22" s="856">
        <f>E22/UT_N1</f>
        <v>0</v>
      </c>
      <c r="G22" s="855">
        <f>GB_N2+CHX_INFO_C!F21</f>
        <v>0</v>
      </c>
      <c r="H22" s="263">
        <f>G22/UT_N2</f>
        <v>0</v>
      </c>
      <c r="I22" s="49"/>
      <c r="J22" s="496"/>
    </row>
    <row r="23" spans="1:14" s="2" customFormat="1" ht="6.95" customHeight="1">
      <c r="A23" s="49"/>
      <c r="B23" s="854"/>
      <c r="C23" s="855"/>
      <c r="D23" s="856"/>
      <c r="E23" s="855"/>
      <c r="F23" s="856"/>
      <c r="G23" s="855"/>
      <c r="H23" s="263"/>
      <c r="I23" s="49"/>
      <c r="J23" s="495"/>
    </row>
    <row r="24" spans="1:14" s="386" customFormat="1" ht="20.100000000000001" customHeight="1">
      <c r="A24" s="385"/>
      <c r="B24" s="420" t="s">
        <v>16</v>
      </c>
      <c r="C24" s="421">
        <f>C18-C20-C21-C22</f>
        <v>77782.48000000001</v>
      </c>
      <c r="D24" s="452">
        <f>C24/UT_N</f>
        <v>540.15611111111116</v>
      </c>
      <c r="E24" s="421">
        <f>E18-E20-E21-E22</f>
        <v>180522.77000000002</v>
      </c>
      <c r="F24" s="452">
        <f>E24/UT_N1</f>
        <v>1254.8503406089253</v>
      </c>
      <c r="G24" s="421">
        <f>G18-G20-G21-G22</f>
        <v>166869.62</v>
      </c>
      <c r="H24" s="423">
        <f>G24/UT_N2</f>
        <v>1159.9445294035868</v>
      </c>
      <c r="I24" s="385"/>
      <c r="J24" s="494"/>
      <c r="K24" s="917"/>
    </row>
    <row r="25" spans="1:14" s="2" customFormat="1" ht="5.25" customHeight="1">
      <c r="A25" s="49"/>
      <c r="B25" s="854"/>
      <c r="C25" s="855"/>
      <c r="D25" s="856"/>
      <c r="E25" s="855"/>
      <c r="F25" s="856"/>
      <c r="G25" s="855"/>
      <c r="H25" s="263"/>
      <c r="I25" s="49"/>
      <c r="J25" s="494"/>
    </row>
    <row r="26" spans="1:14" s="2" customFormat="1" ht="15" customHeight="1">
      <c r="A26" s="49"/>
      <c r="B26" s="854" t="str">
        <f>" - autres services &amp; approvisionnements"</f>
        <v xml:space="preserve"> - autres services &amp; approvisionnements</v>
      </c>
      <c r="C26" s="855">
        <f>GC_N+ZI_N+CHX_INFO_C!D22-ZL_N-ZO_N-ZQ_N-CHX_INFO_C!D24</f>
        <v>40934</v>
      </c>
      <c r="D26" s="856">
        <f>C26/UT_N</f>
        <v>284.26388888888891</v>
      </c>
      <c r="E26" s="855">
        <f>GC_N1+ZI_N1+CHX_INFO_C!E22-ZL_N1-ZO_N1-ZQ_N1-CHX_INFO_C!E24</f>
        <v>44456</v>
      </c>
      <c r="F26" s="856">
        <f>E26/UT_N1</f>
        <v>309.02266092033921</v>
      </c>
      <c r="G26" s="855">
        <f>GC_N2+ZI_N2+CHX_INFO_C!F22-ZL_N2-ZO_N2-ZQ_N2cor-CHX_INFO_C!F24</f>
        <v>36319</v>
      </c>
      <c r="H26" s="263">
        <f>G26/UT_N2</f>
        <v>252.46072570554705</v>
      </c>
      <c r="I26" s="49"/>
      <c r="J26" s="494"/>
      <c r="K26" s="918"/>
    </row>
    <row r="27" spans="1:14" s="2" customFormat="1" ht="15" customHeight="1">
      <c r="A27" s="49"/>
      <c r="B27" s="854" t="str">
        <f>" -  sous traitance"</f>
        <v xml:space="preserve"> -  sous traitance</v>
      </c>
      <c r="C27" s="855">
        <f>ZL_N</f>
        <v>14873</v>
      </c>
      <c r="D27" s="856">
        <f>C27/UT_N</f>
        <v>103.28472222222223</v>
      </c>
      <c r="E27" s="855">
        <f>ZL_N1</f>
        <v>16754</v>
      </c>
      <c r="F27" s="856">
        <f>E27/UT_N1</f>
        <v>116.46044765744473</v>
      </c>
      <c r="G27" s="855">
        <f>ZL_N2</f>
        <v>15168</v>
      </c>
      <c r="H27" s="263">
        <f>G27/UT_N2</f>
        <v>105.43584040038925</v>
      </c>
      <c r="I27" s="49"/>
    </row>
    <row r="28" spans="1:14" s="2" customFormat="1" ht="3.75" customHeight="1">
      <c r="A28" s="49"/>
      <c r="B28" s="854"/>
      <c r="C28" s="855"/>
      <c r="D28" s="856"/>
      <c r="E28" s="855"/>
      <c r="F28" s="856"/>
      <c r="G28" s="855"/>
      <c r="H28" s="263"/>
      <c r="I28" s="49"/>
    </row>
    <row r="29" spans="1:14" s="2" customFormat="1" ht="12.75" customHeight="1">
      <c r="A29" s="49"/>
      <c r="B29" s="854" t="str">
        <f>" -   fermages et charges locatives"</f>
        <v xml:space="preserve"> -   fermages et charges locatives</v>
      </c>
      <c r="C29" s="855">
        <f>ZO_N</f>
        <v>12397</v>
      </c>
      <c r="D29" s="856">
        <f t="shared" ref="D29:D37" si="3">C29/UT_N</f>
        <v>86.090277777777771</v>
      </c>
      <c r="E29" s="855">
        <f>ZO_N1</f>
        <v>13446</v>
      </c>
      <c r="F29" s="856">
        <f t="shared" ref="F29:F37" si="4">E29/UT_N1</f>
        <v>93.465869595439997</v>
      </c>
      <c r="G29" s="855">
        <f>ZO_N2</f>
        <v>13330</v>
      </c>
      <c r="H29" s="263">
        <f t="shared" ref="H29:H37" si="5">G29/UT_N2</f>
        <v>92.659530098707066</v>
      </c>
      <c r="I29" s="49"/>
    </row>
    <row r="30" spans="1:14" s="2" customFormat="1" ht="15" customHeight="1">
      <c r="A30" s="49"/>
      <c r="B30" s="854" t="str">
        <f>" -   Personnel extérieur à l'entreprise"</f>
        <v xml:space="preserve"> -   Personnel extérieur à l'entreprise</v>
      </c>
      <c r="C30" s="855">
        <f>ZQ_N</f>
        <v>0</v>
      </c>
      <c r="D30" s="856">
        <f t="shared" si="3"/>
        <v>0</v>
      </c>
      <c r="E30" s="855">
        <f>ZQ_N1</f>
        <v>0</v>
      </c>
      <c r="F30" s="856">
        <f t="shared" si="4"/>
        <v>0</v>
      </c>
      <c r="G30" s="855">
        <f>ZQ_N2cor</f>
        <v>0</v>
      </c>
      <c r="H30" s="263">
        <f t="shared" si="5"/>
        <v>0</v>
      </c>
      <c r="I30" s="49"/>
    </row>
    <row r="31" spans="1:14" s="2" customFormat="1" ht="17.25" customHeight="1">
      <c r="A31" s="49"/>
      <c r="B31" s="854" t="str">
        <f>" -   Assurance"</f>
        <v xml:space="preserve"> -   Assurance</v>
      </c>
      <c r="C31" s="855">
        <f>CHX_INFO_C!D24</f>
        <v>9586</v>
      </c>
      <c r="D31" s="856">
        <f t="shared" si="3"/>
        <v>66.569444444444443</v>
      </c>
      <c r="E31" s="855">
        <f>CHX_INFO_C!E24</f>
        <v>8720</v>
      </c>
      <c r="F31" s="856">
        <f t="shared" si="4"/>
        <v>60.614486306130956</v>
      </c>
      <c r="G31" s="855">
        <f>CHX_INFO_C!F24</f>
        <v>8759</v>
      </c>
      <c r="H31" s="263">
        <f t="shared" si="5"/>
        <v>60.885583205894612</v>
      </c>
      <c r="I31" s="49"/>
    </row>
    <row r="32" spans="1:14" s="386" customFormat="1" ht="20.100000000000001" customHeight="1">
      <c r="A32" s="385"/>
      <c r="B32" s="420" t="s">
        <v>18</v>
      </c>
      <c r="C32" s="421">
        <f>C24-C26-C27-C29-C30-C31</f>
        <v>-7.5199999999895226</v>
      </c>
      <c r="D32" s="452">
        <f t="shared" si="3"/>
        <v>-5.2222222222149464E-2</v>
      </c>
      <c r="E32" s="421">
        <f>E24-E26-E27-E29-E30-E31</f>
        <v>97146.770000000019</v>
      </c>
      <c r="F32" s="452">
        <f t="shared" si="4"/>
        <v>675.28687612957049</v>
      </c>
      <c r="G32" s="421">
        <f>G24-G26-G27-G29-G30-G31</f>
        <v>93293.62</v>
      </c>
      <c r="H32" s="423">
        <f t="shared" si="5"/>
        <v>648.5028499930487</v>
      </c>
      <c r="I32" s="385"/>
    </row>
    <row r="33" spans="1:16" s="2" customFormat="1" ht="15" customHeight="1">
      <c r="A33" s="49"/>
      <c r="B33" s="854" t="str">
        <f>" - salaires"</f>
        <v xml:space="preserve"> - salaires</v>
      </c>
      <c r="C33" s="855">
        <f>GE_N-HV_N</f>
        <v>0</v>
      </c>
      <c r="D33" s="856">
        <f t="shared" si="3"/>
        <v>0</v>
      </c>
      <c r="E33" s="855">
        <f>GE_N1-HV_N1</f>
        <v>0</v>
      </c>
      <c r="F33" s="856">
        <f t="shared" si="4"/>
        <v>0</v>
      </c>
      <c r="G33" s="855">
        <f>GE_N2-HV_N2</f>
        <v>0</v>
      </c>
      <c r="H33" s="263">
        <f t="shared" si="5"/>
        <v>0</v>
      </c>
      <c r="I33" s="49"/>
    </row>
    <row r="34" spans="1:16" s="2" customFormat="1" ht="15" customHeight="1">
      <c r="A34" s="49"/>
      <c r="B34" s="854" t="str">
        <f>" - rémunération du travail de l'exploitant"</f>
        <v xml:space="preserve"> - rémunération du travail de l'exploitant</v>
      </c>
      <c r="C34" s="855">
        <f>HV_N</f>
        <v>0</v>
      </c>
      <c r="D34" s="856">
        <f t="shared" si="3"/>
        <v>0</v>
      </c>
      <c r="E34" s="855">
        <f>HV_N1</f>
        <v>0</v>
      </c>
      <c r="F34" s="856">
        <f t="shared" si="4"/>
        <v>0</v>
      </c>
      <c r="G34" s="855">
        <f>HV_N2</f>
        <v>0</v>
      </c>
      <c r="H34" s="263">
        <f t="shared" si="5"/>
        <v>0</v>
      </c>
      <c r="I34" s="49"/>
    </row>
    <row r="35" spans="1:16" s="852" customFormat="1" ht="15" customHeight="1">
      <c r="A35" s="853"/>
      <c r="B35" s="854" t="str">
        <f>" - charges sociales"</f>
        <v xml:space="preserve"> - charges sociales</v>
      </c>
      <c r="C35" s="855">
        <f>GG_N</f>
        <v>0</v>
      </c>
      <c r="D35" s="856">
        <f t="shared" si="3"/>
        <v>0</v>
      </c>
      <c r="E35" s="855">
        <f>GG_N1</f>
        <v>0</v>
      </c>
      <c r="F35" s="856">
        <f t="shared" si="4"/>
        <v>0</v>
      </c>
      <c r="G35" s="855">
        <f>GG_N2</f>
        <v>0</v>
      </c>
      <c r="H35" s="263">
        <f t="shared" si="5"/>
        <v>0</v>
      </c>
      <c r="I35" s="853"/>
      <c r="J35" s="859"/>
      <c r="K35" s="859"/>
      <c r="L35" s="859"/>
      <c r="M35" s="859"/>
      <c r="N35" s="859"/>
      <c r="O35" s="859"/>
      <c r="P35" s="859"/>
    </row>
    <row r="36" spans="1:16" s="852" customFormat="1" ht="15" customHeight="1">
      <c r="A36" s="853"/>
      <c r="B36" s="854" t="str">
        <f>" - cotisations sociales de l'exploitant"</f>
        <v xml:space="preserve"> - cotisations sociales de l'exploitant</v>
      </c>
      <c r="C36" s="855">
        <f>GF_N</f>
        <v>10766</v>
      </c>
      <c r="D36" s="856">
        <f t="shared" si="3"/>
        <v>74.763888888888886</v>
      </c>
      <c r="E36" s="855">
        <f>GF_N1</f>
        <v>23096</v>
      </c>
      <c r="F36" s="856">
        <f t="shared" si="4"/>
        <v>160.54497428055052</v>
      </c>
      <c r="G36" s="855">
        <f>GF_N2</f>
        <v>31508</v>
      </c>
      <c r="H36" s="263">
        <f t="shared" si="5"/>
        <v>219.01849019880439</v>
      </c>
      <c r="I36" s="853"/>
    </row>
    <row r="37" spans="1:16" s="2" customFormat="1" ht="15" customHeight="1">
      <c r="A37" s="49"/>
      <c r="B37" s="854" t="str">
        <f>" - impôts et taxes"</f>
        <v xml:space="preserve"> - impôts et taxes</v>
      </c>
      <c r="C37" s="855">
        <f>GD_N</f>
        <v>1302</v>
      </c>
      <c r="D37" s="856">
        <f t="shared" si="3"/>
        <v>9.0416666666666661</v>
      </c>
      <c r="E37" s="855">
        <f>GD_N1</f>
        <v>3174</v>
      </c>
      <c r="F37" s="856">
        <f t="shared" si="4"/>
        <v>22.063116919227024</v>
      </c>
      <c r="G37" s="855">
        <f>GD_N2</f>
        <v>1887</v>
      </c>
      <c r="H37" s="263">
        <f t="shared" si="5"/>
        <v>13.116919227026274</v>
      </c>
      <c r="I37" s="49"/>
    </row>
    <row r="38" spans="1:16" s="2" customFormat="1" ht="6.75" customHeight="1">
      <c r="A38" s="49"/>
      <c r="B38" s="854"/>
      <c r="C38" s="855"/>
      <c r="D38" s="856"/>
      <c r="E38" s="855"/>
      <c r="F38" s="856"/>
      <c r="G38" s="855"/>
      <c r="H38" s="263"/>
      <c r="I38" s="49"/>
    </row>
    <row r="39" spans="1:16" s="386" customFormat="1" ht="20.100000000000001" customHeight="1">
      <c r="A39" s="385"/>
      <c r="B39" s="420" t="s">
        <v>19</v>
      </c>
      <c r="C39" s="421">
        <f>C32-C33-C34-C35-C36-C37</f>
        <v>-12075.51999999999</v>
      </c>
      <c r="D39" s="452">
        <f>C39/UT_N</f>
        <v>-83.857777777777699</v>
      </c>
      <c r="E39" s="421">
        <f>E32-E33-E34-E35-E36-E37</f>
        <v>70876.770000000019</v>
      </c>
      <c r="F39" s="452">
        <f>E39/UT_N1</f>
        <v>492.67878492979293</v>
      </c>
      <c r="G39" s="421">
        <f>G32-G33-G34-G35-G36-G37</f>
        <v>59898.619999999995</v>
      </c>
      <c r="H39" s="423">
        <f>G39/UT_N2</f>
        <v>416.36744056721807</v>
      </c>
      <c r="I39" s="385"/>
    </row>
    <row r="40" spans="1:16" s="2" customFormat="1" ht="6" customHeight="1">
      <c r="A40" s="49"/>
      <c r="B40" s="854"/>
      <c r="C40" s="855"/>
      <c r="D40" s="856"/>
      <c r="E40" s="855"/>
      <c r="F40" s="856"/>
      <c r="G40" s="855"/>
      <c r="H40" s="263"/>
      <c r="I40" s="49"/>
    </row>
    <row r="41" spans="1:16" s="2" customFormat="1" ht="15" customHeight="1">
      <c r="A41" s="49"/>
      <c r="B41" s="854" t="str">
        <f>" - frais financiers"</f>
        <v xml:space="preserve"> - frais financiers</v>
      </c>
      <c r="C41" s="855">
        <f>GX_N</f>
        <v>3722</v>
      </c>
      <c r="D41" s="856">
        <f>C41/UT_N</f>
        <v>25.847222222222221</v>
      </c>
      <c r="E41" s="855">
        <f>GX_N1</f>
        <v>3511</v>
      </c>
      <c r="F41" s="856">
        <f>E41/UT_N1</f>
        <v>24.405672181287361</v>
      </c>
      <c r="G41" s="855">
        <f>GX_N2</f>
        <v>4343</v>
      </c>
      <c r="H41" s="263">
        <f>G41/UT_N2</f>
        <v>30.189072709578753</v>
      </c>
      <c r="I41" s="49"/>
    </row>
    <row r="42" spans="1:16" s="2" customFormat="1" ht="15" customHeight="1">
      <c r="A42" s="49"/>
      <c r="B42" s="854" t="str">
        <f>" - amortissements et provisions"</f>
        <v xml:space="preserve"> - amortissements et provisions</v>
      </c>
      <c r="C42" s="855">
        <f>GH_N+GI_N+GJ_N+GK_N</f>
        <v>19537</v>
      </c>
      <c r="D42" s="856">
        <f>C42/UT_N</f>
        <v>135.67361111111111</v>
      </c>
      <c r="E42" s="855">
        <f>GH_N1+GI_N1+GJ_N1+GK_N1</f>
        <v>24646</v>
      </c>
      <c r="F42" s="856">
        <f>E42/UT_N1</f>
        <v>171.31933824551646</v>
      </c>
      <c r="G42" s="855">
        <f>GH_N2+GI_N2+GJ_N2+GK_N2</f>
        <v>42105</v>
      </c>
      <c r="H42" s="263">
        <f>G42/UT_N2</f>
        <v>292.68038370638118</v>
      </c>
      <c r="I42" s="49"/>
    </row>
    <row r="43" spans="1:16" s="2" customFormat="1" ht="15" customHeight="1">
      <c r="A43" s="49" t="s">
        <v>20</v>
      </c>
      <c r="B43" s="854" t="str">
        <f>" + produits financiers"</f>
        <v xml:space="preserve"> + produits financiers</v>
      </c>
      <c r="C43" s="855">
        <f>GT_N</f>
        <v>132</v>
      </c>
      <c r="D43" s="856">
        <f>C43/UT_N</f>
        <v>0.91666666666666663</v>
      </c>
      <c r="E43" s="855">
        <f>GT_N1</f>
        <v>102</v>
      </c>
      <c r="F43" s="856">
        <f>E43/UT_N1</f>
        <v>0.70902266092033917</v>
      </c>
      <c r="G43" s="855">
        <f>GT_N2</f>
        <v>163</v>
      </c>
      <c r="H43" s="263">
        <f>G43/UT_N2</f>
        <v>1.1330460169609342</v>
      </c>
      <c r="I43" s="49"/>
    </row>
    <row r="44" spans="1:16" s="2" customFormat="1" ht="15" customHeight="1">
      <c r="A44" s="49"/>
      <c r="B44" s="854" t="str">
        <f>" - autres charges"</f>
        <v xml:space="preserve"> - autres charges</v>
      </c>
      <c r="C44" s="855">
        <f>GL_N</f>
        <v>-1</v>
      </c>
      <c r="D44" s="856">
        <f>C44/UT_N</f>
        <v>-6.9444444444444441E-3</v>
      </c>
      <c r="E44" s="855">
        <f>GL_N1</f>
        <v>1</v>
      </c>
      <c r="F44" s="856">
        <f>E44/UT_N1</f>
        <v>6.9512025580425411E-3</v>
      </c>
      <c r="G44" s="855">
        <f>GL_N2</f>
        <v>2</v>
      </c>
      <c r="H44" s="263">
        <f>G44/UT_N2</f>
        <v>1.3902405116085082E-2</v>
      </c>
      <c r="I44" s="49"/>
    </row>
    <row r="45" spans="1:16" s="2" customFormat="1" ht="15" customHeight="1">
      <c r="A45" s="49"/>
      <c r="B45" s="854" t="s">
        <v>736</v>
      </c>
      <c r="C45" s="855">
        <f>GZ_N+FX_N+FW_N-CHX_INFO_C!D27</f>
        <v>7580.5199999999968</v>
      </c>
      <c r="D45" s="856">
        <f>C45/UT_N</f>
        <v>52.642499999999977</v>
      </c>
      <c r="E45" s="855">
        <f>GZ_N1+FX_N1+FW_N1-CHX_INFO_C!E27</f>
        <v>6383.2300000000032</v>
      </c>
      <c r="F45" s="856">
        <f>E45/UT_N1</f>
        <v>44.371124704573909</v>
      </c>
      <c r="G45" s="855">
        <f>GZ_N2+FX_N2+FW_N2-CHX_INFO_C!F27</f>
        <v>1463.3799999999974</v>
      </c>
      <c r="H45" s="263">
        <f>G45/UT_N2</f>
        <v>10.172250799388275</v>
      </c>
      <c r="I45" s="49"/>
    </row>
    <row r="46" spans="1:16" s="2" customFormat="1" ht="6.95" customHeight="1">
      <c r="A46" s="49"/>
      <c r="B46" s="854"/>
      <c r="C46" s="855"/>
      <c r="D46" s="856"/>
      <c r="E46" s="855"/>
      <c r="F46" s="856"/>
      <c r="G46" s="855"/>
      <c r="H46" s="263"/>
      <c r="I46" s="49"/>
    </row>
    <row r="47" spans="1:16" s="386" customFormat="1" ht="20.100000000000001" customHeight="1">
      <c r="A47" s="385"/>
      <c r="B47" s="420" t="s">
        <v>21</v>
      </c>
      <c r="C47" s="421">
        <f>C39-C41-C42+C43-C44+C45</f>
        <v>-27620.999999999993</v>
      </c>
      <c r="D47" s="452">
        <f>C47/UT_N</f>
        <v>-191.81249999999994</v>
      </c>
      <c r="E47" s="421">
        <f>E39-E41-E42+E43-E44+E45</f>
        <v>49204.000000000022</v>
      </c>
      <c r="F47" s="452">
        <f>E47/UT_N1</f>
        <v>342.02697066592532</v>
      </c>
      <c r="G47" s="421">
        <f>G39-G41-G42+G43-G44+G45</f>
        <v>15074.999999999993</v>
      </c>
      <c r="H47" s="423">
        <f>G47/UT_N2</f>
        <v>104.78937856249125</v>
      </c>
      <c r="I47" s="385"/>
    </row>
    <row r="48" spans="1:16" s="2" customFormat="1" ht="15" customHeight="1">
      <c r="A48" s="49"/>
      <c r="B48" s="737" t="str">
        <f xml:space="preserve"> " + produits exceptionnels"</f>
        <v xml:space="preserve"> + produits exceptionnels</v>
      </c>
      <c r="C48" s="209">
        <f>HE_N</f>
        <v>0</v>
      </c>
      <c r="D48" s="856">
        <f>C48/UT_N</f>
        <v>0</v>
      </c>
      <c r="E48" s="855">
        <f>HE_N1</f>
        <v>0</v>
      </c>
      <c r="F48" s="856">
        <f>E48/UT_N1</f>
        <v>0</v>
      </c>
      <c r="G48" s="855">
        <f>HE_N2</f>
        <v>1394</v>
      </c>
      <c r="H48" s="263">
        <f>G48/UT_N2</f>
        <v>9.689976365911301</v>
      </c>
      <c r="I48" s="49"/>
    </row>
    <row r="49" spans="1:9" s="2" customFormat="1" ht="15" customHeight="1">
      <c r="A49" s="49"/>
      <c r="B49" s="854" t="str">
        <f>" - charges exceptionnelles"</f>
        <v xml:space="preserve"> - charges exceptionnelles</v>
      </c>
      <c r="C49" s="855">
        <f>HJ_N</f>
        <v>0</v>
      </c>
      <c r="D49" s="856">
        <f>C49/UT_N</f>
        <v>0</v>
      </c>
      <c r="E49" s="855">
        <f>HJ_N1</f>
        <v>0</v>
      </c>
      <c r="F49" s="856">
        <f>E49/UT_N1</f>
        <v>0</v>
      </c>
      <c r="G49" s="855">
        <f>HJ_N2</f>
        <v>0</v>
      </c>
      <c r="H49" s="263">
        <f>G49/UT_N2</f>
        <v>0</v>
      </c>
      <c r="I49" s="49"/>
    </row>
    <row r="50" spans="1:9" s="2" customFormat="1" ht="6.95" customHeight="1">
      <c r="A50" s="49"/>
      <c r="B50" s="854"/>
      <c r="C50" s="855"/>
      <c r="D50" s="856"/>
      <c r="E50" s="855"/>
      <c r="F50" s="856"/>
      <c r="G50" s="855"/>
      <c r="H50" s="263"/>
      <c r="I50" s="49"/>
    </row>
    <row r="51" spans="1:9" s="386" customFormat="1" ht="20.100000000000001" customHeight="1" thickBot="1">
      <c r="A51" s="385"/>
      <c r="B51" s="424" t="s">
        <v>22</v>
      </c>
      <c r="C51" s="425">
        <f>C47+C48-C49</f>
        <v>-27620.999999999993</v>
      </c>
      <c r="D51" s="454">
        <f>C51/UT_N</f>
        <v>-191.81249999999994</v>
      </c>
      <c r="E51" s="425">
        <f>E47+E48-E49</f>
        <v>49204.000000000022</v>
      </c>
      <c r="F51" s="454">
        <f>E51/UT_N1</f>
        <v>342.02697066592532</v>
      </c>
      <c r="G51" s="425">
        <f>G47+G48-G49</f>
        <v>16468.999999999993</v>
      </c>
      <c r="H51" s="426">
        <f>G51/UT_N2</f>
        <v>114.47935492840256</v>
      </c>
      <c r="I51" s="385"/>
    </row>
    <row r="52" spans="1:9" s="386" customFormat="1" ht="20.100000000000001" customHeight="1">
      <c r="A52" s="385"/>
      <c r="B52" s="733"/>
      <c r="C52" s="927"/>
      <c r="D52" s="500"/>
      <c r="E52" s="927"/>
      <c r="F52" s="500"/>
      <c r="G52" s="927"/>
      <c r="H52" s="500"/>
      <c r="I52" s="385"/>
    </row>
    <row r="53" spans="1:9" s="2" customFormat="1" ht="17.25" customHeight="1">
      <c r="A53" s="49"/>
      <c r="B53" s="125"/>
      <c r="C53" s="125"/>
      <c r="D53" s="183"/>
      <c r="E53" s="125"/>
      <c r="F53" s="183"/>
      <c r="G53" s="125"/>
      <c r="H53" s="258"/>
      <c r="I53" s="49"/>
    </row>
    <row r="54" spans="1:9" s="2" customFormat="1" ht="18.75" customHeight="1">
      <c r="A54" s="49"/>
      <c r="B54" s="155" t="str">
        <f>TRIM(CivilAdht&amp; " " &amp; NomAdht)</f>
        <v/>
      </c>
      <c r="C54" s="135"/>
      <c r="D54" s="96"/>
      <c r="E54" s="42"/>
      <c r="F54" s="96"/>
      <c r="G54" s="257"/>
      <c r="H54" s="265"/>
      <c r="I54" s="49"/>
    </row>
    <row r="55" spans="1:9">
      <c r="A55" s="125"/>
      <c r="I55" s="125"/>
    </row>
    <row r="56" spans="1:9" s="2" customFormat="1" ht="9" customHeight="1">
      <c r="A56" s="43"/>
      <c r="B56" s="42"/>
      <c r="C56" s="42"/>
      <c r="D56" s="266"/>
      <c r="E56" s="42"/>
      <c r="F56" s="266"/>
      <c r="G56" s="42"/>
      <c r="H56" s="265"/>
      <c r="I56" s="43"/>
    </row>
    <row r="57" spans="1:9" s="2" customFormat="1" ht="4.5" customHeight="1">
      <c r="A57" s="43"/>
      <c r="B57" s="42"/>
      <c r="C57" s="42"/>
      <c r="D57" s="266"/>
      <c r="E57" s="42"/>
      <c r="F57" s="266"/>
      <c r="G57" s="42"/>
      <c r="H57" s="265"/>
      <c r="I57" s="43"/>
    </row>
    <row r="58" spans="1:9" s="2" customFormat="1" ht="15" hidden="1" customHeight="1" outlineLevel="1">
      <c r="A58" s="43"/>
      <c r="B58" s="42" t="str">
        <f>FinExN</f>
        <v>30/06/2017</v>
      </c>
      <c r="C58" s="42"/>
      <c r="D58" s="266"/>
      <c r="E58" s="42"/>
      <c r="F58" s="266"/>
      <c r="G58" s="42"/>
      <c r="H58" s="265"/>
      <c r="I58" s="43"/>
    </row>
    <row r="59" spans="1:9" s="2" customFormat="1" ht="15" hidden="1" customHeight="1" outlineLevel="1">
      <c r="A59" s="43"/>
      <c r="B59" s="42" t="str">
        <f>LEFT(B58,5)</f>
        <v>30/06</v>
      </c>
      <c r="C59" s="42"/>
      <c r="D59" s="266"/>
      <c r="E59" s="42"/>
      <c r="F59" s="266"/>
      <c r="G59" s="42"/>
      <c r="H59" s="265"/>
      <c r="I59" s="43"/>
    </row>
    <row r="60" spans="1:9" s="2" customFormat="1" ht="15" hidden="1" customHeight="1" outlineLevel="1">
      <c r="A60" s="43"/>
      <c r="B60" s="42" t="str">
        <f>RIGHT(B59,2)</f>
        <v>06</v>
      </c>
      <c r="C60" s="42"/>
      <c r="D60" s="266"/>
      <c r="E60" s="42"/>
      <c r="F60" s="266"/>
      <c r="G60" s="42"/>
      <c r="H60" s="265"/>
      <c r="I60" s="43"/>
    </row>
    <row r="61" spans="1:9" s="2" customFormat="1" ht="15" hidden="1" customHeight="1" outlineLevel="1">
      <c r="A61" s="43"/>
      <c r="B61" s="42" t="str">
        <f>IF(OR(B60="06",B60="05"), "*dont aide découplée N+1", " ")</f>
        <v>*dont aide découplée N+1</v>
      </c>
      <c r="C61" s="43"/>
      <c r="D61" s="96"/>
      <c r="E61" s="43"/>
      <c r="F61" s="96"/>
      <c r="G61" s="43"/>
      <c r="H61" s="267"/>
      <c r="I61" s="43"/>
    </row>
    <row r="62" spans="1:9" s="2" customFormat="1" ht="15" customHeight="1" collapsed="1">
      <c r="A62" s="43"/>
      <c r="B62" s="42"/>
      <c r="C62" s="43"/>
      <c r="D62" s="96"/>
      <c r="E62" s="43"/>
      <c r="F62" s="96"/>
      <c r="G62" s="43"/>
      <c r="H62" s="267"/>
      <c r="I62" s="43"/>
    </row>
    <row r="63" spans="1:9" s="2" customFormat="1" ht="15" customHeight="1">
      <c r="A63" s="43"/>
      <c r="B63" s="42"/>
      <c r="C63" s="43"/>
      <c r="D63" s="96"/>
      <c r="E63" s="43"/>
      <c r="F63" s="96"/>
      <c r="G63" s="43"/>
      <c r="H63" s="267"/>
      <c r="I63" s="43"/>
    </row>
    <row r="64" spans="1:9" s="2" customFormat="1" ht="15" customHeight="1">
      <c r="A64" s="43"/>
      <c r="B64" s="42"/>
      <c r="C64" s="43"/>
      <c r="D64" s="96"/>
      <c r="E64" s="43"/>
      <c r="F64" s="96"/>
      <c r="G64" s="43"/>
      <c r="H64" s="267"/>
      <c r="I64" s="43"/>
    </row>
    <row r="65" spans="1:9" s="2" customFormat="1" ht="15" customHeight="1">
      <c r="A65" s="43"/>
      <c r="B65" s="42"/>
      <c r="C65" s="43"/>
      <c r="D65" s="96"/>
      <c r="E65" s="43"/>
      <c r="F65" s="96"/>
      <c r="G65" s="43"/>
      <c r="H65" s="267"/>
      <c r="I65" s="43"/>
    </row>
    <row r="66" spans="1:9" s="2" customFormat="1" ht="15" customHeight="1">
      <c r="A66" s="43"/>
      <c r="B66" s="42"/>
      <c r="C66" s="43"/>
      <c r="D66" s="96"/>
      <c r="E66" s="43"/>
      <c r="F66" s="96"/>
      <c r="G66" s="43"/>
      <c r="H66" s="267"/>
      <c r="I66" s="43"/>
    </row>
    <row r="67" spans="1:9" s="2" customFormat="1" ht="15" customHeight="1">
      <c r="A67" s="43"/>
      <c r="B67" s="42"/>
      <c r="C67" s="43"/>
      <c r="D67" s="96"/>
      <c r="E67" s="43"/>
      <c r="F67" s="96"/>
      <c r="G67" s="43"/>
      <c r="H67" s="267"/>
      <c r="I67" s="43"/>
    </row>
    <row r="68" spans="1:9" s="2" customFormat="1" ht="15" customHeight="1">
      <c r="A68" s="43"/>
      <c r="B68" s="42"/>
      <c r="C68" s="43"/>
      <c r="D68" s="96"/>
      <c r="E68" s="43"/>
      <c r="F68" s="96"/>
      <c r="G68" s="43"/>
      <c r="H68" s="267"/>
      <c r="I68" s="43"/>
    </row>
    <row r="69" spans="1:9" s="2" customFormat="1" ht="15" customHeight="1">
      <c r="A69" s="43"/>
      <c r="B69" s="42"/>
      <c r="C69" s="43"/>
      <c r="D69" s="96"/>
      <c r="E69" s="43"/>
      <c r="F69" s="96"/>
      <c r="G69" s="43"/>
      <c r="H69" s="267"/>
      <c r="I69" s="43"/>
    </row>
    <row r="70" spans="1:9" s="2" customFormat="1" ht="15" customHeight="1">
      <c r="A70" s="43"/>
      <c r="B70" s="42"/>
      <c r="C70" s="43"/>
      <c r="D70" s="96"/>
      <c r="E70" s="43"/>
      <c r="F70" s="96"/>
      <c r="G70" s="43"/>
      <c r="H70" s="267"/>
      <c r="I70" s="43"/>
    </row>
    <row r="71" spans="1:9" s="2" customFormat="1" ht="15" customHeight="1">
      <c r="A71" s="43"/>
      <c r="B71" s="42"/>
      <c r="C71" s="43"/>
      <c r="D71" s="96"/>
      <c r="E71" s="43"/>
      <c r="F71" s="96"/>
      <c r="G71" s="43"/>
      <c r="H71" s="267"/>
      <c r="I71" s="43"/>
    </row>
    <row r="72" spans="1:9" s="2" customFormat="1" ht="15" customHeight="1">
      <c r="A72" s="43"/>
      <c r="B72" s="42"/>
      <c r="C72" s="43"/>
      <c r="D72" s="96"/>
      <c r="E72" s="43"/>
      <c r="F72" s="96"/>
      <c r="G72" s="43"/>
      <c r="H72" s="267"/>
      <c r="I72" s="43"/>
    </row>
    <row r="73" spans="1:9" s="2" customFormat="1" ht="15" customHeight="1">
      <c r="A73" s="43"/>
      <c r="B73" s="42"/>
      <c r="C73" s="43"/>
      <c r="D73" s="96"/>
      <c r="E73" s="43"/>
      <c r="F73" s="96"/>
      <c r="G73" s="43"/>
      <c r="H73" s="267"/>
      <c r="I73" s="43"/>
    </row>
    <row r="74" spans="1:9" s="2" customFormat="1" ht="15" customHeight="1">
      <c r="A74" s="43"/>
      <c r="B74" s="42"/>
      <c r="C74" s="43"/>
      <c r="D74" s="96"/>
      <c r="E74" s="43"/>
      <c r="F74" s="96"/>
      <c r="G74" s="43"/>
      <c r="H74" s="267"/>
      <c r="I74" s="43"/>
    </row>
    <row r="75" spans="1:9" s="2" customFormat="1" ht="15" customHeight="1">
      <c r="A75" s="43"/>
      <c r="B75" s="42"/>
      <c r="C75" s="43"/>
      <c r="D75" s="96"/>
      <c r="E75" s="43"/>
      <c r="F75" s="96"/>
      <c r="G75" s="43"/>
      <c r="H75" s="267"/>
      <c r="I75" s="43"/>
    </row>
    <row r="76" spans="1:9" s="2" customFormat="1" ht="15" customHeight="1">
      <c r="A76" s="43"/>
      <c r="B76" s="42"/>
      <c r="C76" s="43"/>
      <c r="D76" s="96"/>
      <c r="E76" s="43"/>
      <c r="F76" s="96"/>
      <c r="G76" s="43"/>
      <c r="H76" s="267"/>
      <c r="I76" s="43"/>
    </row>
  </sheetData>
  <conditionalFormatting sqref="E9:H51">
    <cfRule type="expression" dxfId="24" priority="1">
      <formula>ISERROR($F$18)</formula>
    </cfRule>
  </conditionalFormatting>
  <printOptions horizontalCentered="1" verticalCentered="1"/>
  <pageMargins left="0.59055118110236227" right="0.59055118110236227" top="0.39370078740157483" bottom="0.19685039370078741" header="0.51181102362204722" footer="0.51181102362204722"/>
  <pageSetup paperSize="9" orientation="portrait" r:id="rId1"/>
  <headerFooter alignWithMargins="0">
    <oddFooter>Page &amp;P</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6">
    <tabColor theme="6"/>
  </sheetPr>
  <dimension ref="A1:J74"/>
  <sheetViews>
    <sheetView showZeros="0" topLeftCell="A16" zoomScaleNormal="100" workbookViewId="0">
      <selection activeCell="L41" sqref="L41"/>
    </sheetView>
  </sheetViews>
  <sheetFormatPr baseColWidth="10" defaultRowHeight="12.75" outlineLevelRow="1"/>
  <cols>
    <col min="1" max="1" width="5" style="42" customWidth="1"/>
    <col min="2" max="2" width="11.42578125" style="42"/>
    <col min="3" max="3" width="41.140625" style="42" customWidth="1"/>
    <col min="4" max="4" width="16.140625" style="86" customWidth="1"/>
    <col min="5" max="5" width="5.85546875" style="42" customWidth="1"/>
    <col min="6" max="6" width="3.85546875" style="42" customWidth="1"/>
    <col min="7" max="7" width="5" style="42" customWidth="1"/>
    <col min="8" max="8" width="3.28515625" style="42" customWidth="1"/>
  </cols>
  <sheetData>
    <row r="1" spans="1:8" ht="9.75" customHeight="1"/>
    <row r="11" spans="1:8" ht="7.5" customHeight="1"/>
    <row r="13" spans="1:8" ht="13.5" customHeight="1" thickBot="1"/>
    <row r="14" spans="1:8" s="57" customFormat="1" ht="17.100000000000001" customHeight="1" thickTop="1" thickBot="1">
      <c r="A14" s="268"/>
      <c r="B14" s="268"/>
      <c r="C14" s="269" t="s">
        <v>167</v>
      </c>
      <c r="D14" s="873">
        <f>'A_Variat fds de R'!C58</f>
        <v>-25017.65</v>
      </c>
      <c r="E14" s="268"/>
      <c r="F14" s="268"/>
      <c r="G14" s="268"/>
      <c r="H14" s="268"/>
    </row>
    <row r="15" spans="1:8" s="57" customFormat="1" ht="6.75" customHeight="1" thickTop="1">
      <c r="A15" s="268"/>
      <c r="B15" s="268"/>
      <c r="C15" s="387"/>
      <c r="D15" s="388"/>
      <c r="E15" s="268"/>
      <c r="F15" s="268"/>
      <c r="G15" s="268"/>
      <c r="H15" s="268"/>
    </row>
    <row r="16" spans="1:8">
      <c r="B16" s="271" t="s">
        <v>168</v>
      </c>
    </row>
    <row r="17" spans="2:10">
      <c r="C17" s="125" t="str">
        <f xml:space="preserve"> "- résultat net hors plus ou moins values"</f>
        <v>- résultat net hors plus ou moins values</v>
      </c>
      <c r="D17" s="86">
        <f>+IF('A_Variat fds de R'!D7&gt;0,'A_Variat fds de R'!D7-('A_Variat fds de R'!D15-'A_Variat fds de R'!D13),)</f>
        <v>0</v>
      </c>
      <c r="J17" s="125"/>
    </row>
    <row r="18" spans="2:10">
      <c r="C18" s="272" t="s">
        <v>169</v>
      </c>
      <c r="D18" s="86">
        <f>'A_Variat fds de R'!D9</f>
        <v>19537</v>
      </c>
    </row>
    <row r="19" spans="2:10">
      <c r="C19" s="272" t="s">
        <v>170</v>
      </c>
      <c r="D19" s="86">
        <f>'A_Variat fds de R'!F47</f>
        <v>0</v>
      </c>
    </row>
    <row r="20" spans="2:10">
      <c r="C20" s="272" t="s">
        <v>370</v>
      </c>
      <c r="D20" s="86">
        <f>'A_Variat fds de R'!F49</f>
        <v>0</v>
      </c>
    </row>
    <row r="21" spans="2:10">
      <c r="C21" s="272" t="s">
        <v>171</v>
      </c>
      <c r="D21" s="86">
        <f>'A_Variat fds de R'!F51</f>
        <v>21174</v>
      </c>
    </row>
    <row r="22" spans="2:10">
      <c r="C22" s="125" t="str">
        <f>"- diminution des autres  créances"</f>
        <v>- diminution des autres  créances</v>
      </c>
      <c r="D22" s="869">
        <f>'A_Variat fds de R'!F53</f>
        <v>1430</v>
      </c>
      <c r="J22" s="125"/>
    </row>
    <row r="23" spans="2:10">
      <c r="C23" s="272" t="s">
        <v>903</v>
      </c>
      <c r="D23" s="869">
        <f>'A_Variat fds de R'!F55+'A_Variat fds de R'!F60</f>
        <v>13358.51</v>
      </c>
    </row>
    <row r="24" spans="2:10">
      <c r="C24" s="272"/>
      <c r="D24" s="869"/>
    </row>
    <row r="25" spans="2:10">
      <c r="C25" s="272"/>
      <c r="D25" s="869"/>
    </row>
    <row r="26" spans="2:10" ht="3" customHeight="1">
      <c r="C26" s="272"/>
    </row>
    <row r="27" spans="2:10">
      <c r="B27" s="271" t="s">
        <v>175</v>
      </c>
    </row>
    <row r="28" spans="2:10">
      <c r="C28" s="272" t="s">
        <v>176</v>
      </c>
      <c r="D28" s="86">
        <f>'A_Variat fds de R'!D15</f>
        <v>0</v>
      </c>
    </row>
    <row r="29" spans="2:10">
      <c r="C29" s="272" t="s">
        <v>177</v>
      </c>
      <c r="D29" s="86">
        <f>'A_Variat fds de R'!D29</f>
        <v>181.54</v>
      </c>
    </row>
    <row r="30" spans="2:10">
      <c r="C30" s="272" t="s">
        <v>178</v>
      </c>
      <c r="D30" s="86">
        <f>'A_Variat fds de R'!D27</f>
        <v>0</v>
      </c>
    </row>
    <row r="31" spans="2:10" ht="6" customHeight="1">
      <c r="C31" s="272"/>
    </row>
    <row r="32" spans="2:10">
      <c r="B32" s="271" t="s">
        <v>179</v>
      </c>
    </row>
    <row r="33" spans="2:10">
      <c r="C33" s="272" t="s">
        <v>180</v>
      </c>
      <c r="D33" s="869">
        <f>'A_Variat fds de R'!$D$23</f>
        <v>0</v>
      </c>
    </row>
    <row r="34" spans="2:10" ht="6.75" customHeight="1">
      <c r="C34" s="272"/>
    </row>
    <row r="35" spans="2:10" ht="15">
      <c r="C35" s="738" t="str">
        <f>"TOTAL DES RESSOURCES "</f>
        <v xml:space="preserve">TOTAL DES RESSOURCES </v>
      </c>
      <c r="D35" s="273">
        <f>D17+D18+D19+D20+D21+D22+D23+D28+D29+D30+D33</f>
        <v>55681.05</v>
      </c>
      <c r="J35" s="871"/>
    </row>
    <row r="36" spans="2:10" ht="8.25" customHeight="1">
      <c r="J36" s="4"/>
    </row>
    <row r="37" spans="2:10" ht="9.75" customHeight="1">
      <c r="J37" s="870"/>
    </row>
    <row r="38" spans="2:10">
      <c r="J38" s="872"/>
    </row>
    <row r="39" spans="2:10" ht="9" customHeight="1">
      <c r="J39" s="4"/>
    </row>
    <row r="40" spans="2:10">
      <c r="B40" s="271" t="s">
        <v>168</v>
      </c>
      <c r="J40" s="4"/>
    </row>
    <row r="41" spans="2:10">
      <c r="C41" s="272" t="s">
        <v>314</v>
      </c>
      <c r="D41" s="86">
        <f>IF('A_Variat fds de R'!D7&lt;0,-'A_Variat fds de R'!D7+('A_Variat fds de R'!D15-'A_Variat fds de R'!D13),)</f>
        <v>27621</v>
      </c>
      <c r="J41" s="4"/>
    </row>
    <row r="42" spans="2:10">
      <c r="C42" s="272" t="s">
        <v>181</v>
      </c>
      <c r="D42" s="86">
        <f>'A_Variat fds de R'!D11+'A_Variat fds de R'!D17</f>
        <v>0</v>
      </c>
      <c r="J42" s="4"/>
    </row>
    <row r="43" spans="2:10">
      <c r="C43" s="272" t="s">
        <v>182</v>
      </c>
      <c r="D43" s="86">
        <f>'A_Variat fds de R'!E47</f>
        <v>17737</v>
      </c>
      <c r="J43" s="4"/>
    </row>
    <row r="44" spans="2:10">
      <c r="C44" s="272" t="s">
        <v>371</v>
      </c>
      <c r="D44" s="86">
        <f>'A_Variat fds de R'!E49</f>
        <v>5420</v>
      </c>
      <c r="J44" s="4"/>
    </row>
    <row r="45" spans="2:10">
      <c r="C45" s="272" t="s">
        <v>183</v>
      </c>
      <c r="D45" s="86">
        <f>'A_Variat fds de R'!E51</f>
        <v>0</v>
      </c>
      <c r="J45" s="4"/>
    </row>
    <row r="46" spans="2:10">
      <c r="C46" s="125" t="str">
        <f xml:space="preserve"> "- augmentation des autres créances"</f>
        <v>- augmentation des autres créances</v>
      </c>
      <c r="D46" s="869">
        <f>'A_Variat fds de R'!E53</f>
        <v>0</v>
      </c>
      <c r="J46" s="125"/>
    </row>
    <row r="47" spans="2:10">
      <c r="C47" s="272" t="s">
        <v>904</v>
      </c>
      <c r="D47" s="869">
        <f>'A_Variat fds de R'!E55+'A_Variat fds de R'!E60</f>
        <v>0</v>
      </c>
      <c r="J47" s="4"/>
    </row>
    <row r="48" spans="2:10">
      <c r="C48" s="272"/>
      <c r="D48" s="869"/>
      <c r="J48" s="4"/>
    </row>
    <row r="49" spans="1:10">
      <c r="C49" s="272"/>
      <c r="D49" s="869"/>
      <c r="J49" s="4"/>
    </row>
    <row r="50" spans="1:10" ht="6" customHeight="1">
      <c r="J50" s="4"/>
    </row>
    <row r="51" spans="1:10">
      <c r="B51" s="271" t="s">
        <v>175</v>
      </c>
      <c r="J51" s="4"/>
    </row>
    <row r="52" spans="1:10">
      <c r="C52" s="272" t="s">
        <v>187</v>
      </c>
      <c r="D52" s="86">
        <f>'A_Variat fds de R'!D35</f>
        <v>0</v>
      </c>
      <c r="J52" s="4"/>
    </row>
    <row r="53" spans="1:10">
      <c r="C53" s="272" t="s">
        <v>188</v>
      </c>
      <c r="D53" s="86">
        <f>'A_Variat fds de R'!D31</f>
        <v>26411.15</v>
      </c>
      <c r="J53" s="4"/>
    </row>
    <row r="54" spans="1:10">
      <c r="C54" s="272"/>
      <c r="J54" s="4"/>
    </row>
    <row r="55" spans="1:10" ht="6" customHeight="1">
      <c r="J55" s="4"/>
    </row>
    <row r="56" spans="1:10">
      <c r="B56" s="271" t="s">
        <v>179</v>
      </c>
      <c r="J56" s="4"/>
    </row>
    <row r="57" spans="1:10">
      <c r="C57" s="272" t="s">
        <v>190</v>
      </c>
      <c r="D57" s="869">
        <f>'A_Variat fds de R'!$D$21</f>
        <v>24821</v>
      </c>
      <c r="J57" s="4"/>
    </row>
    <row r="58" spans="1:10" ht="15">
      <c r="C58" s="738" t="str">
        <f xml:space="preserve"> "TOTAL DES EMPLOIS "</f>
        <v xml:space="preserve">TOTAL DES EMPLOIS </v>
      </c>
      <c r="D58" s="273">
        <f>D41+D42+D43+D44+D45+D46+D47+D52+D53+D57</f>
        <v>102010.15</v>
      </c>
      <c r="J58" s="125"/>
    </row>
    <row r="59" spans="1:10" ht="14.25" customHeight="1" thickBot="1">
      <c r="J59" s="4"/>
    </row>
    <row r="60" spans="1:10" s="9" customFormat="1" ht="15.75" thickTop="1" thickBot="1">
      <c r="A60" s="128"/>
      <c r="B60" s="128"/>
      <c r="C60" s="269" t="s">
        <v>191</v>
      </c>
      <c r="D60" s="270">
        <f>D14+D35-D58</f>
        <v>-71346.75</v>
      </c>
      <c r="E60" s="128"/>
      <c r="F60" s="128"/>
      <c r="G60" s="128"/>
      <c r="H60" s="128"/>
    </row>
    <row r="61" spans="1:10" ht="6" customHeight="1" thickTop="1"/>
    <row r="62" spans="1:10" ht="5.25" customHeight="1">
      <c r="B62" s="155"/>
      <c r="C62" s="135"/>
      <c r="D62" s="85"/>
      <c r="F62" s="155"/>
      <c r="G62" s="125"/>
    </row>
    <row r="63" spans="1:10" ht="13.5" customHeight="1">
      <c r="C63" s="135"/>
      <c r="D63" s="85"/>
      <c r="F63" s="155"/>
      <c r="G63" s="125"/>
    </row>
    <row r="64" spans="1:10" ht="6" customHeight="1"/>
    <row r="65" spans="2:6" ht="12" customHeight="1">
      <c r="B65" s="155" t="str">
        <f>TRIM(CivilAdht&amp; " " &amp; NomAdht)</f>
        <v/>
      </c>
      <c r="C65" s="135"/>
      <c r="D65" s="85"/>
      <c r="F65" s="155"/>
    </row>
    <row r="67" spans="2:6" hidden="1" outlineLevel="1"/>
    <row r="68" spans="2:6" hidden="1" outlineLevel="1"/>
    <row r="69" spans="2:6" hidden="1" outlineLevel="1"/>
    <row r="70" spans="2:6" hidden="1" outlineLevel="1">
      <c r="B70" s="42" t="str">
        <f>FinExN</f>
        <v>30/06/2017</v>
      </c>
    </row>
    <row r="71" spans="2:6" hidden="1" outlineLevel="1">
      <c r="B71" s="42" t="str">
        <f>LEFT(B70,5)</f>
        <v>30/06</v>
      </c>
    </row>
    <row r="72" spans="2:6" hidden="1" outlineLevel="1">
      <c r="B72" s="42" t="str">
        <f>RIGHT(B71,2)</f>
        <v>06</v>
      </c>
    </row>
    <row r="73" spans="2:6" hidden="1" outlineLevel="1">
      <c r="B73" s="42" t="str">
        <f>IF(OR(B72="06",B72="05"), "*Influencé par la présence d'une créance DPU de la récolte suivante", " ")</f>
        <v>*Influencé par la présence d'une créance DPU de la récolte suivante</v>
      </c>
    </row>
    <row r="74" spans="2:6" collapsed="1"/>
  </sheetData>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oddFooter>Page &amp;P</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5">
    <tabColor theme="6"/>
  </sheetPr>
  <dimension ref="A1:J75"/>
  <sheetViews>
    <sheetView showZeros="0" zoomScaleNormal="100" workbookViewId="0">
      <selection activeCell="F8" sqref="F8"/>
    </sheetView>
  </sheetViews>
  <sheetFormatPr baseColWidth="10" defaultRowHeight="12.75" outlineLevelRow="1"/>
  <cols>
    <col min="1" max="1" width="2.7109375" style="42" customWidth="1"/>
    <col min="2" max="2" width="39.7109375" style="42" customWidth="1"/>
    <col min="3" max="3" width="10.7109375" style="86" customWidth="1"/>
    <col min="4" max="4" width="11.28515625" style="86" customWidth="1"/>
    <col min="5" max="6" width="10.7109375" style="86" customWidth="1"/>
    <col min="7" max="7" width="2.7109375" style="42" customWidth="1"/>
    <col min="9" max="9" width="2.7109375" hidden="1" customWidth="1"/>
    <col min="10" max="10" width="0" hidden="1" customWidth="1"/>
    <col min="16" max="16" width="11.7109375" customWidth="1"/>
  </cols>
  <sheetData>
    <row r="1" spans="1:10" ht="15" customHeight="1"/>
    <row r="5" spans="1:10" ht="12.75" customHeight="1"/>
    <row r="6" spans="1:10" s="9" customFormat="1" ht="24.95" customHeight="1">
      <c r="A6" s="128"/>
      <c r="B6" s="128"/>
      <c r="C6" s="396" t="str">
        <f>TEXT(FinExN1AA,"jj/mm/aaaa")</f>
        <v>30/06/2016</v>
      </c>
      <c r="D6" s="411" t="str">
        <f>TEXT(FinExNAA,"jj/mm/aaaa")</f>
        <v>30/06/2017</v>
      </c>
      <c r="E6" s="274"/>
      <c r="F6" s="274"/>
      <c r="G6" s="128"/>
    </row>
    <row r="7" spans="1:10" s="9" customFormat="1" ht="20.25" customHeight="1">
      <c r="A7" s="128"/>
      <c r="B7" s="275" t="str">
        <f xml:space="preserve"> " Résultat net"</f>
        <v xml:space="preserve"> Résultat net</v>
      </c>
      <c r="C7" s="276">
        <f>HO_N1</f>
        <v>49204</v>
      </c>
      <c r="D7" s="277">
        <f>HO_N</f>
        <v>-27621</v>
      </c>
      <c r="E7" s="274"/>
      <c r="F7" s="274"/>
      <c r="G7" s="128"/>
      <c r="J7" s="125"/>
    </row>
    <row r="8" spans="1:10" ht="6.75" customHeight="1">
      <c r="B8" s="228"/>
      <c r="C8" s="209"/>
      <c r="D8" s="855"/>
    </row>
    <row r="9" spans="1:10">
      <c r="B9" s="278" t="s">
        <v>343</v>
      </c>
      <c r="C9" s="209">
        <f>GH_N1+GI_N1+GK_N1+HI_N1</f>
        <v>24646</v>
      </c>
      <c r="D9" s="209">
        <f>GH_N+GI_N+GK_N+HI_N</f>
        <v>19537</v>
      </c>
    </row>
    <row r="10" spans="1:10" ht="6" customHeight="1">
      <c r="B10" s="278"/>
      <c r="C10" s="209"/>
      <c r="D10" s="855"/>
    </row>
    <row r="11" spans="1:10">
      <c r="B11" s="278" t="s">
        <v>192</v>
      </c>
      <c r="C11" s="209">
        <f>R_1324_1</f>
        <v>0</v>
      </c>
      <c r="D11" s="855">
        <f>R_1324</f>
        <v>0</v>
      </c>
    </row>
    <row r="12" spans="1:10" ht="6" customHeight="1">
      <c r="B12" s="228"/>
      <c r="C12" s="209"/>
      <c r="D12" s="855"/>
    </row>
    <row r="13" spans="1:10">
      <c r="B13" s="278" t="s">
        <v>193</v>
      </c>
      <c r="C13" s="209">
        <f>HG_N1</f>
        <v>0</v>
      </c>
      <c r="D13" s="855">
        <f>HG_N</f>
        <v>0</v>
      </c>
    </row>
    <row r="14" spans="1:10" ht="6" customHeight="1">
      <c r="B14" s="228"/>
      <c r="C14" s="209"/>
      <c r="D14" s="855"/>
    </row>
    <row r="15" spans="1:10">
      <c r="B15" s="278" t="s">
        <v>194</v>
      </c>
      <c r="C15" s="209">
        <f>HB_N1</f>
        <v>0</v>
      </c>
      <c r="D15" s="855">
        <f>HB_N</f>
        <v>0</v>
      </c>
    </row>
    <row r="16" spans="1:10" ht="6" customHeight="1">
      <c r="B16" s="228"/>
      <c r="C16" s="209"/>
      <c r="D16" s="855"/>
    </row>
    <row r="17" spans="1:7">
      <c r="B17" s="278" t="s">
        <v>195</v>
      </c>
      <c r="C17" s="209">
        <f>'1_INFO_C'!E51</f>
        <v>0</v>
      </c>
      <c r="D17" s="855">
        <f>'1_INFO_C'!D51</f>
        <v>0</v>
      </c>
    </row>
    <row r="18" spans="1:7" ht="6" customHeight="1">
      <c r="B18" s="228"/>
      <c r="C18" s="209"/>
      <c r="D18" s="855"/>
    </row>
    <row r="19" spans="1:7" s="54" customFormat="1" ht="14.25">
      <c r="A19" s="279"/>
      <c r="B19" s="408" t="s">
        <v>38</v>
      </c>
      <c r="C19" s="409">
        <f>C7+C9-C11+C13-C15-C17</f>
        <v>73850</v>
      </c>
      <c r="D19" s="410">
        <f>D7+D9-D11+D13-D15-D17</f>
        <v>-8084</v>
      </c>
      <c r="E19" s="280"/>
      <c r="F19" s="280"/>
      <c r="G19" s="279"/>
    </row>
    <row r="20" spans="1:7" ht="6" customHeight="1">
      <c r="B20" s="228"/>
      <c r="C20" s="209"/>
      <c r="D20" s="855"/>
    </row>
    <row r="21" spans="1:7">
      <c r="B21" s="278" t="s">
        <v>26</v>
      </c>
      <c r="C21" s="244">
        <f>IF(((DONNEES_LIASSE_RN!F322-DONNEES_LIASSE_RN!F320-DONNEES_LIASSE_RN!F321)-(DONNEES_LIASSE_RN!E312+DONNEES_LIASSE_RN!E313+DONNEES_LIASSE_RN!E314+DONNEES_LIASSE_RN!E315+DONNEES_LIASSE_RN!E316+DONNEES_LIASSE_RN!E317+DONNEES_LIASSE_RN!E318)-HV_N1+('1_INFO_C'!F41-'1_INFO_C'!F42)-('1_INFO_C'!E41-'1_INFO_C'!E42))&gt;0,((DONNEES_LIASSE_RN!F322-DONNEES_LIASSE_RN!F320-DONNEES_LIASSE_RN!F321)-(DONNEES_LIASSE_RN!E312+DONNEES_LIASSE_RN!E313+DONNEES_LIASSE_RN!E314+DONNEES_LIASSE_RN!E315+DONNEES_LIASSE_RN!E316+DONNEES_LIASSE_RN!E317+DONNEES_LIASSE_RN!E318)-HV_N1+('1_INFO_C'!F41-'1_INFO_C'!F42)-('1_INFO_C'!E41-'1_INFO_C'!E42)),)</f>
        <v>38629</v>
      </c>
      <c r="D21" s="255">
        <f>IF(((DONNEES_LIASSE_RN!E322-DONNEES_LIASSE_RN!E320-DONNEES_LIASSE_RN!E321)-(DONNEES_LIASSE_RN!D312+DONNEES_LIASSE_RN!D313+DONNEES_LIASSE_RN!D314+DONNEES_LIASSE_RN!D315+DONNEES_LIASSE_RN!D316+DONNEES_LIASSE_RN!D317+DONNEES_LIASSE_RN!D318)+('1_INFO_C'!E41-'1_INFO_C'!E42)-('1_INFO_C'!D41-'1_INFO_C'!D42))&gt;0,((DONNEES_LIASSE_RN!E322-DONNEES_LIASSE_RN!E320-DONNEES_LIASSE_RN!E321)-(DONNEES_LIASSE_RN!D312+DONNEES_LIASSE_RN!D313+DONNEES_LIASSE_RN!D314+DONNEES_LIASSE_RN!D315+DONNEES_LIASSE_RN!D316+DONNEES_LIASSE_RN!D317+DONNEES_LIASSE_RN!D318)+('1_INFO_C'!E41-'1_INFO_C'!E42)-('1_INFO_C'!D41-'1_INFO_C'!D42)),)</f>
        <v>24821</v>
      </c>
    </row>
    <row r="22" spans="1:7" ht="6" customHeight="1">
      <c r="B22" s="228"/>
      <c r="C22" s="244"/>
      <c r="D22" s="255"/>
    </row>
    <row r="23" spans="1:7">
      <c r="B23" s="278" t="s">
        <v>27</v>
      </c>
      <c r="C23" s="244">
        <f>IF(((DONNEES_LIASSE_RN!F322-DONNEES_LIASSE_RN!F320-DONNEES_LIASSE_RN!F321)-(DONNEES_LIASSE_RN!E312+DONNEES_LIASSE_RN!E313+DONNEES_LIASSE_RN!E314+DONNEES_LIASSE_RN!E315+DONNEES_LIASSE_RN!E316+DONNEES_LIASSE_RN!E317+DONNEES_LIASSE_RN!E318)-HV_N1+('1_INFO_C'!F$41-'1_INFO_C'!F$42)-('1_INFO_C'!E$41-'1_INFO_C'!E$42))&lt;0,ABS(((DONNEES_LIASSE_RN!F322-DONNEES_LIASSE_RN!F320-DONNEES_LIASSE_RN!F321)-(DONNEES_LIASSE_RN!E312+DONNEES_LIASSE_RN!E313+DONNEES_LIASSE_RN!E314+DONNEES_LIASSE_RN!E315+DONNEES_LIASSE_RN!E316+DONNEES_LIASSE_RN!E317+DONNEES_LIASSE_RN!E318)-HV_N1+('1_INFO_C'!F$41-'1_INFO_C'!F$42)-('1_INFO_C'!E$41-'1_INFO_C'!E$42))),)</f>
        <v>0</v>
      </c>
      <c r="D23" s="255">
        <f>IF(((DONNEES_LIASSE_RN!E322-DONNEES_LIASSE_RN!E320-DONNEES_LIASSE_RN!E321)-(DONNEES_LIASSE_RN!D312+DONNEES_LIASSE_RN!D313+DONNEES_LIASSE_RN!D314+DONNEES_LIASSE_RN!D315+DONNEES_LIASSE_RN!D316+DONNEES_LIASSE_RN!D317+DONNEES_LIASSE_RN!D318)+('1_INFO_C'!E$41-'1_INFO_C'!E$42)-('1_INFO_C'!D41-'1_INFO_C'!D42))&lt;0,ABS(((DONNEES_LIASSE_RN!E322-DONNEES_LIASSE_RN!E320-DONNEES_LIASSE_RN!E321)-(DONNEES_LIASSE_RN!D312+DONNEES_LIASSE_RN!D313+DONNEES_LIASSE_RN!D314+DONNEES_LIASSE_RN!D315+DONNEES_LIASSE_RN!D316+DONNEES_LIASSE_RN!D317+DONNEES_LIASSE_RN!D318)+('1_INFO_C'!E$41-'1_INFO_C'!E$42)-('1_INFO_C'!D41-'1_INFO_C'!D42))),)</f>
        <v>0</v>
      </c>
    </row>
    <row r="24" spans="1:7" ht="6" customHeight="1">
      <c r="B24" s="228"/>
      <c r="C24" s="209"/>
      <c r="D24" s="855"/>
    </row>
    <row r="25" spans="1:7" s="54" customFormat="1" ht="14.25">
      <c r="A25" s="279"/>
      <c r="B25" s="408" t="s">
        <v>196</v>
      </c>
      <c r="C25" s="409">
        <f>C19-C21+C23</f>
        <v>35221</v>
      </c>
      <c r="D25" s="410">
        <f>D19-D21+D23</f>
        <v>-32905</v>
      </c>
      <c r="E25" s="280"/>
      <c r="F25" s="280"/>
      <c r="G25" s="279"/>
    </row>
    <row r="26" spans="1:7" ht="6" customHeight="1">
      <c r="B26" s="228"/>
      <c r="C26" s="209"/>
      <c r="D26" s="855"/>
    </row>
    <row r="27" spans="1:7">
      <c r="B27" s="278" t="s">
        <v>197</v>
      </c>
      <c r="C27" s="209">
        <f>M_C_N1_13</f>
        <v>0</v>
      </c>
      <c r="D27" s="855">
        <f>M_C_N_13</f>
        <v>0</v>
      </c>
    </row>
    <row r="28" spans="1:7" ht="6" customHeight="1">
      <c r="B28" s="228"/>
      <c r="C28" s="209"/>
      <c r="D28" s="855"/>
    </row>
    <row r="29" spans="1:7">
      <c r="B29" s="278" t="s">
        <v>28</v>
      </c>
      <c r="C29" s="209">
        <f>M_C_N1_164</f>
        <v>60108.95</v>
      </c>
      <c r="D29" s="855">
        <f>M_C_N_164</f>
        <v>181.54</v>
      </c>
    </row>
    <row r="30" spans="1:7" ht="6" customHeight="1">
      <c r="B30" s="228"/>
      <c r="C30" s="209"/>
      <c r="D30" s="855"/>
    </row>
    <row r="31" spans="1:7">
      <c r="B31" s="278" t="s">
        <v>198</v>
      </c>
      <c r="C31" s="209">
        <f>'1_INFO_C'!F45-'1_INFO_C'!E45+('1_INFO_C'!F48-'1_INFO_C'!F47)-('1_INFO_C'!E48-'1_INFO_C'!E47)+M_C_N1_164</f>
        <v>21175.809999999998</v>
      </c>
      <c r="D31" s="855">
        <f>'1_INFO_C'!E45-'1_INFO_C'!D45+('1_INFO_C'!E48-'1_INFO_C'!E47)-('1_INFO_C'!D48-'1_INFO_C'!D47)+M_C_N_164</f>
        <v>26411.15</v>
      </c>
    </row>
    <row r="32" spans="1:7" ht="6" customHeight="1">
      <c r="B32" s="228"/>
      <c r="C32" s="209"/>
      <c r="D32" s="855"/>
    </row>
    <row r="33" spans="1:10">
      <c r="B33" s="278" t="s">
        <v>199</v>
      </c>
      <c r="C33" s="209">
        <f>HB_N1</f>
        <v>0</v>
      </c>
      <c r="D33" s="209">
        <f>HB_N</f>
        <v>0</v>
      </c>
    </row>
    <row r="34" spans="1:10" ht="6" customHeight="1">
      <c r="B34" s="228"/>
      <c r="C34" s="209"/>
      <c r="D34" s="855"/>
    </row>
    <row r="35" spans="1:10">
      <c r="B35" s="278" t="s">
        <v>29</v>
      </c>
      <c r="C35" s="209">
        <f>DONNEES_LIASSE_RN!E134-DONNEES_LIASSE_RN!E133</f>
        <v>0</v>
      </c>
      <c r="D35" s="855">
        <f>DONNEES_LIASSE_RN!D134-DONNEES_LIASSE_RN!D133</f>
        <v>0</v>
      </c>
    </row>
    <row r="36" spans="1:10" ht="6" customHeight="1">
      <c r="B36" s="228"/>
      <c r="C36" s="209"/>
      <c r="D36" s="855"/>
    </row>
    <row r="37" spans="1:10">
      <c r="B37" s="278"/>
      <c r="C37" s="209"/>
      <c r="D37" s="855"/>
    </row>
    <row r="38" spans="1:10" ht="6" customHeight="1">
      <c r="B38" s="228"/>
      <c r="C38" s="209"/>
      <c r="D38" s="855"/>
    </row>
    <row r="39" spans="1:10" s="59" customFormat="1" ht="18.75" customHeight="1">
      <c r="A39" s="281"/>
      <c r="B39" s="406" t="s">
        <v>200</v>
      </c>
      <c r="C39" s="407">
        <f>C25+C27+C29-C31+C33-C35</f>
        <v>74154.14</v>
      </c>
      <c r="D39" s="407">
        <f>D25+D27+D29-D31+D33-D35</f>
        <v>-59134.61</v>
      </c>
      <c r="E39" s="282"/>
      <c r="F39" s="282"/>
      <c r="G39" s="281"/>
    </row>
    <row r="40" spans="1:10" ht="6.75" customHeight="1"/>
    <row r="41" spans="1:10" ht="6" customHeight="1"/>
    <row r="45" spans="1:10" ht="16.5" customHeight="1"/>
    <row r="46" spans="1:10" s="9" customFormat="1" ht="18" customHeight="1">
      <c r="A46" s="128"/>
      <c r="B46" s="128"/>
      <c r="C46" s="403" t="str">
        <f>TEXT(FinExN1AA,"jj/mm/aaaa")</f>
        <v>30/06/2016</v>
      </c>
      <c r="D46" s="396" t="str">
        <f>TEXT(FinExNAA,"jj/mm/aaaa")</f>
        <v>30/06/2017</v>
      </c>
      <c r="E46" s="404" t="s">
        <v>206</v>
      </c>
      <c r="F46" s="405" t="s">
        <v>290</v>
      </c>
      <c r="G46" s="128"/>
      <c r="J46" s="9" t="s">
        <v>581</v>
      </c>
    </row>
    <row r="47" spans="1:10" s="9" customFormat="1" ht="17.25" customHeight="1">
      <c r="A47" s="128"/>
      <c r="B47" s="283" t="s">
        <v>301</v>
      </c>
      <c r="C47" s="284">
        <f>SUM(DONNEES_LIASSE_RN!E270:E275)</f>
        <v>112255</v>
      </c>
      <c r="D47" s="285">
        <f>SUM(DONNEES_LIASSE_RN!D270:D275)</f>
        <v>129992</v>
      </c>
      <c r="E47" s="286">
        <f>IF(C47&lt;D47,D47-C47,)</f>
        <v>17737</v>
      </c>
      <c r="F47" s="286">
        <f>IF(D47&lt;C47,C47-D47,)</f>
        <v>0</v>
      </c>
      <c r="G47" s="128"/>
      <c r="J47" s="9">
        <f>SUM(DONNEES_LIASSE_RN!F270:F275)</f>
        <v>123966</v>
      </c>
    </row>
    <row r="48" spans="1:10" ht="6" customHeight="1">
      <c r="B48" s="228"/>
      <c r="C48" s="287"/>
      <c r="D48" s="209"/>
      <c r="E48" s="855"/>
      <c r="F48" s="855"/>
    </row>
    <row r="49" spans="1:10">
      <c r="B49" s="278" t="s">
        <v>369</v>
      </c>
      <c r="C49" s="287">
        <f>DONNEES_LIASSE_RN!E287+DONNEES_LIASSE_RN!E288-DONNEES_LIASSE_RN!E330</f>
        <v>2451</v>
      </c>
      <c r="D49" s="287">
        <f>DONNEES_LIASSE_RN!D287+DONNEES_LIASSE_RN!D288-DONNEES_LIASSE_RN!D330</f>
        <v>7871</v>
      </c>
      <c r="E49" s="288">
        <f>IF(C49&lt;D49,D49-C49,)</f>
        <v>5420</v>
      </c>
      <c r="F49" s="277">
        <f>IF(D49&lt;C49,C49-D49,)</f>
        <v>0</v>
      </c>
      <c r="J49" s="899">
        <f>DONNEES_LIASSE_RN!F287+DONNEES_LIASSE_RN!F288-DONNEES_LIASSE_RN!F330</f>
        <v>1537</v>
      </c>
    </row>
    <row r="50" spans="1:10" ht="6" customHeight="1">
      <c r="B50" s="278"/>
      <c r="C50" s="287"/>
      <c r="D50" s="209"/>
      <c r="E50" s="209"/>
      <c r="F50" s="855"/>
    </row>
    <row r="51" spans="1:10">
      <c r="B51" s="278" t="s">
        <v>201</v>
      </c>
      <c r="C51" s="287">
        <f>DONNEES_LIASSE_RN!E331+DONNEES_LIASSE_RN!E332-DONNEES_LIASSE_RN!E276</f>
        <v>48045</v>
      </c>
      <c r="D51" s="287">
        <f>DONNEES_LIASSE_RN!D331+DONNEES_LIASSE_RN!D332-DONNEES_LIASSE_RN!D276</f>
        <v>69219</v>
      </c>
      <c r="E51" s="209">
        <f>IF(D51&lt;C51,C51-D51,)</f>
        <v>0</v>
      </c>
      <c r="F51" s="277">
        <f>IF(C51&lt;D51,D51-C51,)</f>
        <v>21174</v>
      </c>
      <c r="J51" s="870">
        <f>DONNEES_LIASSE_RN!F331+DONNEES_LIASSE_RN!F332-DONNEES_LIASSE_RN!F276</f>
        <v>58906</v>
      </c>
    </row>
    <row r="52" spans="1:10" ht="6" customHeight="1">
      <c r="B52" s="278"/>
      <c r="C52" s="287"/>
      <c r="D52" s="209"/>
      <c r="E52" s="209"/>
      <c r="F52" s="855"/>
    </row>
    <row r="53" spans="1:10">
      <c r="B53" s="278" t="str">
        <f xml:space="preserve"> " + Autres créances"</f>
        <v xml:space="preserve"> + Autres créances</v>
      </c>
      <c r="C53" s="287">
        <f>DONNEES_LIASSE_RN!E279+DONNEES_LIASSE_RN!E282-'1_INFO_C'!E42</f>
        <v>48095</v>
      </c>
      <c r="D53" s="287">
        <f>DONNEES_LIASSE_RN!D279+DONNEES_LIASSE_RN!D282-'1_INFO_C'!D42</f>
        <v>46665</v>
      </c>
      <c r="E53" s="276">
        <f>IF(C53&lt;D53,D53-C53,)</f>
        <v>0</v>
      </c>
      <c r="F53" s="277">
        <f>IF(D53&lt;C53,C53-D53,)</f>
        <v>1430</v>
      </c>
      <c r="J53" s="125">
        <f>DONNEES_LIASSE_RN!F278+DONNEES_LIASSE_RN!F279+DONNEES_LIASSE_RN!F282-'1_INFO_C'!F42</f>
        <v>48343</v>
      </c>
    </row>
    <row r="54" spans="1:10" ht="6" customHeight="1">
      <c r="B54" s="278"/>
      <c r="C54" s="287"/>
      <c r="D54" s="209"/>
      <c r="E54" s="209"/>
      <c r="F54" s="855"/>
    </row>
    <row r="55" spans="1:10">
      <c r="B55" s="278" t="s">
        <v>202</v>
      </c>
      <c r="C55" s="287">
        <f>IF(CONTROLE_DG!C25=1,DONNEES_LIASSE_RN!E333+DONNEES_LIASSE_RN!E334+DONNEES_LIASSE_RN!E335+DONNEES_LIASSE_RN!E336-'1_INFO_C'!E41,DONNEES_LIASSE_RN!E333+DONNEES_LIASSE_RN!E334+DONNEES_LIASSE_RN!E335+DONNEES_LIASSE_RN!E336)</f>
        <v>14134</v>
      </c>
      <c r="D55" s="209">
        <f>IF(CONTROLE_DG!C16=1,DONNEES_LIASSE_RN!D333+DONNEES_LIASSE_RN!D334+DONNEES_LIASSE_RN!D335+DONNEES_LIASSE_RN!D336-'1_INFO_C'!D41,DONNEES_LIASSE_RN!D333+DONNEES_LIASSE_RN!D334+DONNEES_LIASSE_RN!D335+DONNEES_LIASSE_RN!D336)</f>
        <v>27166</v>
      </c>
      <c r="E55" s="276">
        <f>IF(D55&lt;C55,C55-D55,)</f>
        <v>0</v>
      </c>
      <c r="F55" s="277">
        <f>IF(C55&lt;D55,D55-C55,)</f>
        <v>13032</v>
      </c>
      <c r="J55" s="899">
        <f>IF(CONTROLE_DG!C16=1,DONNEES_LIASSE_RN!F333+DONNEES_LIASSE_RN!F334+DONNEES_LIASSE_RN!F335+DONNEES_LIASSE_RN!F336-'1_INFO_C'!F41,DONNEES_LIASSE_RN!F333+DONNEES_LIASSE_RN!F334+DONNEES_LIASSE_RN!F335+DONNEES_LIASSE_RN!F336)</f>
        <v>14532</v>
      </c>
    </row>
    <row r="56" spans="1:10" ht="8.1" customHeight="1">
      <c r="B56" s="278"/>
      <c r="C56" s="287"/>
      <c r="D56" s="209"/>
      <c r="E56" s="855"/>
      <c r="F56" s="855"/>
    </row>
    <row r="57" spans="1:10" s="58" customFormat="1" ht="20.100000000000001" customHeight="1">
      <c r="A57" s="289"/>
      <c r="B57" s="400" t="s">
        <v>203</v>
      </c>
      <c r="C57" s="401">
        <f>C47+C49-C51+C53-C55</f>
        <v>100622</v>
      </c>
      <c r="D57" s="401">
        <f>D47+D49-D51+D53-D55</f>
        <v>88143</v>
      </c>
      <c r="E57" s="1049">
        <f>D57-C57</f>
        <v>-12479</v>
      </c>
      <c r="F57" s="1050"/>
      <c r="G57" s="289"/>
      <c r="J57" s="401">
        <f>J47+J49-J51+J53-J55</f>
        <v>100408</v>
      </c>
    </row>
    <row r="58" spans="1:10">
      <c r="B58" s="228" t="s">
        <v>302</v>
      </c>
      <c r="C58" s="209">
        <f>DONNEES_LIASSE_RN!E281+DONNEES_LIASSE_RN!E280-DONNEES_LIASSE_RN!E328+'1_INFO_C'!E46</f>
        <v>-25017.65</v>
      </c>
      <c r="D58" s="244">
        <f>DONNEES_LIASSE_RN!D281+DONNEES_LIASSE_RN!D280-DONNEES_LIASSE_RN!D328+'1_INFO_C'!D46</f>
        <v>-71345.53</v>
      </c>
      <c r="E58" s="276">
        <f>IF(C58&lt;D58,D58-C58,)</f>
        <v>0</v>
      </c>
      <c r="F58" s="277">
        <f>IF(D58&lt;C58,C58-D58,)</f>
        <v>46327.88</v>
      </c>
      <c r="J58">
        <f>DONNEES_LIASSE_RN!F281+DONNEES_LIASSE_RN!F280-DONNEES_LIASSE_RN!F328-'1_INFO_C'!F46</f>
        <v>-99210.98</v>
      </c>
    </row>
    <row r="59" spans="1:10" ht="6" customHeight="1">
      <c r="B59" s="228"/>
      <c r="C59" s="209"/>
      <c r="D59" s="209"/>
      <c r="E59" s="855"/>
      <c r="F59" s="855"/>
    </row>
    <row r="60" spans="1:10">
      <c r="B60" s="278" t="s">
        <v>300</v>
      </c>
      <c r="C60" s="209">
        <f>'1_INFO_C'!E46+'1_INFO_C'!E47</f>
        <v>956.19</v>
      </c>
      <c r="D60" s="209">
        <f>'1_INFO_C'!D46+'1_INFO_C'!D47</f>
        <v>1282.7</v>
      </c>
      <c r="E60" s="276">
        <f>IF(D60&lt;C60,C60-D60,)</f>
        <v>0</v>
      </c>
      <c r="F60" s="277">
        <f>IF(C60&lt;D60,D60-C60,)</f>
        <v>326.51</v>
      </c>
      <c r="J60" s="899">
        <f>'1_INFO_C'!F46+'1_INFO_C'!F47</f>
        <v>1230.17</v>
      </c>
    </row>
    <row r="61" spans="1:10" ht="8.25" customHeight="1">
      <c r="B61" s="290"/>
      <c r="C61" s="291"/>
      <c r="D61" s="292"/>
      <c r="E61" s="293"/>
      <c r="F61" s="293"/>
    </row>
    <row r="62" spans="1:10" s="9" customFormat="1" ht="20.100000000000001" customHeight="1">
      <c r="A62" s="128"/>
      <c r="B62" s="400" t="s">
        <v>204</v>
      </c>
      <c r="C62" s="401">
        <f>C58-C60</f>
        <v>-25973.84</v>
      </c>
      <c r="D62" s="402">
        <f>D58-D60</f>
        <v>-72628.23</v>
      </c>
      <c r="E62" s="1049">
        <f>D62-C62</f>
        <v>-46654.39</v>
      </c>
      <c r="F62" s="1050"/>
      <c r="G62" s="128"/>
      <c r="J62" s="402">
        <f>J58-J60</f>
        <v>-100441.15</v>
      </c>
    </row>
    <row r="63" spans="1:10" s="9" customFormat="1" ht="19.5" customHeight="1">
      <c r="A63" s="128"/>
      <c r="B63" s="398" t="str">
        <f xml:space="preserve"> " FONDS DE ROULEMENT"</f>
        <v xml:space="preserve"> FONDS DE ROULEMENT</v>
      </c>
      <c r="C63" s="399">
        <f>C57+C62</f>
        <v>74648.160000000003</v>
      </c>
      <c r="D63" s="399">
        <f>(D57+D62)</f>
        <v>15514.770000000004</v>
      </c>
      <c r="E63" s="1051">
        <f>D63-C63</f>
        <v>-59133.39</v>
      </c>
      <c r="F63" s="1052"/>
      <c r="G63" s="128"/>
      <c r="J63" s="399">
        <f>(J57+J62)</f>
        <v>-33.149999999994179</v>
      </c>
    </row>
    <row r="64" spans="1:10" ht="6.75" customHeight="1"/>
    <row r="65" spans="2:6" ht="6.75" customHeight="1"/>
    <row r="66" spans="2:6" ht="15" customHeight="1">
      <c r="C66" s="294"/>
      <c r="D66" s="85"/>
      <c r="F66" s="295"/>
    </row>
    <row r="67" spans="2:6" ht="4.5" customHeight="1"/>
    <row r="68" spans="2:6" ht="15">
      <c r="B68" s="155" t="str">
        <f>TRIM(CivilAdht&amp; " " &amp; NomAdht)</f>
        <v/>
      </c>
      <c r="C68" s="294"/>
      <c r="D68" s="85"/>
      <c r="F68" s="295"/>
    </row>
    <row r="69" spans="2:6" ht="9" customHeight="1"/>
    <row r="71" spans="2:6" hidden="1" outlineLevel="1">
      <c r="B71" s="42" t="str">
        <f>FinExN</f>
        <v>30/06/2017</v>
      </c>
    </row>
    <row r="72" spans="2:6" hidden="1" outlineLevel="1">
      <c r="B72" s="42" t="str">
        <f>LEFT(B71,5)</f>
        <v>30/06</v>
      </c>
    </row>
    <row r="73" spans="2:6" hidden="1" outlineLevel="1">
      <c r="B73" s="42" t="str">
        <f>RIGHT(B72,2)</f>
        <v>06</v>
      </c>
    </row>
    <row r="74" spans="2:6" hidden="1" outlineLevel="1">
      <c r="B74" s="42" t="str">
        <f>IF(OR(B73="06",B73="05"),"* Variation non significative en présence d'une créance DPU de la récolte suivante", " ")</f>
        <v>* Variation non significative en présence d'une créance DPU de la récolte suivante</v>
      </c>
    </row>
    <row r="75" spans="2:6" collapsed="1"/>
  </sheetData>
  <mergeCells count="3">
    <mergeCell ref="E57:F57"/>
    <mergeCell ref="E62:F62"/>
    <mergeCell ref="E63:F63"/>
  </mergeCells>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oddFooter>Page &amp;P</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4">
    <tabColor theme="6"/>
  </sheetPr>
  <dimension ref="A3:H73"/>
  <sheetViews>
    <sheetView showZeros="0" zoomScaleNormal="100" workbookViewId="0">
      <selection activeCell="G15" sqref="G15"/>
    </sheetView>
  </sheetViews>
  <sheetFormatPr baseColWidth="10" defaultRowHeight="12.75" outlineLevelRow="1"/>
  <cols>
    <col min="1" max="1" width="3.85546875" style="42" customWidth="1"/>
    <col min="2" max="2" width="38.42578125" style="42" customWidth="1"/>
    <col min="3" max="5" width="14.7109375" style="86" customWidth="1"/>
    <col min="6" max="6" width="3.85546875" style="42" customWidth="1"/>
  </cols>
  <sheetData>
    <row r="3" spans="1:6" ht="9" customHeight="1"/>
    <row r="7" spans="1:6" ht="7.5" customHeight="1"/>
    <row r="8" spans="1:6" ht="7.5" customHeight="1"/>
    <row r="9" spans="1:6" ht="15">
      <c r="A9" s="128"/>
      <c r="B9" s="296" t="s">
        <v>147</v>
      </c>
      <c r="C9" s="396" t="str">
        <f>TEXT(FinExNAA,"jj/mm/aaaa")</f>
        <v>30/06/2017</v>
      </c>
      <c r="D9" s="396" t="str">
        <f>TEXT(FinExN1AA,"jj/mm/aaaa")</f>
        <v>30/06/2016</v>
      </c>
      <c r="E9" s="396" t="str">
        <f>TEXT(FinExN2AA,"jj/mm/aaaa")</f>
        <v>30/06/2015</v>
      </c>
      <c r="F9" s="297"/>
    </row>
    <row r="10" spans="1:6">
      <c r="B10" s="229"/>
      <c r="C10" s="320"/>
      <c r="D10" s="929"/>
      <c r="E10" s="320"/>
      <c r="F10" s="125"/>
    </row>
    <row r="11" spans="1:6">
      <c r="A11" s="279"/>
      <c r="B11" s="298" t="s">
        <v>148</v>
      </c>
      <c r="C11" s="323">
        <f>C13+C15+C17</f>
        <v>161354</v>
      </c>
      <c r="D11" s="321">
        <f>D13+D15+D17</f>
        <v>180892</v>
      </c>
      <c r="E11" s="323">
        <f>E13+E15+E17</f>
        <v>205537</v>
      </c>
      <c r="F11" s="300"/>
    </row>
    <row r="12" spans="1:6">
      <c r="B12" s="229"/>
      <c r="C12" s="301"/>
      <c r="D12" s="871"/>
      <c r="E12" s="209"/>
      <c r="F12" s="125"/>
    </row>
    <row r="13" spans="1:6">
      <c r="B13" s="229" t="s">
        <v>149</v>
      </c>
      <c r="C13" s="301">
        <f>SUM(DONNEES_LIASSE_RN!D251:D254)</f>
        <v>0</v>
      </c>
      <c r="D13" s="315">
        <f>SUM(DONNEES_LIASSE_RN!E251:E254)</f>
        <v>0</v>
      </c>
      <c r="E13" s="301">
        <f>SUM(DONNEES_LIASSE_RN!F251:F254)</f>
        <v>0</v>
      </c>
      <c r="F13" s="125"/>
    </row>
    <row r="14" spans="1:6" ht="7.5" customHeight="1">
      <c r="B14" s="229"/>
      <c r="C14" s="301"/>
      <c r="D14" s="871"/>
      <c r="E14" s="209"/>
      <c r="F14" s="125"/>
    </row>
    <row r="15" spans="1:6">
      <c r="B15" s="229" t="s">
        <v>150</v>
      </c>
      <c r="C15" s="301">
        <f>SUM(DONNEES_LIASSE_RN!D255:D265)</f>
        <v>156860</v>
      </c>
      <c r="D15" s="315">
        <f>SUM(DONNEES_LIASSE_RN!E255:E265)</f>
        <v>176398</v>
      </c>
      <c r="E15" s="301">
        <f>SUM(DONNEES_LIASSE_RN!F255:F265)</f>
        <v>201043</v>
      </c>
      <c r="F15" s="125"/>
    </row>
    <row r="16" spans="1:6" ht="7.5" customHeight="1">
      <c r="B16" s="229"/>
      <c r="C16" s="301"/>
      <c r="D16" s="871"/>
      <c r="E16" s="209"/>
      <c r="F16" s="125"/>
    </row>
    <row r="17" spans="1:6">
      <c r="B17" s="229" t="s">
        <v>151</v>
      </c>
      <c r="C17" s="301">
        <f>SUM(DONNEES_LIASSE_RN!D266:D268)</f>
        <v>4494</v>
      </c>
      <c r="D17" s="315">
        <f>SUM(DONNEES_LIASSE_RN!E266:E268)</f>
        <v>4494</v>
      </c>
      <c r="E17" s="301">
        <f>SUM(DONNEES_LIASSE_RN!F266:F268)</f>
        <v>4494</v>
      </c>
      <c r="F17" s="125"/>
    </row>
    <row r="18" spans="1:6">
      <c r="B18" s="229"/>
      <c r="C18" s="301"/>
      <c r="D18" s="871"/>
      <c r="E18" s="209"/>
      <c r="F18" s="125"/>
    </row>
    <row r="19" spans="1:6">
      <c r="A19" s="279"/>
      <c r="B19" s="298" t="s">
        <v>152</v>
      </c>
      <c r="C19" s="323">
        <f>C21+C23+C25+C27</f>
        <v>185211</v>
      </c>
      <c r="D19" s="321">
        <f>D21+D23+D25+D27</f>
        <v>161845</v>
      </c>
      <c r="E19" s="323">
        <f>E21+E23+E25+E27</f>
        <v>173327</v>
      </c>
      <c r="F19" s="300"/>
    </row>
    <row r="20" spans="1:6">
      <c r="B20" s="229"/>
      <c r="C20" s="301"/>
      <c r="D20" s="871"/>
      <c r="E20" s="209"/>
      <c r="F20" s="125"/>
    </row>
    <row r="21" spans="1:6">
      <c r="B21" s="229" t="s">
        <v>153</v>
      </c>
      <c r="C21" s="301">
        <f>SUM(DONNEES_LIASSE_RN!D270:D275)</f>
        <v>129992</v>
      </c>
      <c r="D21" s="315">
        <f>SUM(DONNEES_LIASSE_RN!E270:E275)</f>
        <v>112255</v>
      </c>
      <c r="E21" s="301">
        <f>SUM(DONNEES_LIASSE_RN!F270:F275)</f>
        <v>123966</v>
      </c>
      <c r="F21" s="125"/>
    </row>
    <row r="22" spans="1:6" ht="7.5" customHeight="1">
      <c r="B22" s="229"/>
      <c r="C22" s="301"/>
      <c r="D22" s="871"/>
      <c r="E22" s="209"/>
      <c r="F22" s="125"/>
    </row>
    <row r="23" spans="1:6">
      <c r="A23" s="202"/>
      <c r="B23" s="229" t="s">
        <v>365</v>
      </c>
      <c r="C23" s="301">
        <f>SUM(DONNEES_LIASSE_RN!D276:D278)</f>
        <v>8586</v>
      </c>
      <c r="D23" s="315">
        <f>SUM(DONNEES_LIASSE_RN!E276:E278)</f>
        <v>2451</v>
      </c>
      <c r="E23" s="301">
        <f>SUM(DONNEES_LIASSE_RN!F276:F278)</f>
        <v>1537</v>
      </c>
      <c r="F23" s="125"/>
    </row>
    <row r="24" spans="1:6" ht="7.5" customHeight="1">
      <c r="A24" s="606"/>
      <c r="B24" s="229"/>
      <c r="C24" s="301"/>
      <c r="D24" s="871"/>
      <c r="E24" s="209"/>
      <c r="F24" s="125"/>
    </row>
    <row r="25" spans="1:6">
      <c r="B25" s="229" t="str">
        <f>"Autres créances"</f>
        <v>Autres créances</v>
      </c>
      <c r="C25" s="301">
        <f>SUM(DONNEES_LIASSE_RN!D279)</f>
        <v>46633</v>
      </c>
      <c r="D25" s="315">
        <f>SUM(DONNEES_LIASSE_RN!E279)</f>
        <v>47139</v>
      </c>
      <c r="E25" s="301">
        <f>SUM(DONNEES_LIASSE_RN!F279)</f>
        <v>47824</v>
      </c>
      <c r="F25" s="125"/>
    </row>
    <row r="26" spans="1:6" ht="7.5" customHeight="1">
      <c r="B26" s="229"/>
      <c r="C26" s="301"/>
      <c r="D26" s="315"/>
      <c r="E26" s="209"/>
      <c r="F26" s="125"/>
    </row>
    <row r="27" spans="1:6">
      <c r="B27" s="229" t="s">
        <v>31</v>
      </c>
      <c r="C27" s="301">
        <f>SUM(DONNEES_LIASSE_RN!D280:D281)</f>
        <v>0</v>
      </c>
      <c r="D27" s="315">
        <f>SUM(DONNEES_LIASSE_RN!E280:E281)</f>
        <v>0</v>
      </c>
      <c r="E27" s="301">
        <f>SUM(DONNEES_LIASSE_RN!F280:F281)</f>
        <v>0</v>
      </c>
      <c r="F27" s="125"/>
    </row>
    <row r="28" spans="1:6">
      <c r="B28" s="229"/>
      <c r="C28" s="301"/>
      <c r="D28" s="871"/>
      <c r="E28" s="209"/>
      <c r="F28" s="125"/>
    </row>
    <row r="29" spans="1:6">
      <c r="A29" s="279"/>
      <c r="B29" s="298" t="s">
        <v>154</v>
      </c>
      <c r="C29" s="323">
        <f>DONNEES_LIASSE_RN!D282</f>
        <v>32</v>
      </c>
      <c r="D29" s="321">
        <f>DONNEES_LIASSE_RN!E282</f>
        <v>956</v>
      </c>
      <c r="E29" s="323">
        <f>DONNEES_LIASSE_RN!F282</f>
        <v>519</v>
      </c>
      <c r="F29" s="300"/>
    </row>
    <row r="30" spans="1:6">
      <c r="B30" s="229"/>
      <c r="C30" s="928"/>
      <c r="D30" s="871"/>
      <c r="E30" s="930"/>
      <c r="F30" s="125"/>
    </row>
    <row r="31" spans="1:6" ht="15">
      <c r="A31" s="302"/>
      <c r="B31" s="397" t="s">
        <v>80</v>
      </c>
      <c r="C31" s="391">
        <f>C11+C19+C29</f>
        <v>346597</v>
      </c>
      <c r="D31" s="391">
        <f>D11+D19+D29</f>
        <v>343693</v>
      </c>
      <c r="E31" s="391">
        <f>E11+E19+E29</f>
        <v>379383</v>
      </c>
      <c r="F31" s="303"/>
    </row>
    <row r="32" spans="1:6">
      <c r="C32" s="315"/>
      <c r="F32" s="304"/>
    </row>
    <row r="33" spans="1:8" ht="26.25" customHeight="1">
      <c r="C33" s="315"/>
      <c r="F33" s="304"/>
    </row>
    <row r="34" spans="1:8" ht="15">
      <c r="A34" s="305"/>
      <c r="B34" s="306" t="s">
        <v>155</v>
      </c>
      <c r="C34" s="396" t="str">
        <f>TEXT(FinExNAA,"jj/mm/aaaa")</f>
        <v>30/06/2017</v>
      </c>
      <c r="D34" s="396" t="str">
        <f>TEXT(FinExN1AA,"jj/mm/aaaa")</f>
        <v>30/06/2016</v>
      </c>
      <c r="E34" s="396" t="str">
        <f>TEXT(FinExN2AA,"jj/mm/aaaa")</f>
        <v>30/06/2015</v>
      </c>
      <c r="F34" s="307"/>
    </row>
    <row r="35" spans="1:8">
      <c r="C35" s="301"/>
      <c r="D35" s="209"/>
      <c r="E35" s="209"/>
      <c r="F35" s="212"/>
    </row>
    <row r="36" spans="1:8">
      <c r="B36" s="308" t="s">
        <v>156</v>
      </c>
      <c r="C36" s="323">
        <f>C38+C40+C42</f>
        <v>85086</v>
      </c>
      <c r="D36" s="323">
        <f>D38+D40+D42</f>
        <v>137529</v>
      </c>
      <c r="E36" s="323">
        <f>E38+E40+E42</f>
        <v>126953</v>
      </c>
      <c r="F36" s="309"/>
    </row>
    <row r="37" spans="1:8">
      <c r="C37" s="301"/>
      <c r="D37" s="209"/>
      <c r="E37" s="209"/>
      <c r="F37" s="212"/>
    </row>
    <row r="38" spans="1:8">
      <c r="B38" s="42" t="s">
        <v>157</v>
      </c>
      <c r="C38" s="301">
        <f>DONNEES_LIASSE_RN!D312</f>
        <v>112707</v>
      </c>
      <c r="D38" s="301">
        <f>DONNEES_LIASSE_RN!E312</f>
        <v>88325</v>
      </c>
      <c r="E38" s="301">
        <f>DONNEES_LIASSE_RN!F312</f>
        <v>110485</v>
      </c>
      <c r="F38" s="212"/>
    </row>
    <row r="39" spans="1:8" ht="7.5" customHeight="1">
      <c r="C39" s="301"/>
      <c r="D39" s="209"/>
      <c r="E39" s="209"/>
      <c r="F39" s="212"/>
    </row>
    <row r="40" spans="1:8">
      <c r="B40" s="42" t="s">
        <v>158</v>
      </c>
      <c r="C40" s="301">
        <f>SUM(DONNEES_LIASSE_RN!D313:D318)+DONNEES_LIASSE_RN!D320+DONNEES_LIASSE_RN!D321</f>
        <v>0</v>
      </c>
      <c r="D40" s="301">
        <f>SUM(DONNEES_LIASSE_RN!E313:E318)+DONNEES_LIASSE_RN!E320+DONNEES_LIASSE_RN!E321</f>
        <v>0</v>
      </c>
      <c r="E40" s="301">
        <f>SUM(DONNEES_LIASSE_RN!F313:F318)+DONNEES_LIASSE_RN!F320+DONNEES_LIASSE_RN!F321</f>
        <v>0</v>
      </c>
      <c r="F40" s="212"/>
    </row>
    <row r="41" spans="1:8" ht="7.5" customHeight="1">
      <c r="C41" s="301"/>
      <c r="D41" s="209"/>
      <c r="E41" s="209"/>
      <c r="F41" s="212"/>
    </row>
    <row r="42" spans="1:8">
      <c r="B42" s="946" t="str">
        <f xml:space="preserve"> "Résultat de l'exercice"</f>
        <v>Résultat de l'exercice</v>
      </c>
      <c r="C42" s="947">
        <f>DONNEES_LIASSE_RN!D319</f>
        <v>-27621</v>
      </c>
      <c r="D42" s="947">
        <f>DONNEES_LIASSE_RN!E319</f>
        <v>49204</v>
      </c>
      <c r="E42" s="947">
        <f>DONNEES_LIASSE_RN!F319</f>
        <v>16468</v>
      </c>
      <c r="F42" s="310"/>
    </row>
    <row r="43" spans="1:8">
      <c r="C43" s="301"/>
      <c r="D43" s="209"/>
      <c r="E43" s="209"/>
      <c r="F43" s="125"/>
    </row>
    <row r="44" spans="1:8">
      <c r="B44" s="308" t="s">
        <v>159</v>
      </c>
      <c r="C44" s="323">
        <f>DONNEES_LIASSE_RN!D323+DONNEES_LIASSE_RN!D324</f>
        <v>0</v>
      </c>
      <c r="D44" s="323">
        <f>DONNEES_LIASSE_RN!E323+DONNEES_LIASSE_RN!E324</f>
        <v>0</v>
      </c>
      <c r="E44" s="323">
        <f>DONNEES_LIASSE_RN!F323+DONNEES_LIASSE_RN!F324</f>
        <v>0</v>
      </c>
      <c r="F44" s="300"/>
    </row>
    <row r="45" spans="1:8">
      <c r="B45" s="271"/>
      <c r="C45" s="324"/>
      <c r="D45" s="322"/>
      <c r="E45" s="322"/>
      <c r="F45" s="300"/>
    </row>
    <row r="46" spans="1:8">
      <c r="B46" s="308" t="s">
        <v>160</v>
      </c>
      <c r="C46" s="323">
        <f>DONNEES_LIASSE_RN!D326+DONNEES_LIASSE_RN!D327</f>
        <v>91782</v>
      </c>
      <c r="D46" s="323">
        <f>DONNEES_LIASSE_RN!E326+DONNEES_LIASSE_RN!E327</f>
        <v>118012</v>
      </c>
      <c r="E46" s="323">
        <f>DONNEES_LIASSE_RN!F326+DONNEES_LIASSE_RN!F327</f>
        <v>79079</v>
      </c>
      <c r="F46" s="300"/>
      <c r="H46" s="870"/>
    </row>
    <row r="47" spans="1:8">
      <c r="B47" s="271"/>
      <c r="C47" s="324"/>
      <c r="D47" s="322"/>
      <c r="E47" s="322"/>
      <c r="F47" s="300"/>
    </row>
    <row r="48" spans="1:8">
      <c r="B48" s="308" t="s">
        <v>161</v>
      </c>
      <c r="C48" s="323">
        <f>C56+C54+C52+C50</f>
        <v>150103</v>
      </c>
      <c r="D48" s="323">
        <f>D56+D54+D52+D50</f>
        <v>88153</v>
      </c>
      <c r="E48" s="323">
        <f>E56+E54+E52+E50</f>
        <v>173351</v>
      </c>
      <c r="F48" s="300"/>
    </row>
    <row r="49" spans="1:6">
      <c r="C49" s="301"/>
      <c r="D49" s="209"/>
      <c r="E49" s="209"/>
      <c r="F49" s="125"/>
    </row>
    <row r="50" spans="1:6">
      <c r="B50" s="42" t="s">
        <v>162</v>
      </c>
      <c r="C50" s="301">
        <f>DONNEES_LIASSE_RN!D329</f>
        <v>1079</v>
      </c>
      <c r="D50" s="301">
        <f>DONNEES_LIASSE_RN!E329</f>
        <v>840</v>
      </c>
      <c r="E50" s="301">
        <f>DONNEES_LIASSE_RN!F329</f>
        <v>966</v>
      </c>
      <c r="F50" s="125"/>
    </row>
    <row r="51" spans="1:6" ht="7.5" customHeight="1">
      <c r="C51" s="301"/>
      <c r="D51" s="209"/>
      <c r="E51" s="209"/>
      <c r="F51" s="125"/>
    </row>
    <row r="52" spans="1:6">
      <c r="B52" s="42" t="s">
        <v>163</v>
      </c>
      <c r="C52" s="301">
        <f>DONNEES_LIASSE_RN!D331+DONNEES_LIASSE_RN!D332</f>
        <v>69934</v>
      </c>
      <c r="D52" s="301">
        <f>DONNEES_LIASSE_RN!E331+DONNEES_LIASSE_RN!E332</f>
        <v>48045</v>
      </c>
      <c r="E52" s="301">
        <f>DONNEES_LIASSE_RN!F331+DONNEES_LIASSE_RN!F332</f>
        <v>58906</v>
      </c>
      <c r="F52" s="125"/>
    </row>
    <row r="53" spans="1:6" ht="7.5" customHeight="1">
      <c r="C53" s="301"/>
      <c r="D53" s="209"/>
      <c r="E53" s="209"/>
      <c r="F53" s="125"/>
    </row>
    <row r="54" spans="1:6">
      <c r="B54" s="42" t="s">
        <v>164</v>
      </c>
      <c r="C54" s="301">
        <f>DONNEES_LIASSE_RN!D333+DONNEES_LIASSE_RN!D334+DONNEES_LIASSE_RN!D335+DONNEES_LIASSE_RN!D330</f>
        <v>7541</v>
      </c>
      <c r="D54" s="301">
        <f>DONNEES_LIASSE_RN!E333+DONNEES_LIASSE_RN!E334+DONNEES_LIASSE_RN!E335+DONNEES_LIASSE_RN!E330</f>
        <v>14134</v>
      </c>
      <c r="E54" s="301">
        <f>DONNEES_LIASSE_RN!F333+DONNEES_LIASSE_RN!F334+DONNEES_LIASSE_RN!F335+DONNEES_LIASSE_RN!F330</f>
        <v>14532</v>
      </c>
      <c r="F54" s="125"/>
    </row>
    <row r="55" spans="1:6" ht="7.5" customHeight="1">
      <c r="C55" s="301"/>
      <c r="D55" s="209"/>
      <c r="E55" s="209"/>
      <c r="F55" s="125"/>
    </row>
    <row r="56" spans="1:6">
      <c r="B56" s="42" t="s">
        <v>165</v>
      </c>
      <c r="C56" s="301">
        <f>DONNEES_LIASSE_RN!D328</f>
        <v>71549</v>
      </c>
      <c r="D56" s="301">
        <f>DONNEES_LIASSE_RN!E328</f>
        <v>25134</v>
      </c>
      <c r="E56" s="301">
        <f>DONNEES_LIASSE_RN!F328</f>
        <v>98947</v>
      </c>
      <c r="F56" s="125"/>
    </row>
    <row r="57" spans="1:6">
      <c r="C57" s="301"/>
      <c r="D57" s="209"/>
      <c r="E57" s="209"/>
      <c r="F57" s="125"/>
    </row>
    <row r="58" spans="1:6">
      <c r="B58" s="308" t="s">
        <v>166</v>
      </c>
      <c r="C58" s="323">
        <f>DONNEES_LIASSE_RN!D336</f>
        <v>19625</v>
      </c>
      <c r="D58" s="323">
        <f>DONNEES_LIASSE_RN!E336</f>
        <v>0</v>
      </c>
      <c r="E58" s="323">
        <f>DONNEES_LIASSE_RN!F336</f>
        <v>0</v>
      </c>
      <c r="F58" s="219"/>
    </row>
    <row r="59" spans="1:6" ht="9.75" customHeight="1">
      <c r="C59" s="301"/>
      <c r="D59" s="209"/>
      <c r="E59" s="209"/>
      <c r="F59" s="125"/>
    </row>
    <row r="60" spans="1:6" ht="15">
      <c r="A60" s="302"/>
      <c r="B60" s="390" t="s">
        <v>80</v>
      </c>
      <c r="C60" s="391">
        <f>C36+C44+C46+C48+C58</f>
        <v>346596</v>
      </c>
      <c r="D60" s="391">
        <f>D36+D44+D46+D48+D58</f>
        <v>343694</v>
      </c>
      <c r="E60" s="391">
        <f>E36+E44+E46+E48+E58</f>
        <v>379383</v>
      </c>
      <c r="F60" s="311"/>
    </row>
    <row r="61" spans="1:6" ht="7.5" customHeight="1"/>
    <row r="63" spans="1:6" ht="7.5" customHeight="1"/>
    <row r="64" spans="1:6">
      <c r="B64" s="155" t="str">
        <f>TRIM(CivilAdht&amp; " " &amp; NomAdht)</f>
        <v/>
      </c>
      <c r="C64" s="325"/>
      <c r="D64" s="326"/>
      <c r="E64" s="326"/>
    </row>
    <row r="65" spans="2:5">
      <c r="B65" s="200"/>
      <c r="C65" s="325"/>
      <c r="D65" s="326"/>
      <c r="E65" s="326"/>
    </row>
    <row r="66" spans="2:5" hidden="1" outlineLevel="1"/>
    <row r="67" spans="2:5" hidden="1" outlineLevel="1"/>
    <row r="68" spans="2:5" hidden="1" outlineLevel="1"/>
    <row r="69" spans="2:5" hidden="1" outlineLevel="1">
      <c r="B69" s="42" t="str">
        <f>FinExN</f>
        <v>30/06/2017</v>
      </c>
    </row>
    <row r="70" spans="2:5" hidden="1" outlineLevel="1">
      <c r="B70" s="42" t="str">
        <f>LEFT(B69,5)</f>
        <v>30/06</v>
      </c>
    </row>
    <row r="71" spans="2:5" hidden="1" outlineLevel="1">
      <c r="B71" s="42" t="str">
        <f>RIGHT(B70,2)</f>
        <v>06</v>
      </c>
    </row>
    <row r="72" spans="2:5" hidden="1" outlineLevel="1">
      <c r="B72" s="42" t="str">
        <f>IF(OR(B71="06",B71="05"), "*Influencé par la présence d'une créance DPU de la récolte suivante", " ")</f>
        <v>*Influencé par la présence d'une créance DPU de la récolte suivante</v>
      </c>
    </row>
    <row r="73" spans="2:5" collapsed="1"/>
  </sheetData>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oddFooter>Page &amp;P</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7">
    <tabColor theme="6"/>
  </sheetPr>
  <dimension ref="A1:M64"/>
  <sheetViews>
    <sheetView showZeros="0" zoomScaleNormal="100" workbookViewId="0">
      <selection activeCell="C10" sqref="C10"/>
    </sheetView>
  </sheetViews>
  <sheetFormatPr baseColWidth="10" defaultRowHeight="12.75" outlineLevelRow="1" outlineLevelCol="1"/>
  <cols>
    <col min="1" max="1" width="2.7109375" style="877" customWidth="1"/>
    <col min="2" max="2" width="3.7109375" style="42" customWidth="1"/>
    <col min="3" max="3" width="45.140625" style="42" customWidth="1"/>
    <col min="4" max="4" width="2.7109375" style="42" customWidth="1"/>
    <col min="5" max="7" width="11.7109375" style="42" customWidth="1"/>
    <col min="8" max="8" width="2.7109375" style="42" customWidth="1"/>
    <col min="9" max="12" width="11.42578125" style="877" hidden="1" customWidth="1" outlineLevel="1"/>
    <col min="13" max="13" width="11.42578125" style="877" collapsed="1"/>
    <col min="14" max="16384" width="11.42578125" style="877"/>
  </cols>
  <sheetData>
    <row r="1" spans="1:11">
      <c r="A1" s="4"/>
      <c r="B1" s="125"/>
      <c r="C1" s="125"/>
      <c r="D1" s="125"/>
      <c r="E1" s="125"/>
      <c r="F1" s="125"/>
      <c r="G1" s="125"/>
      <c r="H1" s="125"/>
    </row>
    <row r="2" spans="1:11" ht="6.75" customHeight="1">
      <c r="A2" s="4"/>
      <c r="B2" s="125"/>
      <c r="C2" s="125"/>
      <c r="D2" s="125"/>
      <c r="E2" s="125"/>
      <c r="F2" s="125"/>
      <c r="G2" s="125"/>
      <c r="H2" s="125"/>
    </row>
    <row r="3" spans="1:11">
      <c r="A3" s="4"/>
      <c r="B3" s="125"/>
      <c r="C3" s="125"/>
      <c r="D3" s="125"/>
      <c r="E3" s="125"/>
      <c r="F3" s="125"/>
      <c r="G3" s="125"/>
      <c r="H3" s="125"/>
    </row>
    <row r="4" spans="1:11">
      <c r="A4" s="4"/>
      <c r="B4" s="125"/>
      <c r="C4" s="125"/>
      <c r="D4" s="125"/>
      <c r="E4" s="125"/>
      <c r="F4" s="125"/>
      <c r="G4" s="125"/>
      <c r="H4" s="125"/>
    </row>
    <row r="5" spans="1:11">
      <c r="A5" s="4"/>
      <c r="B5" s="125"/>
      <c r="C5" s="125"/>
      <c r="D5" s="125"/>
      <c r="E5" s="125"/>
      <c r="F5" s="125"/>
      <c r="G5" s="125"/>
      <c r="H5" s="125"/>
    </row>
    <row r="6" spans="1:11">
      <c r="A6" s="4"/>
      <c r="B6" s="125"/>
      <c r="C6" s="125"/>
      <c r="D6" s="125"/>
      <c r="E6" s="125"/>
      <c r="F6" s="125"/>
      <c r="G6" s="125"/>
      <c r="H6" s="125"/>
    </row>
    <row r="7" spans="1:11" ht="17.25" customHeight="1">
      <c r="A7" s="4"/>
      <c r="B7" s="327"/>
      <c r="C7" s="328"/>
      <c r="D7" s="327"/>
      <c r="E7" s="327"/>
      <c r="F7" s="327"/>
      <c r="G7" s="225"/>
      <c r="H7" s="125"/>
    </row>
    <row r="8" spans="1:11">
      <c r="A8" s="4"/>
      <c r="B8" s="125"/>
      <c r="C8" s="125"/>
      <c r="D8" s="125"/>
      <c r="E8" s="125"/>
      <c r="F8" s="125"/>
      <c r="G8" s="125"/>
      <c r="H8" s="125"/>
    </row>
    <row r="9" spans="1:11">
      <c r="A9" s="4"/>
      <c r="B9" s="125"/>
      <c r="C9" s="125"/>
      <c r="D9" s="125"/>
      <c r="E9" s="125"/>
      <c r="F9" s="125"/>
      <c r="G9" s="125"/>
      <c r="H9" s="125"/>
    </row>
    <row r="10" spans="1:11">
      <c r="A10" s="4"/>
      <c r="B10" s="125"/>
      <c r="C10" s="125"/>
      <c r="D10" s="125"/>
      <c r="E10" s="125"/>
      <c r="F10" s="125"/>
      <c r="G10" s="125"/>
      <c r="H10" s="125"/>
    </row>
    <row r="11" spans="1:11">
      <c r="A11" s="4"/>
      <c r="B11" s="125"/>
      <c r="C11" s="125"/>
      <c r="D11" s="125"/>
      <c r="E11" s="329"/>
      <c r="F11" s="329"/>
      <c r="G11" s="329"/>
      <c r="H11" s="125"/>
    </row>
    <row r="12" spans="1:11">
      <c r="A12" s="4"/>
      <c r="B12" s="125"/>
      <c r="C12" s="125"/>
      <c r="D12" s="125"/>
      <c r="E12" s="229"/>
      <c r="F12" s="229"/>
      <c r="G12" s="228"/>
      <c r="H12" s="125"/>
      <c r="I12" s="4" t="str">
        <f>TEXT(FinExNAA,"jj/mm/aaaa")</f>
        <v>30/06/2017</v>
      </c>
      <c r="J12" s="4" t="str">
        <f>TEXT(FinExN1AA,"jj/mm/aaaa")</f>
        <v>30/06/2016</v>
      </c>
      <c r="K12" s="4" t="str">
        <f>TEXT(FinExN2AA,"jj/mm/aaaa")</f>
        <v>30/06/2015</v>
      </c>
    </row>
    <row r="13" spans="1:11" ht="15">
      <c r="A13" s="4"/>
      <c r="B13" s="125"/>
      <c r="C13" s="330" t="s">
        <v>144</v>
      </c>
      <c r="D13" s="125"/>
      <c r="E13" s="737"/>
      <c r="F13" s="359"/>
      <c r="G13" s="343"/>
      <c r="H13" s="125"/>
    </row>
    <row r="14" spans="1:11" ht="9" customHeight="1">
      <c r="A14" s="4"/>
      <c r="B14" s="125"/>
      <c r="C14" s="361"/>
      <c r="D14" s="125"/>
      <c r="E14" s="854"/>
      <c r="F14" s="362"/>
      <c r="G14" s="344"/>
      <c r="H14" s="125"/>
    </row>
    <row r="15" spans="1:11" ht="6" customHeight="1">
      <c r="A15" s="4"/>
      <c r="B15" s="125"/>
      <c r="C15" s="125"/>
      <c r="D15" s="125"/>
      <c r="E15" s="854"/>
      <c r="F15" s="362"/>
      <c r="G15" s="344"/>
      <c r="H15" s="125"/>
    </row>
    <row r="16" spans="1:11" ht="15">
      <c r="A16" s="4"/>
      <c r="B16" s="237" t="s">
        <v>452</v>
      </c>
      <c r="C16" s="125"/>
      <c r="D16" s="125"/>
      <c r="E16" s="854"/>
      <c r="F16" s="364"/>
      <c r="G16" s="344"/>
      <c r="H16" s="125"/>
    </row>
    <row r="17" spans="1:8">
      <c r="A17" s="4"/>
      <c r="B17" s="125"/>
      <c r="C17" s="125"/>
      <c r="D17" s="125"/>
      <c r="E17" s="854"/>
      <c r="F17" s="362"/>
      <c r="G17" s="344"/>
      <c r="H17" s="125"/>
    </row>
    <row r="18" spans="1:8">
      <c r="A18" s="4"/>
      <c r="B18" s="125"/>
      <c r="C18" s="333" t="s">
        <v>32</v>
      </c>
      <c r="D18" s="125"/>
      <c r="E18" s="354" t="str">
        <f>FIXED((('A_Compte Résultat &amp; SIG NEX '!C39/'A_Compte Résultat &amp; SIG NEX '!C18)*100),2)&amp;" "&amp;"%"</f>
        <v>-7,05 %</v>
      </c>
      <c r="F18" s="937" t="str">
        <f>FIXED((('A_Compte Résultat &amp; SIG NEX '!E39/'A_Compte Résultat &amp; SIG NEX '!E18)*100),2)&amp;" "&amp;"%"</f>
        <v>26,60 %</v>
      </c>
      <c r="G18" s="347" t="str">
        <f>FIXED((('A_Compte Résultat &amp; SIG NEX '!G39/'A_Compte Résultat &amp; SIG NEX '!G18)*100),2)&amp;" "&amp;"%"</f>
        <v>22,90 %</v>
      </c>
      <c r="H18" s="125"/>
    </row>
    <row r="19" spans="1:8">
      <c r="A19" s="4"/>
      <c r="B19" s="125"/>
      <c r="C19" s="335" t="s">
        <v>33</v>
      </c>
      <c r="D19" s="125"/>
      <c r="E19" s="931"/>
      <c r="F19" s="367"/>
      <c r="G19" s="349"/>
      <c r="H19" s="125"/>
    </row>
    <row r="20" spans="1:8">
      <c r="A20" s="4"/>
      <c r="B20" s="125"/>
      <c r="C20" s="125"/>
      <c r="D20" s="125"/>
      <c r="E20" s="932"/>
      <c r="F20" s="369"/>
      <c r="G20" s="351"/>
      <c r="H20" s="125"/>
    </row>
    <row r="21" spans="1:8" ht="15">
      <c r="A21" s="4"/>
      <c r="B21" s="237" t="str">
        <f>"Autonomie financière"</f>
        <v>Autonomie financière</v>
      </c>
      <c r="C21" s="125"/>
      <c r="D21" s="125"/>
      <c r="E21" s="933"/>
      <c r="F21" s="371"/>
      <c r="G21" s="353"/>
      <c r="H21" s="125"/>
    </row>
    <row r="22" spans="1:8">
      <c r="A22" s="4"/>
      <c r="B22" s="125"/>
      <c r="C22" s="125"/>
      <c r="D22" s="125"/>
      <c r="E22" s="932"/>
      <c r="F22" s="369"/>
      <c r="G22" s="351"/>
      <c r="H22" s="125"/>
    </row>
    <row r="23" spans="1:8">
      <c r="A23" s="4"/>
      <c r="B23" s="125"/>
      <c r="C23" s="333" t="s">
        <v>34</v>
      </c>
      <c r="D23" s="125"/>
      <c r="E23" s="354" t="str">
        <f>FIXED((('A_Bilan NEX'!C36/'A_Bilan NEX'!C60)*100),2)&amp;" "&amp;"%"</f>
        <v>24,55 %</v>
      </c>
      <c r="F23" s="937" t="str">
        <f>FIXED((('A_Bilan NEX'!D36/'A_Bilan NEX'!D60)*100),2)&amp;" "&amp;"%"</f>
        <v>40,01 %</v>
      </c>
      <c r="G23" s="347" t="str">
        <f>FIXED((('A_Bilan NEX'!E36/'A_Bilan NEX'!E60)*100),2)&amp;" "&amp;"%"</f>
        <v>33,46 %</v>
      </c>
      <c r="H23" s="125"/>
    </row>
    <row r="24" spans="1:8">
      <c r="A24" s="4"/>
      <c r="B24" s="125"/>
      <c r="C24" s="335" t="s">
        <v>35</v>
      </c>
      <c r="D24" s="125"/>
      <c r="E24" s="932"/>
      <c r="F24" s="369"/>
      <c r="G24" s="351"/>
      <c r="H24" s="125"/>
    </row>
    <row r="25" spans="1:8">
      <c r="A25" s="4"/>
      <c r="B25" s="125"/>
      <c r="C25" s="125"/>
      <c r="D25" s="125"/>
      <c r="E25" s="932"/>
      <c r="F25" s="369"/>
      <c r="G25" s="351"/>
      <c r="H25" s="125"/>
    </row>
    <row r="26" spans="1:8" ht="15">
      <c r="A26" s="4"/>
      <c r="B26" s="237" t="s">
        <v>305</v>
      </c>
      <c r="C26" s="125"/>
      <c r="D26" s="125"/>
      <c r="E26" s="932"/>
      <c r="F26" s="369"/>
      <c r="G26" s="351"/>
      <c r="H26" s="125"/>
    </row>
    <row r="27" spans="1:8">
      <c r="A27" s="4"/>
      <c r="B27" s="125"/>
      <c r="C27" s="125"/>
      <c r="D27" s="125"/>
      <c r="E27" s="932"/>
      <c r="F27" s="369"/>
      <c r="G27" s="351"/>
      <c r="H27" s="125"/>
    </row>
    <row r="28" spans="1:8">
      <c r="A28" s="4"/>
      <c r="B28" s="125"/>
      <c r="C28" s="333" t="s">
        <v>141</v>
      </c>
      <c r="D28" s="125"/>
      <c r="E28" s="373" t="str">
        <f>FIXED((DONNEES_LIASSE_RN!D382-DONNEES_LIASSE_RN!D383-DONNEES_LIASSE_RN!D384-DONNEES_LIASSE_RN!D385-DONNEES_LIASSE_RN!D386)/(DONNEES_LIASSE_RN!D392+DONNEES_LIASSE_RN!D393+DONNEES_LIASSE_RN!D394+DONNEES_LIASSE_RN!D395),4)*100&amp;" "&amp;"%"</f>
        <v>95,32 %</v>
      </c>
      <c r="F28" s="365" t="str">
        <f>FIXED((DONNEES_LIASSE_RN!E382-DONNEES_LIASSE_RN!E383-DONNEES_LIASSE_RN!E384-DONNEES_LIASSE_RN!E385-DONNEES_LIASSE_RN!E386)/(DONNEES_LIASSE_RN!E392+DONNEES_LIASSE_RN!E393+DONNEES_LIASSE_RN!E394+DONNEES_LIASSE_RN!E395),4)*100&amp;" "&amp;"%"</f>
        <v>91,44 %</v>
      </c>
      <c r="G28" s="938" t="str">
        <f>FIXED((DONNEES_LIASSE_RN!F382-DONNEES_LIASSE_RN!F383-DONNEES_LIASSE_RN!F384-DONNEES_LIASSE_RN!F385-DONNEES_LIASSE_RN!F386)/(DONNEES_LIASSE_RN!F392+DONNEES_LIASSE_RN!F393+DONNEES_LIASSE_RN!F394+DONNEES_LIASSE_RN!F395),4)*100&amp;" "&amp;"%"</f>
        <v>107,24 %</v>
      </c>
      <c r="H28" s="125"/>
    </row>
    <row r="29" spans="1:8">
      <c r="A29" s="4"/>
      <c r="B29" s="125"/>
      <c r="C29" s="335" t="s">
        <v>142</v>
      </c>
      <c r="D29" s="125"/>
      <c r="E29" s="932"/>
      <c r="F29" s="369"/>
      <c r="G29" s="351"/>
      <c r="H29" s="125"/>
    </row>
    <row r="30" spans="1:8">
      <c r="A30" s="4"/>
      <c r="B30" s="125"/>
      <c r="C30" s="125"/>
      <c r="D30" s="125"/>
      <c r="E30" s="932"/>
      <c r="F30" s="369"/>
      <c r="G30" s="351"/>
      <c r="H30" s="125"/>
    </row>
    <row r="31" spans="1:8" ht="15">
      <c r="A31" s="4"/>
      <c r="B31" s="237" t="str">
        <f>"Solvabilité à court terme"</f>
        <v>Solvabilité à court terme</v>
      </c>
      <c r="C31" s="125"/>
      <c r="D31" s="125"/>
      <c r="E31" s="932"/>
      <c r="F31" s="369"/>
      <c r="G31" s="351"/>
      <c r="H31" s="125"/>
    </row>
    <row r="32" spans="1:8">
      <c r="A32" s="4"/>
      <c r="B32" s="125"/>
      <c r="C32" s="125"/>
      <c r="D32" s="125"/>
      <c r="E32" s="932"/>
      <c r="F32" s="369"/>
      <c r="G32" s="939"/>
      <c r="H32" s="125"/>
    </row>
    <row r="33" spans="1:9">
      <c r="A33" s="4"/>
      <c r="B33" s="125"/>
      <c r="C33" s="333" t="s">
        <v>36</v>
      </c>
      <c r="D33" s="125"/>
      <c r="E33" s="943" t="str">
        <f>FIXED(((DONNEES_LIASSE_RN!D265+DONNEES_LIASSE_RN!D267+DONNEES_LIASSE_RN!D268+DONNEES_LIASSE_RN!D276+DONNEES_LIASSE_RN!D277+DONNEES_LIASSE_RN!D278+DONNEES_LIASSE_RN!D279+DONNEES_LIASSE_RN!D280+DONNEES_LIASSE_RN!D281+DONNEES_LIASSE_RN!D282-DONNEES_LIASSE_RN!D402)/(DONNEES_LIASSE_RN!D337-DONNEES_LIASSE_RN!D336-DONNEES_LIASSE_RN!D327-DONNEES_LIASSE_RN!D403-'1_INFO_C'!D45)),4)*100&amp;" "&amp;"%"</f>
        <v>38,67 %</v>
      </c>
      <c r="F33" s="944" t="str">
        <f>FIXED(((DONNEES_LIASSE_RN!E265+DONNEES_LIASSE_RN!E267+DONNEES_LIASSE_RN!E268+DONNEES_LIASSE_RN!E276+DONNEES_LIASSE_RN!E277+DONNEES_LIASSE_RN!E278+DONNEES_LIASSE_RN!E279+DONNEES_LIASSE_RN!E280+DONNEES_LIASSE_RN!E281+DONNEES_LIASSE_RN!E282-DONNEES_LIASSE_RN!E402)/(DONNEES_LIASSE_RN!E337-DONNEES_LIASSE_RN!E336-DONNEES_LIASSE_RN!E327-DONNEES_LIASSE_RN!E403-'1_INFO_C'!E45)),4)*100&amp;" "&amp;"%"</f>
        <v>60,5 %</v>
      </c>
      <c r="G33" s="945" t="str">
        <f>FIXED(((DONNEES_LIASSE_RN!F265+DONNEES_LIASSE_RN!F267+DONNEES_LIASSE_RN!F268+DONNEES_LIASSE_RN!F276+DONNEES_LIASSE_RN!F277+DONNEES_LIASSE_RN!F278+DONNEES_LIASSE_RN!F279+DONNEES_LIASSE_RN!F280+DONNEES_LIASSE_RN!F281+DONNEES_LIASSE_RN!F282-DONNEES_LIASSE_RN!F402)/(DONNEES_LIASSE_RN!F337-DONNEES_LIASSE_RN!F336-DONNEES_LIASSE_RN!F327-DONNEES_LIASSE_RN!F403-'1_INFO_C'!F45)),4)*100&amp;" "&amp;"%"</f>
        <v>30,38 %</v>
      </c>
      <c r="H33" s="125"/>
    </row>
    <row r="34" spans="1:9">
      <c r="A34" s="4"/>
      <c r="B34" s="125"/>
      <c r="C34" s="335" t="s">
        <v>37</v>
      </c>
      <c r="D34" s="125"/>
      <c r="E34" s="932"/>
      <c r="F34" s="369"/>
      <c r="G34" s="351"/>
      <c r="H34" s="125"/>
    </row>
    <row r="35" spans="1:9">
      <c r="A35" s="4"/>
      <c r="B35" s="125"/>
      <c r="C35" s="125"/>
      <c r="D35" s="125"/>
      <c r="E35" s="932"/>
      <c r="F35" s="369"/>
      <c r="G35" s="351"/>
      <c r="H35" s="125"/>
    </row>
    <row r="36" spans="1:9" ht="15">
      <c r="A36" s="4"/>
      <c r="B36" s="237" t="str">
        <f xml:space="preserve"> "Ratio d'endettement "</f>
        <v xml:space="preserve">Ratio d'endettement </v>
      </c>
      <c r="C36" s="125"/>
      <c r="D36" s="125"/>
      <c r="E36" s="932"/>
      <c r="F36" s="369"/>
      <c r="G36" s="351"/>
      <c r="H36" s="125"/>
    </row>
    <row r="37" spans="1:9">
      <c r="A37" s="4"/>
      <c r="B37" s="125"/>
      <c r="C37" s="125"/>
      <c r="D37" s="125"/>
      <c r="E37" s="932"/>
      <c r="F37" s="369"/>
      <c r="G37" s="351"/>
      <c r="H37" s="125"/>
    </row>
    <row r="38" spans="1:9">
      <c r="A38" s="4"/>
      <c r="B38" s="125"/>
      <c r="C38" s="333" t="s">
        <v>143</v>
      </c>
      <c r="D38" s="125"/>
      <c r="E38" s="373" t="str">
        <f>FIXED(((('A_Bilan NEX'!C46+'A_Bilan NEX'!C48+'A_Bilan NEX'!C58)/'A_Bilan NEX'!C60)*100),2)&amp;" "&amp;"%"</f>
        <v>75,45 %</v>
      </c>
      <c r="F38" s="365" t="str">
        <f>FIXED(((('A_Bilan NEX'!D46+'A_Bilan NEX'!D48+'A_Bilan NEX'!D58)/'A_Bilan NEX'!D60)*100),2)&amp;" "&amp;"%"</f>
        <v>59,99 %</v>
      </c>
      <c r="G38" s="938" t="str">
        <f>FIXED(((('A_Bilan NEX'!E46+'A_Bilan NEX'!E48+'A_Bilan NEX'!E58)/'A_Bilan NEX'!E60)*100),2)&amp;" "&amp;"%"</f>
        <v>66,54 %</v>
      </c>
      <c r="H38" s="125"/>
    </row>
    <row r="39" spans="1:9">
      <c r="A39" s="4"/>
      <c r="B39" s="125"/>
      <c r="C39" s="335" t="s">
        <v>35</v>
      </c>
      <c r="D39" s="125"/>
      <c r="E39" s="932"/>
      <c r="F39" s="369"/>
      <c r="G39" s="351"/>
      <c r="H39" s="125"/>
    </row>
    <row r="40" spans="1:9">
      <c r="A40" s="4"/>
      <c r="B40" s="125"/>
      <c r="C40" s="335"/>
      <c r="D40" s="125"/>
      <c r="E40" s="932"/>
      <c r="F40" s="369"/>
      <c r="G40" s="351"/>
      <c r="H40" s="125"/>
    </row>
    <row r="41" spans="1:9">
      <c r="A41" s="4"/>
      <c r="B41" s="125"/>
      <c r="C41" s="335"/>
      <c r="D41" s="125"/>
      <c r="E41" s="932"/>
      <c r="F41" s="369"/>
      <c r="G41" s="351"/>
      <c r="H41" s="125"/>
    </row>
    <row r="42" spans="1:9" ht="6.75" customHeight="1">
      <c r="A42" s="4"/>
      <c r="B42" s="125"/>
      <c r="C42" s="125"/>
      <c r="D42" s="125"/>
      <c r="E42" s="932"/>
      <c r="F42" s="369"/>
      <c r="G42" s="351"/>
      <c r="H42" s="125"/>
    </row>
    <row r="43" spans="1:9" ht="9.75" customHeight="1">
      <c r="A43" s="4"/>
      <c r="B43" s="237"/>
      <c r="C43" s="125"/>
      <c r="D43" s="125"/>
      <c r="E43" s="932"/>
      <c r="F43" s="369"/>
      <c r="G43" s="351"/>
      <c r="H43" s="125"/>
    </row>
    <row r="44" spans="1:9" ht="15">
      <c r="A44" s="4"/>
      <c r="B44" s="125"/>
      <c r="C44" s="330" t="s">
        <v>145</v>
      </c>
      <c r="D44" s="125"/>
      <c r="E44" s="932"/>
      <c r="F44" s="369"/>
      <c r="G44" s="351"/>
      <c r="H44" s="125"/>
    </row>
    <row r="45" spans="1:9" ht="15">
      <c r="A45" s="4"/>
      <c r="B45" s="125"/>
      <c r="C45" s="361"/>
      <c r="D45" s="125"/>
      <c r="E45" s="932"/>
      <c r="F45" s="369"/>
      <c r="G45" s="351"/>
      <c r="H45" s="125"/>
    </row>
    <row r="46" spans="1:9" ht="15">
      <c r="A46" s="4"/>
      <c r="B46" s="237" t="s">
        <v>146</v>
      </c>
      <c r="C46" s="125"/>
      <c r="D46" s="125"/>
      <c r="E46" s="373">
        <f>'A_Compte Résultat &amp; SIG NEX '!D18</f>
        <v>1189.1977777777779</v>
      </c>
      <c r="F46" s="365">
        <f>'A_Compte Résultat &amp; SIG NEX '!F18</f>
        <v>1852.0629083831502</v>
      </c>
      <c r="G46" s="938">
        <f>'A_Compte Résultat &amp; SIG NEX '!H18</f>
        <v>1818.3902405116082</v>
      </c>
      <c r="H46" s="125"/>
    </row>
    <row r="47" spans="1:9" ht="15">
      <c r="A47" s="4"/>
      <c r="B47" s="237"/>
      <c r="C47" s="125"/>
      <c r="D47" s="125"/>
      <c r="E47" s="934"/>
      <c r="F47" s="376"/>
      <c r="G47" s="940"/>
      <c r="H47" s="125"/>
    </row>
    <row r="48" spans="1:9" ht="15">
      <c r="A48" s="4"/>
      <c r="B48" s="237" t="s">
        <v>207</v>
      </c>
      <c r="C48" s="125"/>
      <c r="D48" s="125"/>
      <c r="E48" s="373">
        <f>'A_Compte Résultat &amp; SIG NEX '!D20+'A_Compte Résultat &amp; SIG NEX '!D21+'A_Compte Résultat &amp; SIG NEX '!D22+'A_Compte Résultat &amp; SIG NEX '!D26+'A_Compte Résultat &amp; SIG NEX '!D27+'A_Compte Résultat &amp; SIG NEX '!D29+'A_Compte Résultat &amp; SIG NEX '!D30+'A_Compte Résultat &amp; SIG NEX '!D31+'A_Compte Résultat &amp; SIG NEX '!D33+'A_Compte Résultat &amp; SIG NEX '!D34+'A_Compte Résultat &amp; SIG NEX '!D35+'A_Compte Résultat &amp; SIG NEX '!D36+'A_Compte Résultat &amp; SIG NEX '!D37+'A_Compte Résultat &amp; SIG NEX '!D41+'A_Compte Résultat &amp; SIG NEX '!D42+'A_Compte Résultat &amp; SIG NEX '!D44</f>
        <v>1434.5694444444446</v>
      </c>
      <c r="F48" s="365">
        <f>'A_Compte Résultat &amp; SIG NEX '!F20+'A_Compte Résultat &amp; SIG NEX '!F21+'A_Compte Résultat &amp; SIG NEX '!F22+'A_Compte Résultat &amp; SIG NEX '!F26+'A_Compte Résultat &amp; SIG NEX '!F27+'A_Compte Résultat &amp; SIG NEX '!F29+'A_Compte Résultat &amp; SIG NEX '!F30+'A_Compte Résultat &amp; SIG NEX '!F31+'A_Compte Résultat &amp; SIG NEX '!F33+'A_Compte Résultat &amp; SIG NEX '!F34+'A_Compte Résultat &amp; SIG NEX '!F35+'A_Compte Résultat &amp; SIG NEX '!F36+'A_Compte Résultat &amp; SIG NEX '!F37+'A_Compte Résultat &amp; SIG NEX '!F41+'A_Compte Résultat &amp; SIG NEX '!F42+'A_Compte Résultat &amp; SIG NEX '!F44</f>
        <v>1555.1160850827191</v>
      </c>
      <c r="G48" s="938">
        <f>'A_Compte Résultat &amp; SIG NEX '!H20+'A_Compte Résultat &amp; SIG NEX '!H21+'A_Compte Résultat &amp; SIG NEX '!H22+'A_Compte Résultat &amp; SIG NEX '!H26+'A_Compte Résultat &amp; SIG NEX '!H27+'A_Compte Résultat &amp; SIG NEX '!H29+'A_Compte Résultat &amp; SIG NEX '!H30+'A_Compte Résultat &amp; SIG NEX '!H31+'A_Compte Résultat &amp; SIG NEX '!H33+'A_Compte Résultat &amp; SIG NEX '!H34+'A_Compte Résultat &amp; SIG NEX '!H35+'A_Compte Résultat &amp; SIG NEX '!H36+'A_Compte Résultat &amp; SIG NEX '!H37+'A_Compte Résultat &amp; SIG NEX '!H41+'A_Compte Résultat &amp; SIG NEX '!H42+'A_Compte Résultat &amp; SIG NEX '!H44</f>
        <v>1724.9061587654664</v>
      </c>
      <c r="H48" s="919"/>
      <c r="I48" s="919"/>
    </row>
    <row r="49" spans="1:8" ht="15">
      <c r="A49" s="4"/>
      <c r="B49" s="237"/>
      <c r="C49" s="125"/>
      <c r="D49" s="125"/>
      <c r="E49" s="934"/>
      <c r="F49" s="376"/>
      <c r="G49" s="940"/>
      <c r="H49" s="125"/>
    </row>
    <row r="50" spans="1:8" ht="15">
      <c r="A50" s="4"/>
      <c r="B50" s="237" t="s">
        <v>947</v>
      </c>
      <c r="C50" s="339"/>
      <c r="D50" s="125"/>
      <c r="E50" s="373">
        <f>'A_Compte Résultat &amp; SIG NEX '!D24</f>
        <v>540.15611111111116</v>
      </c>
      <c r="F50" s="376">
        <f>'A_Compte Résultat &amp; SIG NEX '!F24</f>
        <v>1254.8503406089253</v>
      </c>
      <c r="G50" s="940">
        <f>'A_Compte Résultat &amp; SIG NEX '!H24</f>
        <v>1159.9445294035868</v>
      </c>
      <c r="H50" s="125"/>
    </row>
    <row r="51" spans="1:8" ht="15">
      <c r="A51" s="4"/>
      <c r="B51" s="237"/>
      <c r="C51" s="339"/>
      <c r="D51" s="125"/>
      <c r="E51" s="935"/>
      <c r="F51" s="378"/>
      <c r="G51" s="355"/>
      <c r="H51" s="125"/>
    </row>
    <row r="52" spans="1:8" ht="15">
      <c r="A52" s="4"/>
      <c r="B52" s="237" t="str">
        <f xml:space="preserve"> "Fonds de roulement / HA "</f>
        <v xml:space="preserve">Fonds de roulement / HA </v>
      </c>
      <c r="C52" s="339"/>
      <c r="D52" s="125"/>
      <c r="E52" s="373">
        <f>'A_Variat fds de R'!D63/UT_N</f>
        <v>107.74145833333336</v>
      </c>
      <c r="F52" s="365">
        <f>'A_Variat fds de R'!C63/UT_N1</f>
        <v>518.89448074516883</v>
      </c>
      <c r="G52" s="941">
        <f>'A_Variat fds de R'!J63/UT_N2</f>
        <v>-0.23043236479906976</v>
      </c>
      <c r="H52" s="125"/>
    </row>
    <row r="53" spans="1:8" ht="15">
      <c r="A53" s="4"/>
      <c r="B53" s="125"/>
      <c r="C53" s="339"/>
      <c r="D53" s="125"/>
      <c r="E53" s="935"/>
      <c r="F53" s="378"/>
      <c r="G53" s="355"/>
      <c r="H53" s="125"/>
    </row>
    <row r="54" spans="1:8" ht="13.5" thickBot="1">
      <c r="A54" s="4"/>
      <c r="B54" s="125"/>
      <c r="C54" s="125"/>
      <c r="D54" s="125"/>
      <c r="E54" s="936"/>
      <c r="F54" s="381"/>
      <c r="G54" s="942"/>
      <c r="H54" s="125"/>
    </row>
    <row r="55" spans="1:8">
      <c r="A55" s="4"/>
      <c r="B55" s="125"/>
      <c r="D55" s="125"/>
      <c r="E55" s="125"/>
      <c r="F55" s="125"/>
      <c r="G55" s="125"/>
      <c r="H55" s="125"/>
    </row>
    <row r="56" spans="1:8">
      <c r="A56" s="4"/>
      <c r="B56" s="200"/>
      <c r="C56" s="155" t="str">
        <f>TRIM(CivilAdht&amp; " " &amp; NomAdht)</f>
        <v/>
      </c>
      <c r="D56" s="384"/>
      <c r="E56" s="199"/>
      <c r="F56" s="199"/>
      <c r="G56" s="384"/>
      <c r="H56" s="125"/>
    </row>
    <row r="57" spans="1:8">
      <c r="A57" s="4"/>
      <c r="B57" s="125"/>
      <c r="C57" s="125"/>
      <c r="D57" s="125"/>
      <c r="E57" s="125"/>
      <c r="F57" s="125"/>
      <c r="G57" s="125"/>
      <c r="H57" s="125"/>
    </row>
    <row r="58" spans="1:8" ht="6" customHeight="1"/>
    <row r="59" spans="1:8" hidden="1" outlineLevel="1"/>
    <row r="60" spans="1:8" hidden="1" outlineLevel="1">
      <c r="C60" s="42" t="str">
        <f>FinExN</f>
        <v>30/06/2017</v>
      </c>
    </row>
    <row r="61" spans="1:8" hidden="1" outlineLevel="1">
      <c r="C61" s="42" t="str">
        <f>LEFT(C60,5)</f>
        <v>30/06</v>
      </c>
    </row>
    <row r="62" spans="1:8" hidden="1" outlineLevel="1">
      <c r="C62" s="42" t="str">
        <f>RIGHT(C61,2)</f>
        <v>06</v>
      </c>
    </row>
    <row r="63" spans="1:8" hidden="1" outlineLevel="1">
      <c r="C63" s="42" t="str">
        <f>IF(OR(C62 ="06",C62="05"),"*Influencé par la présence d'une créance DPU de la récolte suivante", " ")</f>
        <v>*Influencé par la présence d'une créance DPU de la récolte suivante</v>
      </c>
    </row>
    <row r="64" spans="1:8" collapsed="1"/>
  </sheetData>
  <conditionalFormatting sqref="F18:G54">
    <cfRule type="expression" dxfId="23" priority="1">
      <formula>ISERROR($F$18)</formula>
    </cfRule>
  </conditionalFormatting>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oddFooter>Page &amp;P</oddFoot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8">
    <tabColor theme="6"/>
  </sheetPr>
  <dimension ref="A1:AP103"/>
  <sheetViews>
    <sheetView topLeftCell="A10" zoomScale="85" zoomScaleNormal="85" workbookViewId="0">
      <selection activeCell="AP13" sqref="AP13"/>
    </sheetView>
  </sheetViews>
  <sheetFormatPr baseColWidth="10" defaultRowHeight="12.75" outlineLevelCol="1"/>
  <cols>
    <col min="1" max="1" width="7.5703125" style="877" customWidth="1"/>
    <col min="2" max="2" width="11.42578125" style="877"/>
    <col min="3" max="3" width="4.7109375" style="877" customWidth="1"/>
    <col min="4" max="4" width="0.7109375" style="877" customWidth="1"/>
    <col min="5" max="5" width="12.42578125" style="877" customWidth="1"/>
    <col min="6" max="6" width="1.42578125" style="877" customWidth="1"/>
    <col min="7" max="7" width="9.85546875" style="877" customWidth="1"/>
    <col min="8" max="8" width="2.28515625" style="877" customWidth="1"/>
    <col min="9" max="9" width="10" style="877" customWidth="1"/>
    <col min="10" max="10" width="2" style="877" customWidth="1"/>
    <col min="11" max="11" width="10.5703125" style="877" customWidth="1"/>
    <col min="12" max="12" width="5.140625" style="877" customWidth="1"/>
    <col min="13" max="13" width="8.5703125" style="877" customWidth="1"/>
    <col min="14" max="14" width="0.7109375" style="877" customWidth="1"/>
    <col min="15" max="15" width="9" style="877" customWidth="1"/>
    <col min="16" max="16" width="10.140625" style="877" hidden="1" customWidth="1" outlineLevel="1"/>
    <col min="17" max="17" width="27.85546875" style="877" hidden="1" customWidth="1" outlineLevel="1"/>
    <col min="18" max="18" width="11.42578125" style="877" hidden="1" customWidth="1" outlineLevel="1"/>
    <col min="19" max="19" width="13" style="877" hidden="1" customWidth="1" outlineLevel="1"/>
    <col min="20" max="24" width="11.42578125" style="877" hidden="1" customWidth="1" outlineLevel="1"/>
    <col min="25" max="25" width="15.42578125" style="877" hidden="1" customWidth="1" outlineLevel="1"/>
    <col min="26" max="26" width="12.7109375" style="877" hidden="1" customWidth="1" outlineLevel="1"/>
    <col min="27" max="30" width="11.42578125" style="877" hidden="1" customWidth="1" outlineLevel="1"/>
    <col min="31" max="31" width="31.140625" style="877" hidden="1" customWidth="1" outlineLevel="1"/>
    <col min="32" max="41" width="11.42578125" style="877" hidden="1" customWidth="1" outlineLevel="1"/>
    <col min="42" max="42" width="11.42578125" style="877" collapsed="1"/>
    <col min="43" max="256" width="11.42578125" style="877"/>
    <col min="257" max="257" width="7.5703125" style="877" customWidth="1"/>
    <col min="258" max="258" width="11.42578125" style="877"/>
    <col min="259" max="259" width="4.7109375" style="877" customWidth="1"/>
    <col min="260" max="260" width="0.7109375" style="877" customWidth="1"/>
    <col min="261" max="261" width="11.5703125" style="877" customWidth="1"/>
    <col min="262" max="262" width="1.42578125" style="877" customWidth="1"/>
    <col min="263" max="263" width="9.85546875" style="877" customWidth="1"/>
    <col min="264" max="264" width="2.28515625" style="877" customWidth="1"/>
    <col min="265" max="265" width="10" style="877" customWidth="1"/>
    <col min="266" max="266" width="2" style="877" customWidth="1"/>
    <col min="267" max="267" width="10.5703125" style="877" customWidth="1"/>
    <col min="268" max="268" width="9.42578125" style="877" customWidth="1"/>
    <col min="269" max="269" width="8.5703125" style="877" customWidth="1"/>
    <col min="270" max="270" width="0.7109375" style="877" customWidth="1"/>
    <col min="271" max="271" width="9.85546875" style="877" customWidth="1"/>
    <col min="272" max="272" width="10.140625" style="877" customWidth="1"/>
    <col min="273" max="273" width="27.85546875" style="877" customWidth="1"/>
    <col min="274" max="274" width="11.42578125" style="877"/>
    <col min="275" max="275" width="13" style="877" customWidth="1"/>
    <col min="276" max="280" width="11.42578125" style="877"/>
    <col min="281" max="281" width="15.42578125" style="877" customWidth="1"/>
    <col min="282" max="282" width="12.7109375" style="877" bestFit="1" customWidth="1"/>
    <col min="283" max="512" width="11.42578125" style="877"/>
    <col min="513" max="513" width="7.5703125" style="877" customWidth="1"/>
    <col min="514" max="514" width="11.42578125" style="877"/>
    <col min="515" max="515" width="4.7109375" style="877" customWidth="1"/>
    <col min="516" max="516" width="0.7109375" style="877" customWidth="1"/>
    <col min="517" max="517" width="11.5703125" style="877" customWidth="1"/>
    <col min="518" max="518" width="1.42578125" style="877" customWidth="1"/>
    <col min="519" max="519" width="9.85546875" style="877" customWidth="1"/>
    <col min="520" max="520" width="2.28515625" style="877" customWidth="1"/>
    <col min="521" max="521" width="10" style="877" customWidth="1"/>
    <col min="522" max="522" width="2" style="877" customWidth="1"/>
    <col min="523" max="523" width="10.5703125" style="877" customWidth="1"/>
    <col min="524" max="524" width="9.42578125" style="877" customWidth="1"/>
    <col min="525" max="525" width="8.5703125" style="877" customWidth="1"/>
    <col min="526" max="526" width="0.7109375" style="877" customWidth="1"/>
    <col min="527" max="527" width="9.85546875" style="877" customWidth="1"/>
    <col min="528" max="528" width="10.140625" style="877" customWidth="1"/>
    <col min="529" max="529" width="27.85546875" style="877" customWidth="1"/>
    <col min="530" max="530" width="11.42578125" style="877"/>
    <col min="531" max="531" width="13" style="877" customWidth="1"/>
    <col min="532" max="536" width="11.42578125" style="877"/>
    <col min="537" max="537" width="15.42578125" style="877" customWidth="1"/>
    <col min="538" max="538" width="12.7109375" style="877" bestFit="1" customWidth="1"/>
    <col min="539" max="768" width="11.42578125" style="877"/>
    <col min="769" max="769" width="7.5703125" style="877" customWidth="1"/>
    <col min="770" max="770" width="11.42578125" style="877"/>
    <col min="771" max="771" width="4.7109375" style="877" customWidth="1"/>
    <col min="772" max="772" width="0.7109375" style="877" customWidth="1"/>
    <col min="773" max="773" width="11.5703125" style="877" customWidth="1"/>
    <col min="774" max="774" width="1.42578125" style="877" customWidth="1"/>
    <col min="775" max="775" width="9.85546875" style="877" customWidth="1"/>
    <col min="776" max="776" width="2.28515625" style="877" customWidth="1"/>
    <col min="777" max="777" width="10" style="877" customWidth="1"/>
    <col min="778" max="778" width="2" style="877" customWidth="1"/>
    <col min="779" max="779" width="10.5703125" style="877" customWidth="1"/>
    <col min="780" max="780" width="9.42578125" style="877" customWidth="1"/>
    <col min="781" max="781" width="8.5703125" style="877" customWidth="1"/>
    <col min="782" max="782" width="0.7109375" style="877" customWidth="1"/>
    <col min="783" max="783" width="9.85546875" style="877" customWidth="1"/>
    <col min="784" max="784" width="10.140625" style="877" customWidth="1"/>
    <col min="785" max="785" width="27.85546875" style="877" customWidth="1"/>
    <col min="786" max="786" width="11.42578125" style="877"/>
    <col min="787" max="787" width="13" style="877" customWidth="1"/>
    <col min="788" max="792" width="11.42578125" style="877"/>
    <col min="793" max="793" width="15.42578125" style="877" customWidth="1"/>
    <col min="794" max="794" width="12.7109375" style="877" bestFit="1" customWidth="1"/>
    <col min="795" max="1024" width="11.42578125" style="877"/>
    <col min="1025" max="1025" width="7.5703125" style="877" customWidth="1"/>
    <col min="1026" max="1026" width="11.42578125" style="877"/>
    <col min="1027" max="1027" width="4.7109375" style="877" customWidth="1"/>
    <col min="1028" max="1028" width="0.7109375" style="877" customWidth="1"/>
    <col min="1029" max="1029" width="11.5703125" style="877" customWidth="1"/>
    <col min="1030" max="1030" width="1.42578125" style="877" customWidth="1"/>
    <col min="1031" max="1031" width="9.85546875" style="877" customWidth="1"/>
    <col min="1032" max="1032" width="2.28515625" style="877" customWidth="1"/>
    <col min="1033" max="1033" width="10" style="877" customWidth="1"/>
    <col min="1034" max="1034" width="2" style="877" customWidth="1"/>
    <col min="1035" max="1035" width="10.5703125" style="877" customWidth="1"/>
    <col min="1036" max="1036" width="9.42578125" style="877" customWidth="1"/>
    <col min="1037" max="1037" width="8.5703125" style="877" customWidth="1"/>
    <col min="1038" max="1038" width="0.7109375" style="877" customWidth="1"/>
    <col min="1039" max="1039" width="9.85546875" style="877" customWidth="1"/>
    <col min="1040" max="1040" width="10.140625" style="877" customWidth="1"/>
    <col min="1041" max="1041" width="27.85546875" style="877" customWidth="1"/>
    <col min="1042" max="1042" width="11.42578125" style="877"/>
    <col min="1043" max="1043" width="13" style="877" customWidth="1"/>
    <col min="1044" max="1048" width="11.42578125" style="877"/>
    <col min="1049" max="1049" width="15.42578125" style="877" customWidth="1"/>
    <col min="1050" max="1050" width="12.7109375" style="877" bestFit="1" customWidth="1"/>
    <col min="1051" max="1280" width="11.42578125" style="877"/>
    <col min="1281" max="1281" width="7.5703125" style="877" customWidth="1"/>
    <col min="1282" max="1282" width="11.42578125" style="877"/>
    <col min="1283" max="1283" width="4.7109375" style="877" customWidth="1"/>
    <col min="1284" max="1284" width="0.7109375" style="877" customWidth="1"/>
    <col min="1285" max="1285" width="11.5703125" style="877" customWidth="1"/>
    <col min="1286" max="1286" width="1.42578125" style="877" customWidth="1"/>
    <col min="1287" max="1287" width="9.85546875" style="877" customWidth="1"/>
    <col min="1288" max="1288" width="2.28515625" style="877" customWidth="1"/>
    <col min="1289" max="1289" width="10" style="877" customWidth="1"/>
    <col min="1290" max="1290" width="2" style="877" customWidth="1"/>
    <col min="1291" max="1291" width="10.5703125" style="877" customWidth="1"/>
    <col min="1292" max="1292" width="9.42578125" style="877" customWidth="1"/>
    <col min="1293" max="1293" width="8.5703125" style="877" customWidth="1"/>
    <col min="1294" max="1294" width="0.7109375" style="877" customWidth="1"/>
    <col min="1295" max="1295" width="9.85546875" style="877" customWidth="1"/>
    <col min="1296" max="1296" width="10.140625" style="877" customWidth="1"/>
    <col min="1297" max="1297" width="27.85546875" style="877" customWidth="1"/>
    <col min="1298" max="1298" width="11.42578125" style="877"/>
    <col min="1299" max="1299" width="13" style="877" customWidth="1"/>
    <col min="1300" max="1304" width="11.42578125" style="877"/>
    <col min="1305" max="1305" width="15.42578125" style="877" customWidth="1"/>
    <col min="1306" max="1306" width="12.7109375" style="877" bestFit="1" customWidth="1"/>
    <col min="1307" max="1536" width="11.42578125" style="877"/>
    <col min="1537" max="1537" width="7.5703125" style="877" customWidth="1"/>
    <col min="1538" max="1538" width="11.42578125" style="877"/>
    <col min="1539" max="1539" width="4.7109375" style="877" customWidth="1"/>
    <col min="1540" max="1540" width="0.7109375" style="877" customWidth="1"/>
    <col min="1541" max="1541" width="11.5703125" style="877" customWidth="1"/>
    <col min="1542" max="1542" width="1.42578125" style="877" customWidth="1"/>
    <col min="1543" max="1543" width="9.85546875" style="877" customWidth="1"/>
    <col min="1544" max="1544" width="2.28515625" style="877" customWidth="1"/>
    <col min="1545" max="1545" width="10" style="877" customWidth="1"/>
    <col min="1546" max="1546" width="2" style="877" customWidth="1"/>
    <col min="1547" max="1547" width="10.5703125" style="877" customWidth="1"/>
    <col min="1548" max="1548" width="9.42578125" style="877" customWidth="1"/>
    <col min="1549" max="1549" width="8.5703125" style="877" customWidth="1"/>
    <col min="1550" max="1550" width="0.7109375" style="877" customWidth="1"/>
    <col min="1551" max="1551" width="9.85546875" style="877" customWidth="1"/>
    <col min="1552" max="1552" width="10.140625" style="877" customWidth="1"/>
    <col min="1553" max="1553" width="27.85546875" style="877" customWidth="1"/>
    <col min="1554" max="1554" width="11.42578125" style="877"/>
    <col min="1555" max="1555" width="13" style="877" customWidth="1"/>
    <col min="1556" max="1560" width="11.42578125" style="877"/>
    <col min="1561" max="1561" width="15.42578125" style="877" customWidth="1"/>
    <col min="1562" max="1562" width="12.7109375" style="877" bestFit="1" customWidth="1"/>
    <col min="1563" max="1792" width="11.42578125" style="877"/>
    <col min="1793" max="1793" width="7.5703125" style="877" customWidth="1"/>
    <col min="1794" max="1794" width="11.42578125" style="877"/>
    <col min="1795" max="1795" width="4.7109375" style="877" customWidth="1"/>
    <col min="1796" max="1796" width="0.7109375" style="877" customWidth="1"/>
    <col min="1797" max="1797" width="11.5703125" style="877" customWidth="1"/>
    <col min="1798" max="1798" width="1.42578125" style="877" customWidth="1"/>
    <col min="1799" max="1799" width="9.85546875" style="877" customWidth="1"/>
    <col min="1800" max="1800" width="2.28515625" style="877" customWidth="1"/>
    <col min="1801" max="1801" width="10" style="877" customWidth="1"/>
    <col min="1802" max="1802" width="2" style="877" customWidth="1"/>
    <col min="1803" max="1803" width="10.5703125" style="877" customWidth="1"/>
    <col min="1804" max="1804" width="9.42578125" style="877" customWidth="1"/>
    <col min="1805" max="1805" width="8.5703125" style="877" customWidth="1"/>
    <col min="1806" max="1806" width="0.7109375" style="877" customWidth="1"/>
    <col min="1807" max="1807" width="9.85546875" style="877" customWidth="1"/>
    <col min="1808" max="1808" width="10.140625" style="877" customWidth="1"/>
    <col min="1809" max="1809" width="27.85546875" style="877" customWidth="1"/>
    <col min="1810" max="1810" width="11.42578125" style="877"/>
    <col min="1811" max="1811" width="13" style="877" customWidth="1"/>
    <col min="1812" max="1816" width="11.42578125" style="877"/>
    <col min="1817" max="1817" width="15.42578125" style="877" customWidth="1"/>
    <col min="1818" max="1818" width="12.7109375" style="877" bestFit="1" customWidth="1"/>
    <col min="1819" max="2048" width="11.42578125" style="877"/>
    <col min="2049" max="2049" width="7.5703125" style="877" customWidth="1"/>
    <col min="2050" max="2050" width="11.42578125" style="877"/>
    <col min="2051" max="2051" width="4.7109375" style="877" customWidth="1"/>
    <col min="2052" max="2052" width="0.7109375" style="877" customWidth="1"/>
    <col min="2053" max="2053" width="11.5703125" style="877" customWidth="1"/>
    <col min="2054" max="2054" width="1.42578125" style="877" customWidth="1"/>
    <col min="2055" max="2055" width="9.85546875" style="877" customWidth="1"/>
    <col min="2056" max="2056" width="2.28515625" style="877" customWidth="1"/>
    <col min="2057" max="2057" width="10" style="877" customWidth="1"/>
    <col min="2058" max="2058" width="2" style="877" customWidth="1"/>
    <col min="2059" max="2059" width="10.5703125" style="877" customWidth="1"/>
    <col min="2060" max="2060" width="9.42578125" style="877" customWidth="1"/>
    <col min="2061" max="2061" width="8.5703125" style="877" customWidth="1"/>
    <col min="2062" max="2062" width="0.7109375" style="877" customWidth="1"/>
    <col min="2063" max="2063" width="9.85546875" style="877" customWidth="1"/>
    <col min="2064" max="2064" width="10.140625" style="877" customWidth="1"/>
    <col min="2065" max="2065" width="27.85546875" style="877" customWidth="1"/>
    <col min="2066" max="2066" width="11.42578125" style="877"/>
    <col min="2067" max="2067" width="13" style="877" customWidth="1"/>
    <col min="2068" max="2072" width="11.42578125" style="877"/>
    <col min="2073" max="2073" width="15.42578125" style="877" customWidth="1"/>
    <col min="2074" max="2074" width="12.7109375" style="877" bestFit="1" customWidth="1"/>
    <col min="2075" max="2304" width="11.42578125" style="877"/>
    <col min="2305" max="2305" width="7.5703125" style="877" customWidth="1"/>
    <col min="2306" max="2306" width="11.42578125" style="877"/>
    <col min="2307" max="2307" width="4.7109375" style="877" customWidth="1"/>
    <col min="2308" max="2308" width="0.7109375" style="877" customWidth="1"/>
    <col min="2309" max="2309" width="11.5703125" style="877" customWidth="1"/>
    <col min="2310" max="2310" width="1.42578125" style="877" customWidth="1"/>
    <col min="2311" max="2311" width="9.85546875" style="877" customWidth="1"/>
    <col min="2312" max="2312" width="2.28515625" style="877" customWidth="1"/>
    <col min="2313" max="2313" width="10" style="877" customWidth="1"/>
    <col min="2314" max="2314" width="2" style="877" customWidth="1"/>
    <col min="2315" max="2315" width="10.5703125" style="877" customWidth="1"/>
    <col min="2316" max="2316" width="9.42578125" style="877" customWidth="1"/>
    <col min="2317" max="2317" width="8.5703125" style="877" customWidth="1"/>
    <col min="2318" max="2318" width="0.7109375" style="877" customWidth="1"/>
    <col min="2319" max="2319" width="9.85546875" style="877" customWidth="1"/>
    <col min="2320" max="2320" width="10.140625" style="877" customWidth="1"/>
    <col min="2321" max="2321" width="27.85546875" style="877" customWidth="1"/>
    <col min="2322" max="2322" width="11.42578125" style="877"/>
    <col min="2323" max="2323" width="13" style="877" customWidth="1"/>
    <col min="2324" max="2328" width="11.42578125" style="877"/>
    <col min="2329" max="2329" width="15.42578125" style="877" customWidth="1"/>
    <col min="2330" max="2330" width="12.7109375" style="877" bestFit="1" customWidth="1"/>
    <col min="2331" max="2560" width="11.42578125" style="877"/>
    <col min="2561" max="2561" width="7.5703125" style="877" customWidth="1"/>
    <col min="2562" max="2562" width="11.42578125" style="877"/>
    <col min="2563" max="2563" width="4.7109375" style="877" customWidth="1"/>
    <col min="2564" max="2564" width="0.7109375" style="877" customWidth="1"/>
    <col min="2565" max="2565" width="11.5703125" style="877" customWidth="1"/>
    <col min="2566" max="2566" width="1.42578125" style="877" customWidth="1"/>
    <col min="2567" max="2567" width="9.85546875" style="877" customWidth="1"/>
    <col min="2568" max="2568" width="2.28515625" style="877" customWidth="1"/>
    <col min="2569" max="2569" width="10" style="877" customWidth="1"/>
    <col min="2570" max="2570" width="2" style="877" customWidth="1"/>
    <col min="2571" max="2571" width="10.5703125" style="877" customWidth="1"/>
    <col min="2572" max="2572" width="9.42578125" style="877" customWidth="1"/>
    <col min="2573" max="2573" width="8.5703125" style="877" customWidth="1"/>
    <col min="2574" max="2574" width="0.7109375" style="877" customWidth="1"/>
    <col min="2575" max="2575" width="9.85546875" style="877" customWidth="1"/>
    <col min="2576" max="2576" width="10.140625" style="877" customWidth="1"/>
    <col min="2577" max="2577" width="27.85546875" style="877" customWidth="1"/>
    <col min="2578" max="2578" width="11.42578125" style="877"/>
    <col min="2579" max="2579" width="13" style="877" customWidth="1"/>
    <col min="2580" max="2584" width="11.42578125" style="877"/>
    <col min="2585" max="2585" width="15.42578125" style="877" customWidth="1"/>
    <col min="2586" max="2586" width="12.7109375" style="877" bestFit="1" customWidth="1"/>
    <col min="2587" max="2816" width="11.42578125" style="877"/>
    <col min="2817" max="2817" width="7.5703125" style="877" customWidth="1"/>
    <col min="2818" max="2818" width="11.42578125" style="877"/>
    <col min="2819" max="2819" width="4.7109375" style="877" customWidth="1"/>
    <col min="2820" max="2820" width="0.7109375" style="877" customWidth="1"/>
    <col min="2821" max="2821" width="11.5703125" style="877" customWidth="1"/>
    <col min="2822" max="2822" width="1.42578125" style="877" customWidth="1"/>
    <col min="2823" max="2823" width="9.85546875" style="877" customWidth="1"/>
    <col min="2824" max="2824" width="2.28515625" style="877" customWidth="1"/>
    <col min="2825" max="2825" width="10" style="877" customWidth="1"/>
    <col min="2826" max="2826" width="2" style="877" customWidth="1"/>
    <col min="2827" max="2827" width="10.5703125" style="877" customWidth="1"/>
    <col min="2828" max="2828" width="9.42578125" style="877" customWidth="1"/>
    <col min="2829" max="2829" width="8.5703125" style="877" customWidth="1"/>
    <col min="2830" max="2830" width="0.7109375" style="877" customWidth="1"/>
    <col min="2831" max="2831" width="9.85546875" style="877" customWidth="1"/>
    <col min="2832" max="2832" width="10.140625" style="877" customWidth="1"/>
    <col min="2833" max="2833" width="27.85546875" style="877" customWidth="1"/>
    <col min="2834" max="2834" width="11.42578125" style="877"/>
    <col min="2835" max="2835" width="13" style="877" customWidth="1"/>
    <col min="2836" max="2840" width="11.42578125" style="877"/>
    <col min="2841" max="2841" width="15.42578125" style="877" customWidth="1"/>
    <col min="2842" max="2842" width="12.7109375" style="877" bestFit="1" customWidth="1"/>
    <col min="2843" max="3072" width="11.42578125" style="877"/>
    <col min="3073" max="3073" width="7.5703125" style="877" customWidth="1"/>
    <col min="3074" max="3074" width="11.42578125" style="877"/>
    <col min="3075" max="3075" width="4.7109375" style="877" customWidth="1"/>
    <col min="3076" max="3076" width="0.7109375" style="877" customWidth="1"/>
    <col min="3077" max="3077" width="11.5703125" style="877" customWidth="1"/>
    <col min="3078" max="3078" width="1.42578125" style="877" customWidth="1"/>
    <col min="3079" max="3079" width="9.85546875" style="877" customWidth="1"/>
    <col min="3080" max="3080" width="2.28515625" style="877" customWidth="1"/>
    <col min="3081" max="3081" width="10" style="877" customWidth="1"/>
    <col min="3082" max="3082" width="2" style="877" customWidth="1"/>
    <col min="3083" max="3083" width="10.5703125" style="877" customWidth="1"/>
    <col min="3084" max="3084" width="9.42578125" style="877" customWidth="1"/>
    <col min="3085" max="3085" width="8.5703125" style="877" customWidth="1"/>
    <col min="3086" max="3086" width="0.7109375" style="877" customWidth="1"/>
    <col min="3087" max="3087" width="9.85546875" style="877" customWidth="1"/>
    <col min="3088" max="3088" width="10.140625" style="877" customWidth="1"/>
    <col min="3089" max="3089" width="27.85546875" style="877" customWidth="1"/>
    <col min="3090" max="3090" width="11.42578125" style="877"/>
    <col min="3091" max="3091" width="13" style="877" customWidth="1"/>
    <col min="3092" max="3096" width="11.42578125" style="877"/>
    <col min="3097" max="3097" width="15.42578125" style="877" customWidth="1"/>
    <col min="3098" max="3098" width="12.7109375" style="877" bestFit="1" customWidth="1"/>
    <col min="3099" max="3328" width="11.42578125" style="877"/>
    <col min="3329" max="3329" width="7.5703125" style="877" customWidth="1"/>
    <col min="3330" max="3330" width="11.42578125" style="877"/>
    <col min="3331" max="3331" width="4.7109375" style="877" customWidth="1"/>
    <col min="3332" max="3332" width="0.7109375" style="877" customWidth="1"/>
    <col min="3333" max="3333" width="11.5703125" style="877" customWidth="1"/>
    <col min="3334" max="3334" width="1.42578125" style="877" customWidth="1"/>
    <col min="3335" max="3335" width="9.85546875" style="877" customWidth="1"/>
    <col min="3336" max="3336" width="2.28515625" style="877" customWidth="1"/>
    <col min="3337" max="3337" width="10" style="877" customWidth="1"/>
    <col min="3338" max="3338" width="2" style="877" customWidth="1"/>
    <col min="3339" max="3339" width="10.5703125" style="877" customWidth="1"/>
    <col min="3340" max="3340" width="9.42578125" style="877" customWidth="1"/>
    <col min="3341" max="3341" width="8.5703125" style="877" customWidth="1"/>
    <col min="3342" max="3342" width="0.7109375" style="877" customWidth="1"/>
    <col min="3343" max="3343" width="9.85546875" style="877" customWidth="1"/>
    <col min="3344" max="3344" width="10.140625" style="877" customWidth="1"/>
    <col min="3345" max="3345" width="27.85546875" style="877" customWidth="1"/>
    <col min="3346" max="3346" width="11.42578125" style="877"/>
    <col min="3347" max="3347" width="13" style="877" customWidth="1"/>
    <col min="3348" max="3352" width="11.42578125" style="877"/>
    <col min="3353" max="3353" width="15.42578125" style="877" customWidth="1"/>
    <col min="3354" max="3354" width="12.7109375" style="877" bestFit="1" customWidth="1"/>
    <col min="3355" max="3584" width="11.42578125" style="877"/>
    <col min="3585" max="3585" width="7.5703125" style="877" customWidth="1"/>
    <col min="3586" max="3586" width="11.42578125" style="877"/>
    <col min="3587" max="3587" width="4.7109375" style="877" customWidth="1"/>
    <col min="3588" max="3588" width="0.7109375" style="877" customWidth="1"/>
    <col min="3589" max="3589" width="11.5703125" style="877" customWidth="1"/>
    <col min="3590" max="3590" width="1.42578125" style="877" customWidth="1"/>
    <col min="3591" max="3591" width="9.85546875" style="877" customWidth="1"/>
    <col min="3592" max="3592" width="2.28515625" style="877" customWidth="1"/>
    <col min="3593" max="3593" width="10" style="877" customWidth="1"/>
    <col min="3594" max="3594" width="2" style="877" customWidth="1"/>
    <col min="3595" max="3595" width="10.5703125" style="877" customWidth="1"/>
    <col min="3596" max="3596" width="9.42578125" style="877" customWidth="1"/>
    <col min="3597" max="3597" width="8.5703125" style="877" customWidth="1"/>
    <col min="3598" max="3598" width="0.7109375" style="877" customWidth="1"/>
    <col min="3599" max="3599" width="9.85546875" style="877" customWidth="1"/>
    <col min="3600" max="3600" width="10.140625" style="877" customWidth="1"/>
    <col min="3601" max="3601" width="27.85546875" style="877" customWidth="1"/>
    <col min="3602" max="3602" width="11.42578125" style="877"/>
    <col min="3603" max="3603" width="13" style="877" customWidth="1"/>
    <col min="3604" max="3608" width="11.42578125" style="877"/>
    <col min="3609" max="3609" width="15.42578125" style="877" customWidth="1"/>
    <col min="3610" max="3610" width="12.7109375" style="877" bestFit="1" customWidth="1"/>
    <col min="3611" max="3840" width="11.42578125" style="877"/>
    <col min="3841" max="3841" width="7.5703125" style="877" customWidth="1"/>
    <col min="3842" max="3842" width="11.42578125" style="877"/>
    <col min="3843" max="3843" width="4.7109375" style="877" customWidth="1"/>
    <col min="3844" max="3844" width="0.7109375" style="877" customWidth="1"/>
    <col min="3845" max="3845" width="11.5703125" style="877" customWidth="1"/>
    <col min="3846" max="3846" width="1.42578125" style="877" customWidth="1"/>
    <col min="3847" max="3847" width="9.85546875" style="877" customWidth="1"/>
    <col min="3848" max="3848" width="2.28515625" style="877" customWidth="1"/>
    <col min="3849" max="3849" width="10" style="877" customWidth="1"/>
    <col min="3850" max="3850" width="2" style="877" customWidth="1"/>
    <col min="3851" max="3851" width="10.5703125" style="877" customWidth="1"/>
    <col min="3852" max="3852" width="9.42578125" style="877" customWidth="1"/>
    <col min="3853" max="3853" width="8.5703125" style="877" customWidth="1"/>
    <col min="3854" max="3854" width="0.7109375" style="877" customWidth="1"/>
    <col min="3855" max="3855" width="9.85546875" style="877" customWidth="1"/>
    <col min="3856" max="3856" width="10.140625" style="877" customWidth="1"/>
    <col min="3857" max="3857" width="27.85546875" style="877" customWidth="1"/>
    <col min="3858" max="3858" width="11.42578125" style="877"/>
    <col min="3859" max="3859" width="13" style="877" customWidth="1"/>
    <col min="3860" max="3864" width="11.42578125" style="877"/>
    <col min="3865" max="3865" width="15.42578125" style="877" customWidth="1"/>
    <col min="3866" max="3866" width="12.7109375" style="877" bestFit="1" customWidth="1"/>
    <col min="3867" max="4096" width="11.42578125" style="877"/>
    <col min="4097" max="4097" width="7.5703125" style="877" customWidth="1"/>
    <col min="4098" max="4098" width="11.42578125" style="877"/>
    <col min="4099" max="4099" width="4.7109375" style="877" customWidth="1"/>
    <col min="4100" max="4100" width="0.7109375" style="877" customWidth="1"/>
    <col min="4101" max="4101" width="11.5703125" style="877" customWidth="1"/>
    <col min="4102" max="4102" width="1.42578125" style="877" customWidth="1"/>
    <col min="4103" max="4103" width="9.85546875" style="877" customWidth="1"/>
    <col min="4104" max="4104" width="2.28515625" style="877" customWidth="1"/>
    <col min="4105" max="4105" width="10" style="877" customWidth="1"/>
    <col min="4106" max="4106" width="2" style="877" customWidth="1"/>
    <col min="4107" max="4107" width="10.5703125" style="877" customWidth="1"/>
    <col min="4108" max="4108" width="9.42578125" style="877" customWidth="1"/>
    <col min="4109" max="4109" width="8.5703125" style="877" customWidth="1"/>
    <col min="4110" max="4110" width="0.7109375" style="877" customWidth="1"/>
    <col min="4111" max="4111" width="9.85546875" style="877" customWidth="1"/>
    <col min="4112" max="4112" width="10.140625" style="877" customWidth="1"/>
    <col min="4113" max="4113" width="27.85546875" style="877" customWidth="1"/>
    <col min="4114" max="4114" width="11.42578125" style="877"/>
    <col min="4115" max="4115" width="13" style="877" customWidth="1"/>
    <col min="4116" max="4120" width="11.42578125" style="877"/>
    <col min="4121" max="4121" width="15.42578125" style="877" customWidth="1"/>
    <col min="4122" max="4122" width="12.7109375" style="877" bestFit="1" customWidth="1"/>
    <col min="4123" max="4352" width="11.42578125" style="877"/>
    <col min="4353" max="4353" width="7.5703125" style="877" customWidth="1"/>
    <col min="4354" max="4354" width="11.42578125" style="877"/>
    <col min="4355" max="4355" width="4.7109375" style="877" customWidth="1"/>
    <col min="4356" max="4356" width="0.7109375" style="877" customWidth="1"/>
    <col min="4357" max="4357" width="11.5703125" style="877" customWidth="1"/>
    <col min="4358" max="4358" width="1.42578125" style="877" customWidth="1"/>
    <col min="4359" max="4359" width="9.85546875" style="877" customWidth="1"/>
    <col min="4360" max="4360" width="2.28515625" style="877" customWidth="1"/>
    <col min="4361" max="4361" width="10" style="877" customWidth="1"/>
    <col min="4362" max="4362" width="2" style="877" customWidth="1"/>
    <col min="4363" max="4363" width="10.5703125" style="877" customWidth="1"/>
    <col min="4364" max="4364" width="9.42578125" style="877" customWidth="1"/>
    <col min="4365" max="4365" width="8.5703125" style="877" customWidth="1"/>
    <col min="4366" max="4366" width="0.7109375" style="877" customWidth="1"/>
    <col min="4367" max="4367" width="9.85546875" style="877" customWidth="1"/>
    <col min="4368" max="4368" width="10.140625" style="877" customWidth="1"/>
    <col min="4369" max="4369" width="27.85546875" style="877" customWidth="1"/>
    <col min="4370" max="4370" width="11.42578125" style="877"/>
    <col min="4371" max="4371" width="13" style="877" customWidth="1"/>
    <col min="4372" max="4376" width="11.42578125" style="877"/>
    <col min="4377" max="4377" width="15.42578125" style="877" customWidth="1"/>
    <col min="4378" max="4378" width="12.7109375" style="877" bestFit="1" customWidth="1"/>
    <col min="4379" max="4608" width="11.42578125" style="877"/>
    <col min="4609" max="4609" width="7.5703125" style="877" customWidth="1"/>
    <col min="4610" max="4610" width="11.42578125" style="877"/>
    <col min="4611" max="4611" width="4.7109375" style="877" customWidth="1"/>
    <col min="4612" max="4612" width="0.7109375" style="877" customWidth="1"/>
    <col min="4613" max="4613" width="11.5703125" style="877" customWidth="1"/>
    <col min="4614" max="4614" width="1.42578125" style="877" customWidth="1"/>
    <col min="4615" max="4615" width="9.85546875" style="877" customWidth="1"/>
    <col min="4616" max="4616" width="2.28515625" style="877" customWidth="1"/>
    <col min="4617" max="4617" width="10" style="877" customWidth="1"/>
    <col min="4618" max="4618" width="2" style="877" customWidth="1"/>
    <col min="4619" max="4619" width="10.5703125" style="877" customWidth="1"/>
    <col min="4620" max="4620" width="9.42578125" style="877" customWidth="1"/>
    <col min="4621" max="4621" width="8.5703125" style="877" customWidth="1"/>
    <col min="4622" max="4622" width="0.7109375" style="877" customWidth="1"/>
    <col min="4623" max="4623" width="9.85546875" style="877" customWidth="1"/>
    <col min="4624" max="4624" width="10.140625" style="877" customWidth="1"/>
    <col min="4625" max="4625" width="27.85546875" style="877" customWidth="1"/>
    <col min="4626" max="4626" width="11.42578125" style="877"/>
    <col min="4627" max="4627" width="13" style="877" customWidth="1"/>
    <col min="4628" max="4632" width="11.42578125" style="877"/>
    <col min="4633" max="4633" width="15.42578125" style="877" customWidth="1"/>
    <col min="4634" max="4634" width="12.7109375" style="877" bestFit="1" customWidth="1"/>
    <col min="4635" max="4864" width="11.42578125" style="877"/>
    <col min="4865" max="4865" width="7.5703125" style="877" customWidth="1"/>
    <col min="4866" max="4866" width="11.42578125" style="877"/>
    <col min="4867" max="4867" width="4.7109375" style="877" customWidth="1"/>
    <col min="4868" max="4868" width="0.7109375" style="877" customWidth="1"/>
    <col min="4869" max="4869" width="11.5703125" style="877" customWidth="1"/>
    <col min="4870" max="4870" width="1.42578125" style="877" customWidth="1"/>
    <col min="4871" max="4871" width="9.85546875" style="877" customWidth="1"/>
    <col min="4872" max="4872" width="2.28515625" style="877" customWidth="1"/>
    <col min="4873" max="4873" width="10" style="877" customWidth="1"/>
    <col min="4874" max="4874" width="2" style="877" customWidth="1"/>
    <col min="4875" max="4875" width="10.5703125" style="877" customWidth="1"/>
    <col min="4876" max="4876" width="9.42578125" style="877" customWidth="1"/>
    <col min="4877" max="4877" width="8.5703125" style="877" customWidth="1"/>
    <col min="4878" max="4878" width="0.7109375" style="877" customWidth="1"/>
    <col min="4879" max="4879" width="9.85546875" style="877" customWidth="1"/>
    <col min="4880" max="4880" width="10.140625" style="877" customWidth="1"/>
    <col min="4881" max="4881" width="27.85546875" style="877" customWidth="1"/>
    <col min="4882" max="4882" width="11.42578125" style="877"/>
    <col min="4883" max="4883" width="13" style="877" customWidth="1"/>
    <col min="4884" max="4888" width="11.42578125" style="877"/>
    <col min="4889" max="4889" width="15.42578125" style="877" customWidth="1"/>
    <col min="4890" max="4890" width="12.7109375" style="877" bestFit="1" customWidth="1"/>
    <col min="4891" max="5120" width="11.42578125" style="877"/>
    <col min="5121" max="5121" width="7.5703125" style="877" customWidth="1"/>
    <col min="5122" max="5122" width="11.42578125" style="877"/>
    <col min="5123" max="5123" width="4.7109375" style="877" customWidth="1"/>
    <col min="5124" max="5124" width="0.7109375" style="877" customWidth="1"/>
    <col min="5125" max="5125" width="11.5703125" style="877" customWidth="1"/>
    <col min="5126" max="5126" width="1.42578125" style="877" customWidth="1"/>
    <col min="5127" max="5127" width="9.85546875" style="877" customWidth="1"/>
    <col min="5128" max="5128" width="2.28515625" style="877" customWidth="1"/>
    <col min="5129" max="5129" width="10" style="877" customWidth="1"/>
    <col min="5130" max="5130" width="2" style="877" customWidth="1"/>
    <col min="5131" max="5131" width="10.5703125" style="877" customWidth="1"/>
    <col min="5132" max="5132" width="9.42578125" style="877" customWidth="1"/>
    <col min="5133" max="5133" width="8.5703125" style="877" customWidth="1"/>
    <col min="5134" max="5134" width="0.7109375" style="877" customWidth="1"/>
    <col min="5135" max="5135" width="9.85546875" style="877" customWidth="1"/>
    <col min="5136" max="5136" width="10.140625" style="877" customWidth="1"/>
    <col min="5137" max="5137" width="27.85546875" style="877" customWidth="1"/>
    <col min="5138" max="5138" width="11.42578125" style="877"/>
    <col min="5139" max="5139" width="13" style="877" customWidth="1"/>
    <col min="5140" max="5144" width="11.42578125" style="877"/>
    <col min="5145" max="5145" width="15.42578125" style="877" customWidth="1"/>
    <col min="5146" max="5146" width="12.7109375" style="877" bestFit="1" customWidth="1"/>
    <col min="5147" max="5376" width="11.42578125" style="877"/>
    <col min="5377" max="5377" width="7.5703125" style="877" customWidth="1"/>
    <col min="5378" max="5378" width="11.42578125" style="877"/>
    <col min="5379" max="5379" width="4.7109375" style="877" customWidth="1"/>
    <col min="5380" max="5380" width="0.7109375" style="877" customWidth="1"/>
    <col min="5381" max="5381" width="11.5703125" style="877" customWidth="1"/>
    <col min="5382" max="5382" width="1.42578125" style="877" customWidth="1"/>
    <col min="5383" max="5383" width="9.85546875" style="877" customWidth="1"/>
    <col min="5384" max="5384" width="2.28515625" style="877" customWidth="1"/>
    <col min="5385" max="5385" width="10" style="877" customWidth="1"/>
    <col min="5386" max="5386" width="2" style="877" customWidth="1"/>
    <col min="5387" max="5387" width="10.5703125" style="877" customWidth="1"/>
    <col min="5388" max="5388" width="9.42578125" style="877" customWidth="1"/>
    <col min="5389" max="5389" width="8.5703125" style="877" customWidth="1"/>
    <col min="5390" max="5390" width="0.7109375" style="877" customWidth="1"/>
    <col min="5391" max="5391" width="9.85546875" style="877" customWidth="1"/>
    <col min="5392" max="5392" width="10.140625" style="877" customWidth="1"/>
    <col min="5393" max="5393" width="27.85546875" style="877" customWidth="1"/>
    <col min="5394" max="5394" width="11.42578125" style="877"/>
    <col min="5395" max="5395" width="13" style="877" customWidth="1"/>
    <col min="5396" max="5400" width="11.42578125" style="877"/>
    <col min="5401" max="5401" width="15.42578125" style="877" customWidth="1"/>
    <col min="5402" max="5402" width="12.7109375" style="877" bestFit="1" customWidth="1"/>
    <col min="5403" max="5632" width="11.42578125" style="877"/>
    <col min="5633" max="5633" width="7.5703125" style="877" customWidth="1"/>
    <col min="5634" max="5634" width="11.42578125" style="877"/>
    <col min="5635" max="5635" width="4.7109375" style="877" customWidth="1"/>
    <col min="5636" max="5636" width="0.7109375" style="877" customWidth="1"/>
    <col min="5637" max="5637" width="11.5703125" style="877" customWidth="1"/>
    <col min="5638" max="5638" width="1.42578125" style="877" customWidth="1"/>
    <col min="5639" max="5639" width="9.85546875" style="877" customWidth="1"/>
    <col min="5640" max="5640" width="2.28515625" style="877" customWidth="1"/>
    <col min="5641" max="5641" width="10" style="877" customWidth="1"/>
    <col min="5642" max="5642" width="2" style="877" customWidth="1"/>
    <col min="5643" max="5643" width="10.5703125" style="877" customWidth="1"/>
    <col min="5644" max="5644" width="9.42578125" style="877" customWidth="1"/>
    <col min="5645" max="5645" width="8.5703125" style="877" customWidth="1"/>
    <col min="5646" max="5646" width="0.7109375" style="877" customWidth="1"/>
    <col min="5647" max="5647" width="9.85546875" style="877" customWidth="1"/>
    <col min="5648" max="5648" width="10.140625" style="877" customWidth="1"/>
    <col min="5649" max="5649" width="27.85546875" style="877" customWidth="1"/>
    <col min="5650" max="5650" width="11.42578125" style="877"/>
    <col min="5651" max="5651" width="13" style="877" customWidth="1"/>
    <col min="5652" max="5656" width="11.42578125" style="877"/>
    <col min="5657" max="5657" width="15.42578125" style="877" customWidth="1"/>
    <col min="5658" max="5658" width="12.7109375" style="877" bestFit="1" customWidth="1"/>
    <col min="5659" max="5888" width="11.42578125" style="877"/>
    <col min="5889" max="5889" width="7.5703125" style="877" customWidth="1"/>
    <col min="5890" max="5890" width="11.42578125" style="877"/>
    <col min="5891" max="5891" width="4.7109375" style="877" customWidth="1"/>
    <col min="5892" max="5892" width="0.7109375" style="877" customWidth="1"/>
    <col min="5893" max="5893" width="11.5703125" style="877" customWidth="1"/>
    <col min="5894" max="5894" width="1.42578125" style="877" customWidth="1"/>
    <col min="5895" max="5895" width="9.85546875" style="877" customWidth="1"/>
    <col min="5896" max="5896" width="2.28515625" style="877" customWidth="1"/>
    <col min="5897" max="5897" width="10" style="877" customWidth="1"/>
    <col min="5898" max="5898" width="2" style="877" customWidth="1"/>
    <col min="5899" max="5899" width="10.5703125" style="877" customWidth="1"/>
    <col min="5900" max="5900" width="9.42578125" style="877" customWidth="1"/>
    <col min="5901" max="5901" width="8.5703125" style="877" customWidth="1"/>
    <col min="5902" max="5902" width="0.7109375" style="877" customWidth="1"/>
    <col min="5903" max="5903" width="9.85546875" style="877" customWidth="1"/>
    <col min="5904" max="5904" width="10.140625" style="877" customWidth="1"/>
    <col min="5905" max="5905" width="27.85546875" style="877" customWidth="1"/>
    <col min="5906" max="5906" width="11.42578125" style="877"/>
    <col min="5907" max="5907" width="13" style="877" customWidth="1"/>
    <col min="5908" max="5912" width="11.42578125" style="877"/>
    <col min="5913" max="5913" width="15.42578125" style="877" customWidth="1"/>
    <col min="5914" max="5914" width="12.7109375" style="877" bestFit="1" customWidth="1"/>
    <col min="5915" max="6144" width="11.42578125" style="877"/>
    <col min="6145" max="6145" width="7.5703125" style="877" customWidth="1"/>
    <col min="6146" max="6146" width="11.42578125" style="877"/>
    <col min="6147" max="6147" width="4.7109375" style="877" customWidth="1"/>
    <col min="6148" max="6148" width="0.7109375" style="877" customWidth="1"/>
    <col min="6149" max="6149" width="11.5703125" style="877" customWidth="1"/>
    <col min="6150" max="6150" width="1.42578125" style="877" customWidth="1"/>
    <col min="6151" max="6151" width="9.85546875" style="877" customWidth="1"/>
    <col min="6152" max="6152" width="2.28515625" style="877" customWidth="1"/>
    <col min="6153" max="6153" width="10" style="877" customWidth="1"/>
    <col min="6154" max="6154" width="2" style="877" customWidth="1"/>
    <col min="6155" max="6155" width="10.5703125" style="877" customWidth="1"/>
    <col min="6156" max="6156" width="9.42578125" style="877" customWidth="1"/>
    <col min="6157" max="6157" width="8.5703125" style="877" customWidth="1"/>
    <col min="6158" max="6158" width="0.7109375" style="877" customWidth="1"/>
    <col min="6159" max="6159" width="9.85546875" style="877" customWidth="1"/>
    <col min="6160" max="6160" width="10.140625" style="877" customWidth="1"/>
    <col min="6161" max="6161" width="27.85546875" style="877" customWidth="1"/>
    <col min="6162" max="6162" width="11.42578125" style="877"/>
    <col min="6163" max="6163" width="13" style="877" customWidth="1"/>
    <col min="6164" max="6168" width="11.42578125" style="877"/>
    <col min="6169" max="6169" width="15.42578125" style="877" customWidth="1"/>
    <col min="6170" max="6170" width="12.7109375" style="877" bestFit="1" customWidth="1"/>
    <col min="6171" max="6400" width="11.42578125" style="877"/>
    <col min="6401" max="6401" width="7.5703125" style="877" customWidth="1"/>
    <col min="6402" max="6402" width="11.42578125" style="877"/>
    <col min="6403" max="6403" width="4.7109375" style="877" customWidth="1"/>
    <col min="6404" max="6404" width="0.7109375" style="877" customWidth="1"/>
    <col min="6405" max="6405" width="11.5703125" style="877" customWidth="1"/>
    <col min="6406" max="6406" width="1.42578125" style="877" customWidth="1"/>
    <col min="6407" max="6407" width="9.85546875" style="877" customWidth="1"/>
    <col min="6408" max="6408" width="2.28515625" style="877" customWidth="1"/>
    <col min="6409" max="6409" width="10" style="877" customWidth="1"/>
    <col min="6410" max="6410" width="2" style="877" customWidth="1"/>
    <col min="6411" max="6411" width="10.5703125" style="877" customWidth="1"/>
    <col min="6412" max="6412" width="9.42578125" style="877" customWidth="1"/>
    <col min="6413" max="6413" width="8.5703125" style="877" customWidth="1"/>
    <col min="6414" max="6414" width="0.7109375" style="877" customWidth="1"/>
    <col min="6415" max="6415" width="9.85546875" style="877" customWidth="1"/>
    <col min="6416" max="6416" width="10.140625" style="877" customWidth="1"/>
    <col min="6417" max="6417" width="27.85546875" style="877" customWidth="1"/>
    <col min="6418" max="6418" width="11.42578125" style="877"/>
    <col min="6419" max="6419" width="13" style="877" customWidth="1"/>
    <col min="6420" max="6424" width="11.42578125" style="877"/>
    <col min="6425" max="6425" width="15.42578125" style="877" customWidth="1"/>
    <col min="6426" max="6426" width="12.7109375" style="877" bestFit="1" customWidth="1"/>
    <col min="6427" max="6656" width="11.42578125" style="877"/>
    <col min="6657" max="6657" width="7.5703125" style="877" customWidth="1"/>
    <col min="6658" max="6658" width="11.42578125" style="877"/>
    <col min="6659" max="6659" width="4.7109375" style="877" customWidth="1"/>
    <col min="6660" max="6660" width="0.7109375" style="877" customWidth="1"/>
    <col min="6661" max="6661" width="11.5703125" style="877" customWidth="1"/>
    <col min="6662" max="6662" width="1.42578125" style="877" customWidth="1"/>
    <col min="6663" max="6663" width="9.85546875" style="877" customWidth="1"/>
    <col min="6664" max="6664" width="2.28515625" style="877" customWidth="1"/>
    <col min="6665" max="6665" width="10" style="877" customWidth="1"/>
    <col min="6666" max="6666" width="2" style="877" customWidth="1"/>
    <col min="6667" max="6667" width="10.5703125" style="877" customWidth="1"/>
    <col min="6668" max="6668" width="9.42578125" style="877" customWidth="1"/>
    <col min="6669" max="6669" width="8.5703125" style="877" customWidth="1"/>
    <col min="6670" max="6670" width="0.7109375" style="877" customWidth="1"/>
    <col min="6671" max="6671" width="9.85546875" style="877" customWidth="1"/>
    <col min="6672" max="6672" width="10.140625" style="877" customWidth="1"/>
    <col min="6673" max="6673" width="27.85546875" style="877" customWidth="1"/>
    <col min="6674" max="6674" width="11.42578125" style="877"/>
    <col min="6675" max="6675" width="13" style="877" customWidth="1"/>
    <col min="6676" max="6680" width="11.42578125" style="877"/>
    <col min="6681" max="6681" width="15.42578125" style="877" customWidth="1"/>
    <col min="6682" max="6682" width="12.7109375" style="877" bestFit="1" customWidth="1"/>
    <col min="6683" max="6912" width="11.42578125" style="877"/>
    <col min="6913" max="6913" width="7.5703125" style="877" customWidth="1"/>
    <col min="6914" max="6914" width="11.42578125" style="877"/>
    <col min="6915" max="6915" width="4.7109375" style="877" customWidth="1"/>
    <col min="6916" max="6916" width="0.7109375" style="877" customWidth="1"/>
    <col min="6917" max="6917" width="11.5703125" style="877" customWidth="1"/>
    <col min="6918" max="6918" width="1.42578125" style="877" customWidth="1"/>
    <col min="6919" max="6919" width="9.85546875" style="877" customWidth="1"/>
    <col min="6920" max="6920" width="2.28515625" style="877" customWidth="1"/>
    <col min="6921" max="6921" width="10" style="877" customWidth="1"/>
    <col min="6922" max="6922" width="2" style="877" customWidth="1"/>
    <col min="6923" max="6923" width="10.5703125" style="877" customWidth="1"/>
    <col min="6924" max="6924" width="9.42578125" style="877" customWidth="1"/>
    <col min="6925" max="6925" width="8.5703125" style="877" customWidth="1"/>
    <col min="6926" max="6926" width="0.7109375" style="877" customWidth="1"/>
    <col min="6927" max="6927" width="9.85546875" style="877" customWidth="1"/>
    <col min="6928" max="6928" width="10.140625" style="877" customWidth="1"/>
    <col min="6929" max="6929" width="27.85546875" style="877" customWidth="1"/>
    <col min="6930" max="6930" width="11.42578125" style="877"/>
    <col min="6931" max="6931" width="13" style="877" customWidth="1"/>
    <col min="6932" max="6936" width="11.42578125" style="877"/>
    <col min="6937" max="6937" width="15.42578125" style="877" customWidth="1"/>
    <col min="6938" max="6938" width="12.7109375" style="877" bestFit="1" customWidth="1"/>
    <col min="6939" max="7168" width="11.42578125" style="877"/>
    <col min="7169" max="7169" width="7.5703125" style="877" customWidth="1"/>
    <col min="7170" max="7170" width="11.42578125" style="877"/>
    <col min="7171" max="7171" width="4.7109375" style="877" customWidth="1"/>
    <col min="7172" max="7172" width="0.7109375" style="877" customWidth="1"/>
    <col min="7173" max="7173" width="11.5703125" style="877" customWidth="1"/>
    <col min="7174" max="7174" width="1.42578125" style="877" customWidth="1"/>
    <col min="7175" max="7175" width="9.85546875" style="877" customWidth="1"/>
    <col min="7176" max="7176" width="2.28515625" style="877" customWidth="1"/>
    <col min="7177" max="7177" width="10" style="877" customWidth="1"/>
    <col min="7178" max="7178" width="2" style="877" customWidth="1"/>
    <col min="7179" max="7179" width="10.5703125" style="877" customWidth="1"/>
    <col min="7180" max="7180" width="9.42578125" style="877" customWidth="1"/>
    <col min="7181" max="7181" width="8.5703125" style="877" customWidth="1"/>
    <col min="7182" max="7182" width="0.7109375" style="877" customWidth="1"/>
    <col min="7183" max="7183" width="9.85546875" style="877" customWidth="1"/>
    <col min="7184" max="7184" width="10.140625" style="877" customWidth="1"/>
    <col min="7185" max="7185" width="27.85546875" style="877" customWidth="1"/>
    <col min="7186" max="7186" width="11.42578125" style="877"/>
    <col min="7187" max="7187" width="13" style="877" customWidth="1"/>
    <col min="7188" max="7192" width="11.42578125" style="877"/>
    <col min="7193" max="7193" width="15.42578125" style="877" customWidth="1"/>
    <col min="7194" max="7194" width="12.7109375" style="877" bestFit="1" customWidth="1"/>
    <col min="7195" max="7424" width="11.42578125" style="877"/>
    <col min="7425" max="7425" width="7.5703125" style="877" customWidth="1"/>
    <col min="7426" max="7426" width="11.42578125" style="877"/>
    <col min="7427" max="7427" width="4.7109375" style="877" customWidth="1"/>
    <col min="7428" max="7428" width="0.7109375" style="877" customWidth="1"/>
    <col min="7429" max="7429" width="11.5703125" style="877" customWidth="1"/>
    <col min="7430" max="7430" width="1.42578125" style="877" customWidth="1"/>
    <col min="7431" max="7431" width="9.85546875" style="877" customWidth="1"/>
    <col min="7432" max="7432" width="2.28515625" style="877" customWidth="1"/>
    <col min="7433" max="7433" width="10" style="877" customWidth="1"/>
    <col min="7434" max="7434" width="2" style="877" customWidth="1"/>
    <col min="7435" max="7435" width="10.5703125" style="877" customWidth="1"/>
    <col min="7436" max="7436" width="9.42578125" style="877" customWidth="1"/>
    <col min="7437" max="7437" width="8.5703125" style="877" customWidth="1"/>
    <col min="7438" max="7438" width="0.7109375" style="877" customWidth="1"/>
    <col min="7439" max="7439" width="9.85546875" style="877" customWidth="1"/>
    <col min="7440" max="7440" width="10.140625" style="877" customWidth="1"/>
    <col min="7441" max="7441" width="27.85546875" style="877" customWidth="1"/>
    <col min="7442" max="7442" width="11.42578125" style="877"/>
    <col min="7443" max="7443" width="13" style="877" customWidth="1"/>
    <col min="7444" max="7448" width="11.42578125" style="877"/>
    <col min="7449" max="7449" width="15.42578125" style="877" customWidth="1"/>
    <col min="7450" max="7450" width="12.7109375" style="877" bestFit="1" customWidth="1"/>
    <col min="7451" max="7680" width="11.42578125" style="877"/>
    <col min="7681" max="7681" width="7.5703125" style="877" customWidth="1"/>
    <col min="7682" max="7682" width="11.42578125" style="877"/>
    <col min="7683" max="7683" width="4.7109375" style="877" customWidth="1"/>
    <col min="7684" max="7684" width="0.7109375" style="877" customWidth="1"/>
    <col min="7685" max="7685" width="11.5703125" style="877" customWidth="1"/>
    <col min="7686" max="7686" width="1.42578125" style="877" customWidth="1"/>
    <col min="7687" max="7687" width="9.85546875" style="877" customWidth="1"/>
    <col min="7688" max="7688" width="2.28515625" style="877" customWidth="1"/>
    <col min="7689" max="7689" width="10" style="877" customWidth="1"/>
    <col min="7690" max="7690" width="2" style="877" customWidth="1"/>
    <col min="7691" max="7691" width="10.5703125" style="877" customWidth="1"/>
    <col min="7692" max="7692" width="9.42578125" style="877" customWidth="1"/>
    <col min="7693" max="7693" width="8.5703125" style="877" customWidth="1"/>
    <col min="7694" max="7694" width="0.7109375" style="877" customWidth="1"/>
    <col min="7695" max="7695" width="9.85546875" style="877" customWidth="1"/>
    <col min="7696" max="7696" width="10.140625" style="877" customWidth="1"/>
    <col min="7697" max="7697" width="27.85546875" style="877" customWidth="1"/>
    <col min="7698" max="7698" width="11.42578125" style="877"/>
    <col min="7699" max="7699" width="13" style="877" customWidth="1"/>
    <col min="7700" max="7704" width="11.42578125" style="877"/>
    <col min="7705" max="7705" width="15.42578125" style="877" customWidth="1"/>
    <col min="7706" max="7706" width="12.7109375" style="877" bestFit="1" customWidth="1"/>
    <col min="7707" max="7936" width="11.42578125" style="877"/>
    <col min="7937" max="7937" width="7.5703125" style="877" customWidth="1"/>
    <col min="7938" max="7938" width="11.42578125" style="877"/>
    <col min="7939" max="7939" width="4.7109375" style="877" customWidth="1"/>
    <col min="7940" max="7940" width="0.7109375" style="877" customWidth="1"/>
    <col min="7941" max="7941" width="11.5703125" style="877" customWidth="1"/>
    <col min="7942" max="7942" width="1.42578125" style="877" customWidth="1"/>
    <col min="7943" max="7943" width="9.85546875" style="877" customWidth="1"/>
    <col min="7944" max="7944" width="2.28515625" style="877" customWidth="1"/>
    <col min="7945" max="7945" width="10" style="877" customWidth="1"/>
    <col min="7946" max="7946" width="2" style="877" customWidth="1"/>
    <col min="7947" max="7947" width="10.5703125" style="877" customWidth="1"/>
    <col min="7948" max="7948" width="9.42578125" style="877" customWidth="1"/>
    <col min="7949" max="7949" width="8.5703125" style="877" customWidth="1"/>
    <col min="7950" max="7950" width="0.7109375" style="877" customWidth="1"/>
    <col min="7951" max="7951" width="9.85546875" style="877" customWidth="1"/>
    <col min="7952" max="7952" width="10.140625" style="877" customWidth="1"/>
    <col min="7953" max="7953" width="27.85546875" style="877" customWidth="1"/>
    <col min="7954" max="7954" width="11.42578125" style="877"/>
    <col min="7955" max="7955" width="13" style="877" customWidth="1"/>
    <col min="7956" max="7960" width="11.42578125" style="877"/>
    <col min="7961" max="7961" width="15.42578125" style="877" customWidth="1"/>
    <col min="7962" max="7962" width="12.7109375" style="877" bestFit="1" customWidth="1"/>
    <col min="7963" max="8192" width="11.42578125" style="877"/>
    <col min="8193" max="8193" width="7.5703125" style="877" customWidth="1"/>
    <col min="8194" max="8194" width="11.42578125" style="877"/>
    <col min="8195" max="8195" width="4.7109375" style="877" customWidth="1"/>
    <col min="8196" max="8196" width="0.7109375" style="877" customWidth="1"/>
    <col min="8197" max="8197" width="11.5703125" style="877" customWidth="1"/>
    <col min="8198" max="8198" width="1.42578125" style="877" customWidth="1"/>
    <col min="8199" max="8199" width="9.85546875" style="877" customWidth="1"/>
    <col min="8200" max="8200" width="2.28515625" style="877" customWidth="1"/>
    <col min="8201" max="8201" width="10" style="877" customWidth="1"/>
    <col min="8202" max="8202" width="2" style="877" customWidth="1"/>
    <col min="8203" max="8203" width="10.5703125" style="877" customWidth="1"/>
    <col min="8204" max="8204" width="9.42578125" style="877" customWidth="1"/>
    <col min="8205" max="8205" width="8.5703125" style="877" customWidth="1"/>
    <col min="8206" max="8206" width="0.7109375" style="877" customWidth="1"/>
    <col min="8207" max="8207" width="9.85546875" style="877" customWidth="1"/>
    <col min="8208" max="8208" width="10.140625" style="877" customWidth="1"/>
    <col min="8209" max="8209" width="27.85546875" style="877" customWidth="1"/>
    <col min="8210" max="8210" width="11.42578125" style="877"/>
    <col min="8211" max="8211" width="13" style="877" customWidth="1"/>
    <col min="8212" max="8216" width="11.42578125" style="877"/>
    <col min="8217" max="8217" width="15.42578125" style="877" customWidth="1"/>
    <col min="8218" max="8218" width="12.7109375" style="877" bestFit="1" customWidth="1"/>
    <col min="8219" max="8448" width="11.42578125" style="877"/>
    <col min="8449" max="8449" width="7.5703125" style="877" customWidth="1"/>
    <col min="8450" max="8450" width="11.42578125" style="877"/>
    <col min="8451" max="8451" width="4.7109375" style="877" customWidth="1"/>
    <col min="8452" max="8452" width="0.7109375" style="877" customWidth="1"/>
    <col min="8453" max="8453" width="11.5703125" style="877" customWidth="1"/>
    <col min="8454" max="8454" width="1.42578125" style="877" customWidth="1"/>
    <col min="8455" max="8455" width="9.85546875" style="877" customWidth="1"/>
    <col min="8456" max="8456" width="2.28515625" style="877" customWidth="1"/>
    <col min="8457" max="8457" width="10" style="877" customWidth="1"/>
    <col min="8458" max="8458" width="2" style="877" customWidth="1"/>
    <col min="8459" max="8459" width="10.5703125" style="877" customWidth="1"/>
    <col min="8460" max="8460" width="9.42578125" style="877" customWidth="1"/>
    <col min="8461" max="8461" width="8.5703125" style="877" customWidth="1"/>
    <col min="8462" max="8462" width="0.7109375" style="877" customWidth="1"/>
    <col min="8463" max="8463" width="9.85546875" style="877" customWidth="1"/>
    <col min="8464" max="8464" width="10.140625" style="877" customWidth="1"/>
    <col min="8465" max="8465" width="27.85546875" style="877" customWidth="1"/>
    <col min="8466" max="8466" width="11.42578125" style="877"/>
    <col min="8467" max="8467" width="13" style="877" customWidth="1"/>
    <col min="8468" max="8472" width="11.42578125" style="877"/>
    <col min="8473" max="8473" width="15.42578125" style="877" customWidth="1"/>
    <col min="8474" max="8474" width="12.7109375" style="877" bestFit="1" customWidth="1"/>
    <col min="8475" max="8704" width="11.42578125" style="877"/>
    <col min="8705" max="8705" width="7.5703125" style="877" customWidth="1"/>
    <col min="8706" max="8706" width="11.42578125" style="877"/>
    <col min="8707" max="8707" width="4.7109375" style="877" customWidth="1"/>
    <col min="8708" max="8708" width="0.7109375" style="877" customWidth="1"/>
    <col min="8709" max="8709" width="11.5703125" style="877" customWidth="1"/>
    <col min="8710" max="8710" width="1.42578125" style="877" customWidth="1"/>
    <col min="8711" max="8711" width="9.85546875" style="877" customWidth="1"/>
    <col min="8712" max="8712" width="2.28515625" style="877" customWidth="1"/>
    <col min="8713" max="8713" width="10" style="877" customWidth="1"/>
    <col min="8714" max="8714" width="2" style="877" customWidth="1"/>
    <col min="8715" max="8715" width="10.5703125" style="877" customWidth="1"/>
    <col min="8716" max="8716" width="9.42578125" style="877" customWidth="1"/>
    <col min="8717" max="8717" width="8.5703125" style="877" customWidth="1"/>
    <col min="8718" max="8718" width="0.7109375" style="877" customWidth="1"/>
    <col min="8719" max="8719" width="9.85546875" style="877" customWidth="1"/>
    <col min="8720" max="8720" width="10.140625" style="877" customWidth="1"/>
    <col min="8721" max="8721" width="27.85546875" style="877" customWidth="1"/>
    <col min="8722" max="8722" width="11.42578125" style="877"/>
    <col min="8723" max="8723" width="13" style="877" customWidth="1"/>
    <col min="8724" max="8728" width="11.42578125" style="877"/>
    <col min="8729" max="8729" width="15.42578125" style="877" customWidth="1"/>
    <col min="8730" max="8730" width="12.7109375" style="877" bestFit="1" customWidth="1"/>
    <col min="8731" max="8960" width="11.42578125" style="877"/>
    <col min="8961" max="8961" width="7.5703125" style="877" customWidth="1"/>
    <col min="8962" max="8962" width="11.42578125" style="877"/>
    <col min="8963" max="8963" width="4.7109375" style="877" customWidth="1"/>
    <col min="8964" max="8964" width="0.7109375" style="877" customWidth="1"/>
    <col min="8965" max="8965" width="11.5703125" style="877" customWidth="1"/>
    <col min="8966" max="8966" width="1.42578125" style="877" customWidth="1"/>
    <col min="8967" max="8967" width="9.85546875" style="877" customWidth="1"/>
    <col min="8968" max="8968" width="2.28515625" style="877" customWidth="1"/>
    <col min="8969" max="8969" width="10" style="877" customWidth="1"/>
    <col min="8970" max="8970" width="2" style="877" customWidth="1"/>
    <col min="8971" max="8971" width="10.5703125" style="877" customWidth="1"/>
    <col min="8972" max="8972" width="9.42578125" style="877" customWidth="1"/>
    <col min="8973" max="8973" width="8.5703125" style="877" customWidth="1"/>
    <col min="8974" max="8974" width="0.7109375" style="877" customWidth="1"/>
    <col min="8975" max="8975" width="9.85546875" style="877" customWidth="1"/>
    <col min="8976" max="8976" width="10.140625" style="877" customWidth="1"/>
    <col min="8977" max="8977" width="27.85546875" style="877" customWidth="1"/>
    <col min="8978" max="8978" width="11.42578125" style="877"/>
    <col min="8979" max="8979" width="13" style="877" customWidth="1"/>
    <col min="8980" max="8984" width="11.42578125" style="877"/>
    <col min="8985" max="8985" width="15.42578125" style="877" customWidth="1"/>
    <col min="8986" max="8986" width="12.7109375" style="877" bestFit="1" customWidth="1"/>
    <col min="8987" max="9216" width="11.42578125" style="877"/>
    <col min="9217" max="9217" width="7.5703125" style="877" customWidth="1"/>
    <col min="9218" max="9218" width="11.42578125" style="877"/>
    <col min="9219" max="9219" width="4.7109375" style="877" customWidth="1"/>
    <col min="9220" max="9220" width="0.7109375" style="877" customWidth="1"/>
    <col min="9221" max="9221" width="11.5703125" style="877" customWidth="1"/>
    <col min="9222" max="9222" width="1.42578125" style="877" customWidth="1"/>
    <col min="9223" max="9223" width="9.85546875" style="877" customWidth="1"/>
    <col min="9224" max="9224" width="2.28515625" style="877" customWidth="1"/>
    <col min="9225" max="9225" width="10" style="877" customWidth="1"/>
    <col min="9226" max="9226" width="2" style="877" customWidth="1"/>
    <col min="9227" max="9227" width="10.5703125" style="877" customWidth="1"/>
    <col min="9228" max="9228" width="9.42578125" style="877" customWidth="1"/>
    <col min="9229" max="9229" width="8.5703125" style="877" customWidth="1"/>
    <col min="9230" max="9230" width="0.7109375" style="877" customWidth="1"/>
    <col min="9231" max="9231" width="9.85546875" style="877" customWidth="1"/>
    <col min="9232" max="9232" width="10.140625" style="877" customWidth="1"/>
    <col min="9233" max="9233" width="27.85546875" style="877" customWidth="1"/>
    <col min="9234" max="9234" width="11.42578125" style="877"/>
    <col min="9235" max="9235" width="13" style="877" customWidth="1"/>
    <col min="9236" max="9240" width="11.42578125" style="877"/>
    <col min="9241" max="9241" width="15.42578125" style="877" customWidth="1"/>
    <col min="9242" max="9242" width="12.7109375" style="877" bestFit="1" customWidth="1"/>
    <col min="9243" max="9472" width="11.42578125" style="877"/>
    <col min="9473" max="9473" width="7.5703125" style="877" customWidth="1"/>
    <col min="9474" max="9474" width="11.42578125" style="877"/>
    <col min="9475" max="9475" width="4.7109375" style="877" customWidth="1"/>
    <col min="9476" max="9476" width="0.7109375" style="877" customWidth="1"/>
    <col min="9477" max="9477" width="11.5703125" style="877" customWidth="1"/>
    <col min="9478" max="9478" width="1.42578125" style="877" customWidth="1"/>
    <col min="9479" max="9479" width="9.85546875" style="877" customWidth="1"/>
    <col min="9480" max="9480" width="2.28515625" style="877" customWidth="1"/>
    <col min="9481" max="9481" width="10" style="877" customWidth="1"/>
    <col min="9482" max="9482" width="2" style="877" customWidth="1"/>
    <col min="9483" max="9483" width="10.5703125" style="877" customWidth="1"/>
    <col min="9484" max="9484" width="9.42578125" style="877" customWidth="1"/>
    <col min="9485" max="9485" width="8.5703125" style="877" customWidth="1"/>
    <col min="9486" max="9486" width="0.7109375" style="877" customWidth="1"/>
    <col min="9487" max="9487" width="9.85546875" style="877" customWidth="1"/>
    <col min="9488" max="9488" width="10.140625" style="877" customWidth="1"/>
    <col min="9489" max="9489" width="27.85546875" style="877" customWidth="1"/>
    <col min="9490" max="9490" width="11.42578125" style="877"/>
    <col min="9491" max="9491" width="13" style="877" customWidth="1"/>
    <col min="9492" max="9496" width="11.42578125" style="877"/>
    <col min="9497" max="9497" width="15.42578125" style="877" customWidth="1"/>
    <col min="9498" max="9498" width="12.7109375" style="877" bestFit="1" customWidth="1"/>
    <col min="9499" max="9728" width="11.42578125" style="877"/>
    <col min="9729" max="9729" width="7.5703125" style="877" customWidth="1"/>
    <col min="9730" max="9730" width="11.42578125" style="877"/>
    <col min="9731" max="9731" width="4.7109375" style="877" customWidth="1"/>
    <col min="9732" max="9732" width="0.7109375" style="877" customWidth="1"/>
    <col min="9733" max="9733" width="11.5703125" style="877" customWidth="1"/>
    <col min="9734" max="9734" width="1.42578125" style="877" customWidth="1"/>
    <col min="9735" max="9735" width="9.85546875" style="877" customWidth="1"/>
    <col min="9736" max="9736" width="2.28515625" style="877" customWidth="1"/>
    <col min="9737" max="9737" width="10" style="877" customWidth="1"/>
    <col min="9738" max="9738" width="2" style="877" customWidth="1"/>
    <col min="9739" max="9739" width="10.5703125" style="877" customWidth="1"/>
    <col min="9740" max="9740" width="9.42578125" style="877" customWidth="1"/>
    <col min="9741" max="9741" width="8.5703125" style="877" customWidth="1"/>
    <col min="9742" max="9742" width="0.7109375" style="877" customWidth="1"/>
    <col min="9743" max="9743" width="9.85546875" style="877" customWidth="1"/>
    <col min="9744" max="9744" width="10.140625" style="877" customWidth="1"/>
    <col min="9745" max="9745" width="27.85546875" style="877" customWidth="1"/>
    <col min="9746" max="9746" width="11.42578125" style="877"/>
    <col min="9747" max="9747" width="13" style="877" customWidth="1"/>
    <col min="9748" max="9752" width="11.42578125" style="877"/>
    <col min="9753" max="9753" width="15.42578125" style="877" customWidth="1"/>
    <col min="9754" max="9754" width="12.7109375" style="877" bestFit="1" customWidth="1"/>
    <col min="9755" max="9984" width="11.42578125" style="877"/>
    <col min="9985" max="9985" width="7.5703125" style="877" customWidth="1"/>
    <col min="9986" max="9986" width="11.42578125" style="877"/>
    <col min="9987" max="9987" width="4.7109375" style="877" customWidth="1"/>
    <col min="9988" max="9988" width="0.7109375" style="877" customWidth="1"/>
    <col min="9989" max="9989" width="11.5703125" style="877" customWidth="1"/>
    <col min="9990" max="9990" width="1.42578125" style="877" customWidth="1"/>
    <col min="9991" max="9991" width="9.85546875" style="877" customWidth="1"/>
    <col min="9992" max="9992" width="2.28515625" style="877" customWidth="1"/>
    <col min="9993" max="9993" width="10" style="877" customWidth="1"/>
    <col min="9994" max="9994" width="2" style="877" customWidth="1"/>
    <col min="9995" max="9995" width="10.5703125" style="877" customWidth="1"/>
    <col min="9996" max="9996" width="9.42578125" style="877" customWidth="1"/>
    <col min="9997" max="9997" width="8.5703125" style="877" customWidth="1"/>
    <col min="9998" max="9998" width="0.7109375" style="877" customWidth="1"/>
    <col min="9999" max="9999" width="9.85546875" style="877" customWidth="1"/>
    <col min="10000" max="10000" width="10.140625" style="877" customWidth="1"/>
    <col min="10001" max="10001" width="27.85546875" style="877" customWidth="1"/>
    <col min="10002" max="10002" width="11.42578125" style="877"/>
    <col min="10003" max="10003" width="13" style="877" customWidth="1"/>
    <col min="10004" max="10008" width="11.42578125" style="877"/>
    <col min="10009" max="10009" width="15.42578125" style="877" customWidth="1"/>
    <col min="10010" max="10010" width="12.7109375" style="877" bestFit="1" customWidth="1"/>
    <col min="10011" max="10240" width="11.42578125" style="877"/>
    <col min="10241" max="10241" width="7.5703125" style="877" customWidth="1"/>
    <col min="10242" max="10242" width="11.42578125" style="877"/>
    <col min="10243" max="10243" width="4.7109375" style="877" customWidth="1"/>
    <col min="10244" max="10244" width="0.7109375" style="877" customWidth="1"/>
    <col min="10245" max="10245" width="11.5703125" style="877" customWidth="1"/>
    <col min="10246" max="10246" width="1.42578125" style="877" customWidth="1"/>
    <col min="10247" max="10247" width="9.85546875" style="877" customWidth="1"/>
    <col min="10248" max="10248" width="2.28515625" style="877" customWidth="1"/>
    <col min="10249" max="10249" width="10" style="877" customWidth="1"/>
    <col min="10250" max="10250" width="2" style="877" customWidth="1"/>
    <col min="10251" max="10251" width="10.5703125" style="877" customWidth="1"/>
    <col min="10252" max="10252" width="9.42578125" style="877" customWidth="1"/>
    <col min="10253" max="10253" width="8.5703125" style="877" customWidth="1"/>
    <col min="10254" max="10254" width="0.7109375" style="877" customWidth="1"/>
    <col min="10255" max="10255" width="9.85546875" style="877" customWidth="1"/>
    <col min="10256" max="10256" width="10.140625" style="877" customWidth="1"/>
    <col min="10257" max="10257" width="27.85546875" style="877" customWidth="1"/>
    <col min="10258" max="10258" width="11.42578125" style="877"/>
    <col min="10259" max="10259" width="13" style="877" customWidth="1"/>
    <col min="10260" max="10264" width="11.42578125" style="877"/>
    <col min="10265" max="10265" width="15.42578125" style="877" customWidth="1"/>
    <col min="10266" max="10266" width="12.7109375" style="877" bestFit="1" customWidth="1"/>
    <col min="10267" max="10496" width="11.42578125" style="877"/>
    <col min="10497" max="10497" width="7.5703125" style="877" customWidth="1"/>
    <col min="10498" max="10498" width="11.42578125" style="877"/>
    <col min="10499" max="10499" width="4.7109375" style="877" customWidth="1"/>
    <col min="10500" max="10500" width="0.7109375" style="877" customWidth="1"/>
    <col min="10501" max="10501" width="11.5703125" style="877" customWidth="1"/>
    <col min="10502" max="10502" width="1.42578125" style="877" customWidth="1"/>
    <col min="10503" max="10503" width="9.85546875" style="877" customWidth="1"/>
    <col min="10504" max="10504" width="2.28515625" style="877" customWidth="1"/>
    <col min="10505" max="10505" width="10" style="877" customWidth="1"/>
    <col min="10506" max="10506" width="2" style="877" customWidth="1"/>
    <col min="10507" max="10507" width="10.5703125" style="877" customWidth="1"/>
    <col min="10508" max="10508" width="9.42578125" style="877" customWidth="1"/>
    <col min="10509" max="10509" width="8.5703125" style="877" customWidth="1"/>
    <col min="10510" max="10510" width="0.7109375" style="877" customWidth="1"/>
    <col min="10511" max="10511" width="9.85546875" style="877" customWidth="1"/>
    <col min="10512" max="10512" width="10.140625" style="877" customWidth="1"/>
    <col min="10513" max="10513" width="27.85546875" style="877" customWidth="1"/>
    <col min="10514" max="10514" width="11.42578125" style="877"/>
    <col min="10515" max="10515" width="13" style="877" customWidth="1"/>
    <col min="10516" max="10520" width="11.42578125" style="877"/>
    <col min="10521" max="10521" width="15.42578125" style="877" customWidth="1"/>
    <col min="10522" max="10522" width="12.7109375" style="877" bestFit="1" customWidth="1"/>
    <col min="10523" max="10752" width="11.42578125" style="877"/>
    <col min="10753" max="10753" width="7.5703125" style="877" customWidth="1"/>
    <col min="10754" max="10754" width="11.42578125" style="877"/>
    <col min="10755" max="10755" width="4.7109375" style="877" customWidth="1"/>
    <col min="10756" max="10756" width="0.7109375" style="877" customWidth="1"/>
    <col min="10757" max="10757" width="11.5703125" style="877" customWidth="1"/>
    <col min="10758" max="10758" width="1.42578125" style="877" customWidth="1"/>
    <col min="10759" max="10759" width="9.85546875" style="877" customWidth="1"/>
    <col min="10760" max="10760" width="2.28515625" style="877" customWidth="1"/>
    <col min="10761" max="10761" width="10" style="877" customWidth="1"/>
    <col min="10762" max="10762" width="2" style="877" customWidth="1"/>
    <col min="10763" max="10763" width="10.5703125" style="877" customWidth="1"/>
    <col min="10764" max="10764" width="9.42578125" style="877" customWidth="1"/>
    <col min="10765" max="10765" width="8.5703125" style="877" customWidth="1"/>
    <col min="10766" max="10766" width="0.7109375" style="877" customWidth="1"/>
    <col min="10767" max="10767" width="9.85546875" style="877" customWidth="1"/>
    <col min="10768" max="10768" width="10.140625" style="877" customWidth="1"/>
    <col min="10769" max="10769" width="27.85546875" style="877" customWidth="1"/>
    <col min="10770" max="10770" width="11.42578125" style="877"/>
    <col min="10771" max="10771" width="13" style="877" customWidth="1"/>
    <col min="10772" max="10776" width="11.42578125" style="877"/>
    <col min="10777" max="10777" width="15.42578125" style="877" customWidth="1"/>
    <col min="10778" max="10778" width="12.7109375" style="877" bestFit="1" customWidth="1"/>
    <col min="10779" max="11008" width="11.42578125" style="877"/>
    <col min="11009" max="11009" width="7.5703125" style="877" customWidth="1"/>
    <col min="11010" max="11010" width="11.42578125" style="877"/>
    <col min="11011" max="11011" width="4.7109375" style="877" customWidth="1"/>
    <col min="11012" max="11012" width="0.7109375" style="877" customWidth="1"/>
    <col min="11013" max="11013" width="11.5703125" style="877" customWidth="1"/>
    <col min="11014" max="11014" width="1.42578125" style="877" customWidth="1"/>
    <col min="11015" max="11015" width="9.85546875" style="877" customWidth="1"/>
    <col min="11016" max="11016" width="2.28515625" style="877" customWidth="1"/>
    <col min="11017" max="11017" width="10" style="877" customWidth="1"/>
    <col min="11018" max="11018" width="2" style="877" customWidth="1"/>
    <col min="11019" max="11019" width="10.5703125" style="877" customWidth="1"/>
    <col min="11020" max="11020" width="9.42578125" style="877" customWidth="1"/>
    <col min="11021" max="11021" width="8.5703125" style="877" customWidth="1"/>
    <col min="11022" max="11022" width="0.7109375" style="877" customWidth="1"/>
    <col min="11023" max="11023" width="9.85546875" style="877" customWidth="1"/>
    <col min="11024" max="11024" width="10.140625" style="877" customWidth="1"/>
    <col min="11025" max="11025" width="27.85546875" style="877" customWidth="1"/>
    <col min="11026" max="11026" width="11.42578125" style="877"/>
    <col min="11027" max="11027" width="13" style="877" customWidth="1"/>
    <col min="11028" max="11032" width="11.42578125" style="877"/>
    <col min="11033" max="11033" width="15.42578125" style="877" customWidth="1"/>
    <col min="11034" max="11034" width="12.7109375" style="877" bestFit="1" customWidth="1"/>
    <col min="11035" max="11264" width="11.42578125" style="877"/>
    <col min="11265" max="11265" width="7.5703125" style="877" customWidth="1"/>
    <col min="11266" max="11266" width="11.42578125" style="877"/>
    <col min="11267" max="11267" width="4.7109375" style="877" customWidth="1"/>
    <col min="11268" max="11268" width="0.7109375" style="877" customWidth="1"/>
    <col min="11269" max="11269" width="11.5703125" style="877" customWidth="1"/>
    <col min="11270" max="11270" width="1.42578125" style="877" customWidth="1"/>
    <col min="11271" max="11271" width="9.85546875" style="877" customWidth="1"/>
    <col min="11272" max="11272" width="2.28515625" style="877" customWidth="1"/>
    <col min="11273" max="11273" width="10" style="877" customWidth="1"/>
    <col min="11274" max="11274" width="2" style="877" customWidth="1"/>
    <col min="11275" max="11275" width="10.5703125" style="877" customWidth="1"/>
    <col min="11276" max="11276" width="9.42578125" style="877" customWidth="1"/>
    <col min="11277" max="11277" width="8.5703125" style="877" customWidth="1"/>
    <col min="11278" max="11278" width="0.7109375" style="877" customWidth="1"/>
    <col min="11279" max="11279" width="9.85546875" style="877" customWidth="1"/>
    <col min="11280" max="11280" width="10.140625" style="877" customWidth="1"/>
    <col min="11281" max="11281" width="27.85546875" style="877" customWidth="1"/>
    <col min="11282" max="11282" width="11.42578125" style="877"/>
    <col min="11283" max="11283" width="13" style="877" customWidth="1"/>
    <col min="11284" max="11288" width="11.42578125" style="877"/>
    <col min="11289" max="11289" width="15.42578125" style="877" customWidth="1"/>
    <col min="11290" max="11290" width="12.7109375" style="877" bestFit="1" customWidth="1"/>
    <col min="11291" max="11520" width="11.42578125" style="877"/>
    <col min="11521" max="11521" width="7.5703125" style="877" customWidth="1"/>
    <col min="11522" max="11522" width="11.42578125" style="877"/>
    <col min="11523" max="11523" width="4.7109375" style="877" customWidth="1"/>
    <col min="11524" max="11524" width="0.7109375" style="877" customWidth="1"/>
    <col min="11525" max="11525" width="11.5703125" style="877" customWidth="1"/>
    <col min="11526" max="11526" width="1.42578125" style="877" customWidth="1"/>
    <col min="11527" max="11527" width="9.85546875" style="877" customWidth="1"/>
    <col min="11528" max="11528" width="2.28515625" style="877" customWidth="1"/>
    <col min="11529" max="11529" width="10" style="877" customWidth="1"/>
    <col min="11530" max="11530" width="2" style="877" customWidth="1"/>
    <col min="11531" max="11531" width="10.5703125" style="877" customWidth="1"/>
    <col min="11532" max="11532" width="9.42578125" style="877" customWidth="1"/>
    <col min="11533" max="11533" width="8.5703125" style="877" customWidth="1"/>
    <col min="11534" max="11534" width="0.7109375" style="877" customWidth="1"/>
    <col min="11535" max="11535" width="9.85546875" style="877" customWidth="1"/>
    <col min="11536" max="11536" width="10.140625" style="877" customWidth="1"/>
    <col min="11537" max="11537" width="27.85546875" style="877" customWidth="1"/>
    <col min="11538" max="11538" width="11.42578125" style="877"/>
    <col min="11539" max="11539" width="13" style="877" customWidth="1"/>
    <col min="11540" max="11544" width="11.42578125" style="877"/>
    <col min="11545" max="11545" width="15.42578125" style="877" customWidth="1"/>
    <col min="11546" max="11546" width="12.7109375" style="877" bestFit="1" customWidth="1"/>
    <col min="11547" max="11776" width="11.42578125" style="877"/>
    <col min="11777" max="11777" width="7.5703125" style="877" customWidth="1"/>
    <col min="11778" max="11778" width="11.42578125" style="877"/>
    <col min="11779" max="11779" width="4.7109375" style="877" customWidth="1"/>
    <col min="11780" max="11780" width="0.7109375" style="877" customWidth="1"/>
    <col min="11781" max="11781" width="11.5703125" style="877" customWidth="1"/>
    <col min="11782" max="11782" width="1.42578125" style="877" customWidth="1"/>
    <col min="11783" max="11783" width="9.85546875" style="877" customWidth="1"/>
    <col min="11784" max="11784" width="2.28515625" style="877" customWidth="1"/>
    <col min="11785" max="11785" width="10" style="877" customWidth="1"/>
    <col min="11786" max="11786" width="2" style="877" customWidth="1"/>
    <col min="11787" max="11787" width="10.5703125" style="877" customWidth="1"/>
    <col min="11788" max="11788" width="9.42578125" style="877" customWidth="1"/>
    <col min="11789" max="11789" width="8.5703125" style="877" customWidth="1"/>
    <col min="11790" max="11790" width="0.7109375" style="877" customWidth="1"/>
    <col min="11791" max="11791" width="9.85546875" style="877" customWidth="1"/>
    <col min="11792" max="11792" width="10.140625" style="877" customWidth="1"/>
    <col min="11793" max="11793" width="27.85546875" style="877" customWidth="1"/>
    <col min="11794" max="11794" width="11.42578125" style="877"/>
    <col min="11795" max="11795" width="13" style="877" customWidth="1"/>
    <col min="11796" max="11800" width="11.42578125" style="877"/>
    <col min="11801" max="11801" width="15.42578125" style="877" customWidth="1"/>
    <col min="11802" max="11802" width="12.7109375" style="877" bestFit="1" customWidth="1"/>
    <col min="11803" max="12032" width="11.42578125" style="877"/>
    <col min="12033" max="12033" width="7.5703125" style="877" customWidth="1"/>
    <col min="12034" max="12034" width="11.42578125" style="877"/>
    <col min="12035" max="12035" width="4.7109375" style="877" customWidth="1"/>
    <col min="12036" max="12036" width="0.7109375" style="877" customWidth="1"/>
    <col min="12037" max="12037" width="11.5703125" style="877" customWidth="1"/>
    <col min="12038" max="12038" width="1.42578125" style="877" customWidth="1"/>
    <col min="12039" max="12039" width="9.85546875" style="877" customWidth="1"/>
    <col min="12040" max="12040" width="2.28515625" style="877" customWidth="1"/>
    <col min="12041" max="12041" width="10" style="877" customWidth="1"/>
    <col min="12042" max="12042" width="2" style="877" customWidth="1"/>
    <col min="12043" max="12043" width="10.5703125" style="877" customWidth="1"/>
    <col min="12044" max="12044" width="9.42578125" style="877" customWidth="1"/>
    <col min="12045" max="12045" width="8.5703125" style="877" customWidth="1"/>
    <col min="12046" max="12046" width="0.7109375" style="877" customWidth="1"/>
    <col min="12047" max="12047" width="9.85546875" style="877" customWidth="1"/>
    <col min="12048" max="12048" width="10.140625" style="877" customWidth="1"/>
    <col min="12049" max="12049" width="27.85546875" style="877" customWidth="1"/>
    <col min="12050" max="12050" width="11.42578125" style="877"/>
    <col min="12051" max="12051" width="13" style="877" customWidth="1"/>
    <col min="12052" max="12056" width="11.42578125" style="877"/>
    <col min="12057" max="12057" width="15.42578125" style="877" customWidth="1"/>
    <col min="12058" max="12058" width="12.7109375" style="877" bestFit="1" customWidth="1"/>
    <col min="12059" max="12288" width="11.42578125" style="877"/>
    <col min="12289" max="12289" width="7.5703125" style="877" customWidth="1"/>
    <col min="12290" max="12290" width="11.42578125" style="877"/>
    <col min="12291" max="12291" width="4.7109375" style="877" customWidth="1"/>
    <col min="12292" max="12292" width="0.7109375" style="877" customWidth="1"/>
    <col min="12293" max="12293" width="11.5703125" style="877" customWidth="1"/>
    <col min="12294" max="12294" width="1.42578125" style="877" customWidth="1"/>
    <col min="12295" max="12295" width="9.85546875" style="877" customWidth="1"/>
    <col min="12296" max="12296" width="2.28515625" style="877" customWidth="1"/>
    <col min="12297" max="12297" width="10" style="877" customWidth="1"/>
    <col min="12298" max="12298" width="2" style="877" customWidth="1"/>
    <col min="12299" max="12299" width="10.5703125" style="877" customWidth="1"/>
    <col min="12300" max="12300" width="9.42578125" style="877" customWidth="1"/>
    <col min="12301" max="12301" width="8.5703125" style="877" customWidth="1"/>
    <col min="12302" max="12302" width="0.7109375" style="877" customWidth="1"/>
    <col min="12303" max="12303" width="9.85546875" style="877" customWidth="1"/>
    <col min="12304" max="12304" width="10.140625" style="877" customWidth="1"/>
    <col min="12305" max="12305" width="27.85546875" style="877" customWidth="1"/>
    <col min="12306" max="12306" width="11.42578125" style="877"/>
    <col min="12307" max="12307" width="13" style="877" customWidth="1"/>
    <col min="12308" max="12312" width="11.42578125" style="877"/>
    <col min="12313" max="12313" width="15.42578125" style="877" customWidth="1"/>
    <col min="12314" max="12314" width="12.7109375" style="877" bestFit="1" customWidth="1"/>
    <col min="12315" max="12544" width="11.42578125" style="877"/>
    <col min="12545" max="12545" width="7.5703125" style="877" customWidth="1"/>
    <col min="12546" max="12546" width="11.42578125" style="877"/>
    <col min="12547" max="12547" width="4.7109375" style="877" customWidth="1"/>
    <col min="12548" max="12548" width="0.7109375" style="877" customWidth="1"/>
    <col min="12549" max="12549" width="11.5703125" style="877" customWidth="1"/>
    <col min="12550" max="12550" width="1.42578125" style="877" customWidth="1"/>
    <col min="12551" max="12551" width="9.85546875" style="877" customWidth="1"/>
    <col min="12552" max="12552" width="2.28515625" style="877" customWidth="1"/>
    <col min="12553" max="12553" width="10" style="877" customWidth="1"/>
    <col min="12554" max="12554" width="2" style="877" customWidth="1"/>
    <col min="12555" max="12555" width="10.5703125" style="877" customWidth="1"/>
    <col min="12556" max="12556" width="9.42578125" style="877" customWidth="1"/>
    <col min="12557" max="12557" width="8.5703125" style="877" customWidth="1"/>
    <col min="12558" max="12558" width="0.7109375" style="877" customWidth="1"/>
    <col min="12559" max="12559" width="9.85546875" style="877" customWidth="1"/>
    <col min="12560" max="12560" width="10.140625" style="877" customWidth="1"/>
    <col min="12561" max="12561" width="27.85546875" style="877" customWidth="1"/>
    <col min="12562" max="12562" width="11.42578125" style="877"/>
    <col min="12563" max="12563" width="13" style="877" customWidth="1"/>
    <col min="12564" max="12568" width="11.42578125" style="877"/>
    <col min="12569" max="12569" width="15.42578125" style="877" customWidth="1"/>
    <col min="12570" max="12570" width="12.7109375" style="877" bestFit="1" customWidth="1"/>
    <col min="12571" max="12800" width="11.42578125" style="877"/>
    <col min="12801" max="12801" width="7.5703125" style="877" customWidth="1"/>
    <col min="12802" max="12802" width="11.42578125" style="877"/>
    <col min="12803" max="12803" width="4.7109375" style="877" customWidth="1"/>
    <col min="12804" max="12804" width="0.7109375" style="877" customWidth="1"/>
    <col min="12805" max="12805" width="11.5703125" style="877" customWidth="1"/>
    <col min="12806" max="12806" width="1.42578125" style="877" customWidth="1"/>
    <col min="12807" max="12807" width="9.85546875" style="877" customWidth="1"/>
    <col min="12808" max="12808" width="2.28515625" style="877" customWidth="1"/>
    <col min="12809" max="12809" width="10" style="877" customWidth="1"/>
    <col min="12810" max="12810" width="2" style="877" customWidth="1"/>
    <col min="12811" max="12811" width="10.5703125" style="877" customWidth="1"/>
    <col min="12812" max="12812" width="9.42578125" style="877" customWidth="1"/>
    <col min="12813" max="12813" width="8.5703125" style="877" customWidth="1"/>
    <col min="12814" max="12814" width="0.7109375" style="877" customWidth="1"/>
    <col min="12815" max="12815" width="9.85546875" style="877" customWidth="1"/>
    <col min="12816" max="12816" width="10.140625" style="877" customWidth="1"/>
    <col min="12817" max="12817" width="27.85546875" style="877" customWidth="1"/>
    <col min="12818" max="12818" width="11.42578125" style="877"/>
    <col min="12819" max="12819" width="13" style="877" customWidth="1"/>
    <col min="12820" max="12824" width="11.42578125" style="877"/>
    <col min="12825" max="12825" width="15.42578125" style="877" customWidth="1"/>
    <col min="12826" max="12826" width="12.7109375" style="877" bestFit="1" customWidth="1"/>
    <col min="12827" max="13056" width="11.42578125" style="877"/>
    <col min="13057" max="13057" width="7.5703125" style="877" customWidth="1"/>
    <col min="13058" max="13058" width="11.42578125" style="877"/>
    <col min="13059" max="13059" width="4.7109375" style="877" customWidth="1"/>
    <col min="13060" max="13060" width="0.7109375" style="877" customWidth="1"/>
    <col min="13061" max="13061" width="11.5703125" style="877" customWidth="1"/>
    <col min="13062" max="13062" width="1.42578125" style="877" customWidth="1"/>
    <col min="13063" max="13063" width="9.85546875" style="877" customWidth="1"/>
    <col min="13064" max="13064" width="2.28515625" style="877" customWidth="1"/>
    <col min="13065" max="13065" width="10" style="877" customWidth="1"/>
    <col min="13066" max="13066" width="2" style="877" customWidth="1"/>
    <col min="13067" max="13067" width="10.5703125" style="877" customWidth="1"/>
    <col min="13068" max="13068" width="9.42578125" style="877" customWidth="1"/>
    <col min="13069" max="13069" width="8.5703125" style="877" customWidth="1"/>
    <col min="13070" max="13070" width="0.7109375" style="877" customWidth="1"/>
    <col min="13071" max="13071" width="9.85546875" style="877" customWidth="1"/>
    <col min="13072" max="13072" width="10.140625" style="877" customWidth="1"/>
    <col min="13073" max="13073" width="27.85546875" style="877" customWidth="1"/>
    <col min="13074" max="13074" width="11.42578125" style="877"/>
    <col min="13075" max="13075" width="13" style="877" customWidth="1"/>
    <col min="13076" max="13080" width="11.42578125" style="877"/>
    <col min="13081" max="13081" width="15.42578125" style="877" customWidth="1"/>
    <col min="13082" max="13082" width="12.7109375" style="877" bestFit="1" customWidth="1"/>
    <col min="13083" max="13312" width="11.42578125" style="877"/>
    <col min="13313" max="13313" width="7.5703125" style="877" customWidth="1"/>
    <col min="13314" max="13314" width="11.42578125" style="877"/>
    <col min="13315" max="13315" width="4.7109375" style="877" customWidth="1"/>
    <col min="13316" max="13316" width="0.7109375" style="877" customWidth="1"/>
    <col min="13317" max="13317" width="11.5703125" style="877" customWidth="1"/>
    <col min="13318" max="13318" width="1.42578125" style="877" customWidth="1"/>
    <col min="13319" max="13319" width="9.85546875" style="877" customWidth="1"/>
    <col min="13320" max="13320" width="2.28515625" style="877" customWidth="1"/>
    <col min="13321" max="13321" width="10" style="877" customWidth="1"/>
    <col min="13322" max="13322" width="2" style="877" customWidth="1"/>
    <col min="13323" max="13323" width="10.5703125" style="877" customWidth="1"/>
    <col min="13324" max="13324" width="9.42578125" style="877" customWidth="1"/>
    <col min="13325" max="13325" width="8.5703125" style="877" customWidth="1"/>
    <col min="13326" max="13326" width="0.7109375" style="877" customWidth="1"/>
    <col min="13327" max="13327" width="9.85546875" style="877" customWidth="1"/>
    <col min="13328" max="13328" width="10.140625" style="877" customWidth="1"/>
    <col min="13329" max="13329" width="27.85546875" style="877" customWidth="1"/>
    <col min="13330" max="13330" width="11.42578125" style="877"/>
    <col min="13331" max="13331" width="13" style="877" customWidth="1"/>
    <col min="13332" max="13336" width="11.42578125" style="877"/>
    <col min="13337" max="13337" width="15.42578125" style="877" customWidth="1"/>
    <col min="13338" max="13338" width="12.7109375" style="877" bestFit="1" customWidth="1"/>
    <col min="13339" max="13568" width="11.42578125" style="877"/>
    <col min="13569" max="13569" width="7.5703125" style="877" customWidth="1"/>
    <col min="13570" max="13570" width="11.42578125" style="877"/>
    <col min="13571" max="13571" width="4.7109375" style="877" customWidth="1"/>
    <col min="13572" max="13572" width="0.7109375" style="877" customWidth="1"/>
    <col min="13573" max="13573" width="11.5703125" style="877" customWidth="1"/>
    <col min="13574" max="13574" width="1.42578125" style="877" customWidth="1"/>
    <col min="13575" max="13575" width="9.85546875" style="877" customWidth="1"/>
    <col min="13576" max="13576" width="2.28515625" style="877" customWidth="1"/>
    <col min="13577" max="13577" width="10" style="877" customWidth="1"/>
    <col min="13578" max="13578" width="2" style="877" customWidth="1"/>
    <col min="13579" max="13579" width="10.5703125" style="877" customWidth="1"/>
    <col min="13580" max="13580" width="9.42578125" style="877" customWidth="1"/>
    <col min="13581" max="13581" width="8.5703125" style="877" customWidth="1"/>
    <col min="13582" max="13582" width="0.7109375" style="877" customWidth="1"/>
    <col min="13583" max="13583" width="9.85546875" style="877" customWidth="1"/>
    <col min="13584" max="13584" width="10.140625" style="877" customWidth="1"/>
    <col min="13585" max="13585" width="27.85546875" style="877" customWidth="1"/>
    <col min="13586" max="13586" width="11.42578125" style="877"/>
    <col min="13587" max="13587" width="13" style="877" customWidth="1"/>
    <col min="13588" max="13592" width="11.42578125" style="877"/>
    <col min="13593" max="13593" width="15.42578125" style="877" customWidth="1"/>
    <col min="13594" max="13594" width="12.7109375" style="877" bestFit="1" customWidth="1"/>
    <col min="13595" max="13824" width="11.42578125" style="877"/>
    <col min="13825" max="13825" width="7.5703125" style="877" customWidth="1"/>
    <col min="13826" max="13826" width="11.42578125" style="877"/>
    <col min="13827" max="13827" width="4.7109375" style="877" customWidth="1"/>
    <col min="13828" max="13828" width="0.7109375" style="877" customWidth="1"/>
    <col min="13829" max="13829" width="11.5703125" style="877" customWidth="1"/>
    <col min="13830" max="13830" width="1.42578125" style="877" customWidth="1"/>
    <col min="13831" max="13831" width="9.85546875" style="877" customWidth="1"/>
    <col min="13832" max="13832" width="2.28515625" style="877" customWidth="1"/>
    <col min="13833" max="13833" width="10" style="877" customWidth="1"/>
    <col min="13834" max="13834" width="2" style="877" customWidth="1"/>
    <col min="13835" max="13835" width="10.5703125" style="877" customWidth="1"/>
    <col min="13836" max="13836" width="9.42578125" style="877" customWidth="1"/>
    <col min="13837" max="13837" width="8.5703125" style="877" customWidth="1"/>
    <col min="13838" max="13838" width="0.7109375" style="877" customWidth="1"/>
    <col min="13839" max="13839" width="9.85546875" style="877" customWidth="1"/>
    <col min="13840" max="13840" width="10.140625" style="877" customWidth="1"/>
    <col min="13841" max="13841" width="27.85546875" style="877" customWidth="1"/>
    <col min="13842" max="13842" width="11.42578125" style="877"/>
    <col min="13843" max="13843" width="13" style="877" customWidth="1"/>
    <col min="13844" max="13848" width="11.42578125" style="877"/>
    <col min="13849" max="13849" width="15.42578125" style="877" customWidth="1"/>
    <col min="13850" max="13850" width="12.7109375" style="877" bestFit="1" customWidth="1"/>
    <col min="13851" max="14080" width="11.42578125" style="877"/>
    <col min="14081" max="14081" width="7.5703125" style="877" customWidth="1"/>
    <col min="14082" max="14082" width="11.42578125" style="877"/>
    <col min="14083" max="14083" width="4.7109375" style="877" customWidth="1"/>
    <col min="14084" max="14084" width="0.7109375" style="877" customWidth="1"/>
    <col min="14085" max="14085" width="11.5703125" style="877" customWidth="1"/>
    <col min="14086" max="14086" width="1.42578125" style="877" customWidth="1"/>
    <col min="14087" max="14087" width="9.85546875" style="877" customWidth="1"/>
    <col min="14088" max="14088" width="2.28515625" style="877" customWidth="1"/>
    <col min="14089" max="14089" width="10" style="877" customWidth="1"/>
    <col min="14090" max="14090" width="2" style="877" customWidth="1"/>
    <col min="14091" max="14091" width="10.5703125" style="877" customWidth="1"/>
    <col min="14092" max="14092" width="9.42578125" style="877" customWidth="1"/>
    <col min="14093" max="14093" width="8.5703125" style="877" customWidth="1"/>
    <col min="14094" max="14094" width="0.7109375" style="877" customWidth="1"/>
    <col min="14095" max="14095" width="9.85546875" style="877" customWidth="1"/>
    <col min="14096" max="14096" width="10.140625" style="877" customWidth="1"/>
    <col min="14097" max="14097" width="27.85546875" style="877" customWidth="1"/>
    <col min="14098" max="14098" width="11.42578125" style="877"/>
    <col min="14099" max="14099" width="13" style="877" customWidth="1"/>
    <col min="14100" max="14104" width="11.42578125" style="877"/>
    <col min="14105" max="14105" width="15.42578125" style="877" customWidth="1"/>
    <col min="14106" max="14106" width="12.7109375" style="877" bestFit="1" customWidth="1"/>
    <col min="14107" max="14336" width="11.42578125" style="877"/>
    <col min="14337" max="14337" width="7.5703125" style="877" customWidth="1"/>
    <col min="14338" max="14338" width="11.42578125" style="877"/>
    <col min="14339" max="14339" width="4.7109375" style="877" customWidth="1"/>
    <col min="14340" max="14340" width="0.7109375" style="877" customWidth="1"/>
    <col min="14341" max="14341" width="11.5703125" style="877" customWidth="1"/>
    <col min="14342" max="14342" width="1.42578125" style="877" customWidth="1"/>
    <col min="14343" max="14343" width="9.85546875" style="877" customWidth="1"/>
    <col min="14344" max="14344" width="2.28515625" style="877" customWidth="1"/>
    <col min="14345" max="14345" width="10" style="877" customWidth="1"/>
    <col min="14346" max="14346" width="2" style="877" customWidth="1"/>
    <col min="14347" max="14347" width="10.5703125" style="877" customWidth="1"/>
    <col min="14348" max="14348" width="9.42578125" style="877" customWidth="1"/>
    <col min="14349" max="14349" width="8.5703125" style="877" customWidth="1"/>
    <col min="14350" max="14350" width="0.7109375" style="877" customWidth="1"/>
    <col min="14351" max="14351" width="9.85546875" style="877" customWidth="1"/>
    <col min="14352" max="14352" width="10.140625" style="877" customWidth="1"/>
    <col min="14353" max="14353" width="27.85546875" style="877" customWidth="1"/>
    <col min="14354" max="14354" width="11.42578125" style="877"/>
    <col min="14355" max="14355" width="13" style="877" customWidth="1"/>
    <col min="14356" max="14360" width="11.42578125" style="877"/>
    <col min="14361" max="14361" width="15.42578125" style="877" customWidth="1"/>
    <col min="14362" max="14362" width="12.7109375" style="877" bestFit="1" customWidth="1"/>
    <col min="14363" max="14592" width="11.42578125" style="877"/>
    <col min="14593" max="14593" width="7.5703125" style="877" customWidth="1"/>
    <col min="14594" max="14594" width="11.42578125" style="877"/>
    <col min="14595" max="14595" width="4.7109375" style="877" customWidth="1"/>
    <col min="14596" max="14596" width="0.7109375" style="877" customWidth="1"/>
    <col min="14597" max="14597" width="11.5703125" style="877" customWidth="1"/>
    <col min="14598" max="14598" width="1.42578125" style="877" customWidth="1"/>
    <col min="14599" max="14599" width="9.85546875" style="877" customWidth="1"/>
    <col min="14600" max="14600" width="2.28515625" style="877" customWidth="1"/>
    <col min="14601" max="14601" width="10" style="877" customWidth="1"/>
    <col min="14602" max="14602" width="2" style="877" customWidth="1"/>
    <col min="14603" max="14603" width="10.5703125" style="877" customWidth="1"/>
    <col min="14604" max="14604" width="9.42578125" style="877" customWidth="1"/>
    <col min="14605" max="14605" width="8.5703125" style="877" customWidth="1"/>
    <col min="14606" max="14606" width="0.7109375" style="877" customWidth="1"/>
    <col min="14607" max="14607" width="9.85546875" style="877" customWidth="1"/>
    <col min="14608" max="14608" width="10.140625" style="877" customWidth="1"/>
    <col min="14609" max="14609" width="27.85546875" style="877" customWidth="1"/>
    <col min="14610" max="14610" width="11.42578125" style="877"/>
    <col min="14611" max="14611" width="13" style="877" customWidth="1"/>
    <col min="14612" max="14616" width="11.42578125" style="877"/>
    <col min="14617" max="14617" width="15.42578125" style="877" customWidth="1"/>
    <col min="14618" max="14618" width="12.7109375" style="877" bestFit="1" customWidth="1"/>
    <col min="14619" max="14848" width="11.42578125" style="877"/>
    <col min="14849" max="14849" width="7.5703125" style="877" customWidth="1"/>
    <col min="14850" max="14850" width="11.42578125" style="877"/>
    <col min="14851" max="14851" width="4.7109375" style="877" customWidth="1"/>
    <col min="14852" max="14852" width="0.7109375" style="877" customWidth="1"/>
    <col min="14853" max="14853" width="11.5703125" style="877" customWidth="1"/>
    <col min="14854" max="14854" width="1.42578125" style="877" customWidth="1"/>
    <col min="14855" max="14855" width="9.85546875" style="877" customWidth="1"/>
    <col min="14856" max="14856" width="2.28515625" style="877" customWidth="1"/>
    <col min="14857" max="14857" width="10" style="877" customWidth="1"/>
    <col min="14858" max="14858" width="2" style="877" customWidth="1"/>
    <col min="14859" max="14859" width="10.5703125" style="877" customWidth="1"/>
    <col min="14860" max="14860" width="9.42578125" style="877" customWidth="1"/>
    <col min="14861" max="14861" width="8.5703125" style="877" customWidth="1"/>
    <col min="14862" max="14862" width="0.7109375" style="877" customWidth="1"/>
    <col min="14863" max="14863" width="9.85546875" style="877" customWidth="1"/>
    <col min="14864" max="14864" width="10.140625" style="877" customWidth="1"/>
    <col min="14865" max="14865" width="27.85546875" style="877" customWidth="1"/>
    <col min="14866" max="14866" width="11.42578125" style="877"/>
    <col min="14867" max="14867" width="13" style="877" customWidth="1"/>
    <col min="14868" max="14872" width="11.42578125" style="877"/>
    <col min="14873" max="14873" width="15.42578125" style="877" customWidth="1"/>
    <col min="14874" max="14874" width="12.7109375" style="877" bestFit="1" customWidth="1"/>
    <col min="14875" max="15104" width="11.42578125" style="877"/>
    <col min="15105" max="15105" width="7.5703125" style="877" customWidth="1"/>
    <col min="15106" max="15106" width="11.42578125" style="877"/>
    <col min="15107" max="15107" width="4.7109375" style="877" customWidth="1"/>
    <col min="15108" max="15108" width="0.7109375" style="877" customWidth="1"/>
    <col min="15109" max="15109" width="11.5703125" style="877" customWidth="1"/>
    <col min="15110" max="15110" width="1.42578125" style="877" customWidth="1"/>
    <col min="15111" max="15111" width="9.85546875" style="877" customWidth="1"/>
    <col min="15112" max="15112" width="2.28515625" style="877" customWidth="1"/>
    <col min="15113" max="15113" width="10" style="877" customWidth="1"/>
    <col min="15114" max="15114" width="2" style="877" customWidth="1"/>
    <col min="15115" max="15115" width="10.5703125" style="877" customWidth="1"/>
    <col min="15116" max="15116" width="9.42578125" style="877" customWidth="1"/>
    <col min="15117" max="15117" width="8.5703125" style="877" customWidth="1"/>
    <col min="15118" max="15118" width="0.7109375" style="877" customWidth="1"/>
    <col min="15119" max="15119" width="9.85546875" style="877" customWidth="1"/>
    <col min="15120" max="15120" width="10.140625" style="877" customWidth="1"/>
    <col min="15121" max="15121" width="27.85546875" style="877" customWidth="1"/>
    <col min="15122" max="15122" width="11.42578125" style="877"/>
    <col min="15123" max="15123" width="13" style="877" customWidth="1"/>
    <col min="15124" max="15128" width="11.42578125" style="877"/>
    <col min="15129" max="15129" width="15.42578125" style="877" customWidth="1"/>
    <col min="15130" max="15130" width="12.7109375" style="877" bestFit="1" customWidth="1"/>
    <col min="15131" max="15360" width="11.42578125" style="877"/>
    <col min="15361" max="15361" width="7.5703125" style="877" customWidth="1"/>
    <col min="15362" max="15362" width="11.42578125" style="877"/>
    <col min="15363" max="15363" width="4.7109375" style="877" customWidth="1"/>
    <col min="15364" max="15364" width="0.7109375" style="877" customWidth="1"/>
    <col min="15365" max="15365" width="11.5703125" style="877" customWidth="1"/>
    <col min="15366" max="15366" width="1.42578125" style="877" customWidth="1"/>
    <col min="15367" max="15367" width="9.85546875" style="877" customWidth="1"/>
    <col min="15368" max="15368" width="2.28515625" style="877" customWidth="1"/>
    <col min="15369" max="15369" width="10" style="877" customWidth="1"/>
    <col min="15370" max="15370" width="2" style="877" customWidth="1"/>
    <col min="15371" max="15371" width="10.5703125" style="877" customWidth="1"/>
    <col min="15372" max="15372" width="9.42578125" style="877" customWidth="1"/>
    <col min="15373" max="15373" width="8.5703125" style="877" customWidth="1"/>
    <col min="15374" max="15374" width="0.7109375" style="877" customWidth="1"/>
    <col min="15375" max="15375" width="9.85546875" style="877" customWidth="1"/>
    <col min="15376" max="15376" width="10.140625" style="877" customWidth="1"/>
    <col min="15377" max="15377" width="27.85546875" style="877" customWidth="1"/>
    <col min="15378" max="15378" width="11.42578125" style="877"/>
    <col min="15379" max="15379" width="13" style="877" customWidth="1"/>
    <col min="15380" max="15384" width="11.42578125" style="877"/>
    <col min="15385" max="15385" width="15.42578125" style="877" customWidth="1"/>
    <col min="15386" max="15386" width="12.7109375" style="877" bestFit="1" customWidth="1"/>
    <col min="15387" max="15616" width="11.42578125" style="877"/>
    <col min="15617" max="15617" width="7.5703125" style="877" customWidth="1"/>
    <col min="15618" max="15618" width="11.42578125" style="877"/>
    <col min="15619" max="15619" width="4.7109375" style="877" customWidth="1"/>
    <col min="15620" max="15620" width="0.7109375" style="877" customWidth="1"/>
    <col min="15621" max="15621" width="11.5703125" style="877" customWidth="1"/>
    <col min="15622" max="15622" width="1.42578125" style="877" customWidth="1"/>
    <col min="15623" max="15623" width="9.85546875" style="877" customWidth="1"/>
    <col min="15624" max="15624" width="2.28515625" style="877" customWidth="1"/>
    <col min="15625" max="15625" width="10" style="877" customWidth="1"/>
    <col min="15626" max="15626" width="2" style="877" customWidth="1"/>
    <col min="15627" max="15627" width="10.5703125" style="877" customWidth="1"/>
    <col min="15628" max="15628" width="9.42578125" style="877" customWidth="1"/>
    <col min="15629" max="15629" width="8.5703125" style="877" customWidth="1"/>
    <col min="15630" max="15630" width="0.7109375" style="877" customWidth="1"/>
    <col min="15631" max="15631" width="9.85546875" style="877" customWidth="1"/>
    <col min="15632" max="15632" width="10.140625" style="877" customWidth="1"/>
    <col min="15633" max="15633" width="27.85546875" style="877" customWidth="1"/>
    <col min="15634" max="15634" width="11.42578125" style="877"/>
    <col min="15635" max="15635" width="13" style="877" customWidth="1"/>
    <col min="15636" max="15640" width="11.42578125" style="877"/>
    <col min="15641" max="15641" width="15.42578125" style="877" customWidth="1"/>
    <col min="15642" max="15642" width="12.7109375" style="877" bestFit="1" customWidth="1"/>
    <col min="15643" max="15872" width="11.42578125" style="877"/>
    <col min="15873" max="15873" width="7.5703125" style="877" customWidth="1"/>
    <col min="15874" max="15874" width="11.42578125" style="877"/>
    <col min="15875" max="15875" width="4.7109375" style="877" customWidth="1"/>
    <col min="15876" max="15876" width="0.7109375" style="877" customWidth="1"/>
    <col min="15877" max="15877" width="11.5703125" style="877" customWidth="1"/>
    <col min="15878" max="15878" width="1.42578125" style="877" customWidth="1"/>
    <col min="15879" max="15879" width="9.85546875" style="877" customWidth="1"/>
    <col min="15880" max="15880" width="2.28515625" style="877" customWidth="1"/>
    <col min="15881" max="15881" width="10" style="877" customWidth="1"/>
    <col min="15882" max="15882" width="2" style="877" customWidth="1"/>
    <col min="15883" max="15883" width="10.5703125" style="877" customWidth="1"/>
    <col min="15884" max="15884" width="9.42578125" style="877" customWidth="1"/>
    <col min="15885" max="15885" width="8.5703125" style="877" customWidth="1"/>
    <col min="15886" max="15886" width="0.7109375" style="877" customWidth="1"/>
    <col min="15887" max="15887" width="9.85546875" style="877" customWidth="1"/>
    <col min="15888" max="15888" width="10.140625" style="877" customWidth="1"/>
    <col min="15889" max="15889" width="27.85546875" style="877" customWidth="1"/>
    <col min="15890" max="15890" width="11.42578125" style="877"/>
    <col min="15891" max="15891" width="13" style="877" customWidth="1"/>
    <col min="15892" max="15896" width="11.42578125" style="877"/>
    <col min="15897" max="15897" width="15.42578125" style="877" customWidth="1"/>
    <col min="15898" max="15898" width="12.7109375" style="877" bestFit="1" customWidth="1"/>
    <col min="15899" max="16128" width="11.42578125" style="877"/>
    <col min="16129" max="16129" width="7.5703125" style="877" customWidth="1"/>
    <col min="16130" max="16130" width="11.42578125" style="877"/>
    <col min="16131" max="16131" width="4.7109375" style="877" customWidth="1"/>
    <col min="16132" max="16132" width="0.7109375" style="877" customWidth="1"/>
    <col min="16133" max="16133" width="11.5703125" style="877" customWidth="1"/>
    <col min="16134" max="16134" width="1.42578125" style="877" customWidth="1"/>
    <col min="16135" max="16135" width="9.85546875" style="877" customWidth="1"/>
    <col min="16136" max="16136" width="2.28515625" style="877" customWidth="1"/>
    <col min="16137" max="16137" width="10" style="877" customWidth="1"/>
    <col min="16138" max="16138" width="2" style="877" customWidth="1"/>
    <col min="16139" max="16139" width="10.5703125" style="877" customWidth="1"/>
    <col min="16140" max="16140" width="9.42578125" style="877" customWidth="1"/>
    <col min="16141" max="16141" width="8.5703125" style="877" customWidth="1"/>
    <col min="16142" max="16142" width="0.7109375" style="877" customWidth="1"/>
    <col min="16143" max="16143" width="9.85546875" style="877" customWidth="1"/>
    <col min="16144" max="16144" width="10.140625" style="877" customWidth="1"/>
    <col min="16145" max="16145" width="27.85546875" style="877" customWidth="1"/>
    <col min="16146" max="16146" width="11.42578125" style="877"/>
    <col min="16147" max="16147" width="13" style="877" customWidth="1"/>
    <col min="16148" max="16152" width="11.42578125" style="877"/>
    <col min="16153" max="16153" width="15.42578125" style="877" customWidth="1"/>
    <col min="16154" max="16154" width="12.7109375" style="877" bestFit="1" customWidth="1"/>
    <col min="16155" max="16384" width="11.42578125" style="877"/>
  </cols>
  <sheetData>
    <row r="1" spans="1:34" ht="28.5">
      <c r="F1" s="1067"/>
      <c r="G1" s="1067"/>
      <c r="H1" s="742"/>
    </row>
    <row r="2" spans="1:34" ht="27" thickBot="1">
      <c r="H2" s="743"/>
    </row>
    <row r="3" spans="1:34" ht="27" thickBot="1">
      <c r="H3" s="744"/>
      <c r="L3" s="1068"/>
      <c r="M3" s="1068"/>
      <c r="O3" s="745"/>
      <c r="P3" s="4"/>
      <c r="Q3" s="746" t="s">
        <v>472</v>
      </c>
      <c r="R3" s="747" t="e">
        <f>Note_Globale</f>
        <v>#REF!</v>
      </c>
      <c r="S3" s="748" t="s">
        <v>473</v>
      </c>
      <c r="T3" s="747" t="e">
        <f>IF(AND(Note_Globale&gt;10,Note_Globale&lt;=20),1,IF(AND(Note_Globale&lt;=10,Note_Globale&gt;9),2,IF(AND(Note_Globale&lt;=9,Note_Globale&gt;7),3,IF(AND(Note_Globale&lt;=7,Note_Globale&gt;4),4,IF(AND(Note_Globale&lt;=4,Note_Globale&gt;0),5,6)))))</f>
        <v>#REF!</v>
      </c>
      <c r="V3" s="877" t="e">
        <f>VLOOKUP(T3,#REF!,3)</f>
        <v>#REF!</v>
      </c>
    </row>
    <row r="4" spans="1:34" ht="75" customHeight="1">
      <c r="B4" s="749"/>
      <c r="E4" s="749"/>
      <c r="G4" s="749"/>
      <c r="H4" s="749"/>
      <c r="I4" s="749"/>
      <c r="J4" s="749"/>
      <c r="K4" s="749"/>
    </row>
    <row r="5" spans="1:34" ht="18.75">
      <c r="A5" s="810" t="s">
        <v>558</v>
      </c>
      <c r="B5" s="749"/>
      <c r="E5" s="749"/>
      <c r="G5" s="749"/>
      <c r="H5" s="749"/>
      <c r="I5" s="749"/>
      <c r="J5" s="749"/>
      <c r="K5" s="749"/>
    </row>
    <row r="6" spans="1:34" ht="18.75">
      <c r="A6" s="752"/>
      <c r="B6" s="749"/>
      <c r="E6" s="749"/>
      <c r="G6" s="749"/>
      <c r="H6" s="749"/>
      <c r="I6" s="749"/>
      <c r="J6" s="749"/>
      <c r="K6" s="749"/>
    </row>
    <row r="7" spans="1:34" ht="15">
      <c r="A7" s="749"/>
      <c r="B7" s="749"/>
      <c r="E7" s="1069" t="s">
        <v>973</v>
      </c>
      <c r="G7" s="1071" t="s">
        <v>474</v>
      </c>
      <c r="H7" s="1072"/>
      <c r="I7" s="1072"/>
      <c r="J7" s="1072"/>
      <c r="K7" s="1073"/>
      <c r="M7" s="1074" t="s">
        <v>475</v>
      </c>
      <c r="N7" s="18"/>
      <c r="O7" s="1074" t="s">
        <v>476</v>
      </c>
      <c r="Q7" s="753"/>
      <c r="S7" s="1053"/>
      <c r="T7" s="1053"/>
      <c r="U7" s="1053"/>
      <c r="V7" s="1053"/>
      <c r="W7" s="1053"/>
    </row>
    <row r="8" spans="1:34" ht="15">
      <c r="E8" s="1070"/>
      <c r="G8" s="924" t="str">
        <f>TEXT(FinExNAA,"jj/mm/aaaa")</f>
        <v>30/06/2017</v>
      </c>
      <c r="H8" s="755"/>
      <c r="I8" s="756" t="str">
        <f>TEXT(FinExN1AA,"jj/mm/aaaa")</f>
        <v>30/06/2016</v>
      </c>
      <c r="J8" s="755"/>
      <c r="K8" s="757" t="str">
        <f>TEXT(FinExN2AA,"jj/mm/aaaa")</f>
        <v>30/06/2015</v>
      </c>
      <c r="M8" s="1075"/>
      <c r="N8" s="18"/>
      <c r="O8" s="1075"/>
      <c r="Q8" s="758"/>
      <c r="R8" s="759" t="s">
        <v>379</v>
      </c>
      <c r="S8" s="759" t="s">
        <v>380</v>
      </c>
      <c r="T8" s="759" t="s">
        <v>381</v>
      </c>
      <c r="U8" s="760" t="s">
        <v>382</v>
      </c>
      <c r="V8" s="761" t="s">
        <v>383</v>
      </c>
      <c r="W8" s="759" t="s">
        <v>384</v>
      </c>
      <c r="X8" s="762" t="s">
        <v>477</v>
      </c>
      <c r="Y8" s="762" t="s">
        <v>478</v>
      </c>
      <c r="Z8" s="762" t="s">
        <v>479</v>
      </c>
      <c r="AA8" s="763" t="s">
        <v>480</v>
      </c>
      <c r="AB8" s="762" t="s">
        <v>481</v>
      </c>
      <c r="AE8" s="764" t="s">
        <v>482</v>
      </c>
      <c r="AF8" s="759">
        <v>2014</v>
      </c>
      <c r="AH8" s="759">
        <v>2011</v>
      </c>
    </row>
    <row r="9" spans="1:34" ht="15.75" thickBot="1">
      <c r="A9" s="749"/>
      <c r="B9" s="749"/>
      <c r="E9" s="750"/>
      <c r="G9" s="749"/>
      <c r="J9" s="749"/>
      <c r="L9" s="749"/>
      <c r="Q9" s="750"/>
      <c r="R9" s="749"/>
      <c r="S9" s="4"/>
      <c r="T9" s="4"/>
      <c r="U9" s="4"/>
      <c r="V9" s="751"/>
      <c r="W9" s="4"/>
      <c r="AC9" s="765">
        <f>IF(AA9=" ",0,AA9*AB9)</f>
        <v>0</v>
      </c>
      <c r="AE9" s="750"/>
      <c r="AF9" s="749"/>
      <c r="AH9" s="749"/>
    </row>
    <row r="10" spans="1:34" ht="21" thickTop="1" thickBot="1">
      <c r="C10" s="750" t="s">
        <v>483</v>
      </c>
      <c r="E10" s="766" t="str">
        <f>IF(AF10=0,"",AF10)</f>
        <v/>
      </c>
      <c r="F10" s="767"/>
      <c r="G10" s="741">
        <f>IF(NOT(ISBLANK('A_Compte Résultat &amp; SIG NEX '!D18)),'A_Compte Résultat &amp; SIG NEX '!D18,"")</f>
        <v>1189.1977777777779</v>
      </c>
      <c r="H10" s="768"/>
      <c r="I10" s="741">
        <f>IF(NOT(ISBLANK('A_Compte Résultat &amp; SIG NEX '!F18)),'A_Compte Résultat &amp; SIG NEX '!F18,"")</f>
        <v>1852.0629083831502</v>
      </c>
      <c r="J10" s="768"/>
      <c r="K10" s="741">
        <f>IF(NOT(ISBLANK('A_Compte Résultat &amp; SIG NEX '!H18)),'A_Compte Résultat &amp; SIG NEX '!H18,"")</f>
        <v>1818.3902405116082</v>
      </c>
      <c r="L10" s="769" t="s">
        <v>484</v>
      </c>
      <c r="M10" s="770" t="str">
        <f>IF(W10="","",IF(W10&lt;-0.3,"LL",IF(W10&lt;-0.2,"L",IF(W10&lt;0,"K",IF(W10&lt;0.1,"J","JJ")))))</f>
        <v/>
      </c>
      <c r="O10" s="771">
        <f>U10</f>
        <v>-0.35790637974821987</v>
      </c>
      <c r="Q10" s="750" t="s">
        <v>378</v>
      </c>
      <c r="R10" s="772">
        <f>IF(G10="","",G10)</f>
        <v>1189.1977777777779</v>
      </c>
      <c r="S10" s="773">
        <f>IF(I10="","",I10)</f>
        <v>1852.0629083831502</v>
      </c>
      <c r="T10" s="773">
        <f>K10</f>
        <v>1818.3902405116082</v>
      </c>
      <c r="U10" s="774">
        <f>IF(S10=0,"NS",IF(R10="","",IF(S10="","",IF(S10="","",(R10-S10)/ABS(S10)))))</f>
        <v>-0.35790637974821987</v>
      </c>
      <c r="V10" s="775"/>
      <c r="W10" s="776" t="str">
        <f>IF(E10=" ","",IF(E10=0,"",IF(G10=" ","",IF(G10="","",IF(E10="","",(G10-E10)/ABS(E10))))))</f>
        <v/>
      </c>
      <c r="X10" s="777" t="str">
        <f t="shared" ref="X10" si="0">IF(W10="","",IF(W10&lt;-0.3,"4",IF(W10&lt;-0.2,"7",IF(W10&lt;0,"10",IF(W10&lt;0.25,"15","18")))))</f>
        <v/>
      </c>
      <c r="Y10" s="777">
        <f t="shared" ref="Y10" si="1">IF(X10="",0,2)</f>
        <v>0</v>
      </c>
      <c r="Z10" s="777">
        <f t="shared" ref="Z10" si="2">IF(X10="",0,X10*Y10)</f>
        <v>0</v>
      </c>
      <c r="AA10" s="777" t="str">
        <f>IF(U10="NS"," ",IF(U10=""," ",IF(U10=""," ",IF(U10&lt;-0.2,"4",IF(U10&lt;-0.05,"7",IF(U10&lt;0.05,"10",IF(U10&lt;0.2,"15","18")))))))</f>
        <v>4</v>
      </c>
      <c r="AB10" s="777">
        <f>IF(AA10=" ",0,3)</f>
        <v>3</v>
      </c>
      <c r="AC10" s="765">
        <f>IF(AA10=" ",0,AA10*AB10)</f>
        <v>12</v>
      </c>
      <c r="AE10" s="765" t="s">
        <v>378</v>
      </c>
      <c r="AF10" s="816"/>
      <c r="AH10" s="772">
        <v>1963</v>
      </c>
    </row>
    <row r="11" spans="1:34" ht="15" customHeight="1" thickTop="1" thickBot="1">
      <c r="A11" s="749"/>
      <c r="B11" s="749"/>
      <c r="C11" s="750"/>
      <c r="E11" s="811"/>
      <c r="F11" s="767"/>
      <c r="G11" s="778"/>
      <c r="H11" s="768"/>
      <c r="I11" s="768"/>
      <c r="J11" s="778"/>
      <c r="K11" s="768"/>
      <c r="L11" s="769"/>
      <c r="M11" s="779"/>
      <c r="O11" s="9"/>
      <c r="Q11" s="750"/>
      <c r="R11" s="749"/>
      <c r="S11" s="4"/>
      <c r="T11" s="4"/>
      <c r="U11" s="780"/>
      <c r="V11" s="751"/>
      <c r="W11" s="781"/>
      <c r="X11" s="777"/>
      <c r="Y11" s="777"/>
      <c r="Z11" s="777"/>
      <c r="AA11" s="782"/>
      <c r="AB11" s="783"/>
      <c r="AF11" s="749"/>
      <c r="AH11" s="749"/>
    </row>
    <row r="12" spans="1:34" ht="21" thickTop="1" thickBot="1">
      <c r="C12" s="750" t="s">
        <v>485</v>
      </c>
      <c r="E12" s="766">
        <f t="shared" ref="E12:E28" si="3">IF(AF12=0,"",AF12)</f>
        <v>1509</v>
      </c>
      <c r="F12" s="767"/>
      <c r="G12" s="784">
        <f>IF(G10="","",'A_Compte Résultat &amp; SIG NEX '!D24)</f>
        <v>540.15611111111116</v>
      </c>
      <c r="H12" s="785"/>
      <c r="I12" s="784">
        <f>IF(I10="","",'A_Compte Résultat &amp; SIG NEX '!F24)</f>
        <v>1254.8503406089253</v>
      </c>
      <c r="J12" s="785"/>
      <c r="K12" s="784">
        <f>IF(K10="","",'A_Compte Résultat &amp; SIG NEX '!H24)</f>
        <v>1159.9445294035868</v>
      </c>
      <c r="L12" s="769" t="s">
        <v>484</v>
      </c>
      <c r="M12" s="770" t="str">
        <f>IF(W12="","",IF(W12&lt;-0.3,"LL",IF(W12&lt;-0.2,"L",IF(W12&lt;0,"K",IF(W12&lt;0.1,"J","JJ")))))</f>
        <v>LL</v>
      </c>
      <c r="O12" s="771">
        <f>U12</f>
        <v>-0.56954539228240042</v>
      </c>
      <c r="Q12" s="750" t="s">
        <v>385</v>
      </c>
      <c r="R12" s="772">
        <f>IF(G12="","",G12)</f>
        <v>540.15611111111116</v>
      </c>
      <c r="S12" s="773">
        <f>IF(I12="","",I12)</f>
        <v>1254.8503406089253</v>
      </c>
      <c r="T12" s="773">
        <f>K12</f>
        <v>1159.9445294035868</v>
      </c>
      <c r="U12" s="774">
        <f>IF(S12=0,"NS",IF(R12="","",IF(S12="","",IF(S12="","",(R12-S12)/ABS(S12)))))</f>
        <v>-0.56954539228240042</v>
      </c>
      <c r="V12" s="775"/>
      <c r="W12" s="776">
        <f>IF(E12=" ","",IF(E12=0,"",IF(G12=" ","",IF(G12="","",IF(E12="","",(G12-E12)/ABS(E12))))))</f>
        <v>-0.6420436639422723</v>
      </c>
      <c r="X12" s="777" t="str">
        <f>IF(W12="","",IF(W12&lt;-0.3,"4",IF(W12&lt;-0.2,"7",IF(W12&lt;0,"10",IF(W12&lt;0.25,"15","18")))))</f>
        <v>4</v>
      </c>
      <c r="Y12" s="777">
        <f>IF(X12="",0,2)</f>
        <v>2</v>
      </c>
      <c r="Z12" s="777">
        <f>IF(X12="",0,X12*Y12)</f>
        <v>8</v>
      </c>
      <c r="AA12" s="777" t="str">
        <f>IF(U12="NS"," ",IF(U12=""," ",IF(U12=""," ",IF(U12&lt;-0.2,"4",IF(U12&lt;-0.05,"7",IF(U12&lt;0.05,"10",IF(U12&lt;0.2,"15","18")))))))</f>
        <v>4</v>
      </c>
      <c r="AB12" s="777">
        <f>IF(AA12=" ",0,2)</f>
        <v>2</v>
      </c>
      <c r="AC12" s="765">
        <f>IF(AA12=" ",0,AA12*AB12)</f>
        <v>8</v>
      </c>
      <c r="AE12" s="765" t="s">
        <v>385</v>
      </c>
      <c r="AF12" s="816">
        <v>1509</v>
      </c>
      <c r="AH12" s="772">
        <v>1455</v>
      </c>
    </row>
    <row r="13" spans="1:34" ht="15" customHeight="1" thickTop="1" thickBot="1">
      <c r="B13" s="749"/>
      <c r="C13" s="750"/>
      <c r="E13" s="811"/>
      <c r="F13" s="767"/>
      <c r="G13" s="778"/>
      <c r="H13" s="768"/>
      <c r="I13" s="768"/>
      <c r="J13" s="778"/>
      <c r="K13" s="768"/>
      <c r="L13" s="769"/>
      <c r="M13" s="786"/>
      <c r="O13" s="9"/>
      <c r="Q13" s="750"/>
      <c r="R13" s="749"/>
      <c r="S13" s="4"/>
      <c r="T13" s="4"/>
      <c r="U13" s="780"/>
      <c r="V13" s="751"/>
      <c r="W13" s="781"/>
      <c r="X13" s="787"/>
      <c r="Y13" s="787"/>
      <c r="Z13" s="783"/>
      <c r="AA13" s="782"/>
      <c r="AB13" s="783"/>
      <c r="AF13" s="749"/>
      <c r="AH13" s="749"/>
    </row>
    <row r="14" spans="1:34" ht="21" thickTop="1" thickBot="1">
      <c r="C14" s="750" t="s">
        <v>486</v>
      </c>
      <c r="E14" s="766">
        <f t="shared" si="3"/>
        <v>550</v>
      </c>
      <c r="F14" s="767"/>
      <c r="G14" s="741">
        <f>IF(NOT(ISBLANK('A_Compte Résultat &amp; SIG NEX '!D39)),'A_Compte Résultat &amp; SIG NEX '!D39,"")</f>
        <v>-83.857777777777699</v>
      </c>
      <c r="H14" s="785"/>
      <c r="I14" s="741">
        <f>IF(NOT(ISBLANK('A_Compte Résultat &amp; SIG NEX '!F39)),'A_Compte Résultat &amp; SIG NEX '!F39,"")</f>
        <v>492.67878492979293</v>
      </c>
      <c r="J14" s="785"/>
      <c r="K14" s="741">
        <f>IF(NOT(ISBLANK('A_Compte Résultat &amp; SIG NEX '!H39)),'A_Compte Résultat &amp; SIG NEX '!H39,"")</f>
        <v>416.36744056721807</v>
      </c>
      <c r="L14" s="769" t="s">
        <v>484</v>
      </c>
      <c r="M14" s="770" t="str">
        <f>IF(W14=""," ",IF(W14&lt;-0.3,"LL",IF(W14&lt;-0.2,"L",IF(W14&lt;0,"K",IF(W14&lt;0.1,"J","JJ")))))</f>
        <v>LL</v>
      </c>
      <c r="O14" s="771">
        <f>U14</f>
        <v>-1.1702078115454626</v>
      </c>
      <c r="Q14" s="750" t="s">
        <v>386</v>
      </c>
      <c r="R14" s="772">
        <f>IF(G14="","",G14)</f>
        <v>-83.857777777777699</v>
      </c>
      <c r="S14" s="773">
        <f>IF(I14="","",I14)</f>
        <v>492.67878492979293</v>
      </c>
      <c r="T14" s="773">
        <f>K14</f>
        <v>416.36744056721807</v>
      </c>
      <c r="U14" s="774">
        <f>IF(S14=0,"NS",IF(R14="","",IF(S14="","",IF(S14="","",(R14-S14)/ABS(S14)))))</f>
        <v>-1.1702078115454626</v>
      </c>
      <c r="V14" s="775"/>
      <c r="W14" s="776">
        <f>IF(E14=" ","",IF(E14=0,"",IF(G14=" ","",IF(G14="","",IF(E14="","",(G14-E14)/ABS(E14))))))</f>
        <v>-1.1524686868686869</v>
      </c>
      <c r="X14" s="777" t="str">
        <f>IF(W14="","",IF(W14&lt;-0.3,"4",IF(W14&lt;-0.2,"7",IF(W14&lt;0,"10",IF(W14&lt;0.25,"15","18")))))</f>
        <v>4</v>
      </c>
      <c r="Y14" s="777">
        <f>IF(X14="",0,2)</f>
        <v>2</v>
      </c>
      <c r="Z14" s="777">
        <f>IF(X14="",0,X14*Y14)</f>
        <v>8</v>
      </c>
      <c r="AA14" s="777" t="str">
        <f>IF(U14="NS"," ",IF(U14=""," ",IF(U14=""," ",IF(U14&lt;-0.2,"4",IF(U14&lt;-0.05,"7",IF(U14&lt;0.05,"10",IF(U14&lt;0.2,"15","18")))))))</f>
        <v>4</v>
      </c>
      <c r="AB14" s="777">
        <f>IF(AA14=" ",0,2)</f>
        <v>2</v>
      </c>
      <c r="AC14" s="765">
        <f>IF(AA14=" ",0,AA14*AB14)</f>
        <v>8</v>
      </c>
      <c r="AE14" s="765" t="s">
        <v>386</v>
      </c>
      <c r="AF14" s="816">
        <v>550</v>
      </c>
      <c r="AH14" s="772">
        <v>687</v>
      </c>
    </row>
    <row r="15" spans="1:34" ht="15" customHeight="1" thickTop="1" thickBot="1">
      <c r="B15" s="749"/>
      <c r="C15" s="750"/>
      <c r="E15" s="811"/>
      <c r="F15" s="767"/>
      <c r="G15" s="778"/>
      <c r="H15" s="768"/>
      <c r="I15" s="768"/>
      <c r="J15" s="778"/>
      <c r="K15" s="768"/>
      <c r="L15" s="769"/>
      <c r="M15" s="786"/>
      <c r="O15" s="9"/>
      <c r="Q15" s="750"/>
      <c r="R15" s="749"/>
      <c r="S15" s="4"/>
      <c r="T15" s="4"/>
      <c r="U15" s="780"/>
      <c r="V15" s="751"/>
      <c r="W15" s="781"/>
      <c r="X15" s="787"/>
      <c r="Y15" s="787"/>
      <c r="Z15" s="783"/>
      <c r="AA15" s="782"/>
      <c r="AB15" s="783"/>
      <c r="AF15" s="749"/>
      <c r="AH15" s="749"/>
    </row>
    <row r="16" spans="1:34" ht="21" thickTop="1" thickBot="1">
      <c r="C16" s="750" t="s">
        <v>487</v>
      </c>
      <c r="E16" s="766">
        <f t="shared" si="3"/>
        <v>-25</v>
      </c>
      <c r="F16" s="767"/>
      <c r="G16" s="741">
        <f>IF(NOT(ISBLANK('A_Compte Résultat &amp; SIG NEX '!D43-'A_Compte Résultat &amp; SIG NEX '!D41)),'A_Compte Résultat &amp; SIG NEX '!D43-'A_Compte Résultat &amp; SIG NEX '!D41,"")</f>
        <v>-24.930555555555554</v>
      </c>
      <c r="H16" s="785"/>
      <c r="I16" s="741">
        <f>IF(NOT(ISBLANK('A_Compte Résultat &amp; SIG NEX '!F43-'A_Compte Résultat &amp; SIG NEX '!F41)),'A_Compte Résultat &amp; SIG NEX '!F43-'A_Compte Résultat &amp; SIG NEX '!F41,"")</f>
        <v>-23.696649520367021</v>
      </c>
      <c r="J16" s="785"/>
      <c r="K16" s="741">
        <f>IF(NOT(ISBLANK('A_Compte Résultat &amp; SIG NEX '!H43-'A_Compte Résultat &amp; SIG NEX '!H41)),'A_Compte Résultat &amp; SIG NEX '!H43-'A_Compte Résultat &amp; SIG NEX '!H41,"")</f>
        <v>-29.05602669261782</v>
      </c>
      <c r="L16" s="769" t="s">
        <v>484</v>
      </c>
      <c r="M16" s="770" t="str">
        <f>IF(W16=""," ",IF(W16&lt;-0.2,"LL",IF(W16&lt;-0.1,"L",IF(W16&lt;=0.05,"K",IF(W16&lt;=0.2,"J",IF(W16&gt;0.2,"JJ"))))))</f>
        <v>K</v>
      </c>
      <c r="O16" s="771">
        <f>U16</f>
        <v>-5.2070907076040562E-2</v>
      </c>
      <c r="Q16" s="750" t="s">
        <v>488</v>
      </c>
      <c r="R16" s="772">
        <f>IF(G16="","",G16)</f>
        <v>-24.930555555555554</v>
      </c>
      <c r="S16" s="773">
        <f>IF(I16="","",I16)</f>
        <v>-23.696649520367021</v>
      </c>
      <c r="T16" s="773">
        <f>K16</f>
        <v>-29.05602669261782</v>
      </c>
      <c r="U16" s="774">
        <f>IF(S16=0,"NS",IF(R16="","",IF(S16="","",IF(S16="","",(R16-S16)/ABS(S16)))))</f>
        <v>-5.2070907076040562E-2</v>
      </c>
      <c r="V16" s="775"/>
      <c r="W16" s="776">
        <f>IF(E16=" ","",IF(E16=0,"",IF(G16=" ","",IF(G16="","",IF(E16="","",(G16-E16)/ABS(E16))))))</f>
        <v>2.7777777777778568E-3</v>
      </c>
      <c r="X16" s="777" t="str">
        <f>IF(W16="","",IF(W16&lt;-0.3,"18",IF(W16&lt;-0.2,"15",IF(W16&lt;0,"10",IF(W16&lt;0.25,"7","4")))))</f>
        <v>7</v>
      </c>
      <c r="Y16" s="777">
        <f>IF(X16="",0,2)</f>
        <v>2</v>
      </c>
      <c r="Z16" s="777">
        <f>IF(X16="",0,X16*Y16)</f>
        <v>14</v>
      </c>
      <c r="AA16" s="777" t="str">
        <f>IF(U16="NS"," ",IF(U16=""," ",IF(U16&lt;-0.2,"18",IF(U16&lt;-0.05,"15",IF(U16&lt;0.05,"10",IF(U16&lt;0.2,"7","4"))))))</f>
        <v>15</v>
      </c>
      <c r="AB16" s="777">
        <f>IF(AA16=" ",0,2)</f>
        <v>2</v>
      </c>
      <c r="AC16" s="765">
        <f>IF(AA16=" ",0,AA16*AB16)</f>
        <v>30</v>
      </c>
      <c r="AE16" s="765" t="s">
        <v>489</v>
      </c>
      <c r="AF16" s="772">
        <v>-25</v>
      </c>
      <c r="AH16" s="772">
        <v>-45</v>
      </c>
    </row>
    <row r="17" spans="1:34" ht="15" customHeight="1" thickTop="1" thickBot="1">
      <c r="B17" s="749"/>
      <c r="C17" s="750"/>
      <c r="E17" s="811"/>
      <c r="G17" s="778"/>
      <c r="H17" s="788"/>
      <c r="I17" s="788"/>
      <c r="J17" s="778"/>
      <c r="K17" s="788"/>
      <c r="L17" s="769"/>
      <c r="M17" s="786"/>
      <c r="O17" s="9"/>
      <c r="Q17" s="750"/>
      <c r="R17" s="749"/>
      <c r="S17" s="4"/>
      <c r="T17" s="4"/>
      <c r="U17" s="780"/>
      <c r="V17" s="751"/>
      <c r="W17" s="781"/>
      <c r="X17" s="787"/>
      <c r="Y17" s="787"/>
      <c r="Z17" s="783"/>
      <c r="AA17" s="782"/>
      <c r="AB17" s="783"/>
      <c r="AF17" s="749"/>
      <c r="AH17" s="749"/>
    </row>
    <row r="18" spans="1:34" ht="21" thickTop="1" thickBot="1">
      <c r="B18" s="4"/>
      <c r="C18" s="750" t="s">
        <v>490</v>
      </c>
      <c r="E18" s="766">
        <f t="shared" si="3"/>
        <v>457</v>
      </c>
      <c r="G18" s="741">
        <f>IF(NOT(ISBLANK('A_Compte Résultat &amp; SIG NEX '!D47)),'A_Compte Résultat &amp; SIG NEX '!D47,"")</f>
        <v>-191.81249999999994</v>
      </c>
      <c r="H18" s="789"/>
      <c r="I18" s="741">
        <f>IF(NOT(ISBLANK('A_Compte Résultat &amp; SIG NEX '!F47)),'A_Compte Résultat &amp; SIG NEX '!F47,"")</f>
        <v>342.02697066592532</v>
      </c>
      <c r="J18" s="789"/>
      <c r="K18" s="741">
        <f>IF(NOT(ISBLANK('A_Compte Résultat &amp; SIG NEX '!H47)),'A_Compte Résultat &amp; SIG NEX '!H47,"")</f>
        <v>104.78937856249125</v>
      </c>
      <c r="L18" s="769" t="s">
        <v>484</v>
      </c>
      <c r="M18" s="770" t="str">
        <f>IF(W18=""," ",IF(W18&lt;-0.3,"LL",IF(W18&lt;-0.2,"L",IF(W18&lt;0,"K",IF(W18&lt;0.1,"J","JJ")))))</f>
        <v>LL</v>
      </c>
      <c r="O18" s="771">
        <f>U18</f>
        <v>-1.5608110367043329</v>
      </c>
      <c r="Q18" s="750" t="s">
        <v>388</v>
      </c>
      <c r="R18" s="772">
        <f>IF(G18="","",G18)</f>
        <v>-191.81249999999994</v>
      </c>
      <c r="S18" s="773">
        <f>IF(I18="","",I18)</f>
        <v>342.02697066592532</v>
      </c>
      <c r="T18" s="773">
        <f>K18</f>
        <v>104.78937856249125</v>
      </c>
      <c r="U18" s="774">
        <f>IF(S18=0,"NS",IF(R18="","",IF(S18="","",IF(S18="","",(R18-S18)/ABS(S18)))))</f>
        <v>-1.5608110367043329</v>
      </c>
      <c r="V18" s="790"/>
      <c r="W18" s="776">
        <f>IF(E18=" ","",IF(E18=0,"",IF(G18=" ","",IF(G18="","",IF(E18="","",(G18-E18)/ABS(E18))))))</f>
        <v>-1.4197210065645514</v>
      </c>
      <c r="X18" s="777" t="str">
        <f>IF(W18="","",IF(W18&lt;-0.3,"4",IF(W18&lt;-0.2,"7",IF(W18&lt;0,"10",IF(W18&lt;0.25,"15","18")))))</f>
        <v>4</v>
      </c>
      <c r="Y18" s="777">
        <f>IF(X18="",0,4)</f>
        <v>4</v>
      </c>
      <c r="Z18" s="777">
        <f>IF(X18="",0,X18*Y18)</f>
        <v>16</v>
      </c>
      <c r="AA18" s="777" t="str">
        <f>IF(U18="NS"," ",IF(U18=""," ",IF(U18=""," ",IF(U18&lt;-0.2,"4",IF(U18&lt;-0.05,"7",IF(U18&lt;0.05,"10",IF(U18&lt;0.2,"15","18")))))))</f>
        <v>4</v>
      </c>
      <c r="AB18" s="777">
        <f>IF(AA18=" ",0,4)</f>
        <v>4</v>
      </c>
      <c r="AC18" s="765">
        <f>IF(AA18=" ",0,AA18*AB18)</f>
        <v>16</v>
      </c>
      <c r="AE18" s="765" t="s">
        <v>388</v>
      </c>
      <c r="AF18" s="772">
        <v>457</v>
      </c>
      <c r="AH18" s="772">
        <v>427</v>
      </c>
    </row>
    <row r="19" spans="1:34" ht="15" customHeight="1" thickTop="1" thickBot="1">
      <c r="B19" s="751"/>
      <c r="C19" s="749"/>
      <c r="E19" s="811"/>
      <c r="G19" s="778"/>
      <c r="H19" s="788"/>
      <c r="I19" s="788"/>
      <c r="J19" s="778"/>
      <c r="K19" s="788"/>
      <c r="L19" s="769"/>
      <c r="M19" s="786"/>
      <c r="O19" s="9"/>
      <c r="Q19" s="749"/>
      <c r="R19" s="749"/>
      <c r="S19" s="4"/>
      <c r="T19" s="4"/>
      <c r="U19" s="780"/>
      <c r="V19" s="751"/>
      <c r="W19" s="781"/>
      <c r="X19" s="777"/>
      <c r="Y19" s="787"/>
      <c r="Z19" s="783"/>
      <c r="AA19" s="777"/>
      <c r="AB19" s="783"/>
      <c r="AF19" s="749"/>
      <c r="AH19" s="749"/>
    </row>
    <row r="20" spans="1:34" ht="21" thickTop="1" thickBot="1">
      <c r="C20" s="750" t="s">
        <v>24</v>
      </c>
      <c r="E20" s="766">
        <f t="shared" si="3"/>
        <v>1212</v>
      </c>
      <c r="F20" s="767"/>
      <c r="G20" s="741">
        <f>IF(NOT(ISBLANK('A_Ratios NEX'!E52)),'A_Ratios NEX'!E52,"")</f>
        <v>107.74145833333336</v>
      </c>
      <c r="H20" s="768"/>
      <c r="I20" s="741">
        <f>IF(NOT(ISBLANK('A_Ratios NEX'!F52)),'A_Ratios NEX'!F52,"")</f>
        <v>518.89448074516883</v>
      </c>
      <c r="J20" s="768"/>
      <c r="K20" s="741">
        <f>IF(NOT(ISBLANK('A_Ratios NEX'!G52)),'A_Ratios NEX'!G52,"")</f>
        <v>-0.23043236479906976</v>
      </c>
      <c r="L20" s="769" t="s">
        <v>484</v>
      </c>
      <c r="M20" s="770" t="str">
        <f>IF(W20=""," ",IF(W20&lt;-0.3,"LL",IF(W20&lt;-0.2,"L",IF(W20&lt;0,"K",IF(W20&lt;0.1,"J","JJ")))))</f>
        <v>LL</v>
      </c>
      <c r="O20" s="771">
        <f>U20</f>
        <v>-0.79236345281875209</v>
      </c>
      <c r="Q20" s="750" t="s">
        <v>390</v>
      </c>
      <c r="R20" s="772">
        <f>IF(G20="","",G20)</f>
        <v>107.74145833333336</v>
      </c>
      <c r="S20" s="773">
        <f>IF(I20="","",I20)</f>
        <v>518.89448074516883</v>
      </c>
      <c r="T20" s="773">
        <f>K20</f>
        <v>-0.23043236479906976</v>
      </c>
      <c r="U20" s="774">
        <f>IF(S20=0,"NS",IF(R20="","",IF(S20="","",IF(S20="","",(R20-S20)/ABS(S20)))))</f>
        <v>-0.79236345281875209</v>
      </c>
      <c r="V20" s="790"/>
      <c r="W20" s="776">
        <f>IF(E20=" ","",IF(E20=0,"",IF(G20=" ","",IF(G20="","",IF(E20="","",(G20-E20)/ABS(E20))))))</f>
        <v>-0.9111044073157315</v>
      </c>
      <c r="X20" s="777" t="str">
        <f t="shared" ref="X20" si="4">IF(W20="","",IF(W20&lt;-0.3,"4",IF(W20&lt;-0.2,"7",IF(W20&lt;0,"10",IF(W20&lt;0.25,"15","18")))))</f>
        <v>4</v>
      </c>
      <c r="Y20" s="777">
        <f>IF(X20="",0,1)</f>
        <v>1</v>
      </c>
      <c r="Z20" s="777">
        <f>IF(X20="",0,X20*Y20)</f>
        <v>4</v>
      </c>
      <c r="AA20" s="777" t="str">
        <f t="shared" ref="AA20" si="5">IF(U20="NS"," ",IF(U20=""," ",IF(U20=""," ",IF(U20&lt;-0.2,"4",IF(U20&lt;-0.05,"7",IF(U20&lt;0.05,"10",IF(U20&lt;0.2,"15","18")))))))</f>
        <v>4</v>
      </c>
      <c r="AB20" s="777">
        <f>IF(AA20=" ",0,1)</f>
        <v>1</v>
      </c>
      <c r="AC20" s="765">
        <f>IF(AA20=" ",0,AA20*AB20)</f>
        <v>4</v>
      </c>
      <c r="AE20" s="765" t="s">
        <v>390</v>
      </c>
      <c r="AF20" s="772">
        <v>1212</v>
      </c>
      <c r="AH20" s="772">
        <v>1021</v>
      </c>
    </row>
    <row r="21" spans="1:34" ht="15" customHeight="1" thickTop="1" thickBot="1">
      <c r="C21" s="750"/>
      <c r="E21" s="811"/>
      <c r="F21" s="767"/>
      <c r="G21" s="778"/>
      <c r="H21" s="768"/>
      <c r="I21" s="768"/>
      <c r="J21" s="778"/>
      <c r="K21" s="768"/>
      <c r="L21" s="769"/>
      <c r="M21" s="786"/>
      <c r="O21" s="9"/>
      <c r="Q21" s="750"/>
      <c r="R21" s="749"/>
      <c r="S21" s="4"/>
      <c r="T21" s="4"/>
      <c r="U21" s="780"/>
      <c r="V21" s="751"/>
      <c r="W21" s="781"/>
      <c r="X21" s="787"/>
      <c r="Y21" s="787"/>
      <c r="Z21" s="783"/>
      <c r="AA21" s="782"/>
      <c r="AB21" s="783"/>
      <c r="AF21" s="749"/>
      <c r="AH21" s="749"/>
    </row>
    <row r="22" spans="1:34" ht="21" thickTop="1" thickBot="1">
      <c r="C22" s="750" t="s">
        <v>559</v>
      </c>
      <c r="E22" s="766">
        <f t="shared" si="3"/>
        <v>121</v>
      </c>
      <c r="F22" s="767"/>
      <c r="G22" s="741">
        <f>IF(NOT(ISBLANK('A_Compte Résultat &amp; SIG NEX '!D33+'A_Compte Résultat &amp; SIG NEX '!D35)),'A_Compte Résultat &amp; SIG NEX '!D33+'A_Compte Résultat &amp; SIG NEX '!D35,"")</f>
        <v>0</v>
      </c>
      <c r="H22" s="768"/>
      <c r="I22" s="741">
        <f>IF(NOT(ISBLANK('A_Compte Résultat &amp; SIG NEX '!F33+'A_Compte Résultat &amp; SIG NEX '!F35)),'A_Compte Résultat &amp; SIG NEX '!F33+'A_Compte Résultat &amp; SIG NEX '!F35,"")</f>
        <v>0</v>
      </c>
      <c r="J22" s="768"/>
      <c r="K22" s="741">
        <f>IF(NOT(ISBLANK('A_Compte Résultat &amp; SIG NEX '!H33+'A_Compte Résultat &amp; SIG NEX '!H35)),'A_Compte Résultat &amp; SIG NEX '!H33+'A_Compte Résultat &amp; SIG NEX '!H35,"")</f>
        <v>0</v>
      </c>
      <c r="L22" s="769" t="s">
        <v>484</v>
      </c>
      <c r="M22" s="770" t="str">
        <f>IF(W22=""," ",IF(W22&lt;-0.2,"JJ",IF(W22&lt;-0.1,"J",IF(W22&lt;=0.05,"K",IF(W22&lt;=0.2,"L",IF(W22&gt;0.2,"LL"))))))</f>
        <v>JJ</v>
      </c>
      <c r="O22" s="771" t="str">
        <f>U22</f>
        <v>NS</v>
      </c>
      <c r="Q22" s="750" t="s">
        <v>453</v>
      </c>
      <c r="R22" s="772">
        <f>IF(G22="","",G22)</f>
        <v>0</v>
      </c>
      <c r="S22" s="773">
        <f>IF(I22="","",I22)</f>
        <v>0</v>
      </c>
      <c r="T22" s="773">
        <f>K22</f>
        <v>0</v>
      </c>
      <c r="U22" s="774" t="str">
        <f>IF(S22=0,"NS",IF(R22="","",IF(S22="","",IF(S22="","",(R22-S22)/ABS(S22)))))</f>
        <v>NS</v>
      </c>
      <c r="V22" s="790"/>
      <c r="W22" s="776">
        <f>IF(E22=" ","",IF(E22=0,"",IF(G22=" ","",IF(G22="","",IF(E22="","",(G22-E22)/ABS(E22))))))</f>
        <v>-1</v>
      </c>
      <c r="X22" s="777" t="str">
        <f>IF(W22="","",IF(W22&lt;-0.3,"18",IF(W22&lt;-0.2,"15",IF(W22&lt;0,"10",IF(W22&lt;0.25,"7","4")))))</f>
        <v>18</v>
      </c>
      <c r="Y22" s="777">
        <f>IF(X22="",0,1)</f>
        <v>1</v>
      </c>
      <c r="Z22" s="777">
        <f>IF(X22="",0,X22*Y22)</f>
        <v>18</v>
      </c>
      <c r="AA22" s="777" t="str">
        <f>IF(U22="NS"," ",IF(U22=""," ",IF(U22&lt;-0.2,"18",IF(U22&lt;-0.05,"15",IF(U22&lt;0.05,"10",IF(U22&lt;0.2,"7","4"))))))</f>
        <v xml:space="preserve"> </v>
      </c>
      <c r="AB22" s="777">
        <f>IF(AA22=" ",0,1)</f>
        <v>0</v>
      </c>
      <c r="AC22" s="765">
        <f>IF(AA22=" ",0,AA22*AB22)</f>
        <v>0</v>
      </c>
      <c r="AE22" s="765" t="s">
        <v>453</v>
      </c>
      <c r="AF22" s="772">
        <v>121</v>
      </c>
      <c r="AH22" s="772">
        <v>95</v>
      </c>
    </row>
    <row r="23" spans="1:34" ht="15" customHeight="1" thickTop="1" thickBot="1">
      <c r="C23" s="750"/>
      <c r="E23" s="811"/>
      <c r="F23" s="767"/>
      <c r="G23" s="778"/>
      <c r="H23" s="768"/>
      <c r="I23" s="768"/>
      <c r="J23" s="768"/>
      <c r="K23" s="768"/>
      <c r="L23" s="769"/>
      <c r="M23" s="786"/>
      <c r="O23" s="9"/>
      <c r="Q23" s="750"/>
      <c r="R23" s="749"/>
      <c r="S23" s="4"/>
      <c r="T23" s="4"/>
      <c r="U23" s="780"/>
      <c r="V23" s="4"/>
      <c r="W23" s="781"/>
      <c r="X23" s="777"/>
      <c r="Y23" s="787"/>
      <c r="Z23" s="783"/>
      <c r="AA23" s="777"/>
      <c r="AB23" s="783"/>
      <c r="AF23" s="749"/>
      <c r="AH23" s="749"/>
    </row>
    <row r="24" spans="1:34" ht="21" thickTop="1" thickBot="1">
      <c r="C24" s="750" t="s">
        <v>491</v>
      </c>
      <c r="E24" s="766">
        <f t="shared" si="3"/>
        <v>39</v>
      </c>
      <c r="F24" s="767"/>
      <c r="G24" s="920" t="str">
        <f>IF(NOT(ISBLANK('A_Ratios NEX'!E38)),'A_Ratios NEX'!E38,"")</f>
        <v>75,45 %</v>
      </c>
      <c r="H24" s="768"/>
      <c r="I24" s="920" t="str">
        <f>IF(NOT(ISBLANK('A_Ratios NEX'!F38)),'A_Ratios NEX'!F38,"")</f>
        <v>59,99 %</v>
      </c>
      <c r="J24" s="768"/>
      <c r="K24" s="920" t="str">
        <f>IF(NOT(ISBLANK('A_Ratios NEX'!G38)),'A_Ratios NEX'!G38,"")</f>
        <v>66,54 %</v>
      </c>
      <c r="L24" s="769" t="s">
        <v>492</v>
      </c>
      <c r="M24" s="770" t="str">
        <f>IF(W24=""," ",IF(W24&lt;-0.2,"JJ",IF(W24&lt;-0.1,"J",IF(W24&lt;=0.05,"K",IF(W24&lt;=0.2,"L",IF(W24&gt;0.2,"LL"))))))</f>
        <v>JJ</v>
      </c>
      <c r="O24" s="771">
        <f>U24</f>
        <v>0.25770961826971156</v>
      </c>
      <c r="Q24" s="750" t="s">
        <v>414</v>
      </c>
      <c r="R24" s="772" t="str">
        <f>IF(G24="","",G24)</f>
        <v>75,45 %</v>
      </c>
      <c r="S24" s="773" t="str">
        <f>IF(I24="","",I24)</f>
        <v>59,99 %</v>
      </c>
      <c r="T24" s="773" t="str">
        <f>K24</f>
        <v>66,54 %</v>
      </c>
      <c r="U24" s="774">
        <f>IF(S24=0,"NS",IF(R24="","",IF(S24="","",IF(S24="","",(R24-S24)/ABS(S24)))))</f>
        <v>0.25770961826971156</v>
      </c>
      <c r="V24" s="790"/>
      <c r="W24" s="776">
        <f>IF(E24=" ","",IF(E24=0,"",IF(G24=" ","",IF(G24="","",IF(E24="","",(G24-E24)/ABS(E24))))))</f>
        <v>-0.9806538461538461</v>
      </c>
      <c r="X24" s="777" t="str">
        <f t="shared" ref="X24" si="6">IF(W24="","",IF(W24&lt;-0.3,"18",IF(W24&lt;-0.2,"15",IF(W24&lt;0,"10",IF(W24&lt;0.25,"7","4")))))</f>
        <v>18</v>
      </c>
      <c r="Y24" s="777">
        <f>IF(X24="",0,2)</f>
        <v>2</v>
      </c>
      <c r="Z24" s="777">
        <f>IF(X24="",0,X24*Y24)</f>
        <v>36</v>
      </c>
      <c r="AA24" s="777" t="str">
        <f t="shared" ref="AA24" si="7">IF(U24="NS"," ",IF(U24=""," ",IF(U24&lt;-0.2,"18",IF(U24&lt;-0.05,"15",IF(U24&lt;0.05,"10",IF(U24&lt;0.2,"7","4"))))))</f>
        <v>4</v>
      </c>
      <c r="AB24" s="777">
        <f>IF(AA24=" ",0,2)</f>
        <v>2</v>
      </c>
      <c r="AC24" s="765">
        <f>IF(AA24=" ",0,AA24*AB24)</f>
        <v>8</v>
      </c>
      <c r="AE24" s="765" t="s">
        <v>414</v>
      </c>
      <c r="AF24" s="772">
        <v>39</v>
      </c>
      <c r="AH24" s="772">
        <v>39</v>
      </c>
    </row>
    <row r="25" spans="1:34" ht="15" customHeight="1" thickTop="1" thickBot="1">
      <c r="C25" s="750"/>
      <c r="E25" s="811"/>
      <c r="G25" s="778"/>
      <c r="H25" s="788"/>
      <c r="I25" s="788"/>
      <c r="J25" s="788"/>
      <c r="K25" s="788"/>
      <c r="L25" s="769"/>
      <c r="M25" s="786"/>
      <c r="O25" s="9"/>
      <c r="Q25" s="750"/>
      <c r="R25" s="749"/>
      <c r="S25" s="4"/>
      <c r="T25" s="4"/>
      <c r="U25" s="780"/>
      <c r="V25" s="4"/>
      <c r="W25" s="781"/>
      <c r="X25" s="787"/>
      <c r="Y25" s="787"/>
      <c r="Z25" s="783"/>
      <c r="AA25" s="782"/>
      <c r="AB25" s="783"/>
      <c r="AF25" s="749"/>
      <c r="AH25" s="749"/>
    </row>
    <row r="26" spans="1:34" ht="21" thickTop="1" thickBot="1">
      <c r="C26" s="750" t="s">
        <v>493</v>
      </c>
      <c r="E26" s="766">
        <f t="shared" si="3"/>
        <v>386</v>
      </c>
      <c r="G26" s="920" t="str">
        <f>IF(NOT(ISBLANK('A_Ratios NEX'!E33)),'A_Ratios NEX'!E33,"")</f>
        <v>38,67 %</v>
      </c>
      <c r="H26" s="921"/>
      <c r="I26" s="920" t="str">
        <f>IF(NOT(ISBLANK('A_Ratios NEX'!F33)),'A_Ratios NEX'!F33,"")</f>
        <v>60,5 %</v>
      </c>
      <c r="J26" s="922"/>
      <c r="K26" s="920" t="str">
        <f>IF(NOT(ISBLANK('A_Ratios NEX'!G33)),'A_Ratios NEX'!G33,"")</f>
        <v>30,38 %</v>
      </c>
      <c r="L26" s="769" t="s">
        <v>492</v>
      </c>
      <c r="M26" s="770" t="str">
        <f>IF(W26=""," ",IF(W26&lt;-0.3,"LL",IF(W26&lt;-0.2,"L",IF(W26&lt;0,"K",IF(W26&lt;0.1,"J","JJ")))))</f>
        <v>LL</v>
      </c>
      <c r="O26" s="771">
        <f>U26</f>
        <v>-0.36082644628099175</v>
      </c>
      <c r="Q26" s="750" t="s">
        <v>493</v>
      </c>
      <c r="R26" s="772" t="str">
        <f>IF(G26="","",G26)</f>
        <v>38,67 %</v>
      </c>
      <c r="S26" s="773" t="str">
        <f>IF(I26="","",I26)</f>
        <v>60,5 %</v>
      </c>
      <c r="T26" s="773" t="str">
        <f>K26</f>
        <v>30,38 %</v>
      </c>
      <c r="U26" s="774">
        <f>IF(S26=0,"NS",IF(R26="","",IF(S26="","",IF(S26="","",(R26-S26)/ABS(S26)))))</f>
        <v>-0.36082644628099175</v>
      </c>
      <c r="V26" s="790"/>
      <c r="W26" s="776">
        <f>IF(E26=" ","",IF(E26=0,"",IF(G26=" ","",IF(G26="","",IF(E26="","",(G26-E26)/ABS(E26))))))</f>
        <v>-0.99899818652849737</v>
      </c>
      <c r="X26" s="777" t="str">
        <f>IF(W26="","",IF(W26&lt;-0.3,"4",IF(W26&lt;-0.2,"7",IF(W26&lt;0,"10",IF(W26&lt;0.25,"15","18")))))</f>
        <v>4</v>
      </c>
      <c r="Y26" s="777">
        <f>IF(X26="",0,2)</f>
        <v>2</v>
      </c>
      <c r="Z26" s="777">
        <f>IF(X26="",0,X26*Y26)</f>
        <v>8</v>
      </c>
      <c r="AA26" s="777" t="str">
        <f>IF(U26="NS"," ",IF(U26=""," ",IF(U26=""," ",IF(U26&lt;-0.2,"4",IF(U26&lt;-0.05,"7",IF(U26&lt;0.05,"10",IF(U26&lt;0.2,"15","18")))))))</f>
        <v>4</v>
      </c>
      <c r="AB26" s="777">
        <f>IF(AA26=" ",0,2)</f>
        <v>2</v>
      </c>
      <c r="AC26" s="765">
        <f>IF(AA26=" ",0,AA26*AB26)</f>
        <v>8</v>
      </c>
      <c r="AE26" s="765" t="s">
        <v>493</v>
      </c>
      <c r="AF26" s="772">
        <v>386</v>
      </c>
      <c r="AH26" s="772">
        <v>216</v>
      </c>
    </row>
    <row r="27" spans="1:34" ht="15" customHeight="1" thickTop="1" thickBot="1">
      <c r="C27" s="750"/>
      <c r="E27" s="811"/>
      <c r="G27" s="778"/>
      <c r="H27" s="788"/>
      <c r="I27" s="788"/>
      <c r="J27" s="788"/>
      <c r="K27" s="788"/>
      <c r="L27" s="769"/>
      <c r="M27" s="786"/>
      <c r="O27" s="9"/>
      <c r="Q27" s="750"/>
      <c r="R27" s="749"/>
      <c r="S27" s="4"/>
      <c r="T27" s="4"/>
      <c r="U27" s="780"/>
      <c r="V27" s="4"/>
      <c r="W27" s="781"/>
      <c r="X27" s="787"/>
      <c r="Y27" s="787"/>
      <c r="Z27" s="783"/>
      <c r="AA27" s="782"/>
      <c r="AB27" s="783"/>
      <c r="AF27" s="749"/>
      <c r="AH27" s="749"/>
    </row>
    <row r="28" spans="1:34" ht="21" thickTop="1" thickBot="1">
      <c r="C28" s="750" t="s">
        <v>468</v>
      </c>
      <c r="E28" s="766">
        <f t="shared" si="3"/>
        <v>51</v>
      </c>
      <c r="F28" s="791"/>
      <c r="G28" s="920" t="str">
        <f>IF(NOT(ISBLANK('A_Ratios NEX'!E23)),'A_Ratios NEX'!E23,"")</f>
        <v>24,55 %</v>
      </c>
      <c r="H28" s="923"/>
      <c r="I28" s="920" t="str">
        <f>IF(NOT(ISBLANK('A_Ratios NEX'!F23)),'A_Ratios NEX'!F23,"")</f>
        <v>40,01 %</v>
      </c>
      <c r="J28" s="923"/>
      <c r="K28" s="920" t="str">
        <f>IF(NOT(ISBLANK('A_Ratios NEX'!G23)),'A_Ratios NEX'!G23,"")</f>
        <v>33,46 %</v>
      </c>
      <c r="L28" s="769" t="s">
        <v>492</v>
      </c>
      <c r="M28" s="770" t="str">
        <f>IF(W28=""," ",IF(W28&lt;-0.3,"LL",IF(W28&lt;-0.2,"L",IF(W28&lt;0,"K",IF(W28&lt;0.1,"J","JJ")))))</f>
        <v>LL</v>
      </c>
      <c r="O28" s="771">
        <f>U28</f>
        <v>-0.38640339915021249</v>
      </c>
      <c r="Q28" s="750" t="s">
        <v>468</v>
      </c>
      <c r="R28" s="772" t="str">
        <f>IF(G28="","",G28)</f>
        <v>24,55 %</v>
      </c>
      <c r="S28" s="773" t="str">
        <f>IF(I28="","",I28)</f>
        <v>40,01 %</v>
      </c>
      <c r="T28" s="773" t="str">
        <f>K28</f>
        <v>33,46 %</v>
      </c>
      <c r="U28" s="774">
        <f>IF(S28=0,"NS",IF(R28="","",IF(S28="","",IF(S28="","",(R28-S28)/ABS(S28)))))</f>
        <v>-0.38640339915021249</v>
      </c>
      <c r="V28" s="790"/>
      <c r="W28" s="776">
        <f>IF(E28=" ","",IF(E28=0,"",IF(G28=" ","",IF(G28="","",IF(E28="","",(G28-E28)/ABS(E28))))))</f>
        <v>-0.9951862745098039</v>
      </c>
      <c r="X28" s="777" t="str">
        <f>IF(W28="","",IF(W28&lt;-0.3,"4",IF(W28&lt;-0.2,"7",IF(W28&lt;0,"10",IF(W28&lt;0.25,"15","18")))))</f>
        <v>4</v>
      </c>
      <c r="Y28" s="777">
        <f>IF(X28="",0,2)</f>
        <v>2</v>
      </c>
      <c r="Z28" s="777">
        <f>IF(X28="",0,X28*Y28)</f>
        <v>8</v>
      </c>
      <c r="AA28" s="777" t="str">
        <f>IF(U28="NS"," ",IF(U28=""," ",IF(U28=""," ",IF(U28&lt;-0.2,"4",IF(U28&lt;-0.05,"7",IF(U28&lt;0.05,"10",IF(U28&lt;0.2,"15","18")))))))</f>
        <v>4</v>
      </c>
      <c r="AB28" s="777">
        <f>IF(AA28=" ",0,2)</f>
        <v>2</v>
      </c>
      <c r="AC28" s="765">
        <f>IF(AA28=" ",0,AA28*AB28)</f>
        <v>8</v>
      </c>
      <c r="AE28" s="765" t="s">
        <v>468</v>
      </c>
      <c r="AF28" s="772">
        <v>51</v>
      </c>
      <c r="AH28" s="772">
        <v>51</v>
      </c>
    </row>
    <row r="29" spans="1:34" ht="30" customHeight="1" thickTop="1">
      <c r="S29" s="4"/>
      <c r="T29" s="4"/>
      <c r="U29" s="4"/>
      <c r="V29" s="4"/>
      <c r="W29" s="4"/>
      <c r="X29" s="787"/>
      <c r="Y29" s="787"/>
      <c r="Z29" s="792"/>
      <c r="AA29" s="793"/>
      <c r="AB29" s="783"/>
    </row>
    <row r="30" spans="1:34" ht="18.75">
      <c r="A30" s="812" t="s">
        <v>560</v>
      </c>
      <c r="G30" s="794" t="s">
        <v>421</v>
      </c>
      <c r="O30" s="794" t="s">
        <v>494</v>
      </c>
      <c r="W30" s="877" t="s">
        <v>495</v>
      </c>
      <c r="Y30" s="877">
        <f>Y28+Y26+Y24+Y22+Y20+Y18+Y16+Y14+Y12</f>
        <v>18</v>
      </c>
      <c r="Z30" s="877">
        <f>IF(Y30=0,"pas de note",(Z28+Z26+Z24+Z22+Z20+Z18+Z16+Z14+Z12)/Y30)</f>
        <v>6.666666666666667</v>
      </c>
      <c r="AB30" s="877">
        <f>AB28+AB26+AB24+AB22+AB20+AB18+AB16+AB14+AB12+AB10</f>
        <v>20</v>
      </c>
      <c r="AC30" s="877">
        <f>IF(AB30=0,"pas de note",(AC28+AC26+AC24+AC22+AC20+AC18+AC16+AC14+AC12+AC10)/AB30)</f>
        <v>5.0999999999999996</v>
      </c>
    </row>
    <row r="31" spans="1:34" ht="15">
      <c r="B31" s="877" t="s">
        <v>496</v>
      </c>
      <c r="G31" s="1054">
        <f>Z30</f>
        <v>6.666666666666667</v>
      </c>
      <c r="H31" s="1055"/>
      <c r="I31" s="1055"/>
      <c r="J31" s="1055"/>
      <c r="K31" s="1055"/>
      <c r="L31" s="1055"/>
      <c r="M31" s="1055"/>
      <c r="N31" s="1055"/>
      <c r="O31" s="1056"/>
    </row>
    <row r="32" spans="1:34">
      <c r="G32" s="794"/>
      <c r="O32" s="794"/>
      <c r="R32" s="795" t="s">
        <v>497</v>
      </c>
      <c r="S32" s="796" t="s">
        <v>393</v>
      </c>
      <c r="T32" s="796"/>
      <c r="U32" s="796"/>
      <c r="V32" s="796"/>
      <c r="AA32" s="877" t="s">
        <v>498</v>
      </c>
    </row>
    <row r="33" spans="1:24" ht="15">
      <c r="B33" s="877" t="s">
        <v>499</v>
      </c>
      <c r="G33" s="1057">
        <f>AC30</f>
        <v>5.0999999999999996</v>
      </c>
      <c r="H33" s="1055"/>
      <c r="I33" s="1055"/>
      <c r="J33" s="1055"/>
      <c r="K33" s="1055"/>
      <c r="L33" s="1055"/>
      <c r="M33" s="1055"/>
      <c r="N33" s="1055"/>
      <c r="O33" s="1056"/>
    </row>
    <row r="34" spans="1:24" ht="28.5" customHeight="1">
      <c r="G34" s="794"/>
      <c r="O34" s="794"/>
    </row>
    <row r="35" spans="1:24" ht="18.75">
      <c r="A35" s="810" t="s">
        <v>264</v>
      </c>
      <c r="B35" s="749"/>
    </row>
    <row r="37" spans="1:24">
      <c r="B37" s="1058" t="str">
        <f>IF(S40="","",VLOOKUP(S40,P50:Q56,2)&amp;" "&amp;VLOOKUP(S41,P59:Q64,2))</f>
        <v>Votre entreprise se situe en dessous de la moyenne des entreprises de votre secteur d'activité. Les principaux ratios de votre entreprise évoluent très défavorablement.</v>
      </c>
      <c r="C37" s="1059"/>
      <c r="D37" s="1059"/>
      <c r="E37" s="1059"/>
      <c r="F37" s="1059"/>
      <c r="G37" s="1059"/>
      <c r="H37" s="1059"/>
      <c r="I37" s="1059"/>
      <c r="J37" s="1059"/>
      <c r="K37" s="1059"/>
      <c r="L37" s="1059"/>
      <c r="M37" s="1060"/>
    </row>
    <row r="38" spans="1:24">
      <c r="B38" s="1061"/>
      <c r="C38" s="1062"/>
      <c r="D38" s="1062"/>
      <c r="E38" s="1062"/>
      <c r="F38" s="1062"/>
      <c r="G38" s="1062"/>
      <c r="H38" s="1062"/>
      <c r="I38" s="1062"/>
      <c r="J38" s="1062"/>
      <c r="K38" s="1062"/>
      <c r="L38" s="1062"/>
      <c r="M38" s="1063"/>
      <c r="Q38" s="877" t="s">
        <v>500</v>
      </c>
    </row>
    <row r="39" spans="1:24">
      <c r="B39" s="1061"/>
      <c r="C39" s="1062"/>
      <c r="D39" s="1062"/>
      <c r="E39" s="1062"/>
      <c r="F39" s="1062"/>
      <c r="G39" s="1062"/>
      <c r="H39" s="1062"/>
      <c r="I39" s="1062"/>
      <c r="J39" s="1062"/>
      <c r="K39" s="1062"/>
      <c r="L39" s="1062"/>
      <c r="M39" s="1063"/>
      <c r="T39" s="877" t="s">
        <v>501</v>
      </c>
      <c r="U39" s="877" t="s">
        <v>502</v>
      </c>
    </row>
    <row r="40" spans="1:24">
      <c r="B40" s="1064"/>
      <c r="C40" s="1065"/>
      <c r="D40" s="1065"/>
      <c r="E40" s="1065"/>
      <c r="F40" s="1065"/>
      <c r="G40" s="1065"/>
      <c r="H40" s="1065"/>
      <c r="I40" s="1065"/>
      <c r="J40" s="1065"/>
      <c r="K40" s="1065"/>
      <c r="L40" s="1065"/>
      <c r="M40" s="1066"/>
      <c r="Q40" s="877" t="s">
        <v>503</v>
      </c>
      <c r="R40" s="877">
        <f>Z30</f>
        <v>6.666666666666667</v>
      </c>
      <c r="S40" s="725">
        <f>IF(R40="pas de note",6,IF(Y30&lt;7,7,IF(AND(R40&gt;15,R40&lt;=20),1,IF(AND(R40&lt;=15,R40&gt;12),2,IF(AND(R40&lt;=12,R40&gt;9),3,IF(AND(R40&lt;=9,R40&gt;6),4,IF(AND(R40&lt;=6,R40&gt;0),5,"")))))))</f>
        <v>4</v>
      </c>
      <c r="T40" s="877">
        <f>IF(S40=6,0,IF(S40=7,0,2))</f>
        <v>2</v>
      </c>
      <c r="U40" s="877">
        <f>T40*S40</f>
        <v>8</v>
      </c>
    </row>
    <row r="41" spans="1:24">
      <c r="Q41" s="877" t="s">
        <v>504</v>
      </c>
      <c r="R41" s="877">
        <f>AC30</f>
        <v>5.0999999999999996</v>
      </c>
      <c r="S41" s="725">
        <f>IF(R41="pas de note",6,IF(AB30&lt;7,7,IF(AND(R41&gt;15,R41&lt;=20),1,IF(AND(R41&lt;=15,R41&gt;12),2,IF(AND(R41&lt;=12,R41&gt;9),3,IF(AND(R41&lt;=9,R41&gt;6),4,IF(AND(R41&lt;=6,R41&gt;0),5,"")))))))</f>
        <v>5</v>
      </c>
      <c r="T41" s="877">
        <f>IF(S41=6,0,IF(S41=7,0,4))</f>
        <v>4</v>
      </c>
      <c r="U41" s="877">
        <f>T41*S41</f>
        <v>20</v>
      </c>
    </row>
    <row r="42" spans="1:24">
      <c r="Q42" s="877" t="s">
        <v>505</v>
      </c>
      <c r="R42" s="877" t="e">
        <f>Note_Globale</f>
        <v>#REF!</v>
      </c>
      <c r="S42" s="725" t="e">
        <f>IF(R42="",6,IF(AND(R42&gt;11,R42&lt;=20),1,IF(AND(R42&lt;=11,R42&gt;9),2,IF(AND(R42&lt;=9,R42&gt;7),3,IF(AND(R42&lt;=7,R42&gt;4),4,IF(AND(R42&lt;=4,R42&gt;0),5,""))))))</f>
        <v>#REF!</v>
      </c>
      <c r="T42" s="877" t="e">
        <f>IF(S42=6,0,5)</f>
        <v>#REF!</v>
      </c>
      <c r="U42" s="877" t="e">
        <f>T42*S42</f>
        <v>#REF!</v>
      </c>
    </row>
    <row r="43" spans="1:24">
      <c r="S43" s="877" t="s">
        <v>506</v>
      </c>
      <c r="T43" s="877" t="e">
        <f>SUM(T40:T42)</f>
        <v>#REF!</v>
      </c>
      <c r="U43" s="877" t="e">
        <f>SUM(U40:U42)</f>
        <v>#REF!</v>
      </c>
    </row>
    <row r="44" spans="1:24">
      <c r="T44" s="877" t="s">
        <v>282</v>
      </c>
      <c r="U44" s="877" t="e">
        <f>U43/T43</f>
        <v>#REF!</v>
      </c>
      <c r="V44" s="877" t="s">
        <v>507</v>
      </c>
      <c r="X44" s="877" t="e">
        <f>IF(T43=0,"G",IF(U44&gt;=4.9,"A",IF(U44&gt;=3.9,"B",IF(U44&gt;=3.3,"C",IF(U44&gt;=2.5,"D",IF(U44&gt;=2.1,"E","F"))))))</f>
        <v>#REF!</v>
      </c>
    </row>
    <row r="48" spans="1:24">
      <c r="P48" s="877" t="s">
        <v>508</v>
      </c>
    </row>
    <row r="50" spans="16:31">
      <c r="P50" s="877">
        <v>1</v>
      </c>
      <c r="Q50" s="877" t="s">
        <v>509</v>
      </c>
      <c r="Z50" s="877">
        <v>5</v>
      </c>
      <c r="AA50" s="877">
        <v>5</v>
      </c>
      <c r="AB50" s="877">
        <v>5</v>
      </c>
    </row>
    <row r="51" spans="16:31">
      <c r="P51" s="877">
        <v>2</v>
      </c>
      <c r="Q51" s="877" t="s">
        <v>510</v>
      </c>
      <c r="Z51" s="877">
        <v>5</v>
      </c>
      <c r="AA51" s="877">
        <v>4</v>
      </c>
      <c r="AB51" s="877">
        <v>5</v>
      </c>
    </row>
    <row r="52" spans="16:31">
      <c r="P52" s="877">
        <v>3</v>
      </c>
      <c r="Q52" s="877" t="s">
        <v>511</v>
      </c>
      <c r="Z52" s="877">
        <v>5</v>
      </c>
      <c r="AA52" s="877">
        <v>4</v>
      </c>
      <c r="AB52" s="877">
        <v>4</v>
      </c>
    </row>
    <row r="53" spans="16:31">
      <c r="P53" s="877">
        <v>4</v>
      </c>
      <c r="Q53" s="877" t="s">
        <v>512</v>
      </c>
      <c r="Y53" s="12" t="s">
        <v>513</v>
      </c>
      <c r="Z53" s="12">
        <f>(Z52+Z51+Z50)/3</f>
        <v>5</v>
      </c>
      <c r="AA53" s="12">
        <f>(AA52+AA51+AA50)/3</f>
        <v>4.333333333333333</v>
      </c>
      <c r="AB53" s="12">
        <f>(AB52+AB51+AB50)/3</f>
        <v>4.666666666666667</v>
      </c>
      <c r="AC53" s="12"/>
      <c r="AD53" s="12" t="s">
        <v>514</v>
      </c>
      <c r="AE53" s="12" t="s">
        <v>515</v>
      </c>
    </row>
    <row r="54" spans="16:31">
      <c r="P54" s="877">
        <v>5</v>
      </c>
      <c r="Q54" s="877" t="s">
        <v>516</v>
      </c>
      <c r="Y54" s="4"/>
      <c r="Z54" s="4"/>
      <c r="AA54" s="4"/>
      <c r="AB54" s="4"/>
      <c r="AC54" s="4"/>
      <c r="AD54" s="4"/>
      <c r="AE54" s="4"/>
    </row>
    <row r="55" spans="16:31">
      <c r="P55" s="877">
        <v>6</v>
      </c>
      <c r="Q55" s="877" t="s">
        <v>517</v>
      </c>
      <c r="Y55" s="890"/>
      <c r="Z55" s="890"/>
      <c r="AA55" s="890"/>
      <c r="AB55" s="890"/>
      <c r="AC55" s="890"/>
      <c r="AD55" s="890"/>
      <c r="AE55" s="890"/>
    </row>
    <row r="56" spans="16:31">
      <c r="P56" s="877">
        <v>7</v>
      </c>
      <c r="Q56" s="877" t="s">
        <v>518</v>
      </c>
      <c r="Y56" s="890"/>
      <c r="Z56" s="890"/>
      <c r="AA56" s="890"/>
      <c r="AB56" s="890"/>
      <c r="AC56" s="890"/>
      <c r="AD56" s="890"/>
      <c r="AE56" s="890"/>
    </row>
    <row r="57" spans="16:31">
      <c r="P57" s="877" t="s">
        <v>519</v>
      </c>
      <c r="Y57" s="890"/>
      <c r="Z57" s="890"/>
      <c r="AA57" s="890"/>
      <c r="AB57" s="890"/>
      <c r="AC57" s="890"/>
      <c r="AD57" s="890"/>
      <c r="AE57" s="890"/>
    </row>
    <row r="59" spans="16:31">
      <c r="P59" s="877">
        <v>1</v>
      </c>
      <c r="Q59" s="877" t="s">
        <v>520</v>
      </c>
      <c r="Z59" s="877">
        <v>4</v>
      </c>
      <c r="AA59" s="877">
        <v>4</v>
      </c>
    </row>
    <row r="60" spans="16:31">
      <c r="P60" s="877">
        <v>2</v>
      </c>
      <c r="Q60" s="877" t="s">
        <v>521</v>
      </c>
      <c r="Z60" s="877">
        <v>4</v>
      </c>
      <c r="AA60" s="877">
        <v>4</v>
      </c>
    </row>
    <row r="61" spans="16:31">
      <c r="P61" s="877">
        <v>3</v>
      </c>
      <c r="Q61" s="877" t="s">
        <v>522</v>
      </c>
      <c r="Z61" s="877">
        <v>4</v>
      </c>
      <c r="AA61" s="877">
        <v>3</v>
      </c>
    </row>
    <row r="62" spans="16:31">
      <c r="P62" s="877">
        <v>4</v>
      </c>
      <c r="Q62" s="877" t="s">
        <v>523</v>
      </c>
      <c r="Y62" s="12" t="s">
        <v>513</v>
      </c>
      <c r="Z62" s="12">
        <f>(Z61+Z60+Z59)/3</f>
        <v>4</v>
      </c>
      <c r="AA62" s="12">
        <f>(AA61+AA60+AA59)/3</f>
        <v>3.6666666666666665</v>
      </c>
      <c r="AB62" s="12"/>
      <c r="AC62" s="12"/>
      <c r="AD62" s="12" t="s">
        <v>524</v>
      </c>
      <c r="AE62" s="12" t="s">
        <v>525</v>
      </c>
    </row>
    <row r="63" spans="16:31">
      <c r="P63" s="877">
        <v>5</v>
      </c>
      <c r="Q63" s="877" t="s">
        <v>526</v>
      </c>
      <c r="Y63" s="4"/>
      <c r="Z63" s="4"/>
      <c r="AA63" s="4"/>
      <c r="AB63" s="4"/>
      <c r="AC63" s="4"/>
      <c r="AD63" s="4"/>
      <c r="AE63" s="4"/>
    </row>
    <row r="64" spans="16:31">
      <c r="P64" s="877">
        <v>6</v>
      </c>
      <c r="Q64" s="877" t="s">
        <v>527</v>
      </c>
      <c r="Y64" s="4"/>
      <c r="Z64" s="4"/>
      <c r="AA64" s="4"/>
      <c r="AB64" s="4"/>
      <c r="AC64" s="4"/>
      <c r="AD64" s="4"/>
      <c r="AE64" s="4"/>
    </row>
    <row r="65" spans="16:31">
      <c r="P65" s="877" t="s">
        <v>528</v>
      </c>
    </row>
    <row r="67" spans="16:31">
      <c r="P67" s="877">
        <v>1</v>
      </c>
      <c r="Q67" s="877" t="s">
        <v>529</v>
      </c>
      <c r="Z67" s="877">
        <v>4</v>
      </c>
      <c r="AA67" s="877">
        <v>3</v>
      </c>
    </row>
    <row r="68" spans="16:31">
      <c r="P68" s="877">
        <v>2</v>
      </c>
      <c r="Q68" s="877" t="s">
        <v>530</v>
      </c>
      <c r="Z68" s="877">
        <v>3</v>
      </c>
      <c r="AA68" s="877">
        <v>3</v>
      </c>
    </row>
    <row r="69" spans="16:31">
      <c r="P69" s="877">
        <v>3</v>
      </c>
      <c r="Q69" s="877" t="s">
        <v>531</v>
      </c>
      <c r="Z69" s="877">
        <v>3</v>
      </c>
      <c r="AA69" s="877">
        <v>3</v>
      </c>
    </row>
    <row r="70" spans="16:31">
      <c r="P70" s="877">
        <v>4</v>
      </c>
      <c r="Q70" s="877" t="s">
        <v>532</v>
      </c>
      <c r="Y70" s="12" t="s">
        <v>513</v>
      </c>
      <c r="Z70" s="12">
        <f>(Z69+Z68+Z67)/3</f>
        <v>3.3333333333333335</v>
      </c>
      <c r="AA70" s="12">
        <f>(AA69+AA68+AA67)/3</f>
        <v>3</v>
      </c>
      <c r="AB70" s="12"/>
      <c r="AC70" s="12"/>
      <c r="AD70" s="12" t="s">
        <v>533</v>
      </c>
      <c r="AE70" s="12" t="s">
        <v>534</v>
      </c>
    </row>
    <row r="71" spans="16:31">
      <c r="P71" s="877">
        <v>5</v>
      </c>
      <c r="Q71" s="877" t="s">
        <v>535</v>
      </c>
      <c r="Y71" s="4"/>
      <c r="Z71" s="4"/>
      <c r="AA71" s="4"/>
      <c r="AB71" s="4"/>
      <c r="AC71" s="4"/>
      <c r="AD71" s="4"/>
      <c r="AE71" s="4"/>
    </row>
    <row r="72" spans="16:31">
      <c r="P72" s="877">
        <v>6</v>
      </c>
      <c r="Q72" s="877" t="s">
        <v>536</v>
      </c>
      <c r="Y72" s="4"/>
      <c r="Z72" s="4"/>
      <c r="AA72" s="4"/>
      <c r="AB72" s="4"/>
      <c r="AC72" s="4"/>
      <c r="AD72" s="4"/>
      <c r="AE72" s="4"/>
    </row>
    <row r="73" spans="16:31">
      <c r="P73" s="877" t="s">
        <v>537</v>
      </c>
      <c r="Y73" s="4"/>
      <c r="Z73" s="4"/>
      <c r="AA73" s="4"/>
      <c r="AB73" s="4"/>
      <c r="AC73" s="4"/>
      <c r="AD73" s="4"/>
      <c r="AE73" s="4"/>
    </row>
    <row r="75" spans="16:31">
      <c r="Z75" s="877">
        <v>3</v>
      </c>
    </row>
    <row r="76" spans="16:31">
      <c r="Z76" s="877">
        <v>2</v>
      </c>
    </row>
    <row r="77" spans="16:31">
      <c r="Z77" s="877">
        <v>2</v>
      </c>
    </row>
    <row r="78" spans="16:31">
      <c r="Y78" s="12" t="s">
        <v>513</v>
      </c>
      <c r="Z78" s="12">
        <f>(Z77+Z76+Z75)/3</f>
        <v>2.3333333333333335</v>
      </c>
      <c r="AA78" s="12"/>
      <c r="AB78" s="12"/>
      <c r="AC78" s="12"/>
      <c r="AD78" s="12" t="s">
        <v>538</v>
      </c>
      <c r="AE78" s="12" t="s">
        <v>539</v>
      </c>
    </row>
    <row r="79" spans="16:31">
      <c r="Y79" s="4"/>
      <c r="Z79" s="4"/>
      <c r="AA79" s="4"/>
      <c r="AB79" s="4"/>
      <c r="AC79" s="4"/>
      <c r="AD79" s="4"/>
      <c r="AE79" s="4"/>
    </row>
    <row r="80" spans="16:31">
      <c r="Y80" s="4"/>
      <c r="Z80" s="4"/>
      <c r="AA80" s="4"/>
      <c r="AB80" s="4"/>
      <c r="AC80" s="4"/>
      <c r="AD80" s="4"/>
      <c r="AE80" s="4"/>
    </row>
    <row r="81" spans="25:31">
      <c r="Y81" s="4"/>
      <c r="Z81" s="4"/>
      <c r="AA81" s="4"/>
      <c r="AB81" s="4"/>
      <c r="AC81" s="4"/>
      <c r="AD81" s="4"/>
      <c r="AE81" s="4"/>
    </row>
    <row r="82" spans="25:31">
      <c r="Y82" s="4"/>
      <c r="Z82" s="4"/>
      <c r="AA82" s="4"/>
      <c r="AB82" s="4"/>
      <c r="AC82" s="4"/>
      <c r="AD82" s="4"/>
      <c r="AE82" s="4"/>
    </row>
    <row r="87" spans="25:31">
      <c r="AE87" s="877" t="s">
        <v>540</v>
      </c>
    </row>
    <row r="96" spans="25:31" ht="191.25">
      <c r="Y96" s="621" t="s">
        <v>541</v>
      </c>
      <c r="Z96" s="797" t="s">
        <v>542</v>
      </c>
      <c r="AA96" s="877" t="s">
        <v>543</v>
      </c>
      <c r="AB96" s="798"/>
      <c r="AC96" s="798"/>
      <c r="AD96" s="798"/>
      <c r="AE96" s="799"/>
    </row>
    <row r="97" spans="25:32" ht="180">
      <c r="Y97" s="621" t="s">
        <v>544</v>
      </c>
      <c r="Z97" s="800" t="s">
        <v>545</v>
      </c>
      <c r="AA97" s="877" t="s">
        <v>541</v>
      </c>
      <c r="AB97" s="801"/>
      <c r="AC97" s="801"/>
      <c r="AD97" s="801"/>
      <c r="AE97" s="802"/>
    </row>
    <row r="98" spans="25:32" ht="78.75">
      <c r="Y98" s="621" t="s">
        <v>5</v>
      </c>
      <c r="Z98" s="803" t="s">
        <v>546</v>
      </c>
      <c r="AA98" s="877" t="s">
        <v>547</v>
      </c>
      <c r="AB98" s="804"/>
      <c r="AC98" s="804"/>
      <c r="AD98" s="804"/>
      <c r="AE98" s="805"/>
    </row>
    <row r="99" spans="25:32" ht="90">
      <c r="Y99" s="621" t="s">
        <v>9</v>
      </c>
      <c r="Z99" s="797" t="s">
        <v>548</v>
      </c>
      <c r="AA99" s="877" t="s">
        <v>549</v>
      </c>
      <c r="AB99" s="804"/>
      <c r="AC99" s="804"/>
      <c r="AD99" s="804"/>
      <c r="AE99" s="805"/>
    </row>
    <row r="100" spans="25:32" ht="90">
      <c r="Y100" s="621" t="s">
        <v>550</v>
      </c>
      <c r="Z100" s="797" t="s">
        <v>551</v>
      </c>
      <c r="AA100" s="806" t="s">
        <v>544</v>
      </c>
      <c r="AB100" s="798"/>
      <c r="AC100" s="798"/>
      <c r="AD100" s="798"/>
      <c r="AE100" s="799"/>
    </row>
    <row r="101" spans="25:32">
      <c r="Y101" s="621" t="s">
        <v>552</v>
      </c>
      <c r="Z101" s="807" t="s">
        <v>553</v>
      </c>
      <c r="AA101" s="806" t="s">
        <v>554</v>
      </c>
      <c r="AB101" s="798"/>
      <c r="AC101" s="798"/>
      <c r="AD101" s="798"/>
      <c r="AE101" s="799"/>
    </row>
    <row r="102" spans="25:32">
      <c r="Y102" s="808" t="s">
        <v>555</v>
      </c>
      <c r="Z102" s="891" t="s">
        <v>556</v>
      </c>
      <c r="AA102" s="806" t="s">
        <v>557</v>
      </c>
      <c r="AF102" s="806"/>
    </row>
    <row r="103" spans="25:32">
      <c r="AF103" s="806"/>
    </row>
  </sheetData>
  <mergeCells count="10">
    <mergeCell ref="S7:W7"/>
    <mergeCell ref="G31:O31"/>
    <mergeCell ref="G33:O33"/>
    <mergeCell ref="B37:M40"/>
    <mergeCell ref="F1:G1"/>
    <mergeCell ref="L3:M3"/>
    <mergeCell ref="E7:E8"/>
    <mergeCell ref="G7:K7"/>
    <mergeCell ref="M7:M8"/>
    <mergeCell ref="O7:O8"/>
  </mergeCells>
  <conditionalFormatting sqref="M12">
    <cfRule type="iconSet" priority="60">
      <iconSet iconSet="4RedToBlack">
        <cfvo type="percent" val="0"/>
        <cfvo type="percent" val="25"/>
        <cfvo type="percent" val="50"/>
        <cfvo type="percent" val="75"/>
      </iconSet>
    </cfRule>
  </conditionalFormatting>
  <conditionalFormatting sqref="M10">
    <cfRule type="iconSet" priority="59">
      <iconSet iconSet="4RedToBlack">
        <cfvo type="percent" val="0"/>
        <cfvo type="percent" val="25"/>
        <cfvo type="percent" val="50"/>
        <cfvo type="percent" val="75"/>
      </iconSet>
    </cfRule>
  </conditionalFormatting>
  <conditionalFormatting sqref="M14">
    <cfRule type="iconSet" priority="58">
      <iconSet iconSet="4RedToBlack">
        <cfvo type="percent" val="0"/>
        <cfvo type="percent" val="25"/>
        <cfvo type="percent" val="50"/>
        <cfvo type="percent" val="75"/>
      </iconSet>
    </cfRule>
  </conditionalFormatting>
  <conditionalFormatting sqref="M18">
    <cfRule type="iconSet" priority="57">
      <iconSet iconSet="4RedToBlack">
        <cfvo type="percent" val="0"/>
        <cfvo type="percent" val="25"/>
        <cfvo type="percent" val="50"/>
        <cfvo type="percent" val="75"/>
      </iconSet>
    </cfRule>
  </conditionalFormatting>
  <conditionalFormatting sqref="M18 M26">
    <cfRule type="iconSet" priority="56">
      <iconSet iconSet="4RedToBlack">
        <cfvo type="percent" val="0"/>
        <cfvo type="percent" val="25"/>
        <cfvo type="percent" val="50"/>
        <cfvo type="percent" val="75"/>
      </iconSet>
    </cfRule>
  </conditionalFormatting>
  <conditionalFormatting sqref="M18 M28 M26">
    <cfRule type="iconSet" priority="55">
      <iconSet iconSet="4RedToBlack">
        <cfvo type="percent" val="0"/>
        <cfvo type="percent" val="25"/>
        <cfvo type="percent" val="50"/>
        <cfvo type="percent" val="75"/>
      </iconSet>
    </cfRule>
  </conditionalFormatting>
  <conditionalFormatting sqref="X10">
    <cfRule type="iconSet" priority="54">
      <iconSet iconSet="4RedToBlack">
        <cfvo type="percent" val="0"/>
        <cfvo type="percent" val="25"/>
        <cfvo type="percent" val="50"/>
        <cfvo type="percent" val="75"/>
      </iconSet>
    </cfRule>
  </conditionalFormatting>
  <conditionalFormatting sqref="X10:X12">
    <cfRule type="iconSet" priority="53">
      <iconSet iconSet="4RedToBlack">
        <cfvo type="percent" val="0"/>
        <cfvo type="percent" val="25"/>
        <cfvo type="percent" val="50"/>
        <cfvo type="percent" val="75"/>
      </iconSet>
    </cfRule>
  </conditionalFormatting>
  <conditionalFormatting sqref="X14">
    <cfRule type="iconSet" priority="52">
      <iconSet iconSet="4RedToBlack">
        <cfvo type="percent" val="0"/>
        <cfvo type="percent" val="25"/>
        <cfvo type="percent" val="50"/>
        <cfvo type="percent" val="75"/>
      </iconSet>
    </cfRule>
  </conditionalFormatting>
  <conditionalFormatting sqref="X16 X14">
    <cfRule type="iconSet" priority="51">
      <iconSet iconSet="4RedToBlack">
        <cfvo type="percent" val="0"/>
        <cfvo type="percent" val="25"/>
        <cfvo type="percent" val="50"/>
        <cfvo type="percent" val="75"/>
      </iconSet>
    </cfRule>
  </conditionalFormatting>
  <conditionalFormatting sqref="X16 X14 X18:X20">
    <cfRule type="iconSet" priority="50">
      <iconSet iconSet="4RedToBlack">
        <cfvo type="percent" val="0"/>
        <cfvo type="percent" val="25"/>
        <cfvo type="percent" val="50"/>
        <cfvo type="percent" val="75"/>
      </iconSet>
    </cfRule>
  </conditionalFormatting>
  <conditionalFormatting sqref="X16 X14 X18:X20 X22:X24">
    <cfRule type="iconSet" priority="49">
      <iconSet iconSet="4RedToBlack">
        <cfvo type="percent" val="0"/>
        <cfvo type="percent" val="25"/>
        <cfvo type="percent" val="50"/>
        <cfvo type="percent" val="75"/>
      </iconSet>
    </cfRule>
  </conditionalFormatting>
  <conditionalFormatting sqref="X16 X14 X26 X18:X20 X22:X24">
    <cfRule type="iconSet" priority="48">
      <iconSet iconSet="4RedToBlack">
        <cfvo type="percent" val="0"/>
        <cfvo type="percent" val="25"/>
        <cfvo type="percent" val="50"/>
        <cfvo type="percent" val="75"/>
      </iconSet>
    </cfRule>
  </conditionalFormatting>
  <conditionalFormatting sqref="X16 X14 X26 X28 X18:X20 X22:X24">
    <cfRule type="iconSet" priority="47">
      <iconSet iconSet="4RedToBlack">
        <cfvo type="percent" val="0"/>
        <cfvo type="percent" val="25"/>
        <cfvo type="percent" val="50"/>
        <cfvo type="percent" val="75"/>
      </iconSet>
    </cfRule>
  </conditionalFormatting>
  <conditionalFormatting sqref="G31:O31">
    <cfRule type="dataBar" priority="46">
      <dataBar showValue="0">
        <cfvo type="num" val="0"/>
        <cfvo type="num" val="20"/>
        <color theme="9" tint="-0.249977111117893"/>
      </dataBar>
    </cfRule>
  </conditionalFormatting>
  <conditionalFormatting sqref="G33:O33">
    <cfRule type="dataBar" priority="45">
      <dataBar showValue="0">
        <cfvo type="num" val="0"/>
        <cfvo type="num" val="20"/>
        <color rgb="FF00B050"/>
      </dataBar>
    </cfRule>
  </conditionalFormatting>
  <conditionalFormatting sqref="O10">
    <cfRule type="iconSet" priority="44">
      <iconSet iconSet="5Arrows" showValue="0">
        <cfvo type="percent" val="0"/>
        <cfvo type="num" val="-0.2"/>
        <cfvo type="num" val="-0.05"/>
        <cfvo type="num" val="0.05"/>
        <cfvo type="num" val="0.2"/>
      </iconSet>
    </cfRule>
  </conditionalFormatting>
  <conditionalFormatting sqref="O12">
    <cfRule type="iconSet" priority="43">
      <iconSet iconSet="5Arrows" showValue="0">
        <cfvo type="percent" val="0"/>
        <cfvo type="num" val="-20"/>
        <cfvo type="num" val="-5"/>
        <cfvo type="num" val="5"/>
        <cfvo type="num" val="20"/>
      </iconSet>
    </cfRule>
  </conditionalFormatting>
  <conditionalFormatting sqref="O12 O14">
    <cfRule type="iconSet" priority="42">
      <iconSet iconSet="5Arrows" showValue="0">
        <cfvo type="percent" val="0"/>
        <cfvo type="num" val="-20"/>
        <cfvo type="num" val="-5"/>
        <cfvo type="num" val="5"/>
        <cfvo type="num" val="20"/>
      </iconSet>
    </cfRule>
  </conditionalFormatting>
  <conditionalFormatting sqref="O12 O14 O16">
    <cfRule type="iconSet" priority="41">
      <iconSet iconSet="5Arrows" showValue="0">
        <cfvo type="percent" val="0"/>
        <cfvo type="num" val="-20"/>
        <cfvo type="num" val="-5"/>
        <cfvo type="num" val="5"/>
        <cfvo type="num" val="20"/>
      </iconSet>
    </cfRule>
  </conditionalFormatting>
  <conditionalFormatting sqref="O12 O14 O16 O18">
    <cfRule type="iconSet" priority="40">
      <iconSet iconSet="5Arrows" showValue="0">
        <cfvo type="percent" val="0"/>
        <cfvo type="num" val="-20"/>
        <cfvo type="num" val="-5"/>
        <cfvo type="num" val="5"/>
        <cfvo type="num" val="20"/>
      </iconSet>
    </cfRule>
  </conditionalFormatting>
  <conditionalFormatting sqref="O12 O14 O16 O18 O20">
    <cfRule type="iconSet" priority="39">
      <iconSet iconSet="5Arrows" showValue="0">
        <cfvo type="percent" val="0"/>
        <cfvo type="num" val="-20"/>
        <cfvo type="num" val="-5"/>
        <cfvo type="num" val="5"/>
        <cfvo type="num" val="20"/>
      </iconSet>
    </cfRule>
  </conditionalFormatting>
  <conditionalFormatting sqref="O12 O14 O16 O18 O20 O22">
    <cfRule type="iconSet" priority="38">
      <iconSet iconSet="5Arrows" showValue="0">
        <cfvo type="percent" val="0"/>
        <cfvo type="num" val="-20"/>
        <cfvo type="num" val="-5"/>
        <cfvo type="num" val="5"/>
        <cfvo type="num" val="20"/>
      </iconSet>
    </cfRule>
  </conditionalFormatting>
  <conditionalFormatting sqref="O12 O14 O16 O18 O20 O22 O24">
    <cfRule type="iconSet" priority="37">
      <iconSet iconSet="5Arrows" showValue="0">
        <cfvo type="percent" val="0"/>
        <cfvo type="num" val="-20"/>
        <cfvo type="num" val="-5"/>
        <cfvo type="num" val="5"/>
        <cfvo type="num" val="20"/>
      </iconSet>
    </cfRule>
  </conditionalFormatting>
  <conditionalFormatting sqref="O12 O14 O16 O18 O20 O22 O24 O26">
    <cfRule type="iconSet" priority="36">
      <iconSet iconSet="5Arrows" showValue="0">
        <cfvo type="percent" val="0"/>
        <cfvo type="num" val="-20"/>
        <cfvo type="num" val="-5"/>
        <cfvo type="num" val="5"/>
        <cfvo type="num" val="20"/>
      </iconSet>
    </cfRule>
  </conditionalFormatting>
  <conditionalFormatting sqref="O12 O14 O16 O18 O20 O22 O24 O26 O28">
    <cfRule type="iconSet" priority="35">
      <iconSet iconSet="5Arrows" showValue="0">
        <cfvo type="percent" val="0"/>
        <cfvo type="num" val="-20"/>
        <cfvo type="num" val="-5"/>
        <cfvo type="num" val="5"/>
        <cfvo type="num" val="20"/>
      </iconSet>
    </cfRule>
  </conditionalFormatting>
  <conditionalFormatting sqref="O12">
    <cfRule type="iconSet" priority="34">
      <iconSet iconSet="5Arrows" showValue="0">
        <cfvo type="percent" val="0"/>
        <cfvo type="num" val="-0.2"/>
        <cfvo type="num" val="-0.05"/>
        <cfvo type="num" val="0.05"/>
        <cfvo type="num" val="0.2"/>
      </iconSet>
    </cfRule>
  </conditionalFormatting>
  <conditionalFormatting sqref="O12 O14">
    <cfRule type="iconSet" priority="33">
      <iconSet iconSet="5Arrows" showValue="0">
        <cfvo type="percent" val="0"/>
        <cfvo type="num" val="-0.2"/>
        <cfvo type="num" val="-0.05"/>
        <cfvo type="num" val="0.05"/>
        <cfvo type="num" val="0.2"/>
      </iconSet>
    </cfRule>
  </conditionalFormatting>
  <conditionalFormatting sqref="O12 O14 O16">
    <cfRule type="iconSet" priority="32">
      <iconSet iconSet="5Arrows" showValue="0">
        <cfvo type="percent" val="0"/>
        <cfvo type="num" val="-0.2"/>
        <cfvo type="num" val="-0.05"/>
        <cfvo type="num" val="0.05"/>
        <cfvo type="num" val="0.2"/>
      </iconSet>
    </cfRule>
  </conditionalFormatting>
  <conditionalFormatting sqref="O12 O14 O16 O18">
    <cfRule type="iconSet" priority="31">
      <iconSet iconSet="5Arrows" showValue="0">
        <cfvo type="percent" val="0"/>
        <cfvo type="num" val="-0.2"/>
        <cfvo type="num" val="-0.05"/>
        <cfvo type="num" val="0.05"/>
        <cfvo type="num" val="0.2"/>
      </iconSet>
    </cfRule>
  </conditionalFormatting>
  <conditionalFormatting sqref="O12 O14 O16 O18 O20">
    <cfRule type="iconSet" priority="30">
      <iconSet iconSet="5Arrows" showValue="0">
        <cfvo type="percent" val="0"/>
        <cfvo type="num" val="-0.2"/>
        <cfvo type="num" val="-0.05"/>
        <cfvo type="num" val="0.05"/>
        <cfvo type="num" val="0.2"/>
      </iconSet>
    </cfRule>
  </conditionalFormatting>
  <conditionalFormatting sqref="O12 O14 O16 O18 O20 O22">
    <cfRule type="iconSet" priority="29">
      <iconSet iconSet="5Arrows" showValue="0">
        <cfvo type="percent" val="0"/>
        <cfvo type="num" val="-0.2"/>
        <cfvo type="num" val="-0.05"/>
        <cfvo type="num" val="0.05"/>
        <cfvo type="num" val="0.2"/>
      </iconSet>
    </cfRule>
  </conditionalFormatting>
  <conditionalFormatting sqref="O12 O14 O16 O18 O20 O22 O24">
    <cfRule type="iconSet" priority="28">
      <iconSet iconSet="5Arrows" showValue="0">
        <cfvo type="percent" val="0"/>
        <cfvo type="num" val="-0.2"/>
        <cfvo type="num" val="-0.05"/>
        <cfvo type="num" val="0.05"/>
        <cfvo type="num" val="0.2"/>
      </iconSet>
    </cfRule>
  </conditionalFormatting>
  <conditionalFormatting sqref="O12 O14 O16 O18 O20 O22 O24 O26">
    <cfRule type="iconSet" priority="27">
      <iconSet iconSet="5Arrows" showValue="0">
        <cfvo type="percent" val="0"/>
        <cfvo type="num" val="-0.2"/>
        <cfvo type="num" val="-0.05"/>
        <cfvo type="num" val="0.05"/>
        <cfvo type="num" val="0.2"/>
      </iconSet>
    </cfRule>
  </conditionalFormatting>
  <conditionalFormatting sqref="O12 O14 O16 O18 O20 O22 O24 O26 O28">
    <cfRule type="iconSet" priority="26">
      <iconSet iconSet="5Arrows" showValue="0">
        <cfvo type="percent" val="0"/>
        <cfvo type="num" val="-0.2"/>
        <cfvo type="num" val="-0.05"/>
        <cfvo type="num" val="0.05"/>
        <cfvo type="num" val="0.2"/>
      </iconSet>
    </cfRule>
  </conditionalFormatting>
  <conditionalFormatting sqref="AB11 AB13 AB15 AB17 AB19 AB21 AB23 AB25 AB27 AB29 AA10:AA29">
    <cfRule type="iconSet" priority="25">
      <iconSet iconSet="4RedToBlack">
        <cfvo type="percent" val="0"/>
        <cfvo type="percent" val="25"/>
        <cfvo type="percent" val="50"/>
        <cfvo type="percent" val="75"/>
      </iconSet>
    </cfRule>
  </conditionalFormatting>
  <conditionalFormatting sqref="X18:X20">
    <cfRule type="iconSet" priority="24">
      <iconSet iconSet="4RedToBlack">
        <cfvo type="percent" val="0"/>
        <cfvo type="percent" val="25"/>
        <cfvo type="percent" val="50"/>
        <cfvo type="percent" val="75"/>
      </iconSet>
    </cfRule>
  </conditionalFormatting>
  <conditionalFormatting sqref="X20">
    <cfRule type="iconSet" priority="23">
      <iconSet iconSet="4RedToBlack">
        <cfvo type="percent" val="0"/>
        <cfvo type="percent" val="25"/>
        <cfvo type="percent" val="50"/>
        <cfvo type="percent" val="75"/>
      </iconSet>
    </cfRule>
  </conditionalFormatting>
  <conditionalFormatting sqref="X20 X22:X24">
    <cfRule type="iconSet" priority="22">
      <iconSet iconSet="4RedToBlack">
        <cfvo type="percent" val="0"/>
        <cfvo type="percent" val="25"/>
        <cfvo type="percent" val="50"/>
        <cfvo type="percent" val="75"/>
      </iconSet>
    </cfRule>
  </conditionalFormatting>
  <conditionalFormatting sqref="X22:X24">
    <cfRule type="iconSet" priority="21">
      <iconSet iconSet="4RedToBlack">
        <cfvo type="percent" val="0"/>
        <cfvo type="percent" val="25"/>
        <cfvo type="percent" val="50"/>
        <cfvo type="percent" val="75"/>
      </iconSet>
    </cfRule>
  </conditionalFormatting>
  <conditionalFormatting sqref="X24">
    <cfRule type="iconSet" priority="20">
      <iconSet iconSet="4RedToBlack">
        <cfvo type="percent" val="0"/>
        <cfvo type="percent" val="25"/>
        <cfvo type="percent" val="50"/>
        <cfvo type="percent" val="75"/>
      </iconSet>
    </cfRule>
  </conditionalFormatting>
  <conditionalFormatting sqref="X20 X26 X22:X24">
    <cfRule type="iconSet" priority="19">
      <iconSet iconSet="4RedToBlack">
        <cfvo type="percent" val="0"/>
        <cfvo type="percent" val="25"/>
        <cfvo type="percent" val="50"/>
        <cfvo type="percent" val="75"/>
      </iconSet>
    </cfRule>
  </conditionalFormatting>
  <conditionalFormatting sqref="X26 X22:X24">
    <cfRule type="iconSet" priority="18">
      <iconSet iconSet="4RedToBlack">
        <cfvo type="percent" val="0"/>
        <cfvo type="percent" val="25"/>
        <cfvo type="percent" val="50"/>
        <cfvo type="percent" val="75"/>
      </iconSet>
    </cfRule>
  </conditionalFormatting>
  <conditionalFormatting sqref="X24 X26">
    <cfRule type="iconSet" priority="17">
      <iconSet iconSet="4RedToBlack">
        <cfvo type="percent" val="0"/>
        <cfvo type="percent" val="25"/>
        <cfvo type="percent" val="50"/>
        <cfvo type="percent" val="75"/>
      </iconSet>
    </cfRule>
  </conditionalFormatting>
  <conditionalFormatting sqref="X26">
    <cfRule type="iconSet" priority="16">
      <iconSet iconSet="4RedToBlack">
        <cfvo type="percent" val="0"/>
        <cfvo type="percent" val="25"/>
        <cfvo type="percent" val="50"/>
        <cfvo type="percent" val="75"/>
      </iconSet>
    </cfRule>
  </conditionalFormatting>
  <conditionalFormatting sqref="X20 X26 X28 X22:X24">
    <cfRule type="iconSet" priority="15">
      <iconSet iconSet="4RedToBlack">
        <cfvo type="percent" val="0"/>
        <cfvo type="percent" val="25"/>
        <cfvo type="percent" val="50"/>
        <cfvo type="percent" val="75"/>
      </iconSet>
    </cfRule>
  </conditionalFormatting>
  <conditionalFormatting sqref="X26 X28 X22:X24">
    <cfRule type="iconSet" priority="14">
      <iconSet iconSet="4RedToBlack">
        <cfvo type="percent" val="0"/>
        <cfvo type="percent" val="25"/>
        <cfvo type="percent" val="50"/>
        <cfvo type="percent" val="75"/>
      </iconSet>
    </cfRule>
  </conditionalFormatting>
  <conditionalFormatting sqref="X24 X26 X28">
    <cfRule type="iconSet" priority="13">
      <iconSet iconSet="4RedToBlack">
        <cfvo type="percent" val="0"/>
        <cfvo type="percent" val="25"/>
        <cfvo type="percent" val="50"/>
        <cfvo type="percent" val="75"/>
      </iconSet>
    </cfRule>
  </conditionalFormatting>
  <conditionalFormatting sqref="X26 X28">
    <cfRule type="iconSet" priority="12">
      <iconSet iconSet="4RedToBlack">
        <cfvo type="percent" val="0"/>
        <cfvo type="percent" val="25"/>
        <cfvo type="percent" val="50"/>
        <cfvo type="percent" val="75"/>
      </iconSet>
    </cfRule>
  </conditionalFormatting>
  <conditionalFormatting sqref="X28">
    <cfRule type="iconSet" priority="11">
      <iconSet iconSet="4RedToBlack">
        <cfvo type="percent" val="0"/>
        <cfvo type="percent" val="25"/>
        <cfvo type="percent" val="50"/>
        <cfvo type="percent" val="75"/>
      </iconSet>
    </cfRule>
  </conditionalFormatting>
  <conditionalFormatting sqref="X14 X16">
    <cfRule type="iconSet" priority="10">
      <iconSet iconSet="4RedToBlack">
        <cfvo type="percent" val="0"/>
        <cfvo type="percent" val="25"/>
        <cfvo type="percent" val="50"/>
        <cfvo type="percent" val="75"/>
      </iconSet>
    </cfRule>
  </conditionalFormatting>
  <conditionalFormatting sqref="X14 X16 X18:X20">
    <cfRule type="iconSet" priority="9">
      <iconSet iconSet="4RedToBlack">
        <cfvo type="percent" val="0"/>
        <cfvo type="percent" val="25"/>
        <cfvo type="percent" val="50"/>
        <cfvo type="percent" val="75"/>
      </iconSet>
    </cfRule>
  </conditionalFormatting>
  <conditionalFormatting sqref="X14 X16 X18:X20 X22:X24">
    <cfRule type="iconSet" priority="8">
      <iconSet iconSet="4RedToBlack">
        <cfvo type="percent" val="0"/>
        <cfvo type="percent" val="25"/>
        <cfvo type="percent" val="50"/>
        <cfvo type="percent" val="75"/>
      </iconSet>
    </cfRule>
  </conditionalFormatting>
  <conditionalFormatting sqref="X14 X16 X26 X18:X20 X22:X24">
    <cfRule type="iconSet" priority="7">
      <iconSet iconSet="4RedToBlack">
        <cfvo type="percent" val="0"/>
        <cfvo type="percent" val="25"/>
        <cfvo type="percent" val="50"/>
        <cfvo type="percent" val="75"/>
      </iconSet>
    </cfRule>
  </conditionalFormatting>
  <conditionalFormatting sqref="X14 X16 X26 X28 X18:X20 X22:X24">
    <cfRule type="iconSet" priority="6">
      <iconSet iconSet="4RedToBlack">
        <cfvo type="percent" val="0"/>
        <cfvo type="percent" val="25"/>
        <cfvo type="percent" val="50"/>
        <cfvo type="percent" val="75"/>
      </iconSet>
    </cfRule>
  </conditionalFormatting>
  <conditionalFormatting sqref="M20">
    <cfRule type="iconSet" priority="5">
      <iconSet iconSet="4RedToBlack">
        <cfvo type="percent" val="0"/>
        <cfvo type="percent" val="25"/>
        <cfvo type="percent" val="50"/>
        <cfvo type="percent" val="75"/>
      </iconSet>
    </cfRule>
  </conditionalFormatting>
  <conditionalFormatting sqref="X16">
    <cfRule type="iconSet" priority="4">
      <iconSet iconSet="4RedToBlack">
        <cfvo type="percent" val="0"/>
        <cfvo type="percent" val="25"/>
        <cfvo type="percent" val="50"/>
        <cfvo type="percent" val="75"/>
      </iconSet>
    </cfRule>
  </conditionalFormatting>
  <conditionalFormatting sqref="AB11">
    <cfRule type="iconSet" priority="3">
      <iconSet iconSet="4RedToBlack">
        <cfvo type="percent" val="0"/>
        <cfvo type="percent" val="25"/>
        <cfvo type="percent" val="50"/>
        <cfvo type="percent" val="75"/>
      </iconSet>
    </cfRule>
  </conditionalFormatting>
  <conditionalFormatting sqref="I10:K28">
    <cfRule type="expression" dxfId="22" priority="2">
      <formula>ISERROR($I$10)</formula>
    </cfRule>
  </conditionalFormatting>
  <conditionalFormatting sqref="O10:O28">
    <cfRule type="expression" dxfId="21" priority="1">
      <formula>ISERROR($O$10)</formula>
    </cfRule>
  </conditionalFormatting>
  <pageMargins left="0.11811023622047245" right="0.11811023622047245" top="0.55118110236220474" bottom="0.15748031496062992" header="0.31496062992125984" footer="0.31496062992125984"/>
  <pageSetup paperSize="9" orientation="portrait" r:id="rId1"/>
  <headerFooter alignWithMargins="0">
    <oddFooter>&amp;CPage &amp;P</oddFooter>
  </headerFooter>
  <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B4:AE53"/>
  <sheetViews>
    <sheetView view="pageLayout" topLeftCell="A34" zoomScaleNormal="100" workbookViewId="0">
      <selection activeCell="K41" sqref="K41:K42"/>
    </sheetView>
  </sheetViews>
  <sheetFormatPr baseColWidth="10" defaultRowHeight="12.75" outlineLevelCol="1"/>
  <cols>
    <col min="1" max="4" width="5.7109375" customWidth="1"/>
    <col min="5" max="5" width="4.7109375" customWidth="1"/>
    <col min="6" max="6" width="5.7109375" customWidth="1"/>
    <col min="7" max="7" width="6.7109375" customWidth="1"/>
    <col min="8" max="8" width="5.7109375" customWidth="1"/>
    <col min="9" max="9" width="2.7109375" customWidth="1"/>
    <col min="10" max="14" width="5.7109375" customWidth="1"/>
    <col min="15" max="15" width="8.7109375" customWidth="1"/>
    <col min="16" max="16" width="5.7109375" customWidth="1"/>
    <col min="17" max="30" width="5.7109375" hidden="1" customWidth="1" outlineLevel="1"/>
    <col min="31" max="31" width="5.7109375" customWidth="1" collapsed="1"/>
    <col min="32" max="47" width="5.7109375" customWidth="1"/>
  </cols>
  <sheetData>
    <row r="4" spans="2:20" ht="18" customHeight="1">
      <c r="B4" s="31"/>
      <c r="C4" s="31"/>
      <c r="D4" s="31"/>
      <c r="E4" s="31"/>
      <c r="F4" s="31"/>
      <c r="G4" s="31"/>
    </row>
    <row r="5" spans="2:20">
      <c r="B5" s="31"/>
      <c r="C5" s="31"/>
      <c r="D5" s="31"/>
      <c r="E5" s="31"/>
      <c r="F5" s="31"/>
      <c r="G5" s="31"/>
    </row>
    <row r="6" spans="2:20">
      <c r="B6" s="31"/>
      <c r="C6" s="31"/>
      <c r="D6" s="31"/>
      <c r="E6" s="31"/>
      <c r="F6" s="31"/>
      <c r="G6" s="31"/>
    </row>
    <row r="7" spans="2:20" ht="12" customHeight="1">
      <c r="K7" s="23"/>
    </row>
    <row r="8" spans="2:20" ht="6.75" customHeight="1">
      <c r="K8" s="23"/>
    </row>
    <row r="9" spans="2:20" ht="14.1" customHeight="1">
      <c r="J9" s="110" t="str">
        <f>TRIM(CivilAdht&amp; " " &amp; NomAdht&amp; " ")</f>
        <v/>
      </c>
      <c r="K9" s="110"/>
      <c r="R9" s="725" t="s">
        <v>459</v>
      </c>
      <c r="S9" t="str">
        <f>RIGHT(T9,2)&amp;"/"&amp;MID(T9,5,2)&amp;"/"&amp;LEFT(T9,4)</f>
        <v>30/06/2017</v>
      </c>
      <c r="T9">
        <f>Données!B767</f>
        <v>20170630</v>
      </c>
    </row>
    <row r="10" spans="2:20" ht="14.1" customHeight="1">
      <c r="J10" s="111" t="str">
        <f xml:space="preserve"> TRIM(AdresAdht1)</f>
        <v/>
      </c>
      <c r="K10" s="111"/>
      <c r="R10" s="725" t="s">
        <v>460</v>
      </c>
      <c r="S10" t="str">
        <f t="shared" ref="S10:S15" si="0">RIGHT(T10,2)&amp;"/"&amp;MID(T10,5,2)&amp;"/"&amp;LEFT(T10,4)</f>
        <v>30/06/2016</v>
      </c>
      <c r="T10">
        <f>Données!B768</f>
        <v>20160630</v>
      </c>
    </row>
    <row r="11" spans="2:20" ht="14.1" customHeight="1">
      <c r="J11" s="111" t="str">
        <f xml:space="preserve"> TRIM(AdresAdht2)</f>
        <v/>
      </c>
      <c r="K11" s="111"/>
      <c r="R11" s="725" t="s">
        <v>461</v>
      </c>
      <c r="S11" t="str">
        <f t="shared" si="0"/>
        <v>30/06/2015</v>
      </c>
      <c r="T11">
        <f>Données!B769</f>
        <v>20150630</v>
      </c>
    </row>
    <row r="12" spans="2:20" ht="14.1" customHeight="1">
      <c r="J12" s="112" t="str">
        <f>IF(LEN(TRIM(CPAdht))&lt;5,"0" &amp; TRIM(CPAdht &amp; " " &amp; VilleAdht),TRIM(CPAdht &amp; " " &amp; VilleAdht))</f>
        <v>0</v>
      </c>
      <c r="K12" s="112"/>
    </row>
    <row r="13" spans="2:20" ht="12" customHeight="1">
      <c r="R13" s="725" t="s">
        <v>464</v>
      </c>
      <c r="S13" t="str">
        <f t="shared" si="0"/>
        <v>01/07/2016</v>
      </c>
      <c r="T13">
        <f>Données!B770</f>
        <v>20160701</v>
      </c>
    </row>
    <row r="14" spans="2:20" ht="12" customHeight="1">
      <c r="R14" s="725" t="s">
        <v>462</v>
      </c>
      <c r="S14" t="str">
        <f t="shared" si="0"/>
        <v>01/07/2015</v>
      </c>
      <c r="T14">
        <f>Données!B771</f>
        <v>20150701</v>
      </c>
    </row>
    <row r="15" spans="2:20" ht="12" customHeight="1">
      <c r="R15" s="725" t="s">
        <v>463</v>
      </c>
      <c r="S15" t="str">
        <f t="shared" si="0"/>
        <v>01/07/2014</v>
      </c>
      <c r="T15">
        <f>Données!B772</f>
        <v>20140701</v>
      </c>
    </row>
    <row r="16" spans="2:20" ht="12" customHeight="1"/>
    <row r="17" spans="2:19" ht="12" customHeight="1"/>
    <row r="18" spans="2:19" ht="12" customHeight="1"/>
    <row r="19" spans="2:19" ht="12" customHeight="1"/>
    <row r="20" spans="2:19" ht="12" customHeight="1"/>
    <row r="21" spans="2:19" ht="12" customHeight="1"/>
    <row r="25" spans="2:19" ht="18" customHeight="1">
      <c r="B25" s="1041"/>
      <c r="C25" s="1041"/>
      <c r="D25" s="1041"/>
      <c r="E25" s="1041"/>
      <c r="F25" s="1041"/>
      <c r="G25" s="1041"/>
      <c r="H25" s="1041"/>
      <c r="I25" s="1041"/>
      <c r="J25" s="1041"/>
      <c r="K25" s="1041"/>
      <c r="L25" s="1041"/>
      <c r="M25" s="1041"/>
      <c r="N25" s="1041"/>
      <c r="O25" s="1041"/>
    </row>
    <row r="26" spans="2:19" ht="60.75">
      <c r="B26" s="1041"/>
      <c r="C26" s="1041"/>
      <c r="D26" s="1041"/>
      <c r="E26" s="1041"/>
      <c r="F26" s="1041"/>
      <c r="G26" s="1041"/>
      <c r="H26" s="1041"/>
      <c r="I26" s="1041"/>
      <c r="J26" s="1041"/>
      <c r="K26" s="1041"/>
      <c r="L26" s="1041"/>
      <c r="M26" s="1041"/>
      <c r="N26" s="1041"/>
      <c r="O26" s="1041"/>
      <c r="S26" s="23"/>
    </row>
    <row r="27" spans="2:19" ht="60.75">
      <c r="B27" s="1041"/>
      <c r="C27" s="1041"/>
      <c r="D27" s="1041"/>
      <c r="E27" s="1041"/>
      <c r="F27" s="1041"/>
      <c r="G27" s="1041"/>
      <c r="H27" s="1041"/>
      <c r="I27" s="1041"/>
      <c r="J27" s="1041"/>
      <c r="K27" s="1041"/>
      <c r="L27" s="1041"/>
      <c r="M27" s="1041"/>
      <c r="N27" s="1041"/>
      <c r="O27" s="1041"/>
      <c r="S27" s="23"/>
    </row>
    <row r="28" spans="2:19" ht="15.75">
      <c r="B28" s="30"/>
      <c r="C28" s="30"/>
      <c r="D28" s="30"/>
      <c r="E28" s="30"/>
      <c r="F28" s="30"/>
      <c r="G28" s="30"/>
      <c r="H28" s="30"/>
      <c r="I28" s="30"/>
      <c r="J28" s="30"/>
      <c r="K28" s="30"/>
      <c r="L28" s="30"/>
      <c r="M28" s="30"/>
      <c r="N28" s="30"/>
      <c r="O28" s="30"/>
      <c r="S28" s="23"/>
    </row>
    <row r="29" spans="2:19" ht="15.75">
      <c r="B29" s="30"/>
      <c r="C29" s="30"/>
      <c r="D29" s="30"/>
      <c r="E29" s="30"/>
      <c r="F29" s="30"/>
      <c r="G29" s="30"/>
      <c r="H29" s="30"/>
      <c r="I29" s="30"/>
      <c r="J29" s="30"/>
      <c r="K29" s="30"/>
      <c r="L29" s="30"/>
      <c r="M29" s="30"/>
      <c r="N29" s="30"/>
      <c r="O29" s="30"/>
      <c r="S29" s="24"/>
    </row>
    <row r="30" spans="2:19" ht="15.75">
      <c r="B30" s="30"/>
      <c r="C30" s="30"/>
      <c r="D30" s="30"/>
      <c r="E30" s="30"/>
      <c r="F30" s="30"/>
      <c r="G30" s="30"/>
      <c r="H30" s="30"/>
      <c r="I30" s="30"/>
      <c r="J30" s="30"/>
      <c r="K30" s="30"/>
      <c r="L30" s="30"/>
      <c r="M30" s="30"/>
      <c r="N30" s="30"/>
      <c r="O30" s="30"/>
      <c r="S30" s="23"/>
    </row>
    <row r="31" spans="2:19" ht="15.75">
      <c r="B31" s="30"/>
      <c r="C31" s="30"/>
      <c r="D31" s="30"/>
      <c r="E31" s="30"/>
      <c r="F31" s="30"/>
      <c r="G31" s="30"/>
      <c r="H31" s="30"/>
      <c r="I31" s="30"/>
      <c r="J31" s="30"/>
      <c r="K31" s="30"/>
      <c r="L31" s="30"/>
      <c r="M31" s="30"/>
      <c r="N31" s="30"/>
      <c r="O31" s="30"/>
      <c r="S31" s="23"/>
    </row>
    <row r="32" spans="2:19" ht="15.75">
      <c r="B32" s="30"/>
      <c r="C32" s="30"/>
      <c r="D32" s="30"/>
      <c r="E32" s="30"/>
      <c r="F32" s="30"/>
      <c r="G32" s="30"/>
      <c r="H32" s="30"/>
      <c r="I32" s="30"/>
      <c r="J32" s="30"/>
      <c r="K32" s="30"/>
      <c r="L32" s="30"/>
      <c r="M32" s="30"/>
      <c r="N32" s="30"/>
      <c r="O32" s="30"/>
      <c r="S32" s="23"/>
    </row>
    <row r="33" spans="2:19" ht="15.75">
      <c r="B33" s="30"/>
      <c r="C33" s="30"/>
      <c r="D33" s="30"/>
      <c r="E33" s="30"/>
      <c r="F33" s="30"/>
      <c r="G33" s="30"/>
      <c r="H33" s="30"/>
      <c r="I33" s="30"/>
      <c r="J33" s="30"/>
      <c r="K33" s="30"/>
      <c r="L33" s="30"/>
      <c r="M33" s="30"/>
      <c r="N33" s="30"/>
      <c r="O33" s="30"/>
      <c r="S33" s="23"/>
    </row>
    <row r="34" spans="2:19">
      <c r="B34" s="30"/>
      <c r="C34" s="30"/>
      <c r="D34" s="30"/>
      <c r="E34" s="30"/>
      <c r="F34" s="30"/>
      <c r="G34" s="30"/>
      <c r="H34" s="30"/>
      <c r="I34" s="30"/>
      <c r="J34" s="30"/>
      <c r="K34" s="30"/>
      <c r="L34" s="30"/>
      <c r="M34" s="30"/>
      <c r="N34" s="30"/>
      <c r="O34" s="30"/>
    </row>
    <row r="35" spans="2:19">
      <c r="B35" s="30"/>
      <c r="C35" s="30"/>
      <c r="D35" s="30"/>
      <c r="E35" s="30"/>
      <c r="F35" s="30"/>
      <c r="G35" s="30"/>
      <c r="H35" s="30"/>
      <c r="I35" s="30"/>
      <c r="J35" s="30"/>
      <c r="K35" s="30"/>
      <c r="L35" s="30"/>
      <c r="M35" s="30"/>
      <c r="N35" s="30"/>
      <c r="O35" s="30"/>
    </row>
    <row r="36" spans="2:19">
      <c r="B36" s="30"/>
      <c r="C36" s="30"/>
      <c r="D36" s="30"/>
      <c r="E36" s="30"/>
      <c r="F36" s="30"/>
      <c r="G36" s="30"/>
      <c r="H36" s="30"/>
      <c r="I36" s="30"/>
      <c r="J36" s="30"/>
      <c r="K36" s="30"/>
      <c r="L36" s="30"/>
      <c r="M36" s="30"/>
      <c r="N36" s="30"/>
      <c r="O36" s="30"/>
    </row>
    <row r="37" spans="2:19">
      <c r="B37" s="30"/>
      <c r="C37" s="30"/>
      <c r="D37" s="30"/>
      <c r="E37" s="30"/>
      <c r="F37" s="30"/>
      <c r="G37" s="30"/>
      <c r="H37" s="30"/>
      <c r="I37" s="30"/>
      <c r="J37" s="30"/>
      <c r="K37" s="30"/>
      <c r="L37" s="30"/>
      <c r="M37" s="30"/>
      <c r="N37" s="30"/>
      <c r="O37" s="30"/>
    </row>
    <row r="38" spans="2:19" ht="15">
      <c r="B38" s="113"/>
      <c r="C38" s="113"/>
      <c r="D38" s="113"/>
      <c r="E38" s="113"/>
      <c r="F38" s="113"/>
      <c r="G38" s="113"/>
      <c r="H38" s="113"/>
      <c r="I38" s="113"/>
      <c r="J38" s="42"/>
      <c r="K38" s="114" t="s">
        <v>0</v>
      </c>
      <c r="L38" s="42"/>
      <c r="M38" s="113"/>
      <c r="N38" s="30"/>
      <c r="O38" s="30"/>
    </row>
    <row r="39" spans="2:19">
      <c r="B39" s="113"/>
      <c r="C39" s="113"/>
      <c r="D39" s="113"/>
      <c r="E39" s="113"/>
      <c r="F39" s="113"/>
      <c r="G39" s="113"/>
      <c r="H39" s="113"/>
      <c r="I39" s="113"/>
      <c r="J39" s="42"/>
      <c r="K39" s="42"/>
      <c r="L39" s="42"/>
      <c r="M39" s="113"/>
      <c r="N39" s="30"/>
      <c r="O39" s="30"/>
    </row>
    <row r="40" spans="2:19">
      <c r="B40" s="42"/>
      <c r="C40" s="42"/>
      <c r="D40" s="42"/>
      <c r="E40" s="42"/>
      <c r="F40" s="42"/>
      <c r="G40" s="42"/>
      <c r="H40" s="42"/>
      <c r="I40" s="42"/>
      <c r="J40" s="42"/>
      <c r="K40" s="115" t="str">
        <f>"  du "&amp;TEXT(DebutExN,"jj mmmm aaaa")</f>
        <v xml:space="preserve">  du 01 juillet 2016</v>
      </c>
      <c r="L40" s="42"/>
      <c r="M40" s="42"/>
    </row>
    <row r="41" spans="2:19">
      <c r="B41" s="42"/>
      <c r="C41" s="42"/>
      <c r="D41" s="42"/>
      <c r="E41" s="42"/>
      <c r="F41" s="42"/>
      <c r="G41" s="42"/>
      <c r="H41" s="42"/>
      <c r="I41" s="42"/>
      <c r="J41" s="42"/>
      <c r="K41" s="116" t="str">
        <f>"  au "&amp; TEXT(FinExN,"jj mmmm aaaa")</f>
        <v xml:space="preserve">  au 30 juin 2017</v>
      </c>
      <c r="L41" s="42"/>
      <c r="M41" s="42"/>
    </row>
    <row r="42" spans="2:19">
      <c r="B42" s="42"/>
      <c r="C42" s="42"/>
      <c r="D42" s="42"/>
      <c r="E42" s="42"/>
      <c r="F42" s="42"/>
      <c r="G42" s="42"/>
      <c r="H42" s="42"/>
      <c r="I42" s="42"/>
      <c r="J42" s="42"/>
      <c r="K42" s="42"/>
      <c r="L42" s="42"/>
      <c r="M42" s="42"/>
    </row>
    <row r="43" spans="2:19">
      <c r="B43" s="42"/>
      <c r="C43" s="42"/>
      <c r="D43" s="42"/>
      <c r="E43" s="42"/>
      <c r="F43" s="42"/>
      <c r="G43" s="42"/>
      <c r="H43" s="42"/>
      <c r="I43" s="42"/>
      <c r="J43" s="42"/>
      <c r="K43" s="42"/>
      <c r="L43" s="42"/>
      <c r="M43" s="42"/>
    </row>
    <row r="44" spans="2:19">
      <c r="B44" s="42"/>
      <c r="C44" s="42"/>
      <c r="D44" s="42"/>
      <c r="E44" s="42"/>
      <c r="F44" s="42"/>
      <c r="G44" s="42"/>
      <c r="H44" s="42"/>
      <c r="I44" s="42"/>
      <c r="J44" s="42"/>
      <c r="K44" s="42"/>
      <c r="L44" s="42"/>
      <c r="M44" s="42"/>
    </row>
    <row r="45" spans="2:19">
      <c r="B45" s="42"/>
      <c r="C45" s="42"/>
      <c r="D45" s="42"/>
      <c r="E45" s="42"/>
      <c r="F45" s="42"/>
      <c r="G45" s="42"/>
      <c r="H45" s="42"/>
      <c r="I45" s="42"/>
      <c r="J45" s="42"/>
      <c r="K45" s="42"/>
      <c r="L45" s="42"/>
      <c r="M45" s="42"/>
    </row>
    <row r="46" spans="2:19">
      <c r="B46" s="45" t="s">
        <v>39</v>
      </c>
      <c r="C46" s="42"/>
      <c r="D46" s="42" t="str">
        <f>TRIM(NumCabinet) &amp; "/" &amp; (NumAdht)</f>
        <v>/</v>
      </c>
      <c r="E46" s="42"/>
      <c r="F46" s="42"/>
      <c r="G46" s="42"/>
      <c r="H46" s="42"/>
      <c r="I46" s="42"/>
      <c r="J46" s="42"/>
      <c r="K46" s="42"/>
      <c r="L46" s="42"/>
      <c r="M46" s="42"/>
    </row>
    <row r="47" spans="2:19" ht="12.75" customHeight="1">
      <c r="B47" s="45"/>
      <c r="C47" s="42"/>
      <c r="D47" s="42"/>
      <c r="E47" s="42"/>
      <c r="F47" s="42"/>
      <c r="G47" s="42"/>
      <c r="H47" s="42"/>
      <c r="I47" s="42"/>
      <c r="J47" s="42"/>
      <c r="K47" s="42"/>
      <c r="L47" s="42"/>
      <c r="M47" s="42"/>
    </row>
    <row r="48" spans="2:19" ht="12" customHeight="1">
      <c r="B48" s="45" t="s">
        <v>40</v>
      </c>
      <c r="C48" s="42"/>
      <c r="D48" s="42" t="str">
        <f>TRIM(CodeActAdht)</f>
        <v/>
      </c>
      <c r="E48" s="42"/>
      <c r="F48" s="42"/>
      <c r="G48" s="48" t="str">
        <f xml:space="preserve"> TRIM(ProfessAdht)</f>
        <v/>
      </c>
      <c r="H48" s="42"/>
      <c r="I48" s="42"/>
      <c r="J48" s="42"/>
      <c r="K48" s="42"/>
      <c r="L48" s="42"/>
      <c r="M48" s="42"/>
    </row>
    <row r="49" spans="10:19" ht="15.75">
      <c r="J49" s="25"/>
    </row>
    <row r="50" spans="10:19" ht="15.75" customHeight="1"/>
    <row r="51" spans="10:19" ht="20.25" customHeight="1">
      <c r="J51" s="13"/>
    </row>
    <row r="52" spans="10:19" ht="12.75" customHeight="1">
      <c r="S52" s="22"/>
    </row>
    <row r="53" spans="10:19" ht="12.75" customHeight="1">
      <c r="S53" s="22"/>
    </row>
  </sheetData>
  <mergeCells count="3">
    <mergeCell ref="B25:O25"/>
    <mergeCell ref="B26:O26"/>
    <mergeCell ref="B27:O27"/>
  </mergeCells>
  <phoneticPr fontId="16" type="noConversion"/>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oddFooter>Page &amp;P</oddFooter>
  </headerFooter>
  <drawing r:id="rId2"/>
  <legacyDrawing r:id="rId3"/>
  <oleObjects>
    <mc:AlternateContent xmlns:mc="http://schemas.openxmlformats.org/markup-compatibility/2006">
      <mc:Choice Requires="x14">
        <oleObject progId="MSPhotoEd.3" shapeId="1032" r:id="rId4">
          <objectPr defaultSize="0" autoPict="0" r:id="rId5">
            <anchor moveWithCells="1" sizeWithCells="1">
              <from>
                <xdr:col>1</xdr:col>
                <xdr:colOff>180975</xdr:colOff>
                <xdr:row>1</xdr:row>
                <xdr:rowOff>152400</xdr:rowOff>
              </from>
              <to>
                <xdr:col>6</xdr:col>
                <xdr:colOff>228600</xdr:colOff>
                <xdr:row>6</xdr:row>
                <xdr:rowOff>123825</xdr:rowOff>
              </to>
            </anchor>
          </objectPr>
        </oleObject>
      </mc:Choice>
      <mc:Fallback>
        <oleObject progId="MSPhotoEd.3" shapeId="1032" r:id="rId4"/>
      </mc:Fallback>
    </mc:AlternateContent>
  </oleObject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E51"/>
  <sheetViews>
    <sheetView topLeftCell="A13" zoomScaleNormal="100" workbookViewId="0">
      <selection activeCell="K41" sqref="K41:K42"/>
    </sheetView>
  </sheetViews>
  <sheetFormatPr baseColWidth="10" defaultRowHeight="12.75"/>
  <cols>
    <col min="1" max="1" width="12.85546875" customWidth="1"/>
    <col min="2" max="2" width="54.28515625" customWidth="1"/>
    <col min="3" max="4" width="10.85546875" customWidth="1"/>
    <col min="5" max="5" width="2.7109375" customWidth="1"/>
  </cols>
  <sheetData>
    <row r="1" spans="1:5">
      <c r="A1" s="4"/>
      <c r="B1" s="4"/>
      <c r="C1" s="4"/>
      <c r="D1" s="4"/>
      <c r="E1" s="4"/>
    </row>
    <row r="2" spans="1:5">
      <c r="A2" s="4"/>
      <c r="B2" s="4"/>
      <c r="C2" s="4"/>
      <c r="D2" s="4"/>
      <c r="E2" s="4"/>
    </row>
    <row r="3" spans="1:5">
      <c r="A3" s="4"/>
      <c r="B3" s="4"/>
      <c r="C3" s="4"/>
      <c r="D3" s="4"/>
      <c r="E3" s="4"/>
    </row>
    <row r="4" spans="1:5">
      <c r="A4" s="4"/>
      <c r="B4" s="4"/>
      <c r="C4" s="4"/>
      <c r="D4" s="4"/>
      <c r="E4" s="4"/>
    </row>
    <row r="5" spans="1:5" ht="30">
      <c r="A5" s="27"/>
      <c r="B5" s="27"/>
      <c r="C5" s="27"/>
      <c r="D5" s="27"/>
      <c r="E5" s="27"/>
    </row>
    <row r="6" spans="1:5" ht="43.5" customHeight="1">
      <c r="A6" s="4"/>
      <c r="B6" s="4"/>
      <c r="C6" s="27"/>
      <c r="D6" s="27"/>
      <c r="E6" s="4"/>
    </row>
    <row r="7" spans="1:5">
      <c r="A7" s="4"/>
      <c r="B7" s="117"/>
      <c r="C7" s="117" t="s">
        <v>1</v>
      </c>
      <c r="D7" s="4"/>
      <c r="E7" s="4"/>
    </row>
    <row r="8" spans="1:5" ht="15">
      <c r="A8" s="4"/>
      <c r="B8" s="49"/>
      <c r="C8" s="118"/>
      <c r="D8" s="4"/>
      <c r="E8" s="4"/>
    </row>
    <row r="9" spans="1:5" ht="15">
      <c r="A9" s="4"/>
      <c r="B9" s="49" t="s">
        <v>41</v>
      </c>
      <c r="C9" s="118">
        <v>2</v>
      </c>
      <c r="D9" s="4"/>
      <c r="E9" s="4"/>
    </row>
    <row r="10" spans="1:5" ht="15">
      <c r="A10" s="4"/>
      <c r="B10" s="49"/>
      <c r="C10" s="118"/>
      <c r="D10" s="4"/>
      <c r="E10" s="4"/>
    </row>
    <row r="11" spans="1:5" ht="15">
      <c r="A11" s="4"/>
      <c r="B11" s="49" t="s">
        <v>42</v>
      </c>
      <c r="C11" s="118">
        <v>3</v>
      </c>
      <c r="D11" s="4"/>
      <c r="E11" s="4"/>
    </row>
    <row r="12" spans="1:5" ht="15">
      <c r="A12" s="4"/>
      <c r="B12" s="49"/>
      <c r="C12" s="118"/>
      <c r="D12" s="4"/>
      <c r="E12" s="4"/>
    </row>
    <row r="13" spans="1:5" ht="15">
      <c r="A13" s="4"/>
      <c r="B13" s="119" t="s">
        <v>43</v>
      </c>
      <c r="C13" s="118"/>
      <c r="D13" s="4"/>
      <c r="E13" s="4"/>
    </row>
    <row r="14" spans="1:5" ht="15">
      <c r="A14" s="4"/>
      <c r="B14" s="49"/>
      <c r="C14" s="118"/>
      <c r="D14" s="4"/>
      <c r="E14" s="4"/>
    </row>
    <row r="15" spans="1:5" ht="15">
      <c r="A15" s="4"/>
      <c r="B15" s="49" t="s">
        <v>44</v>
      </c>
      <c r="C15" s="118">
        <v>4</v>
      </c>
      <c r="D15" s="4"/>
      <c r="E15" s="4"/>
    </row>
    <row r="16" spans="1:5" ht="15">
      <c r="A16" s="4"/>
      <c r="B16" s="49"/>
      <c r="C16" s="118"/>
      <c r="D16" s="4"/>
      <c r="E16" s="4"/>
    </row>
    <row r="17" spans="1:5" ht="15">
      <c r="A17" s="4"/>
      <c r="B17" s="49" t="s">
        <v>325</v>
      </c>
      <c r="C17" s="118">
        <v>5</v>
      </c>
      <c r="D17" s="4"/>
      <c r="E17" s="4"/>
    </row>
    <row r="18" spans="1:5" ht="15">
      <c r="A18" s="4"/>
      <c r="B18" s="49"/>
      <c r="C18" s="118"/>
      <c r="D18" s="4"/>
      <c r="E18" s="4"/>
    </row>
    <row r="19" spans="1:5" ht="15">
      <c r="A19" s="4"/>
      <c r="B19" s="119" t="s">
        <v>47</v>
      </c>
      <c r="C19" s="118"/>
      <c r="D19" s="4"/>
      <c r="E19" s="4"/>
    </row>
    <row r="20" spans="1:5" ht="15">
      <c r="A20" s="4"/>
      <c r="B20" s="49"/>
      <c r="C20" s="118"/>
      <c r="D20" s="4"/>
      <c r="E20" s="4"/>
    </row>
    <row r="21" spans="1:5" ht="15">
      <c r="A21" s="4"/>
      <c r="B21" s="49" t="s">
        <v>49</v>
      </c>
      <c r="C21" s="118">
        <v>6</v>
      </c>
      <c r="D21" s="4"/>
      <c r="E21" s="4"/>
    </row>
    <row r="22" spans="1:5" ht="15">
      <c r="A22" s="4"/>
      <c r="B22" s="49"/>
      <c r="C22" s="118"/>
      <c r="D22" s="4"/>
      <c r="E22" s="4"/>
    </row>
    <row r="23" spans="1:5" ht="15">
      <c r="A23" s="4"/>
      <c r="B23" s="49" t="s">
        <v>50</v>
      </c>
      <c r="C23" s="120" t="s">
        <v>319</v>
      </c>
      <c r="D23" s="4"/>
      <c r="E23" s="4"/>
    </row>
    <row r="24" spans="1:5" ht="15">
      <c r="A24" s="4"/>
      <c r="B24" s="49"/>
      <c r="C24" s="118"/>
      <c r="D24" s="4"/>
      <c r="E24" s="4"/>
    </row>
    <row r="25" spans="1:5" ht="15">
      <c r="A25" s="4"/>
      <c r="B25" s="119" t="s">
        <v>307</v>
      </c>
      <c r="C25" s="118" t="s">
        <v>320</v>
      </c>
      <c r="D25" s="4"/>
      <c r="E25" s="4"/>
    </row>
    <row r="26" spans="1:5" ht="15">
      <c r="A26" s="4"/>
      <c r="B26" s="119"/>
      <c r="C26" s="121"/>
      <c r="D26" s="4"/>
      <c r="E26" s="4"/>
    </row>
    <row r="27" spans="1:5" ht="15">
      <c r="A27" s="4"/>
      <c r="B27" s="119" t="s">
        <v>51</v>
      </c>
      <c r="C27" s="121"/>
      <c r="D27" s="4"/>
      <c r="E27" s="4"/>
    </row>
    <row r="28" spans="1:5" ht="15">
      <c r="A28" s="4"/>
      <c r="B28" s="49"/>
      <c r="C28" s="121"/>
      <c r="D28" s="4"/>
      <c r="E28" s="4"/>
    </row>
    <row r="29" spans="1:5" ht="15">
      <c r="A29" s="4"/>
      <c r="B29" s="49" t="s">
        <v>52</v>
      </c>
      <c r="C29" s="118">
        <v>12</v>
      </c>
      <c r="D29" s="4"/>
      <c r="E29" s="4"/>
    </row>
    <row r="30" spans="1:5" ht="15">
      <c r="A30" s="4"/>
      <c r="B30" s="49"/>
      <c r="C30" s="118"/>
      <c r="D30" s="4"/>
      <c r="E30" s="4"/>
    </row>
    <row r="31" spans="1:5" ht="15">
      <c r="A31" s="4"/>
      <c r="B31" s="49" t="s">
        <v>53</v>
      </c>
      <c r="C31" s="118">
        <v>13</v>
      </c>
      <c r="D31" s="4"/>
      <c r="E31" s="4"/>
    </row>
    <row r="32" spans="1:5" ht="15">
      <c r="A32" s="4"/>
      <c r="B32" s="49"/>
      <c r="C32" s="118"/>
      <c r="D32" s="4"/>
      <c r="E32" s="4"/>
    </row>
    <row r="33" spans="1:5" ht="15">
      <c r="A33" s="4"/>
      <c r="B33" s="49" t="s">
        <v>54</v>
      </c>
      <c r="C33" s="118">
        <v>14</v>
      </c>
      <c r="D33" s="4"/>
      <c r="E33" s="4"/>
    </row>
    <row r="34" spans="1:5" ht="15">
      <c r="A34" s="4"/>
      <c r="B34" s="49"/>
      <c r="C34" s="118"/>
      <c r="D34" s="4"/>
      <c r="E34" s="4"/>
    </row>
    <row r="35" spans="1:5" ht="15">
      <c r="A35" s="4"/>
      <c r="B35" s="49" t="s">
        <v>55</v>
      </c>
      <c r="C35" s="118">
        <v>15</v>
      </c>
      <c r="D35" s="4"/>
      <c r="E35" s="4"/>
    </row>
    <row r="36" spans="1:5" ht="15">
      <c r="A36" s="4"/>
      <c r="B36" s="49"/>
      <c r="C36" s="118"/>
      <c r="D36" s="4"/>
      <c r="E36" s="4"/>
    </row>
    <row r="37" spans="1:5" ht="15">
      <c r="A37" s="4"/>
      <c r="B37" s="49" t="s">
        <v>56</v>
      </c>
      <c r="C37" s="118">
        <v>16</v>
      </c>
      <c r="D37" s="4"/>
      <c r="E37" s="4"/>
    </row>
    <row r="38" spans="1:5" ht="15">
      <c r="A38" s="4"/>
      <c r="B38" s="7"/>
      <c r="C38" s="19"/>
      <c r="D38" s="14"/>
      <c r="E38" s="4"/>
    </row>
    <row r="39" spans="1:5" ht="15">
      <c r="A39" s="4"/>
      <c r="B39" s="7"/>
      <c r="C39" s="19"/>
      <c r="D39" s="4"/>
      <c r="E39" s="4"/>
    </row>
    <row r="40" spans="1:5" ht="15">
      <c r="A40" s="4"/>
      <c r="B40" s="7"/>
      <c r="C40" s="19"/>
      <c r="D40" s="4"/>
      <c r="E40" s="4"/>
    </row>
    <row r="41" spans="1:5" ht="15">
      <c r="B41" s="2"/>
      <c r="C41" s="26"/>
    </row>
    <row r="42" spans="1:5" ht="15">
      <c r="B42" s="2"/>
      <c r="C42" s="26"/>
    </row>
    <row r="43" spans="1:5" ht="15">
      <c r="B43" s="2"/>
      <c r="C43" s="26"/>
    </row>
    <row r="44" spans="1:5" ht="15">
      <c r="B44" s="2"/>
      <c r="C44" s="26"/>
    </row>
    <row r="45" spans="1:5" ht="15">
      <c r="B45" s="2"/>
      <c r="C45" s="26"/>
    </row>
    <row r="46" spans="1:5" ht="15">
      <c r="B46" s="2"/>
      <c r="C46" s="26"/>
    </row>
    <row r="47" spans="1:5" ht="15">
      <c r="B47" s="2"/>
      <c r="C47" s="26"/>
    </row>
    <row r="48" spans="1:5" ht="15">
      <c r="B48" s="2"/>
      <c r="C48" s="26"/>
    </row>
    <row r="49" spans="2:3" ht="15">
      <c r="B49" s="2"/>
      <c r="C49" s="26"/>
    </row>
    <row r="50" spans="2:3" ht="15">
      <c r="B50" s="2"/>
      <c r="C50" s="26"/>
    </row>
    <row r="51" spans="2:3" ht="15">
      <c r="B51" s="2"/>
      <c r="C51" s="2"/>
    </row>
  </sheetData>
  <phoneticPr fontId="16" type="noConversion"/>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oddHeader>&amp;C&amp;P&amp;P</oddHeader>
    <oddFooter>Page &amp;P</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E60"/>
  <sheetViews>
    <sheetView topLeftCell="A18" zoomScaleNormal="100" workbookViewId="0">
      <selection activeCell="K41" sqref="K41:K42"/>
    </sheetView>
  </sheetViews>
  <sheetFormatPr baseColWidth="10" defaultRowHeight="12.75"/>
  <cols>
    <col min="1" max="1" width="10.28515625" customWidth="1"/>
    <col min="2" max="2" width="54.28515625" customWidth="1"/>
    <col min="3" max="4" width="10.85546875" customWidth="1"/>
    <col min="5" max="5" width="2.7109375" customWidth="1"/>
  </cols>
  <sheetData>
    <row r="1" spans="1:5">
      <c r="A1" s="4"/>
      <c r="B1" s="4"/>
      <c r="C1" s="4"/>
      <c r="D1" s="4"/>
      <c r="E1" s="4"/>
    </row>
    <row r="2" spans="1:5">
      <c r="A2" s="4"/>
      <c r="B2" s="4"/>
      <c r="C2" s="4"/>
      <c r="D2" s="4"/>
      <c r="E2" s="4"/>
    </row>
    <row r="3" spans="1:5">
      <c r="A3" s="4"/>
      <c r="B3" s="4"/>
      <c r="C3" s="4"/>
      <c r="D3" s="4"/>
      <c r="E3" s="4"/>
    </row>
    <row r="4" spans="1:5">
      <c r="A4" s="4"/>
      <c r="B4" s="4"/>
      <c r="C4" s="4"/>
      <c r="D4" s="4"/>
      <c r="E4" s="4"/>
    </row>
    <row r="5" spans="1:5" ht="30">
      <c r="A5" s="27"/>
      <c r="B5" s="27"/>
      <c r="C5" s="27"/>
      <c r="D5" s="27"/>
      <c r="E5" s="27"/>
    </row>
    <row r="6" spans="1:5" ht="30" customHeight="1">
      <c r="A6" s="4"/>
      <c r="B6" s="4"/>
      <c r="C6" s="27"/>
      <c r="D6" s="27"/>
      <c r="E6" s="4"/>
    </row>
    <row r="7" spans="1:5" ht="15" customHeight="1">
      <c r="A7" s="4"/>
      <c r="B7" s="117"/>
      <c r="C7" s="117" t="s">
        <v>1</v>
      </c>
      <c r="D7" s="4"/>
      <c r="E7" s="4"/>
    </row>
    <row r="8" spans="1:5" ht="10.5" customHeight="1">
      <c r="A8" s="4"/>
      <c r="B8" s="49"/>
      <c r="C8" s="118"/>
      <c r="D8" s="4"/>
      <c r="E8" s="4"/>
    </row>
    <row r="9" spans="1:5" ht="15">
      <c r="A9" s="4"/>
      <c r="B9" s="49" t="s">
        <v>41</v>
      </c>
      <c r="C9" s="118">
        <v>2</v>
      </c>
      <c r="D9" s="4"/>
      <c r="E9" s="4"/>
    </row>
    <row r="10" spans="1:5" ht="15">
      <c r="A10" s="4"/>
      <c r="B10" s="49"/>
      <c r="C10" s="118"/>
      <c r="D10" s="4"/>
      <c r="E10" s="4"/>
    </row>
    <row r="11" spans="1:5" ht="15">
      <c r="A11" s="4"/>
      <c r="B11" s="49" t="s">
        <v>42</v>
      </c>
      <c r="C11" s="118">
        <v>3</v>
      </c>
      <c r="D11" s="4"/>
      <c r="E11" s="4"/>
    </row>
    <row r="12" spans="1:5" ht="18" customHeight="1">
      <c r="A12" s="4"/>
      <c r="B12" s="49"/>
      <c r="C12" s="118"/>
      <c r="D12" s="4"/>
      <c r="E12" s="4"/>
    </row>
    <row r="13" spans="1:5" ht="15">
      <c r="A13" s="4"/>
      <c r="B13" s="119" t="s">
        <v>43</v>
      </c>
      <c r="C13" s="118"/>
      <c r="D13" s="4"/>
      <c r="E13" s="4"/>
    </row>
    <row r="14" spans="1:5" ht="15">
      <c r="A14" s="4"/>
      <c r="B14" s="49"/>
      <c r="C14" s="118"/>
      <c r="D14" s="4"/>
      <c r="E14" s="4"/>
    </row>
    <row r="15" spans="1:5" ht="15">
      <c r="A15" s="4"/>
      <c r="B15" s="49" t="s">
        <v>44</v>
      </c>
      <c r="C15" s="118">
        <v>4</v>
      </c>
      <c r="D15" s="4"/>
      <c r="E15" s="4"/>
    </row>
    <row r="16" spans="1:5" ht="15">
      <c r="A16" s="4"/>
      <c r="B16" s="49"/>
      <c r="C16" s="118"/>
      <c r="D16" s="4"/>
      <c r="E16" s="4"/>
    </row>
    <row r="17" spans="1:5" ht="15">
      <c r="A17" s="4"/>
      <c r="B17" s="49" t="s">
        <v>325</v>
      </c>
      <c r="C17" s="118">
        <v>5</v>
      </c>
      <c r="D17" s="4"/>
      <c r="E17" s="4"/>
    </row>
    <row r="18" spans="1:5" ht="15">
      <c r="A18" s="4"/>
      <c r="B18" s="49"/>
      <c r="C18" s="118"/>
      <c r="D18" s="4"/>
      <c r="E18" s="4"/>
    </row>
    <row r="19" spans="1:5" ht="15">
      <c r="A19" s="4"/>
      <c r="B19" s="49" t="s">
        <v>45</v>
      </c>
      <c r="C19" s="118">
        <v>6</v>
      </c>
      <c r="D19" s="4"/>
      <c r="E19" s="4"/>
    </row>
    <row r="20" spans="1:5" ht="15">
      <c r="A20" s="4"/>
      <c r="B20" s="49" t="s">
        <v>46</v>
      </c>
      <c r="C20" s="118"/>
      <c r="D20" s="4"/>
      <c r="E20" s="4"/>
    </row>
    <row r="21" spans="1:5" ht="18" customHeight="1">
      <c r="A21" s="4"/>
      <c r="B21" s="49"/>
      <c r="C21" s="118"/>
      <c r="D21" s="4"/>
      <c r="E21" s="4"/>
    </row>
    <row r="22" spans="1:5" ht="15">
      <c r="A22" s="4"/>
      <c r="B22" s="119" t="s">
        <v>47</v>
      </c>
      <c r="C22" s="118"/>
      <c r="D22" s="4"/>
      <c r="E22" s="4"/>
    </row>
    <row r="23" spans="1:5" ht="15">
      <c r="A23" s="4"/>
      <c r="B23" s="49"/>
      <c r="C23" s="118"/>
      <c r="D23" s="4"/>
      <c r="E23" s="4"/>
    </row>
    <row r="24" spans="1:5" ht="15">
      <c r="A24" s="4"/>
      <c r="B24" s="49" t="s">
        <v>48</v>
      </c>
      <c r="C24" s="118">
        <v>7</v>
      </c>
      <c r="D24" s="4"/>
      <c r="E24" s="4"/>
    </row>
    <row r="25" spans="1:5" ht="15">
      <c r="A25" s="4"/>
      <c r="B25" s="49"/>
      <c r="C25" s="118"/>
      <c r="D25" s="4"/>
      <c r="E25" s="4"/>
    </row>
    <row r="26" spans="1:5" ht="15">
      <c r="A26" s="4"/>
      <c r="B26" s="49" t="s">
        <v>49</v>
      </c>
      <c r="C26" s="118">
        <v>8</v>
      </c>
      <c r="D26" s="4"/>
      <c r="E26" s="4"/>
    </row>
    <row r="27" spans="1:5" ht="15">
      <c r="A27" s="4"/>
      <c r="B27" s="49"/>
      <c r="C27" s="118"/>
      <c r="D27" s="4"/>
      <c r="E27" s="4"/>
    </row>
    <row r="28" spans="1:5" ht="15">
      <c r="A28" s="4"/>
      <c r="B28" s="49" t="s">
        <v>50</v>
      </c>
      <c r="C28" s="120" t="s">
        <v>306</v>
      </c>
      <c r="D28" s="4"/>
      <c r="E28" s="4"/>
    </row>
    <row r="29" spans="1:5" ht="18" customHeight="1">
      <c r="A29" s="4"/>
      <c r="B29" s="49"/>
      <c r="C29" s="118"/>
      <c r="D29" s="4"/>
      <c r="E29" s="4"/>
    </row>
    <row r="30" spans="1:5" ht="15">
      <c r="A30" s="4"/>
      <c r="B30" s="119" t="s">
        <v>307</v>
      </c>
      <c r="C30" s="118" t="s">
        <v>304</v>
      </c>
      <c r="D30" s="4"/>
      <c r="E30" s="4"/>
    </row>
    <row r="31" spans="1:5" ht="18" customHeight="1">
      <c r="A31" s="4"/>
      <c r="B31" s="119"/>
      <c r="C31" s="121"/>
      <c r="D31" s="4"/>
      <c r="E31" s="4"/>
    </row>
    <row r="32" spans="1:5" ht="15">
      <c r="A32" s="4"/>
      <c r="B32" s="119" t="s">
        <v>51</v>
      </c>
      <c r="C32" s="121"/>
      <c r="D32" s="4"/>
      <c r="E32" s="4"/>
    </row>
    <row r="33" spans="1:5" ht="15">
      <c r="A33" s="4"/>
      <c r="B33" s="49"/>
      <c r="C33" s="121"/>
      <c r="D33" s="4"/>
      <c r="E33" s="4"/>
    </row>
    <row r="34" spans="1:5" ht="15">
      <c r="A34" s="4"/>
      <c r="B34" s="49" t="s">
        <v>340</v>
      </c>
      <c r="C34" s="118">
        <v>14</v>
      </c>
      <c r="D34" s="4"/>
      <c r="E34" s="4"/>
    </row>
    <row r="35" spans="1:5" ht="15">
      <c r="A35" s="4"/>
      <c r="B35" s="49"/>
      <c r="C35" s="118"/>
      <c r="D35" s="4"/>
      <c r="E35" s="4"/>
    </row>
    <row r="36" spans="1:5" ht="15">
      <c r="A36" s="4"/>
      <c r="B36" s="49" t="s">
        <v>341</v>
      </c>
      <c r="C36" s="118">
        <v>15</v>
      </c>
      <c r="D36" s="4"/>
      <c r="E36" s="4"/>
    </row>
    <row r="37" spans="1:5" ht="15">
      <c r="A37" s="4"/>
      <c r="B37" s="49"/>
      <c r="C37" s="118"/>
      <c r="D37" s="4"/>
      <c r="E37" s="4"/>
    </row>
    <row r="38" spans="1:5" ht="15">
      <c r="A38" s="4"/>
      <c r="B38" s="49" t="s">
        <v>52</v>
      </c>
      <c r="C38" s="118">
        <v>16</v>
      </c>
      <c r="D38" s="4"/>
      <c r="E38" s="4"/>
    </row>
    <row r="39" spans="1:5" ht="15">
      <c r="A39" s="4"/>
      <c r="B39" s="49"/>
      <c r="C39" s="118"/>
      <c r="D39" s="4"/>
      <c r="E39" s="4"/>
    </row>
    <row r="40" spans="1:5" ht="15">
      <c r="A40" s="4"/>
      <c r="B40" s="49" t="s">
        <v>53</v>
      </c>
      <c r="C40" s="118">
        <v>17</v>
      </c>
      <c r="D40" s="4"/>
      <c r="E40" s="4"/>
    </row>
    <row r="41" spans="1:5" ht="15">
      <c r="A41" s="4"/>
      <c r="B41" s="49"/>
      <c r="C41" s="118"/>
      <c r="D41" s="4"/>
      <c r="E41" s="4"/>
    </row>
    <row r="42" spans="1:5" ht="15">
      <c r="A42" s="4"/>
      <c r="B42" s="49" t="s">
        <v>54</v>
      </c>
      <c r="C42" s="118">
        <v>18</v>
      </c>
      <c r="D42" s="4"/>
      <c r="E42" s="4"/>
    </row>
    <row r="43" spans="1:5" ht="15">
      <c r="A43" s="4"/>
      <c r="B43" s="49"/>
      <c r="C43" s="118"/>
      <c r="D43" s="4"/>
      <c r="E43" s="4"/>
    </row>
    <row r="44" spans="1:5" ht="15">
      <c r="A44" s="4"/>
      <c r="B44" s="49" t="s">
        <v>55</v>
      </c>
      <c r="C44" s="118">
        <v>19</v>
      </c>
      <c r="D44" s="4"/>
      <c r="E44" s="4"/>
    </row>
    <row r="45" spans="1:5" ht="15">
      <c r="A45" s="4"/>
      <c r="B45" s="49"/>
      <c r="C45" s="118"/>
      <c r="D45" s="4"/>
      <c r="E45" s="4"/>
    </row>
    <row r="46" spans="1:5" ht="15">
      <c r="A46" s="4"/>
      <c r="B46" s="49" t="s">
        <v>56</v>
      </c>
      <c r="C46" s="118">
        <v>20</v>
      </c>
      <c r="D46" s="4"/>
      <c r="E46" s="4"/>
    </row>
    <row r="47" spans="1:5" ht="15">
      <c r="A47" s="4"/>
      <c r="B47" s="49"/>
      <c r="C47" s="118"/>
      <c r="D47" s="4"/>
      <c r="E47" s="4"/>
    </row>
    <row r="48" spans="1:5" ht="15">
      <c r="A48" s="4"/>
      <c r="B48" s="7" t="s">
        <v>561</v>
      </c>
      <c r="C48" s="19">
        <v>21</v>
      </c>
      <c r="D48" s="14"/>
      <c r="E48" s="4"/>
    </row>
    <row r="49" spans="1:5" ht="12" customHeight="1">
      <c r="A49" s="4"/>
      <c r="B49" s="7"/>
      <c r="C49" s="19"/>
      <c r="D49" s="4"/>
      <c r="E49" s="4"/>
    </row>
    <row r="50" spans="1:5" ht="15" customHeight="1">
      <c r="B50" s="2"/>
      <c r="C50" s="26"/>
    </row>
    <row r="51" spans="1:5" ht="15" customHeight="1">
      <c r="B51" s="2"/>
      <c r="C51" s="26"/>
    </row>
    <row r="52" spans="1:5" ht="15" customHeight="1">
      <c r="B52" s="2"/>
      <c r="C52" s="26"/>
    </row>
    <row r="53" spans="1:5" ht="15" customHeight="1">
      <c r="B53" s="2"/>
      <c r="C53" s="26"/>
    </row>
    <row r="54" spans="1:5" ht="15">
      <c r="B54" s="2"/>
      <c r="C54" s="26"/>
    </row>
    <row r="55" spans="1:5" ht="15">
      <c r="B55" s="2"/>
      <c r="C55" s="26"/>
    </row>
    <row r="56" spans="1:5" ht="15">
      <c r="B56" s="2"/>
      <c r="C56" s="26"/>
    </row>
    <row r="57" spans="1:5" ht="15">
      <c r="B57" s="2"/>
      <c r="C57" s="26"/>
    </row>
    <row r="58" spans="1:5" ht="15">
      <c r="B58" s="2"/>
      <c r="C58" s="26"/>
    </row>
    <row r="59" spans="1:5" ht="15">
      <c r="B59" s="2"/>
      <c r="C59" s="26"/>
    </row>
    <row r="60" spans="1:5" ht="15">
      <c r="B60" s="2"/>
      <c r="C60" s="2"/>
    </row>
  </sheetData>
  <phoneticPr fontId="16" type="noConversion"/>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oddFooter>Page &amp;P</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B5:H62"/>
  <sheetViews>
    <sheetView zoomScaleNormal="100" workbookViewId="0">
      <selection activeCell="K41" sqref="K41:K42"/>
    </sheetView>
  </sheetViews>
  <sheetFormatPr baseColWidth="10" defaultRowHeight="12.75"/>
  <sheetData>
    <row r="5" spans="2:8" ht="30">
      <c r="C5" s="32"/>
      <c r="D5" s="32"/>
    </row>
    <row r="6" spans="2:8" ht="30">
      <c r="D6" s="32"/>
    </row>
    <row r="7" spans="2:8" ht="15">
      <c r="B7" s="122" t="str">
        <f>IF(MonnaieDG = "Euro","Votre dossier de gestion est établi en €uros.","Votre dossier de gestion est établi en Francs.")</f>
        <v>Votre dossier de gestion est établi en €uros.</v>
      </c>
      <c r="C7" s="42"/>
      <c r="D7" s="42"/>
      <c r="E7" s="42"/>
      <c r="F7" s="42"/>
      <c r="G7" s="42"/>
      <c r="H7" s="42"/>
    </row>
    <row r="8" spans="2:8">
      <c r="B8" s="42"/>
      <c r="C8" s="42"/>
      <c r="D8" s="42"/>
      <c r="E8" s="42"/>
      <c r="F8" s="42"/>
      <c r="G8" s="42"/>
      <c r="H8" s="42"/>
    </row>
    <row r="9" spans="2:8">
      <c r="B9" s="42"/>
      <c r="C9" s="42"/>
      <c r="D9" s="42"/>
      <c r="E9" s="42"/>
      <c r="F9" s="42"/>
      <c r="G9" s="42"/>
      <c r="H9" s="42"/>
    </row>
    <row r="10" spans="2:8" ht="15">
      <c r="B10" s="42"/>
      <c r="C10" s="42"/>
      <c r="D10" s="42"/>
      <c r="E10" s="42"/>
      <c r="F10" s="114" t="s">
        <v>0</v>
      </c>
      <c r="G10" s="42"/>
      <c r="H10" s="42"/>
    </row>
    <row r="11" spans="2:8" ht="15">
      <c r="B11" s="42"/>
      <c r="C11" s="42"/>
      <c r="D11" s="42"/>
      <c r="E11" s="42"/>
      <c r="F11" s="123" t="str">
        <f>"  du "&amp;TEXT(DebutExN,"jj mmmm aaaa")</f>
        <v xml:space="preserve">  du 01 juillet 2016</v>
      </c>
      <c r="G11" s="42"/>
      <c r="H11" s="42"/>
    </row>
    <row r="12" spans="2:8" ht="15">
      <c r="B12" s="42"/>
      <c r="C12" s="42"/>
      <c r="D12" s="42"/>
      <c r="E12" s="42"/>
      <c r="F12" s="124" t="str">
        <f>"  au "&amp; TEXT(FinExN,"jj mmmm aaaa")</f>
        <v xml:space="preserve">  au 30 juin 2017</v>
      </c>
      <c r="G12" s="42"/>
      <c r="H12" s="42"/>
    </row>
    <row r="13" spans="2:8">
      <c r="B13" s="42"/>
      <c r="C13" s="42"/>
      <c r="D13" s="42"/>
      <c r="E13" s="42"/>
      <c r="F13" s="42"/>
      <c r="G13" s="42"/>
      <c r="H13" s="42"/>
    </row>
    <row r="14" spans="2:8">
      <c r="B14" s="42"/>
      <c r="C14" s="42"/>
      <c r="D14" s="42"/>
      <c r="E14" s="42"/>
      <c r="F14" s="42"/>
      <c r="G14" s="42"/>
      <c r="H14" s="42"/>
    </row>
    <row r="15" spans="2:8">
      <c r="B15" s="42"/>
      <c r="C15" s="42"/>
      <c r="D15" s="42"/>
      <c r="E15" s="42"/>
      <c r="F15" s="42"/>
      <c r="G15" s="42"/>
      <c r="H15" s="42"/>
    </row>
    <row r="16" spans="2:8">
      <c r="B16" s="42"/>
      <c r="C16" s="42"/>
      <c r="D16" s="42"/>
      <c r="E16" s="42"/>
      <c r="F16" s="42"/>
      <c r="G16" s="42"/>
      <c r="H16" s="42"/>
    </row>
    <row r="17" spans="2:8">
      <c r="B17" s="42"/>
      <c r="C17" s="42"/>
      <c r="D17" s="42"/>
      <c r="E17" s="42"/>
      <c r="F17" s="42"/>
      <c r="G17" s="42"/>
      <c r="H17" s="42"/>
    </row>
    <row r="18" spans="2:8">
      <c r="B18" s="42"/>
      <c r="C18" s="42"/>
      <c r="D18" s="42"/>
      <c r="E18" s="42"/>
      <c r="F18" s="42"/>
      <c r="G18" s="42"/>
      <c r="H18" s="42"/>
    </row>
    <row r="19" spans="2:8">
      <c r="B19" s="42"/>
      <c r="C19" s="42"/>
      <c r="D19" s="42"/>
      <c r="E19" s="42"/>
      <c r="F19" s="42"/>
      <c r="G19" s="42"/>
      <c r="H19" s="42"/>
    </row>
    <row r="20" spans="2:8">
      <c r="B20" s="42"/>
      <c r="C20" s="42"/>
      <c r="D20" s="42"/>
      <c r="E20" s="42"/>
      <c r="F20" s="42"/>
      <c r="G20" s="42"/>
      <c r="H20" s="42"/>
    </row>
    <row r="21" spans="2:8">
      <c r="B21" s="42"/>
      <c r="C21" s="42"/>
      <c r="D21" s="42"/>
      <c r="E21" s="42"/>
      <c r="F21" s="42"/>
      <c r="G21" s="42"/>
      <c r="H21" s="42"/>
    </row>
    <row r="22" spans="2:8">
      <c r="B22" s="42"/>
      <c r="C22" s="42"/>
      <c r="D22" s="42"/>
      <c r="E22" s="42"/>
      <c r="F22" s="42"/>
      <c r="G22" s="42"/>
      <c r="H22" s="42"/>
    </row>
    <row r="23" spans="2:8">
      <c r="B23" s="42"/>
      <c r="C23" s="42"/>
      <c r="D23" s="42"/>
      <c r="E23" s="42"/>
      <c r="F23" s="42"/>
      <c r="G23" s="42"/>
      <c r="H23" s="42"/>
    </row>
    <row r="24" spans="2:8">
      <c r="B24" s="42"/>
      <c r="C24" s="42"/>
      <c r="D24" s="42"/>
      <c r="E24" s="42"/>
      <c r="F24" s="42"/>
      <c r="G24" s="42"/>
      <c r="H24" s="42"/>
    </row>
    <row r="25" spans="2:8">
      <c r="B25" s="42"/>
      <c r="C25" s="42"/>
      <c r="D25" s="42"/>
      <c r="E25" s="42"/>
      <c r="F25" s="42"/>
      <c r="G25" s="42"/>
      <c r="H25" s="42"/>
    </row>
    <row r="26" spans="2:8">
      <c r="B26" s="42"/>
      <c r="C26" s="42"/>
      <c r="D26" s="42"/>
      <c r="E26" s="42"/>
      <c r="F26" s="42"/>
      <c r="G26" s="42"/>
      <c r="H26" s="42"/>
    </row>
    <row r="27" spans="2:8">
      <c r="B27" s="42"/>
      <c r="C27" s="42"/>
      <c r="D27" s="42"/>
      <c r="E27" s="42"/>
      <c r="F27" s="42"/>
      <c r="G27" s="42"/>
      <c r="H27" s="42"/>
    </row>
    <row r="28" spans="2:8">
      <c r="B28" s="42"/>
      <c r="C28" s="42"/>
      <c r="D28" s="42"/>
      <c r="E28" s="42"/>
      <c r="F28" s="42"/>
      <c r="G28" s="42"/>
      <c r="H28" s="42"/>
    </row>
    <row r="29" spans="2:8">
      <c r="B29" s="42"/>
      <c r="C29" s="42"/>
      <c r="D29" s="42"/>
      <c r="E29" s="42"/>
      <c r="F29" s="42"/>
      <c r="G29" s="42"/>
      <c r="H29" s="42"/>
    </row>
    <row r="30" spans="2:8">
      <c r="B30" s="42"/>
      <c r="C30" s="42"/>
      <c r="D30" s="42"/>
      <c r="E30" s="42"/>
      <c r="F30" s="42"/>
      <c r="G30" s="42"/>
      <c r="H30" s="42"/>
    </row>
    <row r="31" spans="2:8" ht="15">
      <c r="B31" s="43" t="s">
        <v>327</v>
      </c>
      <c r="C31" s="43"/>
      <c r="D31" s="43"/>
      <c r="E31" s="43"/>
      <c r="F31" s="43"/>
      <c r="G31" s="43"/>
      <c r="H31" s="43"/>
    </row>
    <row r="32" spans="2:8" ht="9.75" customHeight="1">
      <c r="B32" s="43"/>
      <c r="C32" s="43"/>
      <c r="D32" s="43"/>
      <c r="E32" s="43"/>
      <c r="F32" s="43"/>
      <c r="G32" s="43"/>
      <c r="H32" s="43"/>
    </row>
    <row r="33" spans="2:8" ht="15">
      <c r="B33" s="43" t="s">
        <v>328</v>
      </c>
      <c r="C33" s="43"/>
      <c r="D33" s="43"/>
      <c r="E33" s="43"/>
      <c r="F33" s="43"/>
      <c r="G33" s="43"/>
      <c r="H33" s="43"/>
    </row>
    <row r="34" spans="2:8" ht="15">
      <c r="B34" s="43"/>
      <c r="C34" s="43"/>
      <c r="D34" s="43"/>
      <c r="E34" s="43"/>
      <c r="F34" s="43"/>
      <c r="G34" s="43"/>
      <c r="H34" s="43"/>
    </row>
    <row r="35" spans="2:8" ht="15">
      <c r="B35" s="43"/>
      <c r="C35" s="43"/>
      <c r="D35" s="43"/>
      <c r="E35" s="43"/>
      <c r="F35" s="43"/>
      <c r="G35" s="43"/>
      <c r="H35" s="43"/>
    </row>
    <row r="36" spans="2:8" ht="15">
      <c r="B36" s="122" t="s">
        <v>329</v>
      </c>
      <c r="C36" s="43"/>
      <c r="D36" s="43"/>
      <c r="E36" s="43"/>
      <c r="F36" s="43"/>
      <c r="G36" s="43"/>
      <c r="H36" s="43"/>
    </row>
    <row r="37" spans="2:8" ht="15">
      <c r="B37" s="43"/>
      <c r="C37" s="43"/>
      <c r="D37" s="43"/>
      <c r="E37" s="43"/>
      <c r="F37" s="43"/>
      <c r="G37" s="43"/>
      <c r="H37" s="43"/>
    </row>
    <row r="38" spans="2:8" ht="15">
      <c r="B38" s="43"/>
      <c r="C38" s="43" t="s">
        <v>57</v>
      </c>
      <c r="D38" s="43"/>
      <c r="E38" s="43"/>
      <c r="F38" s="43"/>
      <c r="G38" s="43"/>
      <c r="H38" s="43"/>
    </row>
    <row r="39" spans="2:8" ht="15">
      <c r="B39" s="43"/>
      <c r="C39" s="43"/>
      <c r="D39" s="43"/>
      <c r="E39" s="43"/>
      <c r="F39" s="43"/>
      <c r="G39" s="43"/>
      <c r="H39" s="43"/>
    </row>
    <row r="40" spans="2:8" ht="15">
      <c r="B40" s="43"/>
      <c r="C40" s="43" t="s">
        <v>59</v>
      </c>
      <c r="D40" s="43"/>
      <c r="E40" s="43"/>
      <c r="F40" s="43"/>
      <c r="G40" s="43"/>
      <c r="H40" s="43"/>
    </row>
    <row r="41" spans="2:8" ht="15">
      <c r="B41" s="43"/>
      <c r="C41" s="43" t="s">
        <v>58</v>
      </c>
      <c r="D41" s="43"/>
      <c r="E41" s="43"/>
      <c r="F41" s="43"/>
      <c r="G41" s="43"/>
      <c r="H41" s="43"/>
    </row>
    <row r="42" spans="2:8" ht="15">
      <c r="B42" s="43"/>
      <c r="C42" s="43"/>
      <c r="D42" s="43"/>
      <c r="E42" s="43"/>
      <c r="F42" s="43"/>
      <c r="G42" s="43"/>
      <c r="H42" s="43"/>
    </row>
    <row r="43" spans="2:8" ht="15">
      <c r="B43" s="43"/>
      <c r="C43" s="43"/>
      <c r="D43" s="43"/>
      <c r="E43" s="43"/>
      <c r="F43" s="43"/>
      <c r="G43" s="43"/>
      <c r="H43" s="43"/>
    </row>
    <row r="44" spans="2:8" ht="15">
      <c r="B44" s="43" t="s">
        <v>60</v>
      </c>
      <c r="C44" s="43"/>
      <c r="D44" s="43"/>
      <c r="E44" s="43"/>
      <c r="F44" s="43"/>
      <c r="G44" s="43"/>
      <c r="H44" s="43"/>
    </row>
    <row r="45" spans="2:8" ht="15">
      <c r="B45" s="43" t="s">
        <v>61</v>
      </c>
      <c r="C45" s="43"/>
      <c r="D45" s="43"/>
      <c r="E45" s="43"/>
      <c r="F45" s="43"/>
      <c r="G45" s="43"/>
      <c r="H45" s="43"/>
    </row>
    <row r="46" spans="2:8" ht="15">
      <c r="B46" s="43" t="s">
        <v>62</v>
      </c>
      <c r="C46" s="43"/>
      <c r="D46" s="43"/>
      <c r="E46" s="43"/>
      <c r="F46" s="43"/>
      <c r="G46" s="43"/>
      <c r="H46" s="43"/>
    </row>
    <row r="47" spans="2:8" ht="15">
      <c r="B47" s="43"/>
      <c r="C47" s="43"/>
      <c r="D47" s="43"/>
      <c r="E47" s="43"/>
      <c r="F47" s="43"/>
      <c r="G47" s="43"/>
      <c r="H47" s="43"/>
    </row>
    <row r="48" spans="2:8" ht="15">
      <c r="B48" s="43"/>
      <c r="C48" s="43"/>
      <c r="D48" s="43"/>
      <c r="E48" s="43"/>
      <c r="F48" s="43"/>
      <c r="G48" s="43"/>
      <c r="H48" s="43"/>
    </row>
    <row r="49" spans="2:8" ht="15">
      <c r="B49" s="43" t="s">
        <v>63</v>
      </c>
      <c r="C49" s="43"/>
      <c r="D49" s="43"/>
      <c r="E49" s="43"/>
      <c r="F49" s="43"/>
      <c r="G49" s="43"/>
      <c r="H49" s="43"/>
    </row>
    <row r="50" spans="2:8" ht="15">
      <c r="B50" s="43" t="s">
        <v>64</v>
      </c>
      <c r="C50" s="43"/>
      <c r="D50" s="43"/>
      <c r="E50" s="43"/>
      <c r="F50" s="43"/>
      <c r="G50" s="43"/>
      <c r="H50" s="43"/>
    </row>
    <row r="51" spans="2:8" ht="15">
      <c r="B51" s="43"/>
      <c r="C51" s="43"/>
      <c r="D51" s="43"/>
      <c r="E51" s="43"/>
      <c r="F51" s="43"/>
      <c r="G51" s="43"/>
      <c r="H51" s="43"/>
    </row>
    <row r="52" spans="2:8" ht="15">
      <c r="B52" s="2"/>
      <c r="C52" s="2"/>
      <c r="D52" s="2"/>
      <c r="E52" s="2"/>
      <c r="F52" s="2"/>
      <c r="G52" s="2"/>
      <c r="H52" s="2"/>
    </row>
    <row r="53" spans="2:8" ht="15">
      <c r="B53" s="2"/>
      <c r="C53" s="2"/>
      <c r="D53" s="2"/>
      <c r="E53" s="2"/>
      <c r="F53" s="2"/>
      <c r="G53" s="2"/>
      <c r="H53" s="2"/>
    </row>
    <row r="54" spans="2:8" ht="15">
      <c r="B54" s="2"/>
      <c r="C54" s="2"/>
      <c r="D54" s="2"/>
      <c r="E54" s="2"/>
      <c r="F54" s="2"/>
      <c r="G54" s="2"/>
      <c r="H54" s="2"/>
    </row>
    <row r="55" spans="2:8" ht="15">
      <c r="B55" s="2"/>
      <c r="C55" s="2"/>
      <c r="D55" s="2"/>
      <c r="E55" s="2"/>
      <c r="F55" s="2"/>
      <c r="G55" s="2"/>
      <c r="H55" s="2"/>
    </row>
    <row r="56" spans="2:8" ht="15">
      <c r="B56" s="2"/>
      <c r="C56" s="2"/>
      <c r="D56" s="2"/>
      <c r="E56" s="2"/>
      <c r="F56" s="2"/>
      <c r="G56" s="2"/>
      <c r="H56" s="2"/>
    </row>
    <row r="57" spans="2:8" ht="15">
      <c r="B57" s="2"/>
      <c r="C57" s="2"/>
      <c r="D57" s="2"/>
      <c r="E57" s="2"/>
      <c r="F57" s="2"/>
      <c r="G57" s="2"/>
      <c r="H57" s="2"/>
    </row>
    <row r="58" spans="2:8" ht="15">
      <c r="B58" s="2"/>
      <c r="C58" s="2"/>
      <c r="D58" s="2"/>
      <c r="E58" s="2"/>
      <c r="F58" s="2"/>
      <c r="G58" s="2"/>
      <c r="H58" s="2"/>
    </row>
    <row r="59" spans="2:8" ht="15">
      <c r="B59" s="2"/>
      <c r="C59" s="2"/>
      <c r="D59" s="2"/>
      <c r="E59" s="2"/>
      <c r="F59" s="2"/>
      <c r="G59" s="2"/>
      <c r="H59" s="2"/>
    </row>
    <row r="60" spans="2:8" ht="15">
      <c r="B60" s="2"/>
      <c r="C60" s="2"/>
      <c r="D60" s="2"/>
      <c r="E60" s="2"/>
      <c r="F60" s="2"/>
      <c r="G60" s="2"/>
      <c r="H60" s="2"/>
    </row>
    <row r="61" spans="2:8" ht="15">
      <c r="B61" s="2"/>
      <c r="C61" s="2"/>
      <c r="D61" s="2"/>
      <c r="E61" s="2"/>
      <c r="F61" s="2"/>
      <c r="G61" s="2"/>
      <c r="H61" s="2"/>
    </row>
    <row r="62" spans="2:8" ht="15">
      <c r="B62" s="2"/>
      <c r="C62" s="2"/>
      <c r="D62" s="2"/>
      <c r="E62" s="2"/>
      <c r="F62" s="2"/>
      <c r="G62" s="2"/>
      <c r="H62" s="2"/>
    </row>
  </sheetData>
  <phoneticPr fontId="16" type="noConversion"/>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oddFooter>Page &amp;P</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Z54"/>
  <sheetViews>
    <sheetView showZeros="0" topLeftCell="A15" zoomScaleNormal="100" workbookViewId="0">
      <selection activeCell="K41" sqref="K41:K42"/>
    </sheetView>
  </sheetViews>
  <sheetFormatPr baseColWidth="10" defaultRowHeight="12.75" outlineLevelCol="1"/>
  <cols>
    <col min="1" max="1" width="2.5703125" style="42" customWidth="1"/>
    <col min="2" max="2" width="3.42578125" style="42" customWidth="1"/>
    <col min="3" max="3" width="22" style="42" customWidth="1"/>
    <col min="4" max="4" width="11.42578125" style="42"/>
    <col min="5" max="5" width="9" style="42" customWidth="1"/>
    <col min="6" max="6" width="8.140625" style="42" customWidth="1"/>
    <col min="7" max="7" width="16" style="42" customWidth="1"/>
    <col min="8" max="8" width="15.85546875" style="42" customWidth="1"/>
    <col min="9" max="9" width="3.5703125" customWidth="1"/>
    <col min="10" max="25" width="11.42578125" hidden="1" customWidth="1" outlineLevel="1"/>
    <col min="26" max="26" width="11.42578125" collapsed="1"/>
  </cols>
  <sheetData>
    <row r="1" spans="2:5" ht="6.75" customHeight="1"/>
    <row r="8" spans="2:5" ht="7.5" customHeight="1"/>
    <row r="9" spans="2:5" ht="15">
      <c r="B9" s="40" t="s">
        <v>65</v>
      </c>
      <c r="C9" s="43"/>
    </row>
    <row r="10" spans="2:5" ht="9.75" customHeight="1">
      <c r="B10" s="43"/>
      <c r="C10" s="43"/>
    </row>
    <row r="11" spans="2:5" ht="15">
      <c r="B11" s="43"/>
      <c r="C11" s="45" t="s">
        <v>66</v>
      </c>
      <c r="D11" s="42" t="s">
        <v>303</v>
      </c>
      <c r="E11" s="42">
        <f>IF(CPAdht =  2,"Aisne",IF(CPAdht = 51,"Marne",IF(CPAdht = 60,"Oise",IF(CPAdht = 80,"Somme",IF(CPAdht =  8,"Ardenne",IF(CPAdht = 10,"Aube",IF(CPAdht = 14,"Calvados",IF(CPAdht = 18,"Cher",))))))))</f>
        <v>0</v>
      </c>
    </row>
    <row r="12" spans="2:5" ht="15">
      <c r="B12" s="43"/>
      <c r="C12" s="45" t="s">
        <v>67</v>
      </c>
      <c r="D12" s="42">
        <f>VilleAdht</f>
        <v>0</v>
      </c>
    </row>
    <row r="13" spans="2:5" ht="15">
      <c r="B13" s="43"/>
      <c r="C13" s="45" t="s">
        <v>68</v>
      </c>
      <c r="D13" s="42" t="str">
        <f>IF(D_37171="A1","St Quentinnois et Laonnois",IF(D_37171 = "A2","Champagne Crayeuse",IF(D_37171 = "A3","Thiérache",IF(D_37171 = "A4","Soissonnais",IF(D_37171 = "A5","Valois",IF(D_37171 = "A6","Tardenois et Brie",IF(D_37171 = "A7","Brie Champenoise",IF(D_37171= "A8","Valois et Multien"))))))))</f>
        <v>St Quentinnois et Laonnois</v>
      </c>
    </row>
    <row r="14" spans="2:5" ht="9.75" customHeight="1">
      <c r="B14" s="43"/>
      <c r="C14" s="43"/>
    </row>
    <row r="15" spans="2:5" ht="18" customHeight="1">
      <c r="B15" s="60" t="s">
        <v>69</v>
      </c>
      <c r="C15" s="43"/>
      <c r="D15" s="128">
        <f>Données!B789</f>
        <v>0</v>
      </c>
    </row>
    <row r="16" spans="2:5" ht="22.5" customHeight="1">
      <c r="B16" s="60" t="s">
        <v>296</v>
      </c>
      <c r="C16" s="43"/>
      <c r="D16" s="128" t="str">
        <f>IF(Données!D789="A","Régime réel normal","Régime réel simplifié")</f>
        <v>Régime réel simplifié</v>
      </c>
    </row>
    <row r="17" spans="1:14" ht="19.5" customHeight="1">
      <c r="B17" s="41"/>
      <c r="C17" s="43"/>
    </row>
    <row r="18" spans="1:14" ht="15">
      <c r="B18" s="40" t="s">
        <v>70</v>
      </c>
      <c r="C18" s="43"/>
    </row>
    <row r="20" spans="1:14" ht="15" customHeight="1">
      <c r="G20" s="125"/>
      <c r="H20" s="125"/>
    </row>
    <row r="21" spans="1:14" ht="15" customHeight="1" thickBot="1">
      <c r="G21" s="126"/>
      <c r="H21" s="126"/>
    </row>
    <row r="22" spans="1:14">
      <c r="G22" s="33"/>
      <c r="H22" s="34"/>
    </row>
    <row r="23" spans="1:14" ht="15" customHeight="1">
      <c r="C23" s="127" t="s">
        <v>71</v>
      </c>
      <c r="D23" s="128"/>
      <c r="E23" s="128"/>
      <c r="F23" s="128"/>
      <c r="G23" s="129">
        <f>D_37144</f>
        <v>0</v>
      </c>
      <c r="H23" s="129">
        <f>D_37147</f>
        <v>0</v>
      </c>
      <c r="M23" s="129">
        <f>D_37144</f>
        <v>0</v>
      </c>
      <c r="N23">
        <f>+M23/$G$26*100</f>
        <v>0</v>
      </c>
    </row>
    <row r="24" spans="1:14" ht="15" customHeight="1">
      <c r="C24" s="127" t="s">
        <v>72</v>
      </c>
      <c r="D24" s="128"/>
      <c r="E24" s="128"/>
      <c r="F24" s="128"/>
      <c r="G24" s="129">
        <f>D_37145</f>
        <v>0</v>
      </c>
      <c r="H24" s="732">
        <f>G24/G26*100</f>
        <v>0</v>
      </c>
      <c r="M24" s="129">
        <f>D_37145</f>
        <v>0</v>
      </c>
      <c r="N24">
        <f t="shared" ref="N24:N25" si="0">+M24/$G$26*100</f>
        <v>0</v>
      </c>
    </row>
    <row r="25" spans="1:14" ht="15" customHeight="1">
      <c r="C25" s="127" t="s">
        <v>73</v>
      </c>
      <c r="D25" s="128"/>
      <c r="E25" s="128"/>
      <c r="F25" s="128"/>
      <c r="G25" s="129">
        <f>D_37146</f>
        <v>144</v>
      </c>
      <c r="H25" s="732">
        <f>G25/G26*100</f>
        <v>100</v>
      </c>
      <c r="M25" s="129">
        <f>D_37146</f>
        <v>144</v>
      </c>
      <c r="N25">
        <f t="shared" si="0"/>
        <v>100</v>
      </c>
    </row>
    <row r="26" spans="1:14" s="9" customFormat="1" ht="15" customHeight="1">
      <c r="A26" s="128"/>
      <c r="B26" s="128"/>
      <c r="C26" s="128"/>
      <c r="D26" s="130" t="s">
        <v>74</v>
      </c>
      <c r="E26" s="128"/>
      <c r="F26" s="128"/>
      <c r="G26" s="131">
        <f>+G23+G24+G25</f>
        <v>144</v>
      </c>
      <c r="H26" s="131">
        <f>+H23+H24+H25</f>
        <v>100</v>
      </c>
      <c r="K26" s="9" t="s">
        <v>366</v>
      </c>
    </row>
    <row r="27" spans="1:14" ht="15" customHeight="1">
      <c r="B27" s="40" t="s">
        <v>75</v>
      </c>
      <c r="C27" s="43"/>
      <c r="G27" s="72"/>
      <c r="H27" s="35"/>
      <c r="K27" s="18" t="s">
        <v>114</v>
      </c>
      <c r="L27" s="18" t="s">
        <v>367</v>
      </c>
    </row>
    <row r="28" spans="1:14" s="9" customFormat="1" ht="15" customHeight="1">
      <c r="A28" s="128"/>
      <c r="B28" s="132"/>
      <c r="C28" s="127" t="s">
        <v>76</v>
      </c>
      <c r="D28" s="128"/>
      <c r="E28" s="128"/>
      <c r="F28" s="128"/>
      <c r="G28" s="129">
        <f>R_1073</f>
        <v>35.58</v>
      </c>
      <c r="H28" s="129">
        <f>D_37150</f>
        <v>24.71</v>
      </c>
      <c r="K28" s="608">
        <f>R_1073</f>
        <v>35.58</v>
      </c>
      <c r="L28" s="608">
        <f>R_7209/100</f>
        <v>0.35580000000000001</v>
      </c>
      <c r="M28" s="609">
        <f>K28+L28</f>
        <v>35.9358</v>
      </c>
    </row>
    <row r="29" spans="1:14" s="9" customFormat="1" ht="15" customHeight="1">
      <c r="A29" s="128"/>
      <c r="B29" s="132"/>
      <c r="C29" s="127" t="s">
        <v>77</v>
      </c>
      <c r="D29" s="128"/>
      <c r="E29" s="128"/>
      <c r="F29" s="128"/>
      <c r="G29" s="129">
        <f>R_1077</f>
        <v>108.42</v>
      </c>
      <c r="H29" s="129">
        <f>D_37151</f>
        <v>75.290000000000006</v>
      </c>
      <c r="K29" s="608">
        <f>R_1077</f>
        <v>108.42</v>
      </c>
      <c r="L29" s="608">
        <f>R_7211/100</f>
        <v>1.0842000000000001</v>
      </c>
      <c r="M29" s="609">
        <f>K29+L29</f>
        <v>109.5042</v>
      </c>
    </row>
    <row r="30" spans="1:14" s="9" customFormat="1" ht="15" customHeight="1">
      <c r="A30" s="128"/>
      <c r="B30" s="132"/>
      <c r="C30" s="127" t="s">
        <v>78</v>
      </c>
      <c r="D30" s="128"/>
      <c r="E30" s="128"/>
      <c r="F30" s="128"/>
      <c r="G30" s="129">
        <f>R_1075</f>
        <v>0</v>
      </c>
      <c r="H30" s="129">
        <f>D_37152</f>
        <v>0</v>
      </c>
      <c r="K30" s="608">
        <f>R_1075</f>
        <v>0</v>
      </c>
      <c r="L30" s="608">
        <f>R_7210/100</f>
        <v>0</v>
      </c>
      <c r="M30" s="609">
        <f>K30+L30</f>
        <v>0</v>
      </c>
    </row>
    <row r="31" spans="1:14" s="9" customFormat="1" ht="15" customHeight="1">
      <c r="A31" s="128"/>
      <c r="B31" s="132"/>
      <c r="C31" s="127" t="s">
        <v>79</v>
      </c>
      <c r="D31" s="128"/>
      <c r="E31" s="128"/>
      <c r="F31" s="128"/>
      <c r="G31" s="129">
        <f>R_1079</f>
        <v>0</v>
      </c>
      <c r="H31" s="129">
        <f>D_37153</f>
        <v>0</v>
      </c>
      <c r="K31" s="608">
        <f>R_1079</f>
        <v>0</v>
      </c>
      <c r="L31" s="608">
        <f>R_7212/100</f>
        <v>0</v>
      </c>
      <c r="M31" s="609">
        <f>K31+L31</f>
        <v>0</v>
      </c>
    </row>
    <row r="32" spans="1:14" s="9" customFormat="1" ht="15" customHeight="1">
      <c r="A32" s="128"/>
      <c r="B32" s="132"/>
      <c r="C32" s="132"/>
      <c r="D32" s="130" t="s">
        <v>80</v>
      </c>
      <c r="E32" s="128"/>
      <c r="F32" s="128"/>
      <c r="G32" s="131">
        <f>G28+G29+G30+G31</f>
        <v>144</v>
      </c>
      <c r="H32" s="131">
        <f>H28+H29+H30+H31</f>
        <v>100</v>
      </c>
    </row>
    <row r="33" spans="2:8" ht="11.25" customHeight="1" thickBot="1">
      <c r="B33" s="43"/>
      <c r="C33" s="43"/>
      <c r="G33" s="36"/>
      <c r="H33" s="36"/>
    </row>
    <row r="34" spans="2:8" ht="26.25" customHeight="1">
      <c r="B34" s="43"/>
      <c r="C34" s="43"/>
    </row>
    <row r="35" spans="2:8" s="42" customFormat="1" ht="15">
      <c r="B35" s="40" t="s">
        <v>81</v>
      </c>
      <c r="C35" s="43"/>
    </row>
    <row r="36" spans="2:8" s="42" customFormat="1" ht="15">
      <c r="B36" s="40" t="s">
        <v>82</v>
      </c>
    </row>
    <row r="37" spans="2:8" s="42" customFormat="1" ht="18.75" customHeight="1"/>
    <row r="38" spans="2:8" s="44" customFormat="1" ht="15">
      <c r="B38" s="46" t="s">
        <v>83</v>
      </c>
      <c r="G38" s="74">
        <f>F39+F40+F41+F42</f>
        <v>0.95850000000000002</v>
      </c>
    </row>
    <row r="39" spans="2:8" s="42" customFormat="1">
      <c r="B39" s="45" t="s">
        <v>84</v>
      </c>
      <c r="C39" s="45" t="s">
        <v>324</v>
      </c>
      <c r="F39" s="73">
        <f>D_37160/100</f>
        <v>0.84870000000000001</v>
      </c>
      <c r="G39" s="73"/>
    </row>
    <row r="40" spans="2:8" s="42" customFormat="1">
      <c r="B40" s="45"/>
      <c r="C40" s="45" t="s">
        <v>85</v>
      </c>
      <c r="F40" s="73">
        <f>D_37161/100</f>
        <v>0</v>
      </c>
      <c r="G40" s="73"/>
    </row>
    <row r="41" spans="2:8" s="42" customFormat="1">
      <c r="B41" s="45"/>
      <c r="C41" s="45" t="s">
        <v>86</v>
      </c>
      <c r="F41" s="73">
        <f>D_37162/100</f>
        <v>0</v>
      </c>
      <c r="G41" s="73"/>
    </row>
    <row r="42" spans="2:8" s="42" customFormat="1">
      <c r="B42" s="45"/>
      <c r="C42" s="45" t="s">
        <v>87</v>
      </c>
      <c r="F42" s="73">
        <f>D_37163/100</f>
        <v>0.10980000000000001</v>
      </c>
      <c r="G42" s="73"/>
    </row>
    <row r="43" spans="2:8" s="42" customFormat="1" ht="5.25" customHeight="1">
      <c r="B43" s="45"/>
      <c r="C43" s="45"/>
      <c r="F43" s="73"/>
      <c r="G43" s="73"/>
    </row>
    <row r="44" spans="2:8" s="46" customFormat="1" ht="16.5" customHeight="1">
      <c r="B44" s="46" t="s">
        <v>88</v>
      </c>
      <c r="G44" s="74">
        <f>D_37195/100</f>
        <v>0</v>
      </c>
    </row>
    <row r="45" spans="2:8" s="46" customFormat="1" ht="3" customHeight="1">
      <c r="G45" s="74"/>
    </row>
    <row r="46" spans="2:8" s="46" customFormat="1" ht="15">
      <c r="B46" s="46" t="s">
        <v>89</v>
      </c>
      <c r="G46" s="74">
        <f>D_37165/100</f>
        <v>4.1500000000000002E-2</v>
      </c>
    </row>
    <row r="47" spans="2:8" s="46" customFormat="1" ht="10.5" customHeight="1">
      <c r="G47" s="74"/>
    </row>
    <row r="48" spans="2:8" s="42" customFormat="1">
      <c r="G48" s="37"/>
    </row>
    <row r="49" spans="2:8" s="47" customFormat="1" ht="14.25">
      <c r="C49" s="127"/>
      <c r="G49" s="117">
        <f>D_37167</f>
        <v>0</v>
      </c>
    </row>
    <row r="50" spans="2:8" s="47" customFormat="1" ht="14.25">
      <c r="C50" s="127"/>
      <c r="G50" s="117">
        <f>D_37168</f>
        <v>0</v>
      </c>
    </row>
    <row r="51" spans="2:8" s="47" customFormat="1" ht="8.25" customHeight="1">
      <c r="C51" s="133"/>
      <c r="G51" s="813"/>
    </row>
    <row r="52" spans="2:8" s="42" customFormat="1">
      <c r="C52" s="45"/>
      <c r="G52" s="37"/>
    </row>
    <row r="53" spans="2:8" ht="10.5" customHeight="1">
      <c r="G53" s="37"/>
    </row>
    <row r="54" spans="2:8">
      <c r="B54" s="134" t="str">
        <f>TRIM(CivilAdht&amp; " " &amp; NomAdht)</f>
        <v/>
      </c>
      <c r="C54" s="134"/>
      <c r="D54" s="135"/>
      <c r="E54" s="135"/>
      <c r="F54" s="135"/>
      <c r="G54" s="136"/>
      <c r="H54" s="134"/>
    </row>
  </sheetData>
  <phoneticPr fontId="16" type="noConversion"/>
  <printOptions horizontalCentered="1" verticalCentered="1"/>
  <pageMargins left="0.19685039370078741" right="0.19685039370078741" top="0.39370078740157483" bottom="0.39370078740157483" header="0.51181102362204722" footer="0.11811023622047245"/>
  <pageSetup paperSize="9" orientation="portrait" r:id="rId1"/>
  <headerFooter alignWithMargins="0">
    <oddFooter>Page &amp;P</oddFooter>
  </headerFooter>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2:I55"/>
  <sheetViews>
    <sheetView topLeftCell="A37" workbookViewId="0">
      <selection activeCell="K41" sqref="K41:K42"/>
    </sheetView>
  </sheetViews>
  <sheetFormatPr baseColWidth="10" defaultRowHeight="12.75"/>
  <cols>
    <col min="1" max="1" width="1.5703125" customWidth="1"/>
    <col min="2" max="2" width="6.28515625" style="42" customWidth="1"/>
    <col min="3" max="8" width="11.42578125" style="42"/>
    <col min="9" max="9" width="13" style="42" customWidth="1"/>
  </cols>
  <sheetData>
    <row r="2" spans="2:9" ht="6" customHeight="1"/>
    <row r="3" spans="2:9" ht="6" customHeight="1"/>
    <row r="8" spans="2:9" ht="13.5" customHeight="1">
      <c r="H8" s="480" t="s">
        <v>573</v>
      </c>
    </row>
    <row r="9" spans="2:9" ht="2.25" customHeight="1">
      <c r="C9" s="518"/>
      <c r="D9" s="139"/>
      <c r="F9" s="137"/>
    </row>
    <row r="10" spans="2:9" ht="5.25" customHeight="1">
      <c r="F10" s="138"/>
    </row>
    <row r="11" spans="2:9" ht="26.25" customHeight="1">
      <c r="B11" s="1076"/>
      <c r="C11" s="1076"/>
      <c r="D11" s="1076"/>
      <c r="E11" s="1076"/>
      <c r="F11" s="1076"/>
      <c r="G11" s="1076"/>
      <c r="H11" s="1076"/>
      <c r="I11" s="1076"/>
    </row>
    <row r="12" spans="2:9" ht="6" customHeight="1">
      <c r="C12" s="481"/>
      <c r="D12" s="481"/>
      <c r="E12" s="481"/>
      <c r="F12" s="481"/>
      <c r="G12" s="481"/>
      <c r="H12" s="481"/>
      <c r="I12" s="481"/>
    </row>
    <row r="13" spans="2:9" ht="12.95" customHeight="1">
      <c r="C13" s="140"/>
    </row>
    <row r="14" spans="2:9" ht="12.95" customHeight="1">
      <c r="C14" s="140"/>
    </row>
    <row r="15" spans="2:9" ht="12.95" customHeight="1">
      <c r="C15" s="140"/>
    </row>
    <row r="16" spans="2:9" ht="12.95" customHeight="1">
      <c r="C16" s="140"/>
    </row>
    <row r="17" spans="3:9" ht="12.95" customHeight="1">
      <c r="C17" s="141"/>
    </row>
    <row r="18" spans="3:9" ht="12.95" customHeight="1">
      <c r="C18" s="140"/>
    </row>
    <row r="19" spans="3:9" ht="12.95" customHeight="1">
      <c r="C19" s="140"/>
    </row>
    <row r="20" spans="3:9" ht="12.95" customHeight="1">
      <c r="C20" s="140"/>
    </row>
    <row r="21" spans="3:9" ht="12.95" customHeight="1">
      <c r="C21" s="140"/>
    </row>
    <row r="22" spans="3:9" ht="12.95" customHeight="1">
      <c r="C22" s="140"/>
    </row>
    <row r="23" spans="3:9" ht="12.95" customHeight="1">
      <c r="C23" s="43"/>
    </row>
    <row r="24" spans="3:9" ht="12.95" customHeight="1">
      <c r="C24" s="140"/>
    </row>
    <row r="25" spans="3:9" ht="12.95" customHeight="1">
      <c r="C25" s="140"/>
    </row>
    <row r="26" spans="3:9" ht="12.95" customHeight="1">
      <c r="C26" s="483"/>
      <c r="D26" s="317"/>
      <c r="E26" s="317"/>
      <c r="F26" s="317"/>
      <c r="G26" s="317"/>
      <c r="H26" s="317"/>
      <c r="I26" s="317"/>
    </row>
    <row r="27" spans="3:9" ht="12.95" customHeight="1">
      <c r="C27" s="483"/>
      <c r="D27" s="317"/>
      <c r="E27" s="317"/>
      <c r="F27" s="317"/>
      <c r="G27" s="317"/>
      <c r="H27" s="317"/>
      <c r="I27" s="317"/>
    </row>
    <row r="28" spans="3:9" ht="12.95" customHeight="1">
      <c r="C28" s="483"/>
      <c r="D28" s="317"/>
      <c r="E28" s="317"/>
      <c r="F28" s="317"/>
      <c r="G28" s="317"/>
      <c r="H28" s="317"/>
      <c r="I28" s="317"/>
    </row>
    <row r="29" spans="3:9" ht="12.95" customHeight="1">
      <c r="C29" s="483"/>
      <c r="D29" s="317"/>
      <c r="E29" s="317"/>
      <c r="F29" s="317"/>
      <c r="G29" s="317"/>
      <c r="H29" s="317"/>
      <c r="I29" s="317"/>
    </row>
    <row r="30" spans="3:9" ht="12.95" customHeight="1">
      <c r="C30" s="317"/>
      <c r="D30" s="317"/>
      <c r="E30" s="317"/>
      <c r="F30" s="317"/>
      <c r="G30" s="317"/>
      <c r="H30" s="317"/>
      <c r="I30" s="317"/>
    </row>
    <row r="31" spans="3:9" ht="12.95" customHeight="1">
      <c r="C31" s="479"/>
      <c r="D31" s="317"/>
      <c r="E31" s="317"/>
      <c r="F31" s="317"/>
      <c r="G31" s="317"/>
      <c r="H31" s="317"/>
      <c r="I31" s="317"/>
    </row>
    <row r="32" spans="3:9" ht="12.95" customHeight="1">
      <c r="C32" s="272"/>
      <c r="D32" s="317"/>
      <c r="E32" s="317"/>
      <c r="F32" s="317"/>
      <c r="G32" s="317"/>
      <c r="H32" s="317"/>
      <c r="I32" s="317"/>
    </row>
    <row r="33" spans="3:9" ht="12.95" customHeight="1">
      <c r="C33" s="272"/>
      <c r="D33" s="317"/>
      <c r="E33" s="317"/>
      <c r="F33" s="317"/>
      <c r="G33" s="317"/>
      <c r="H33" s="317"/>
      <c r="I33" s="317"/>
    </row>
    <row r="34" spans="3:9" ht="12.95" customHeight="1">
      <c r="D34" s="317"/>
      <c r="E34" s="317"/>
      <c r="F34" s="317"/>
      <c r="G34" s="317"/>
      <c r="H34" s="317"/>
      <c r="I34" s="317"/>
    </row>
    <row r="35" spans="3:9" ht="12.95" customHeight="1">
      <c r="C35" s="272"/>
      <c r="D35" s="317"/>
      <c r="E35" s="317"/>
      <c r="F35" s="317"/>
      <c r="G35" s="317"/>
      <c r="H35" s="317"/>
      <c r="I35" s="317"/>
    </row>
    <row r="36" spans="3:9" ht="12.95" customHeight="1">
      <c r="D36" s="317"/>
      <c r="E36" s="317"/>
      <c r="F36" s="317"/>
      <c r="G36" s="317"/>
      <c r="H36" s="317"/>
      <c r="I36" s="317"/>
    </row>
    <row r="37" spans="3:9" ht="12.95" customHeight="1"/>
    <row r="38" spans="3:9" ht="12.95" customHeight="1"/>
    <row r="39" spans="3:9" ht="12.95" customHeight="1"/>
    <row r="40" spans="3:9" ht="12.95" customHeight="1"/>
    <row r="41" spans="3:9" ht="12.95" customHeight="1"/>
    <row r="42" spans="3:9" ht="12.95" customHeight="1"/>
    <row r="43" spans="3:9" ht="12.95" customHeight="1">
      <c r="C43" s="272"/>
    </row>
    <row r="44" spans="3:9" ht="12.95" customHeight="1">
      <c r="C44" s="272"/>
    </row>
    <row r="45" spans="3:9" ht="12.95" customHeight="1">
      <c r="C45" s="272"/>
    </row>
    <row r="46" spans="3:9" ht="12.95" customHeight="1">
      <c r="C46" s="272"/>
    </row>
    <row r="47" spans="3:9" ht="12.95" customHeight="1">
      <c r="C47" s="272"/>
    </row>
    <row r="48" spans="3:9" ht="12.95" customHeight="1">
      <c r="C48" s="272"/>
      <c r="D48" s="724"/>
    </row>
    <row r="49" spans="2:4" ht="12.95" customHeight="1"/>
    <row r="50" spans="2:4" ht="12.95" customHeight="1">
      <c r="C50" s="140"/>
    </row>
    <row r="51" spans="2:4" ht="12.95" customHeight="1"/>
    <row r="52" spans="2:4" ht="12.95" customHeight="1">
      <c r="D52" s="317"/>
    </row>
    <row r="53" spans="2:4" ht="12.95" customHeight="1"/>
    <row r="54" spans="2:4" ht="12.95" customHeight="1"/>
    <row r="55" spans="2:4" ht="12.95" customHeight="1">
      <c r="B55" s="42" t="s">
        <v>574</v>
      </c>
    </row>
  </sheetData>
  <mergeCells count="1">
    <mergeCell ref="B11:I11"/>
  </mergeCells>
  <phoneticPr fontId="16" type="noConversion"/>
  <printOptions horizontalCentered="1" verticalCentered="1"/>
  <pageMargins left="0.59055118110236227" right="0.59055118110236227" top="0.39370078740157483" bottom="0.19685039370078741" header="0.51181102362204722" footer="0.51181102362204722"/>
  <pageSetup paperSize="9" orientation="portrait" r:id="rId1"/>
  <headerFooter alignWithMargins="0">
    <oddFooter>Page &amp;P</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1:T60"/>
  <sheetViews>
    <sheetView topLeftCell="A13" zoomScaleNormal="100" workbookViewId="0">
      <selection activeCell="K41" sqref="K41:K42"/>
    </sheetView>
  </sheetViews>
  <sheetFormatPr baseColWidth="10" defaultRowHeight="12.75" outlineLevelRow="1" outlineLevelCol="1"/>
  <cols>
    <col min="1" max="1" width="1.42578125" style="42" customWidth="1"/>
    <col min="2" max="3" width="11.42578125" style="42"/>
    <col min="4" max="4" width="10" style="42" customWidth="1"/>
    <col min="5" max="5" width="7.7109375" style="42" customWidth="1"/>
    <col min="6" max="8" width="14.7109375" style="142" customWidth="1"/>
    <col min="9" max="9" width="2.28515625" style="142" customWidth="1"/>
    <col min="10" max="10" width="11.42578125" style="42" hidden="1" customWidth="1" outlineLevel="1"/>
    <col min="11" max="11" width="11.42578125" hidden="1" customWidth="1" outlineLevel="1"/>
    <col min="12" max="12" width="24" hidden="1" customWidth="1" outlineLevel="1"/>
    <col min="13" max="18" width="11.42578125" hidden="1" customWidth="1" outlineLevel="1"/>
    <col min="19" max="19" width="11.42578125" collapsed="1"/>
  </cols>
  <sheetData>
    <row r="11" spans="2:14" ht="6.75" customHeight="1"/>
    <row r="12" spans="2:14" ht="18" customHeight="1">
      <c r="B12" s="101" t="s">
        <v>289</v>
      </c>
      <c r="H12" s="143" t="s">
        <v>562</v>
      </c>
      <c r="I12" s="143"/>
    </row>
    <row r="13" spans="2:14" ht="18" customHeight="1"/>
    <row r="14" spans="2:14" ht="26.25" customHeight="1">
      <c r="B14" s="389" t="s">
        <v>564</v>
      </c>
      <c r="C14" s="128"/>
      <c r="D14" s="128" t="str">
        <f>IF(D_37172=1,"Betteraves 10%&lt;&gt;30%",IF(D_37172 = 2,"Betteraves &lt; 10%",IF(D_37172 = 3,"Betteraves&gt;30%",IF(D_37172 = 4,"Betteraves, Pomme de terre et Légumes&gt;30%",IF(D_37172 = 5,"Polyculture Elevage",IF(D_37172 = 6,"100%SCOP"))))))</f>
        <v>100%SCOP</v>
      </c>
    </row>
    <row r="15" spans="2:14" ht="18" customHeight="1">
      <c r="B15" s="144" t="s">
        <v>565</v>
      </c>
      <c r="E15" s="42">
        <f>IF(D_37172 = 1,M20,IF(D_37172 = 2,N20,IF(D_37172 = 3,O20,IF(D_37172 = 4,P20,IF(D_37172 = 5,Q20,IF(D_37172 = 6,R20,IF(D_37172 = 7,S20)))))))</f>
        <v>57</v>
      </c>
    </row>
    <row r="16" spans="2:14" ht="9" customHeight="1">
      <c r="N16">
        <v>6.5595699999999999</v>
      </c>
    </row>
    <row r="17" spans="1:19" ht="50.1" customHeight="1" thickBot="1">
      <c r="F17" s="145"/>
      <c r="G17" s="145"/>
      <c r="M17" t="s">
        <v>471</v>
      </c>
    </row>
    <row r="18" spans="1:19">
      <c r="F18" s="91"/>
      <c r="G18" s="91"/>
      <c r="H18" s="91"/>
      <c r="I18" s="726"/>
      <c r="M18" s="67" t="s">
        <v>287</v>
      </c>
    </row>
    <row r="19" spans="1:19" ht="14.25">
      <c r="C19" s="101" t="s">
        <v>299</v>
      </c>
      <c r="F19" s="93" t="s">
        <v>571</v>
      </c>
      <c r="G19" s="93" t="s">
        <v>562</v>
      </c>
      <c r="H19" s="93" t="s">
        <v>562</v>
      </c>
      <c r="I19" s="727"/>
      <c r="M19" s="67">
        <v>1</v>
      </c>
      <c r="N19" s="67">
        <v>2</v>
      </c>
      <c r="O19" s="67">
        <v>3</v>
      </c>
      <c r="P19" s="67">
        <v>4</v>
      </c>
      <c r="Q19" s="67">
        <v>5</v>
      </c>
      <c r="R19" s="67">
        <v>6</v>
      </c>
      <c r="S19" s="67"/>
    </row>
    <row r="20" spans="1:19">
      <c r="F20" s="92"/>
      <c r="G20" s="92"/>
      <c r="H20" s="92"/>
      <c r="I20" s="726"/>
      <c r="L20" t="s">
        <v>288</v>
      </c>
      <c r="M20" s="18">
        <v>139</v>
      </c>
      <c r="N20" s="18">
        <v>25</v>
      </c>
      <c r="O20" s="18">
        <v>9</v>
      </c>
      <c r="P20" s="18">
        <v>12</v>
      </c>
      <c r="Q20" s="18">
        <v>30</v>
      </c>
      <c r="R20" s="18">
        <v>57</v>
      </c>
      <c r="S20" s="18"/>
    </row>
    <row r="21" spans="1:19" s="29" customFormat="1" ht="14.25">
      <c r="A21" s="140"/>
      <c r="B21" s="48" t="s">
        <v>331</v>
      </c>
      <c r="C21" s="48"/>
      <c r="D21" s="140"/>
      <c r="E21" s="140"/>
      <c r="F21" s="146">
        <f>D_37322</f>
        <v>289.95999999999998</v>
      </c>
      <c r="G21" s="147">
        <f>D_37322_1</f>
        <v>980.67</v>
      </c>
      <c r="H21" s="814">
        <f>IF(D_37172=1,$M$21,IF(D_37172 = 2,$N$21,IF(D_37172 = 3,$O$21,IF(D_37172 = 4,$P$21,IF(D_37172 = 5,$Q$21,IF(D_37172 = 6,$R$21,IF(D_37172 = 7,$S$21)))))))</f>
        <v>1150</v>
      </c>
      <c r="I21" s="728"/>
      <c r="J21" s="148"/>
      <c r="L21" s="11" t="s">
        <v>331</v>
      </c>
      <c r="M21" s="448">
        <v>1344</v>
      </c>
      <c r="N21" s="448">
        <v>1264</v>
      </c>
      <c r="O21" s="448">
        <v>1574</v>
      </c>
      <c r="P21" s="448">
        <v>1723</v>
      </c>
      <c r="Q21" s="448">
        <v>1354</v>
      </c>
      <c r="R21" s="448">
        <v>1150</v>
      </c>
      <c r="S21" s="482"/>
    </row>
    <row r="22" spans="1:19" s="29" customFormat="1" ht="12" customHeight="1">
      <c r="A22" s="140"/>
      <c r="B22" s="48"/>
      <c r="C22" s="48"/>
      <c r="D22" s="140"/>
      <c r="E22" s="140"/>
      <c r="F22" s="146"/>
      <c r="G22" s="147"/>
      <c r="H22" s="814"/>
      <c r="I22" s="728"/>
      <c r="J22" s="140"/>
      <c r="L22" s="11" t="s">
        <v>90</v>
      </c>
      <c r="M22" s="448">
        <v>1702</v>
      </c>
      <c r="N22" s="448">
        <v>1592</v>
      </c>
      <c r="O22" s="448">
        <v>1947</v>
      </c>
      <c r="P22" s="448">
        <v>2098</v>
      </c>
      <c r="Q22" s="448">
        <v>1704</v>
      </c>
      <c r="R22" s="448">
        <v>1477</v>
      </c>
      <c r="S22" s="482"/>
    </row>
    <row r="23" spans="1:19" s="29" customFormat="1" ht="14.25">
      <c r="A23" s="140"/>
      <c r="B23" s="48" t="s">
        <v>332</v>
      </c>
      <c r="C23" s="48"/>
      <c r="D23" s="140"/>
      <c r="E23" s="140"/>
      <c r="F23" s="146">
        <f>D_37022</f>
        <v>289.95999999999998</v>
      </c>
      <c r="G23" s="147">
        <f>D_37022_1</f>
        <v>980.67</v>
      </c>
      <c r="H23" s="814">
        <f>IF(D_37172=1,$M$22,IF(D_37172 = 2,$N$22,IF(D_37172 = 3,$O$22,IF(D_37172 = 4,$P$22,IF(D_37172 = 5,$Q$22,IF(D_37172 = 6,$R$22,IF(D_37172 = 7,$S$22)))))))</f>
        <v>1477</v>
      </c>
      <c r="I23" s="728"/>
      <c r="J23" s="148">
        <f>($F$23-$H$23)/$H$23*100</f>
        <v>-80.36831415030467</v>
      </c>
      <c r="L23" s="11" t="s">
        <v>91</v>
      </c>
      <c r="M23" s="448">
        <v>598</v>
      </c>
      <c r="N23" s="448">
        <v>571</v>
      </c>
      <c r="O23" s="448">
        <v>671</v>
      </c>
      <c r="P23" s="448">
        <v>762</v>
      </c>
      <c r="Q23" s="448">
        <v>545</v>
      </c>
      <c r="R23" s="448">
        <v>547</v>
      </c>
      <c r="S23" s="482"/>
    </row>
    <row r="24" spans="1:19" s="29" customFormat="1" ht="14.25">
      <c r="A24" s="140"/>
      <c r="C24" s="134"/>
      <c r="D24" s="227" t="s">
        <v>339</v>
      </c>
      <c r="E24" s="140"/>
      <c r="F24" s="146"/>
      <c r="G24" s="147"/>
      <c r="H24" s="146"/>
      <c r="I24" s="729"/>
      <c r="J24" s="140"/>
      <c r="L24" s="11" t="s">
        <v>92</v>
      </c>
      <c r="M24" s="448">
        <v>122</v>
      </c>
      <c r="N24" s="448">
        <v>76</v>
      </c>
      <c r="O24" s="448">
        <v>89</v>
      </c>
      <c r="P24" s="448">
        <v>252</v>
      </c>
      <c r="Q24" s="448">
        <v>156</v>
      </c>
      <c r="R24" s="448">
        <v>58</v>
      </c>
      <c r="S24" s="482"/>
    </row>
    <row r="25" spans="1:19" s="29" customFormat="1" ht="14.25">
      <c r="A25" s="140"/>
      <c r="B25" s="48" t="s">
        <v>91</v>
      </c>
      <c r="C25" s="48"/>
      <c r="D25" s="140"/>
      <c r="E25" s="140"/>
      <c r="F25" s="146">
        <f>D_37082</f>
        <v>647.1</v>
      </c>
      <c r="G25" s="147">
        <f>D_37082_1</f>
        <v>595.45000000000005</v>
      </c>
      <c r="H25" s="814">
        <f>IF(D_37172=1,$M$23,IF(D_37172 = 2,$N$23,IF(D_37172 = 3,$O$23,IF(D_37172 = 4,$P$23,IF(D_37172 = 5,$Q$23,IF(D_37172 = 6,$R$23,IF(D_37172 = 7,$S$23)))))))</f>
        <v>547</v>
      </c>
      <c r="I25" s="728"/>
      <c r="J25" s="148">
        <f>F27+F29+F31+F33+F35</f>
        <v>449.14527777777784</v>
      </c>
      <c r="L25" s="11" t="s">
        <v>93</v>
      </c>
      <c r="M25" s="448">
        <v>492</v>
      </c>
      <c r="N25" s="448">
        <v>435</v>
      </c>
      <c r="O25" s="448">
        <v>531</v>
      </c>
      <c r="P25" s="448">
        <v>534</v>
      </c>
      <c r="Q25" s="448">
        <v>584</v>
      </c>
      <c r="R25" s="448">
        <v>415</v>
      </c>
      <c r="S25" s="482"/>
    </row>
    <row r="26" spans="1:19" s="29" customFormat="1" ht="14.25">
      <c r="A26" s="140"/>
      <c r="B26" s="48"/>
      <c r="C26" s="48"/>
      <c r="D26" s="140"/>
      <c r="E26" s="140"/>
      <c r="F26" s="146"/>
      <c r="G26" s="147"/>
      <c r="H26" s="146"/>
      <c r="I26" s="729"/>
      <c r="J26" s="149">
        <f>H27+H29+H31+H33+H35</f>
        <v>737</v>
      </c>
      <c r="K26" s="71">
        <f>$J$25-$J$26</f>
        <v>-287.85472222222216</v>
      </c>
      <c r="L26" s="11" t="s">
        <v>94</v>
      </c>
      <c r="M26" s="448">
        <v>182</v>
      </c>
      <c r="N26" s="448">
        <v>166</v>
      </c>
      <c r="O26" s="448">
        <v>220</v>
      </c>
      <c r="P26" s="448">
        <v>184</v>
      </c>
      <c r="Q26" s="448">
        <v>148</v>
      </c>
      <c r="R26" s="448">
        <v>156</v>
      </c>
      <c r="S26" s="482"/>
    </row>
    <row r="27" spans="1:19" s="29" customFormat="1" ht="14.25">
      <c r="A27" s="140"/>
      <c r="B27" s="48" t="s">
        <v>92</v>
      </c>
      <c r="C27" s="48"/>
      <c r="D27" s="140"/>
      <c r="E27" s="140"/>
      <c r="F27" s="146">
        <f>D_37088</f>
        <v>0</v>
      </c>
      <c r="G27" s="147">
        <f>D_37088_1</f>
        <v>0</v>
      </c>
      <c r="H27" s="814">
        <f>IF(D_37172=1,$M$24,IF(D_37172 = 2,$N$24,IF(D_37172 = 3,$O$24,IF(D_37172 = 4,$P$24,IF(D_37172 = 5,$Q$24,IF(D_37172 = 6,$R$24,IF(D_37172 = 7,$S$24)))))))</f>
        <v>58</v>
      </c>
      <c r="I27" s="728"/>
      <c r="J27" s="140"/>
      <c r="L27" s="11" t="s">
        <v>95</v>
      </c>
      <c r="M27" s="448">
        <v>26</v>
      </c>
      <c r="N27" s="448">
        <v>22</v>
      </c>
      <c r="O27" s="448">
        <v>30</v>
      </c>
      <c r="P27" s="448">
        <v>31</v>
      </c>
      <c r="Q27" s="448">
        <v>26</v>
      </c>
      <c r="R27" s="448">
        <v>22</v>
      </c>
      <c r="S27" s="482"/>
    </row>
    <row r="28" spans="1:19" s="29" customFormat="1" ht="14.25">
      <c r="A28" s="140"/>
      <c r="B28" s="48"/>
      <c r="C28" s="48"/>
      <c r="D28" s="140"/>
      <c r="E28" s="140"/>
      <c r="F28" s="146"/>
      <c r="G28" s="147"/>
      <c r="H28" s="146"/>
      <c r="I28" s="729"/>
      <c r="J28" s="140"/>
      <c r="L28" s="11" t="s">
        <v>96</v>
      </c>
      <c r="M28" s="448">
        <v>71</v>
      </c>
      <c r="N28" s="448">
        <v>71</v>
      </c>
      <c r="O28" s="448">
        <v>114</v>
      </c>
      <c r="P28" s="448">
        <v>102</v>
      </c>
      <c r="Q28" s="448">
        <v>52</v>
      </c>
      <c r="R28" s="448">
        <v>86</v>
      </c>
      <c r="S28" s="482"/>
    </row>
    <row r="29" spans="1:19" s="29" customFormat="1" ht="14.25">
      <c r="A29" s="140"/>
      <c r="B29" s="48" t="s">
        <v>93</v>
      </c>
      <c r="C29" s="48"/>
      <c r="D29" s="140"/>
      <c r="E29" s="140"/>
      <c r="F29" s="146">
        <f>D_37023 + ( R_1206  / D_37199 *100)</f>
        <v>279.25361111111113</v>
      </c>
      <c r="G29" s="147">
        <f>D_37023_1 + ( R_1206_1  / D_37199_1 *100)</f>
        <v>325.82933824551651</v>
      </c>
      <c r="H29" s="814">
        <f>IF(D_37172=1,$M$25,IF(D_37172 = 2,$N$25,IF(D_37172 = 3,$O$25,IF(D_37172 = 4,$P$25,IF(D_37172 = 5,$Q$25,IF(D_37172 = 6,$R$25,IF(D_37172 = 7,$S$25)))))))</f>
        <v>415</v>
      </c>
      <c r="I29" s="728"/>
      <c r="J29" s="140"/>
      <c r="L29" s="11" t="s">
        <v>283</v>
      </c>
      <c r="M29" s="448">
        <v>738</v>
      </c>
      <c r="N29" s="448">
        <v>771</v>
      </c>
      <c r="O29" s="448">
        <v>749</v>
      </c>
      <c r="P29" s="448">
        <v>734</v>
      </c>
      <c r="Q29" s="448">
        <v>757</v>
      </c>
      <c r="R29" s="448">
        <v>672</v>
      </c>
      <c r="S29" s="482"/>
    </row>
    <row r="30" spans="1:19" s="29" customFormat="1" ht="14.25">
      <c r="A30" s="140"/>
      <c r="B30" s="48"/>
      <c r="C30" s="48"/>
      <c r="D30" s="140"/>
      <c r="E30" s="140"/>
      <c r="F30" s="146"/>
      <c r="G30" s="147"/>
      <c r="H30" s="146"/>
      <c r="I30" s="729"/>
      <c r="J30" s="140"/>
      <c r="L30" s="11" t="s">
        <v>98</v>
      </c>
      <c r="M30" s="448">
        <v>622</v>
      </c>
      <c r="N30" s="448">
        <v>598</v>
      </c>
      <c r="O30" s="448">
        <v>747</v>
      </c>
      <c r="P30" s="448">
        <v>595</v>
      </c>
      <c r="Q30" s="448">
        <v>513</v>
      </c>
      <c r="R30" s="448">
        <v>425</v>
      </c>
      <c r="S30" s="482"/>
    </row>
    <row r="31" spans="1:19" s="29" customFormat="1" ht="14.25">
      <c r="A31" s="140"/>
      <c r="B31" s="48" t="s">
        <v>94</v>
      </c>
      <c r="C31" s="48"/>
      <c r="D31" s="140"/>
      <c r="E31" s="140"/>
      <c r="F31" s="146">
        <f>D_31047</f>
        <v>86.09</v>
      </c>
      <c r="G31" s="147">
        <f>D_31047_1</f>
        <v>93.47</v>
      </c>
      <c r="H31" s="814">
        <f>IF(D_37172=1,$M$26,IF(D_37172 = 2,$N$26,IF(D_37172 = 3,$O$26,IF(D_37172 = 4,$P$26,IF(D_37172 = 5,$Q$26,IF(D_37172 = 6,$R$26,IF(D_37172 = 7,$S$26)))))))</f>
        <v>156</v>
      </c>
      <c r="I31" s="728"/>
      <c r="J31" s="140"/>
      <c r="L31" s="11" t="s">
        <v>284</v>
      </c>
      <c r="M31" s="75">
        <v>193.72</v>
      </c>
      <c r="N31" s="75">
        <v>147.83000000000001</v>
      </c>
      <c r="O31" s="75">
        <v>177.39</v>
      </c>
      <c r="P31" s="75">
        <v>102.42</v>
      </c>
      <c r="Q31" s="75">
        <v>203.17</v>
      </c>
      <c r="R31" s="75">
        <v>136.52000000000001</v>
      </c>
      <c r="S31" s="484"/>
    </row>
    <row r="32" spans="1:19" s="29" customFormat="1" ht="14.25">
      <c r="A32" s="140"/>
      <c r="B32" s="48"/>
      <c r="C32" s="48"/>
      <c r="D32" s="140"/>
      <c r="E32" s="140"/>
      <c r="F32" s="146"/>
      <c r="G32" s="147"/>
      <c r="H32" s="146"/>
      <c r="I32" s="729"/>
      <c r="J32" s="140"/>
      <c r="L32" s="11" t="s">
        <v>99</v>
      </c>
      <c r="M32" s="75">
        <v>50.07</v>
      </c>
      <c r="N32" s="75">
        <v>45.72</v>
      </c>
      <c r="O32" s="75">
        <v>65.69</v>
      </c>
      <c r="P32" s="75">
        <v>42.69</v>
      </c>
      <c r="Q32" s="75">
        <v>58.95</v>
      </c>
      <c r="R32" s="75">
        <v>40.85</v>
      </c>
      <c r="S32" s="484"/>
    </row>
    <row r="33" spans="1:20" s="29" customFormat="1" ht="14.25">
      <c r="A33" s="140"/>
      <c r="B33" s="48" t="s">
        <v>95</v>
      </c>
      <c r="C33" s="48"/>
      <c r="D33" s="140"/>
      <c r="E33" s="140"/>
      <c r="F33" s="146">
        <f>R_640/(D_37199/100)</f>
        <v>9.0416666666666661</v>
      </c>
      <c r="G33" s="147">
        <f>R_640_1/(D_37199_1/100)</f>
        <v>22.063116919227024</v>
      </c>
      <c r="H33" s="814">
        <f>IF(D_37172=1,$M$27,IF(D_37172 = 2,$N$27,IF(D_37172 = 3,$O$27,IF(D_37172 = 4,$P$27,IF(D_37172 = 5,$Q$27,IF(D_37172 = 6,$R$27,IF(D_37172 = 7,$S$27)))))))</f>
        <v>22</v>
      </c>
      <c r="I33" s="728"/>
      <c r="J33" s="140"/>
      <c r="L33" s="11" t="s">
        <v>286</v>
      </c>
      <c r="M33" s="75">
        <v>74.44</v>
      </c>
      <c r="N33" s="75">
        <v>71.45</v>
      </c>
      <c r="O33" s="75">
        <v>79.41</v>
      </c>
      <c r="P33" s="75">
        <v>76.02</v>
      </c>
      <c r="Q33" s="75">
        <v>70.849999999999994</v>
      </c>
      <c r="R33" s="75">
        <v>67.31</v>
      </c>
      <c r="S33" s="484"/>
    </row>
    <row r="34" spans="1:20" s="29" customFormat="1" ht="14.25">
      <c r="A34" s="140"/>
      <c r="B34" s="48"/>
      <c r="C34" s="48"/>
      <c r="D34" s="140"/>
      <c r="E34" s="140"/>
      <c r="F34" s="146"/>
      <c r="G34" s="147"/>
      <c r="H34" s="146"/>
      <c r="I34" s="729"/>
      <c r="J34" s="140"/>
      <c r="L34" s="11" t="s">
        <v>285</v>
      </c>
      <c r="M34" s="448">
        <v>1165</v>
      </c>
      <c r="N34" s="448">
        <v>1021</v>
      </c>
      <c r="O34" s="448">
        <v>1299</v>
      </c>
      <c r="P34" s="448">
        <v>1310</v>
      </c>
      <c r="Q34" s="448">
        <v>1593</v>
      </c>
      <c r="R34" s="448">
        <v>611</v>
      </c>
      <c r="S34" s="482"/>
    </row>
    <row r="35" spans="1:20" s="29" customFormat="1" ht="14.25">
      <c r="A35" s="140"/>
      <c r="B35" s="48" t="s">
        <v>96</v>
      </c>
      <c r="C35" s="48"/>
      <c r="D35" s="140"/>
      <c r="E35" s="140"/>
      <c r="F35" s="146">
        <f>D_31050</f>
        <v>74.760000000000005</v>
      </c>
      <c r="G35" s="147">
        <f>D_31050_1</f>
        <v>160.54</v>
      </c>
      <c r="H35" s="814">
        <f>IF(D_37172=1,$M$28,IF(D_37172 = 2,$N$28,IF(D_37172 = 3,$O$28,IF(D_37172 = 4,$P$28,IF(D_37172 = 5,$Q$28,IF(D_37172 = 6,$R$28,IF(D_37172 = 7,$S$28)))))))</f>
        <v>86</v>
      </c>
      <c r="I35" s="728"/>
      <c r="J35" s="140"/>
      <c r="L35" s="11"/>
    </row>
    <row r="36" spans="1:20" s="29" customFormat="1" ht="14.25">
      <c r="A36" s="140"/>
      <c r="B36" s="48"/>
      <c r="C36" s="48"/>
      <c r="D36" s="140"/>
      <c r="E36" s="140"/>
      <c r="F36" s="146"/>
      <c r="G36" s="147"/>
      <c r="H36" s="146"/>
      <c r="I36" s="729"/>
      <c r="J36" s="140"/>
      <c r="L36" s="29" t="s">
        <v>568</v>
      </c>
      <c r="M36" s="29">
        <v>37.35</v>
      </c>
      <c r="N36" s="29">
        <v>38.590000000000003</v>
      </c>
      <c r="O36" s="29">
        <v>24.97</v>
      </c>
      <c r="P36" s="29">
        <v>47.03</v>
      </c>
      <c r="Q36" s="29">
        <v>37.270000000000003</v>
      </c>
      <c r="R36" s="29">
        <v>47.49</v>
      </c>
    </row>
    <row r="37" spans="1:20" s="29" customFormat="1" ht="14.25">
      <c r="A37" s="140"/>
      <c r="B37" s="48" t="s">
        <v>97</v>
      </c>
      <c r="C37" s="48"/>
      <c r="D37" s="140"/>
      <c r="E37" s="140"/>
      <c r="F37" s="146">
        <f>D_37026</f>
        <v>-334.06</v>
      </c>
      <c r="G37" s="147">
        <f>D_37026_1</f>
        <v>218.5</v>
      </c>
      <c r="H37" s="814">
        <f>IF(D_37172=1,$M$29,IF(D_37172 = 2,$N$29,IF(D_37172 = 3,$O$29,IF(D_37172 = 4,$P$29,IF(D_37172 = 5,$Q$29,IF(D_37172 = 6,$R$29,IF(D_37172 = 7,$S$29)))))))</f>
        <v>672</v>
      </c>
      <c r="I37" s="728"/>
      <c r="J37" s="140"/>
      <c r="L37" s="11" t="s">
        <v>563</v>
      </c>
      <c r="M37">
        <f>1846+21+83</f>
        <v>1950</v>
      </c>
      <c r="N37">
        <f>1771+56</f>
        <v>1827</v>
      </c>
      <c r="O37">
        <f>2130+2+115</f>
        <v>2247</v>
      </c>
      <c r="P37">
        <f>2322+38+141</f>
        <v>2501</v>
      </c>
      <c r="Q37">
        <f>1661+516+67</f>
        <v>2244</v>
      </c>
      <c r="R37">
        <f>1608+9+76</f>
        <v>1693</v>
      </c>
      <c r="S37"/>
    </row>
    <row r="38" spans="1:20" s="29" customFormat="1" ht="14.25" customHeight="1">
      <c r="A38" s="140"/>
      <c r="B38" s="48"/>
      <c r="C38" s="48"/>
      <c r="D38" s="140"/>
      <c r="E38" s="140"/>
      <c r="F38" s="146"/>
      <c r="G38" s="147"/>
      <c r="H38" s="146"/>
      <c r="I38" s="729"/>
      <c r="J38" s="140"/>
      <c r="L38" s="11" t="s">
        <v>232</v>
      </c>
      <c r="M38" s="67">
        <v>-36</v>
      </c>
      <c r="N38">
        <v>-36</v>
      </c>
      <c r="O38">
        <v>-2</v>
      </c>
      <c r="P38">
        <v>-34</v>
      </c>
      <c r="Q38">
        <v>-42</v>
      </c>
      <c r="R38">
        <v>-62</v>
      </c>
      <c r="S38"/>
    </row>
    <row r="39" spans="1:20" s="29" customFormat="1" ht="14.25" customHeight="1">
      <c r="A39" s="140"/>
      <c r="B39" s="48" t="s">
        <v>98</v>
      </c>
      <c r="C39" s="48"/>
      <c r="D39" s="140"/>
      <c r="E39" s="140"/>
      <c r="F39" s="146">
        <f>D_37029</f>
        <v>-191.82</v>
      </c>
      <c r="G39" s="147">
        <f>D_37029_1</f>
        <v>342.03</v>
      </c>
      <c r="H39" s="814">
        <f>IF(D_37172=1,$M$30,IF(D_37172 = 2,$N$30,IF(D_37172 = 3,$O$30,IF(D_37172 = 4,$P$30,IF(D_37172 = 5,$Q$30,IF(D_37172 = 6,$R$30,IF(D_37172 = 7,$S$30)))))))</f>
        <v>425</v>
      </c>
      <c r="I39" s="728"/>
      <c r="J39" s="140"/>
      <c r="L39"/>
      <c r="M39" s="67"/>
      <c r="N39" s="67"/>
      <c r="O39" s="67"/>
      <c r="P39" s="67"/>
      <c r="Q39" s="67"/>
      <c r="R39" s="67"/>
      <c r="S39" s="67"/>
    </row>
    <row r="40" spans="1:20" s="29" customFormat="1" ht="15" thickBot="1">
      <c r="A40" s="140"/>
      <c r="B40" s="140"/>
      <c r="C40" s="140"/>
      <c r="D40" s="140"/>
      <c r="E40" s="140"/>
      <c r="F40" s="150"/>
      <c r="G40" s="150"/>
      <c r="H40" s="146"/>
      <c r="I40" s="729"/>
      <c r="J40" s="140"/>
      <c r="L40" t="s">
        <v>566</v>
      </c>
      <c r="M40" s="18"/>
      <c r="N40" s="18"/>
      <c r="O40" s="18"/>
      <c r="P40" s="18"/>
      <c r="Q40" s="18"/>
      <c r="R40" s="18"/>
      <c r="S40" s="18"/>
    </row>
    <row r="41" spans="1:20" s="29" customFormat="1" ht="9" customHeight="1">
      <c r="A41" s="140"/>
      <c r="B41" s="140"/>
      <c r="C41" s="140"/>
      <c r="D41" s="140"/>
      <c r="E41" s="140"/>
      <c r="F41" s="151"/>
      <c r="G41" s="151"/>
      <c r="H41" s="815"/>
      <c r="I41" s="730"/>
      <c r="J41" s="140"/>
      <c r="L41" s="11" t="s">
        <v>567</v>
      </c>
      <c r="M41" s="75"/>
      <c r="N41" s="75"/>
      <c r="O41" s="75"/>
      <c r="P41" s="75"/>
      <c r="Q41" s="75"/>
      <c r="R41" s="75"/>
      <c r="S41" s="75"/>
    </row>
    <row r="42" spans="1:20" s="29" customFormat="1" ht="14.25">
      <c r="A42" s="140"/>
      <c r="B42" s="48" t="str">
        <f>IF(OR(B58="06",B58="05"), "SOLVABILITE A COURT TERME *", "SOLVABILITE A COURT TERME ")</f>
        <v>SOLVABILITE A COURT TERME *</v>
      </c>
      <c r="C42" s="140"/>
      <c r="D42" s="140"/>
      <c r="E42" s="140"/>
      <c r="F42" s="146">
        <f>D_37187</f>
        <v>37.07</v>
      </c>
      <c r="G42" s="147">
        <f>D_37187_1</f>
        <v>57.89</v>
      </c>
      <c r="H42" s="814">
        <f>IF(D_37172=1,$M$31,IF(D_37172 = 2,$N$31,IF(D_37172 = 3,$O$31,IF(D_37172 = 4,$P$31,IF(D_37172 = 5,$Q$31,IF(D_37172 = 6,$R$31,IF(D_37172 = 7,$S$31)))))))</f>
        <v>136.52000000000001</v>
      </c>
      <c r="I42" s="728"/>
      <c r="J42" s="140"/>
      <c r="L42" s="11" t="s">
        <v>563</v>
      </c>
      <c r="M42" s="814">
        <f>IF(D_37172=1,$M$37,IF(D_37172 = 2,$N$37,IF(D_37172 = 3,$O$37,IF(D_37172 = 4,$P$37,IF(D_37172 = 5,$Q$37,IF(D_37172 = 6,$R$37,IF(D_37172 = 7,$S$37)))))))</f>
        <v>1693</v>
      </c>
      <c r="N42" s="75"/>
      <c r="O42" s="75"/>
      <c r="P42" s="75"/>
      <c r="Q42" s="75"/>
      <c r="R42" s="75"/>
      <c r="S42" s="75"/>
      <c r="T42" s="42"/>
    </row>
    <row r="43" spans="1:20" s="29" customFormat="1" ht="7.5" customHeight="1">
      <c r="A43" s="140"/>
      <c r="B43" s="48"/>
      <c r="C43" s="140"/>
      <c r="D43" s="140"/>
      <c r="E43" s="140"/>
      <c r="F43" s="150"/>
      <c r="G43" s="152"/>
      <c r="H43" s="146"/>
      <c r="I43" s="729"/>
      <c r="J43" s="140"/>
      <c r="L43" s="11"/>
      <c r="M43" s="75"/>
      <c r="N43" s="75"/>
      <c r="O43" s="75"/>
      <c r="P43" s="75"/>
      <c r="Q43" s="75"/>
      <c r="R43" s="75"/>
      <c r="S43" s="75"/>
    </row>
    <row r="44" spans="1:20" s="29" customFormat="1" ht="14.25">
      <c r="A44" s="140"/>
      <c r="B44" s="48" t="str">
        <f>IF(OR(B58="06",B58="05"), "AUTONOMIE FINANCIERE *", "AUTONOMIE FINANCIERE")</f>
        <v>AUTONOMIE FINANCIERE *</v>
      </c>
      <c r="C44" s="140"/>
      <c r="D44" s="140"/>
      <c r="E44" s="140"/>
      <c r="F44" s="146">
        <f>D_37185</f>
        <v>24.55</v>
      </c>
      <c r="G44" s="147">
        <f>D_37185_1</f>
        <v>40.01</v>
      </c>
      <c r="H44" s="814">
        <f>IF(D_37172=1,$M$32,IF(D_37172 = 2,$N$32,IF(D_37172 = 3,$O$32,IF(D_37172 = 4,$P$32,IF(D_37172 = 5,$Q$32,IF(D_37172 = 6,$R$32,IF(D_37172 = 7,$S$32)))))))</f>
        <v>40.85</v>
      </c>
      <c r="I44" s="728"/>
      <c r="J44" s="140"/>
      <c r="L44" s="11" t="s">
        <v>232</v>
      </c>
      <c r="M44" s="814">
        <f>IF(D_37172=1,$M$38,IF(D_37172 = 2,$N$38,IF(D_37172 = 3,$O$38,IF(D_37172 = 4,$P$38,IF(D_37172 = 5,$Q$38,IF(D_37172 = 6,$R$38,IF(D_37172 = 7,$S$38)))))))</f>
        <v>-62</v>
      </c>
      <c r="N44" s="75"/>
      <c r="O44" s="75"/>
      <c r="P44" s="75"/>
      <c r="Q44" s="75"/>
      <c r="R44" s="75"/>
      <c r="S44" s="75"/>
      <c r="T44" s="42"/>
    </row>
    <row r="45" spans="1:20" s="29" customFormat="1" ht="8.25" customHeight="1">
      <c r="A45" s="140"/>
      <c r="B45" s="48"/>
      <c r="C45" s="140"/>
      <c r="D45" s="140"/>
      <c r="E45" s="140"/>
      <c r="F45" s="150"/>
      <c r="G45" s="152"/>
      <c r="H45" s="146"/>
      <c r="I45" s="729"/>
      <c r="J45" s="140"/>
      <c r="L45" s="11"/>
      <c r="M45" s="75"/>
      <c r="N45" s="75"/>
      <c r="O45" s="75"/>
      <c r="P45" s="75"/>
      <c r="Q45" s="75"/>
      <c r="R45" s="75"/>
      <c r="S45" s="75"/>
    </row>
    <row r="46" spans="1:20" s="29" customFormat="1" ht="14.25">
      <c r="A46" s="140"/>
      <c r="B46" s="48" t="s">
        <v>100</v>
      </c>
      <c r="C46" s="140"/>
      <c r="D46" s="140"/>
      <c r="E46" s="140"/>
      <c r="F46" s="146">
        <f>D_37186</f>
        <v>95.32</v>
      </c>
      <c r="G46" s="147">
        <f>D_37186_1</f>
        <v>91.44</v>
      </c>
      <c r="H46" s="814">
        <f>IF(D_37172=1,$M$33,IF(D_37172 = 2,$N$33,IF(D_37172 = 3,$O$33,IF(D_37172 = 4,$P$33,IF(D_37172 = 5,$Q$33,IF(D_37172 = 6,$R$33,IF(D_37172 = 7,$S$33)))))))</f>
        <v>67.31</v>
      </c>
      <c r="I46" s="728"/>
      <c r="J46" s="140"/>
      <c r="L46" s="817" t="s">
        <v>568</v>
      </c>
      <c r="M46" s="814">
        <f>IF(D_37172=1,$M$36,IF(D_37172 = 2,$N$36,IF(D_37172 = 3,$O$36,IF(D_37172 = 4,$P$36,IF(D_37172 = 5,$Q$36,IF(D_37172 = 6,$R$36,IF(D_37172 = 7,$S$36)))))))</f>
        <v>47.49</v>
      </c>
      <c r="N46" s="75"/>
      <c r="O46" s="75"/>
      <c r="P46" s="75"/>
      <c r="Q46" s="75"/>
      <c r="R46" s="75"/>
      <c r="S46" s="75"/>
    </row>
    <row r="47" spans="1:20" ht="8.25" customHeight="1">
      <c r="B47" s="48"/>
      <c r="C47" s="140"/>
      <c r="D47" s="140"/>
      <c r="E47" s="140"/>
      <c r="F47" s="150"/>
      <c r="G47" s="152"/>
      <c r="H47" s="146"/>
      <c r="I47" s="729"/>
      <c r="L47" s="11"/>
      <c r="M47" s="75"/>
      <c r="N47" s="75"/>
      <c r="O47" s="75"/>
      <c r="P47" s="75"/>
      <c r="Q47" s="75"/>
      <c r="R47" s="75"/>
      <c r="S47" s="75"/>
    </row>
    <row r="48" spans="1:20" ht="18.75" customHeight="1">
      <c r="B48" s="48" t="str">
        <f>IF(OR(B58="06",B58="05"), "FONDS DE ROULEMENT/HA *", "FONDS DE ROULEMENT / HA ")</f>
        <v>FONDS DE ROULEMENT/HA *</v>
      </c>
      <c r="C48" s="140"/>
      <c r="D48" s="140"/>
      <c r="E48" s="140"/>
      <c r="F48" s="146">
        <f>D_37182</f>
        <v>394.42</v>
      </c>
      <c r="G48" s="147">
        <f>D_37182_1</f>
        <v>525.54</v>
      </c>
      <c r="H48" s="814">
        <f>IF(D_37172=1,$M$34,IF(D_37172 = 2,$N$34,IF(D_37172 = 3,$O$34,IF(D_37172 = 4,$P$34,IF(D_37172 = 5,$Q$34,IF(D_37172 = 6,$R$34,IF(D_37172 = 7,$S$34)))))))</f>
        <v>611</v>
      </c>
      <c r="I48" s="728"/>
      <c r="L48" s="11"/>
      <c r="M48" s="75"/>
      <c r="N48" s="75"/>
      <c r="O48" s="75"/>
      <c r="P48" s="75"/>
      <c r="Q48" s="75"/>
      <c r="R48" s="75"/>
      <c r="S48" s="75"/>
      <c r="T48" s="42"/>
    </row>
    <row r="49" spans="2:19" ht="15" thickBot="1">
      <c r="B49" s="110"/>
      <c r="F49" s="153"/>
      <c r="G49" s="153"/>
      <c r="H49" s="154"/>
      <c r="I49" s="184"/>
      <c r="L49" s="11"/>
      <c r="M49" s="75"/>
      <c r="N49" s="75"/>
      <c r="O49" s="75"/>
      <c r="P49" s="75"/>
      <c r="Q49" s="75"/>
      <c r="R49" s="75"/>
      <c r="S49" s="75"/>
    </row>
    <row r="50" spans="2:19" ht="14.25">
      <c r="B50" s="110"/>
      <c r="F50" s="184"/>
      <c r="G50" s="184"/>
      <c r="H50" s="184"/>
      <c r="I50" s="184"/>
      <c r="L50" s="11"/>
      <c r="M50" s="75"/>
      <c r="N50" s="75"/>
      <c r="O50" s="75"/>
      <c r="P50" s="75"/>
      <c r="Q50" s="75"/>
      <c r="R50" s="75"/>
      <c r="S50" s="75"/>
    </row>
    <row r="51" spans="2:19" ht="14.25">
      <c r="B51" s="42" t="str">
        <f>IF(OR(B58="06",B58="05"), "*Présence d'une créance DPU de la récolte suivante", " ")</f>
        <v>*Présence d'une créance DPU de la récolte suivante</v>
      </c>
      <c r="F51" s="184"/>
      <c r="G51" s="184"/>
      <c r="H51" s="184"/>
      <c r="I51" s="184"/>
      <c r="L51" s="11"/>
      <c r="M51" s="75"/>
      <c r="N51" s="75"/>
      <c r="O51" s="75"/>
      <c r="P51" s="75"/>
      <c r="Q51" s="75"/>
      <c r="R51" s="75"/>
      <c r="S51" s="75"/>
    </row>
    <row r="52" spans="2:19" ht="14.25">
      <c r="J52" s="117"/>
      <c r="K52" s="17"/>
      <c r="L52" s="11"/>
      <c r="M52" s="75"/>
      <c r="N52" s="75"/>
      <c r="O52" s="75"/>
      <c r="P52" s="75"/>
      <c r="Q52" s="75"/>
      <c r="R52" s="75"/>
      <c r="S52" s="75"/>
    </row>
    <row r="53" spans="2:19" ht="14.25" hidden="1" outlineLevel="1">
      <c r="B53" s="155"/>
      <c r="C53" s="155"/>
      <c r="H53" s="156"/>
      <c r="I53" s="156"/>
      <c r="L53" s="11"/>
      <c r="M53" s="75"/>
      <c r="N53" s="75"/>
      <c r="O53" s="75"/>
      <c r="P53" s="75"/>
      <c r="Q53" s="75"/>
      <c r="R53" s="75"/>
      <c r="S53" s="75"/>
    </row>
    <row r="54" spans="2:19" ht="14.25" hidden="1" outlineLevel="1">
      <c r="B54" s="134"/>
      <c r="C54" s="135"/>
      <c r="D54" s="135"/>
      <c r="E54" s="135"/>
      <c r="F54" s="157"/>
      <c r="G54" s="157"/>
      <c r="H54" s="158"/>
      <c r="I54" s="158"/>
      <c r="L54" s="11"/>
      <c r="M54" s="75"/>
      <c r="N54" s="75"/>
      <c r="O54" s="75"/>
      <c r="P54" s="75"/>
      <c r="Q54" s="75"/>
      <c r="R54" s="75"/>
      <c r="S54" s="75"/>
    </row>
    <row r="55" spans="2:19" ht="14.25" hidden="1" outlineLevel="1">
      <c r="L55" s="11"/>
      <c r="M55" s="29"/>
      <c r="N55" s="29"/>
      <c r="O55" s="29"/>
      <c r="P55" s="29"/>
      <c r="Q55" s="29"/>
      <c r="R55" s="29"/>
      <c r="S55" s="29"/>
    </row>
    <row r="56" spans="2:19" hidden="1" outlineLevel="1">
      <c r="B56" s="42" t="str">
        <f>FinExN</f>
        <v>30/06/2017</v>
      </c>
    </row>
    <row r="57" spans="2:19" hidden="1" outlineLevel="1">
      <c r="B57" s="42" t="str">
        <f>LEFT(B56,5)</f>
        <v>30/06</v>
      </c>
    </row>
    <row r="58" spans="2:19" hidden="1" outlineLevel="1">
      <c r="B58" s="42" t="str">
        <f>RIGHT(B57,2)</f>
        <v>06</v>
      </c>
    </row>
    <row r="59" spans="2:19" hidden="1" outlineLevel="1">
      <c r="B59" s="42" t="str">
        <f>IF(OR(B58="06",B58="05"), "*Présence d'une créance DPU de la récolte suivante", " ")</f>
        <v>*Présence d'une créance DPU de la récolte suivante</v>
      </c>
    </row>
    <row r="60" spans="2:19" collapsed="1"/>
  </sheetData>
  <phoneticPr fontId="16" type="noConversion"/>
  <printOptions horizontalCentered="1" verticalCentered="1"/>
  <pageMargins left="0.39370078740157483" right="0.31496062992125984" top="0.59055118110236227" bottom="0.59055118110236227" header="0.51181102362204722" footer="0.51181102362204722"/>
  <pageSetup paperSize="9" fitToWidth="0" fitToHeight="0" orientation="portrait" r:id="rId1"/>
  <headerFooter alignWithMargins="0">
    <oddFooter>Page &amp;P</oddFoot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T79"/>
  <sheetViews>
    <sheetView showZeros="0" topLeftCell="A13" zoomScaleNormal="100" workbookViewId="0">
      <selection activeCell="K41" sqref="K41:K42"/>
    </sheetView>
  </sheetViews>
  <sheetFormatPr baseColWidth="10" defaultRowHeight="12.75" outlineLevelRow="1" outlineLevelCol="1"/>
  <cols>
    <col min="1" max="1" width="2.7109375" customWidth="1"/>
    <col min="2" max="2" width="23.42578125" customWidth="1"/>
    <col min="3" max="3" width="4.7109375" customWidth="1"/>
    <col min="4" max="4" width="13.7109375" style="84" customWidth="1"/>
    <col min="5" max="6" width="4.7109375" style="18" customWidth="1"/>
    <col min="7" max="7" width="13.7109375" style="78" customWidth="1"/>
    <col min="8" max="8" width="4.7109375" style="18" customWidth="1"/>
    <col min="9" max="9" width="12.7109375" style="103" customWidth="1"/>
    <col min="10" max="10" width="3.7109375" customWidth="1"/>
    <col min="11" max="18" width="0" hidden="1" customWidth="1" outlineLevel="1"/>
    <col min="19" max="19" width="11.42578125" collapsed="1"/>
  </cols>
  <sheetData>
    <row r="1" spans="1:12">
      <c r="A1" s="6"/>
      <c r="B1" s="4"/>
      <c r="C1" s="4"/>
      <c r="D1" s="88"/>
      <c r="E1" s="17"/>
      <c r="F1" s="17"/>
      <c r="G1" s="87"/>
      <c r="H1" s="17"/>
      <c r="I1" s="102"/>
      <c r="J1" s="4"/>
    </row>
    <row r="2" spans="1:12" ht="11.25" customHeight="1"/>
    <row r="3" spans="1:12" ht="60" customHeight="1">
      <c r="A3" s="1"/>
      <c r="B3" s="1043" t="s">
        <v>312</v>
      </c>
      <c r="C3" s="1043"/>
      <c r="D3" s="1043"/>
      <c r="E3" s="1043"/>
      <c r="F3" s="1043"/>
      <c r="G3" s="1043"/>
      <c r="H3" s="1043"/>
      <c r="I3" s="1043"/>
      <c r="J3" s="1"/>
    </row>
    <row r="4" spans="1:12" ht="6" customHeight="1">
      <c r="A4" s="50"/>
      <c r="B4" s="51"/>
      <c r="C4" s="50"/>
      <c r="D4" s="89"/>
      <c r="E4" s="50"/>
      <c r="F4" s="50"/>
      <c r="G4" s="89"/>
      <c r="H4" s="50"/>
      <c r="I4" s="104"/>
      <c r="J4" s="4"/>
    </row>
    <row r="5" spans="1:12" ht="20.25">
      <c r="A5" s="50"/>
      <c r="B5" s="51"/>
      <c r="C5" s="50"/>
      <c r="D5" s="89"/>
      <c r="E5" s="50"/>
      <c r="F5" s="50"/>
      <c r="G5" s="89"/>
      <c r="H5" s="50"/>
      <c r="I5" s="104"/>
      <c r="J5" s="4"/>
    </row>
    <row r="6" spans="1:12" ht="8.25" customHeight="1">
      <c r="A6" s="50"/>
      <c r="B6" s="51"/>
      <c r="C6" s="50"/>
      <c r="D6" s="89"/>
      <c r="E6" s="50"/>
      <c r="F6" s="50"/>
      <c r="G6" s="89"/>
      <c r="H6" s="50"/>
      <c r="I6" s="104"/>
      <c r="J6" s="4"/>
    </row>
    <row r="7" spans="1:12" ht="12" customHeight="1">
      <c r="A7" s="50"/>
      <c r="B7" s="51"/>
      <c r="C7" s="50"/>
      <c r="D7" s="89"/>
      <c r="E7" s="50"/>
      <c r="F7" s="50"/>
      <c r="G7" s="89"/>
      <c r="H7" s="50"/>
      <c r="I7" s="104"/>
      <c r="J7" s="4"/>
    </row>
    <row r="8" spans="1:12" ht="24.95" customHeight="1">
      <c r="A8" s="4"/>
      <c r="B8" s="4"/>
      <c r="C8" s="4"/>
      <c r="D8" s="88"/>
      <c r="E8" s="17"/>
      <c r="F8" s="17"/>
      <c r="G8" s="87"/>
      <c r="H8" s="17"/>
      <c r="I8" s="105"/>
      <c r="J8" s="4"/>
    </row>
    <row r="9" spans="1:12" ht="24.95" customHeight="1">
      <c r="A9" s="4"/>
      <c r="B9" s="4"/>
      <c r="C9" s="4"/>
      <c r="D9" s="88"/>
      <c r="E9" s="17"/>
      <c r="F9" s="17"/>
      <c r="G9" s="87"/>
      <c r="H9" s="17"/>
      <c r="I9" s="105"/>
      <c r="J9" s="4"/>
    </row>
    <row r="10" spans="1:12" ht="24.95" customHeight="1">
      <c r="A10" s="4"/>
      <c r="B10" s="4"/>
      <c r="C10" s="4"/>
      <c r="D10" s="88"/>
      <c r="E10" s="17"/>
      <c r="F10" s="17"/>
      <c r="G10" s="87"/>
      <c r="H10" s="17"/>
      <c r="I10" s="105"/>
      <c r="J10" s="4"/>
    </row>
    <row r="11" spans="1:12" ht="15" customHeight="1">
      <c r="A11" s="4"/>
      <c r="B11" s="4"/>
      <c r="C11" s="4"/>
      <c r="D11" s="88"/>
      <c r="E11" s="17"/>
      <c r="F11" s="17"/>
      <c r="G11" s="87"/>
      <c r="H11" s="17"/>
      <c r="I11" s="105"/>
      <c r="J11" s="4"/>
    </row>
    <row r="12" spans="1:12" ht="24.95" customHeight="1">
      <c r="A12" s="4"/>
      <c r="B12" s="4"/>
      <c r="C12" s="4"/>
      <c r="D12" s="88"/>
      <c r="E12" s="17"/>
      <c r="F12" s="17"/>
      <c r="G12" s="87"/>
      <c r="H12" s="17"/>
      <c r="I12" s="105"/>
      <c r="J12" s="4"/>
    </row>
    <row r="13" spans="1:12" ht="24.95" customHeight="1">
      <c r="A13" s="4"/>
      <c r="B13" s="4"/>
      <c r="C13" s="4"/>
      <c r="D13" s="88"/>
      <c r="E13" s="17"/>
      <c r="F13" s="17"/>
      <c r="G13" s="87"/>
      <c r="H13" s="17"/>
      <c r="I13" s="105"/>
      <c r="J13" s="4"/>
    </row>
    <row r="14" spans="1:12" s="42" customFormat="1" ht="30" customHeight="1">
      <c r="A14" s="125"/>
      <c r="B14" s="125"/>
      <c r="C14" s="125"/>
      <c r="D14" s="1044" t="str">
        <f>TEXT(FinExN,"jj/mm/aaaa")</f>
        <v>30/06/2017</v>
      </c>
      <c r="E14" s="1044"/>
      <c r="F14" s="159"/>
      <c r="G14" s="1044" t="str">
        <f>TEXT(FinExN1,"jj/mm/aaaa")</f>
        <v>30/06/2016</v>
      </c>
      <c r="H14" s="1044"/>
      <c r="I14" s="160" t="s">
        <v>4</v>
      </c>
      <c r="J14" s="125"/>
    </row>
    <row r="15" spans="1:12" ht="15" customHeight="1">
      <c r="A15" s="5"/>
      <c r="B15" s="6"/>
      <c r="C15" s="4"/>
      <c r="D15" s="88"/>
      <c r="E15" s="17"/>
      <c r="F15" s="17"/>
      <c r="G15" s="87"/>
      <c r="H15" s="17"/>
      <c r="I15" s="105"/>
      <c r="J15" s="4"/>
    </row>
    <row r="16" spans="1:12" ht="54" customHeight="1">
      <c r="A16" s="10"/>
      <c r="B16" s="161" t="s">
        <v>2</v>
      </c>
      <c r="C16" s="162"/>
      <c r="D16" s="163">
        <f>D_37021</f>
        <v>939</v>
      </c>
      <c r="E16" s="164" t="str">
        <f>"/Ha"</f>
        <v>/Ha</v>
      </c>
      <c r="F16" s="165"/>
      <c r="G16" s="163">
        <f>D_37021_1</f>
        <v>1577.88</v>
      </c>
      <c r="H16" s="164" t="str">
        <f>"/Ha"</f>
        <v>/Ha</v>
      </c>
      <c r="I16" s="100" t="str">
        <f>IF(L16&lt;-15,"D",IF(AND(L16&gt;=-15,L16&lt;-5),"L",IF(AND(L16&gt;=-5,L16&lt;5),"K",IF(AND(L16&gt;=5,L16&lt;15),"J","C"))))</f>
        <v>D</v>
      </c>
      <c r="J16" s="4"/>
      <c r="K16" s="97" t="s">
        <v>5</v>
      </c>
      <c r="L16">
        <f>IF(G16=0,0,IF(D16=0,0,IF(D16&gt;0,IF(G16&gt;0,(D16-G16)*100/G16,(D16-G16)*100/-G16),IF(G16&gt;0,(D16-G16)*100/G16,(D16-G16)*100/-G16))))</f>
        <v>-40.489771085253636</v>
      </c>
    </row>
    <row r="17" spans="1:20" ht="28.5" customHeight="1">
      <c r="A17" s="10"/>
      <c r="B17" s="166"/>
      <c r="C17" s="162"/>
      <c r="D17" s="167"/>
      <c r="E17" s="168"/>
      <c r="F17" s="168"/>
      <c r="G17" s="169"/>
      <c r="H17" s="168"/>
      <c r="I17" s="106"/>
      <c r="J17" s="4"/>
      <c r="K17" s="97" t="s">
        <v>6</v>
      </c>
    </row>
    <row r="18" spans="1:20" ht="36" customHeight="1">
      <c r="A18" s="10"/>
      <c r="B18" s="170" t="s">
        <v>101</v>
      </c>
      <c r="C18" s="162"/>
      <c r="D18" s="171">
        <f>D_37022</f>
        <v>289.95999999999998</v>
      </c>
      <c r="E18" s="172" t="str">
        <f>"/Ha"</f>
        <v>/Ha</v>
      </c>
      <c r="F18" s="173"/>
      <c r="G18" s="171">
        <f>D_37022_1</f>
        <v>980.67</v>
      </c>
      <c r="H18" s="172" t="str">
        <f>"/Ha"</f>
        <v>/Ha</v>
      </c>
      <c r="I18" s="100" t="str">
        <f>IF(L18&lt;-15,"D",IF(AND(L18&gt;=-15,L18&lt;-5),"L",IF(AND(L18&gt;=-5,L18&lt;5),"K",IF(AND(L18&gt;=5,L18&lt;15),"J","C"))))</f>
        <v>D</v>
      </c>
      <c r="J18" s="4"/>
      <c r="K18" s="98" t="s">
        <v>7</v>
      </c>
      <c r="L18">
        <f>IF(G18=0,0,IF(D18=0,0,IF(D18&gt;0,IF(G18&gt;0,(D18-G18)*100/G18,(D18-G18)*100/-G18),IF(G18&gt;0,(D18-G18)*100/G18,(D18-G18)*100/-G18))))</f>
        <v>-70.432459440994421</v>
      </c>
    </row>
    <row r="19" spans="1:20" ht="18" customHeight="1">
      <c r="A19" s="10"/>
      <c r="B19" s="493" t="s">
        <v>333</v>
      </c>
      <c r="C19" s="162"/>
      <c r="D19" s="175"/>
      <c r="E19" s="176"/>
      <c r="F19" s="177"/>
      <c r="G19" s="178"/>
      <c r="H19" s="176"/>
      <c r="I19" s="100"/>
      <c r="J19" s="4"/>
      <c r="K19" s="97"/>
    </row>
    <row r="20" spans="1:20" ht="28.5" customHeight="1">
      <c r="A20" s="10"/>
      <c r="B20" s="166"/>
      <c r="C20" s="162"/>
      <c r="D20" s="167"/>
      <c r="E20" s="168"/>
      <c r="F20" s="168"/>
      <c r="G20" s="169"/>
      <c r="H20" s="168"/>
      <c r="I20" s="99"/>
      <c r="J20" s="4"/>
      <c r="K20" s="98" t="s">
        <v>8</v>
      </c>
    </row>
    <row r="21" spans="1:20" ht="54" customHeight="1">
      <c r="A21" s="10"/>
      <c r="B21" s="174" t="s">
        <v>3</v>
      </c>
      <c r="C21" s="162"/>
      <c r="D21" s="163">
        <f>D_37029</f>
        <v>-191.82</v>
      </c>
      <c r="E21" s="164" t="str">
        <f>"/Ha"</f>
        <v>/Ha</v>
      </c>
      <c r="F21" s="165"/>
      <c r="G21" s="163">
        <f>D_37029_1</f>
        <v>342.03</v>
      </c>
      <c r="H21" s="164" t="str">
        <f>"/Ha"</f>
        <v>/Ha</v>
      </c>
      <c r="I21" s="100" t="str">
        <f>IF(L21&lt;-15,"D",IF(AND(L21&gt;=-15,L21&lt;-5),"L",IF(AND(L21&gt;=-5,L21&lt;5),"K",IF(AND(L21&gt;=5,L21&lt;15),"J","C"))))</f>
        <v>D</v>
      </c>
      <c r="J21" s="4"/>
      <c r="K21" s="98" t="s">
        <v>9</v>
      </c>
      <c r="L21">
        <f>IF(G21=0,0,IF(D21=0,0,IF(D21&gt;0,IF(G21&gt;0,(D21-G21)*100/G21,(D21-G21)*100/-G21),IF(G21&gt;0,(D21-G21)*100/G21,(D21-G21)*100/-G21))))</f>
        <v>-156.08279975440749</v>
      </c>
      <c r="N21" s="11"/>
    </row>
    <row r="22" spans="1:20" ht="28.5" customHeight="1">
      <c r="A22" s="10"/>
      <c r="B22" s="179"/>
      <c r="C22" s="162"/>
      <c r="D22" s="167"/>
      <c r="E22" s="168"/>
      <c r="F22" s="168"/>
      <c r="G22" s="169"/>
      <c r="H22" s="168"/>
      <c r="I22" s="99"/>
      <c r="J22" s="4"/>
    </row>
    <row r="23" spans="1:20" ht="36" customHeight="1">
      <c r="A23" s="10"/>
      <c r="B23" s="48" t="str">
        <f>IF(OR(B37="06",B37="05"), "Le résultat net *", "Le résultat net")</f>
        <v>Le résultat net *</v>
      </c>
      <c r="C23" s="162"/>
      <c r="D23" s="171">
        <f>D_37030</f>
        <v>-191.82</v>
      </c>
      <c r="E23" s="172" t="str">
        <f>"/Ha"</f>
        <v>/Ha</v>
      </c>
      <c r="F23" s="173"/>
      <c r="G23" s="171">
        <f>D_37030_1</f>
        <v>342.03</v>
      </c>
      <c r="H23" s="172" t="str">
        <f>"/Ha"</f>
        <v>/Ha</v>
      </c>
      <c r="I23" s="100" t="str">
        <f>IF(L23&lt;-15,"D",IF(AND(L23&gt;=-15,L23&lt;-5),"L",IF(AND(L23&gt;=-5,L23&lt;5),"K",IF(AND(L23&gt;=5,L23&lt;15),"J","C"))))</f>
        <v>D</v>
      </c>
      <c r="J23" s="4"/>
      <c r="L23">
        <f>IF(G23=0,0,IF(D23=0,0,IF(D23&gt;0,IF(G23&gt;0,(D23-G23)*100/G23,(D23-G23)*100/-G23),IF(G23&gt;0,(D23-G23)*100/G23,(D23-G23)*100/-G23))))</f>
        <v>-156.08279975440749</v>
      </c>
      <c r="T23" s="42"/>
    </row>
    <row r="24" spans="1:20" ht="18" customHeight="1">
      <c r="A24" s="10"/>
      <c r="B24" s="174"/>
      <c r="C24" s="162"/>
      <c r="D24" s="180"/>
      <c r="E24" s="181"/>
      <c r="F24" s="118"/>
      <c r="G24" s="182"/>
      <c r="H24" s="181"/>
      <c r="I24" s="100"/>
      <c r="J24" s="4"/>
    </row>
    <row r="25" spans="1:20" ht="28.5" customHeight="1">
      <c r="A25" s="10"/>
      <c r="B25" s="735"/>
      <c r="C25" s="162"/>
      <c r="D25" s="167"/>
      <c r="E25" s="168"/>
      <c r="F25" s="168"/>
      <c r="G25" s="169"/>
      <c r="H25" s="168"/>
      <c r="I25" s="99"/>
      <c r="J25" s="4"/>
    </row>
    <row r="26" spans="1:20" ht="54" customHeight="1">
      <c r="A26" s="10"/>
      <c r="B26" s="739" t="str">
        <f>IF(OR(B37="06",B37="05"), "La capacité d'autofinancement *", "La capacité d'autofinancement")</f>
        <v>La capacité d'autofinancement *</v>
      </c>
      <c r="C26" s="162"/>
      <c r="D26" s="163">
        <f>D_37201</f>
        <v>-56.15</v>
      </c>
      <c r="E26" s="164" t="str">
        <f>"/Ha"</f>
        <v>/Ha</v>
      </c>
      <c r="F26" s="165"/>
      <c r="G26" s="163">
        <f>D_37201_1</f>
        <v>513.35</v>
      </c>
      <c r="H26" s="164" t="str">
        <f>"/Ha"</f>
        <v>/Ha</v>
      </c>
      <c r="I26" s="100" t="str">
        <f>IF(L26&lt;-15,"D",IF(AND(L26&gt;=-15,L26&lt;-5),"L",IF(AND(L26&gt;=-5,L26&lt;5),"K",IF(AND(L26&gt;=5,L26&lt;15),"J","C"))))</f>
        <v>D</v>
      </c>
      <c r="J26" s="4"/>
      <c r="L26">
        <f>IF(G26=0,0,IF(D26=0,0,IF(D26&gt;0,IF(G26&gt;0,(D26-G26)*100/G26,(D26-G26)*100/-G26),IF(G26&gt;0,(D26-G26)*100/G26,(D26-G26)*100/-G26))))</f>
        <v>-110.93795655985195</v>
      </c>
      <c r="T26" s="42"/>
    </row>
    <row r="27" spans="1:20" ht="15" customHeight="1">
      <c r="A27" s="4"/>
      <c r="B27" s="183"/>
      <c r="C27" s="125"/>
      <c r="D27" s="184"/>
      <c r="E27" s="117"/>
      <c r="F27" s="117"/>
      <c r="G27" s="185"/>
      <c r="H27" s="117"/>
      <c r="I27" s="105"/>
      <c r="J27" s="4"/>
    </row>
    <row r="28" spans="1:20" ht="23.25" customHeight="1">
      <c r="A28" s="4"/>
      <c r="B28" s="42" t="str">
        <f>IF(OR(B37="06",B37="05"), "*Présence d'une créance DPU de la récolte suivante", " ")</f>
        <v>*Présence d'une créance DPU de la récolte suivante</v>
      </c>
      <c r="C28" s="125"/>
      <c r="D28" s="184"/>
      <c r="E28" s="117"/>
      <c r="F28" s="117"/>
      <c r="G28" s="185"/>
      <c r="H28" s="117"/>
      <c r="I28" s="105"/>
      <c r="J28" s="4"/>
    </row>
    <row r="29" spans="1:20" ht="18" customHeight="1">
      <c r="A29" s="4"/>
      <c r="B29" s="731" t="str">
        <f>TRIM(CivilAdht&amp; " " &amp; NomAdht)</f>
        <v/>
      </c>
      <c r="C29" s="125"/>
      <c r="D29" s="184"/>
      <c r="E29" s="117"/>
      <c r="F29" s="117"/>
      <c r="G29" s="185"/>
      <c r="H29" s="117"/>
      <c r="I29" s="134"/>
      <c r="J29" s="4"/>
    </row>
    <row r="30" spans="1:20">
      <c r="A30" s="6"/>
      <c r="B30" s="63"/>
      <c r="C30" s="16"/>
      <c r="D30" s="90"/>
      <c r="E30" s="16"/>
      <c r="F30" s="62"/>
      <c r="H30" s="17"/>
      <c r="I30" s="107"/>
      <c r="J30" s="4"/>
    </row>
    <row r="31" spans="1:20" ht="15" hidden="1" customHeight="1" outlineLevel="1">
      <c r="A31" s="4"/>
      <c r="B31" s="7"/>
      <c r="C31" s="4"/>
      <c r="D31" s="88"/>
      <c r="E31" s="17"/>
      <c r="F31" s="17"/>
      <c r="G31" s="87"/>
      <c r="H31" s="17"/>
      <c r="I31" s="105"/>
      <c r="J31" s="4"/>
    </row>
    <row r="32" spans="1:20" ht="15" hidden="1" customHeight="1" outlineLevel="1">
      <c r="A32" s="4"/>
      <c r="B32" s="4"/>
      <c r="C32" s="4"/>
      <c r="D32" s="88"/>
      <c r="E32" s="17"/>
      <c r="F32" s="17"/>
      <c r="G32" s="87"/>
      <c r="H32" s="17"/>
      <c r="I32" s="105"/>
      <c r="J32" s="4"/>
    </row>
    <row r="33" spans="1:20" ht="15" hidden="1" customHeight="1" outlineLevel="1">
      <c r="A33" s="4"/>
      <c r="B33" s="8"/>
      <c r="C33" s="4"/>
      <c r="D33" s="88"/>
      <c r="E33" s="17"/>
      <c r="F33" s="17"/>
      <c r="G33" s="87"/>
      <c r="H33" s="17"/>
      <c r="I33" s="105"/>
      <c r="J33" s="4"/>
    </row>
    <row r="34" spans="1:20" ht="15" hidden="1" customHeight="1" outlineLevel="1">
      <c r="A34" s="4"/>
      <c r="B34" s="4"/>
      <c r="C34" s="4"/>
      <c r="D34" s="88"/>
      <c r="E34" s="17"/>
      <c r="F34" s="17"/>
      <c r="G34" s="87"/>
      <c r="H34" s="17"/>
      <c r="I34" s="105"/>
      <c r="J34" s="4"/>
    </row>
    <row r="35" spans="1:20" s="4" customFormat="1" ht="15" hidden="1" customHeight="1" outlineLevel="1">
      <c r="A35" s="5"/>
      <c r="B35" s="42" t="str">
        <f>FinExN</f>
        <v>30/06/2017</v>
      </c>
      <c r="D35" s="88"/>
      <c r="E35" s="17"/>
      <c r="F35" s="17"/>
      <c r="G35" s="87"/>
      <c r="H35" s="17"/>
      <c r="I35" s="105"/>
    </row>
    <row r="36" spans="1:20" s="4" customFormat="1" ht="15" hidden="1" customHeight="1" outlineLevel="1">
      <c r="B36" s="42" t="str">
        <f>LEFT(B35,5)</f>
        <v>30/06</v>
      </c>
      <c r="D36" s="88"/>
      <c r="E36" s="17"/>
      <c r="F36" s="17"/>
      <c r="G36" s="87"/>
      <c r="H36" s="17"/>
      <c r="I36" s="105"/>
    </row>
    <row r="37" spans="1:20" s="4" customFormat="1" ht="15" hidden="1" customHeight="1" outlineLevel="1">
      <c r="B37" s="42" t="str">
        <f>RIGHT(B36,2)</f>
        <v>06</v>
      </c>
      <c r="D37" s="88"/>
      <c r="E37" s="17"/>
      <c r="F37" s="17"/>
      <c r="G37" s="87"/>
      <c r="H37" s="17"/>
      <c r="I37" s="105"/>
    </row>
    <row r="38" spans="1:20" s="4" customFormat="1" ht="15" hidden="1" customHeight="1" outlineLevel="1">
      <c r="B38" s="42" t="str">
        <f>IF(OR(B37="06",B37="05"), "*Présence d'une créance DPU de la récolte suivante", " ")</f>
        <v>*Présence d'une créance DPU de la récolte suivante</v>
      </c>
      <c r="D38" s="88"/>
      <c r="E38" s="17"/>
      <c r="F38" s="17"/>
      <c r="G38" s="87"/>
      <c r="H38" s="17"/>
      <c r="I38" s="105"/>
    </row>
    <row r="39" spans="1:20" s="4" customFormat="1" ht="15" customHeight="1" collapsed="1">
      <c r="B39" s="7"/>
      <c r="D39" s="88"/>
      <c r="E39" s="17"/>
      <c r="F39" s="17"/>
      <c r="G39" s="87"/>
      <c r="H39" s="17"/>
      <c r="I39" s="105"/>
    </row>
    <row r="40" spans="1:20" s="4" customFormat="1" ht="15" customHeight="1">
      <c r="D40" s="88"/>
      <c r="E40" s="17"/>
      <c r="F40" s="17"/>
      <c r="G40" s="87"/>
      <c r="H40" s="17"/>
      <c r="I40" s="105"/>
    </row>
    <row r="41" spans="1:20" s="4" customFormat="1" ht="15" customHeight="1">
      <c r="B41" s="8"/>
      <c r="D41" s="88"/>
      <c r="E41" s="17"/>
      <c r="F41" s="17"/>
      <c r="G41" s="87"/>
      <c r="H41" s="17"/>
      <c r="I41" s="105"/>
    </row>
    <row r="42" spans="1:20" ht="15" customHeight="1">
      <c r="A42" s="4"/>
      <c r="B42" s="4"/>
      <c r="C42" s="4"/>
      <c r="D42" s="88"/>
      <c r="E42" s="17"/>
      <c r="F42" s="17"/>
      <c r="G42" s="87"/>
      <c r="H42" s="17"/>
      <c r="I42" s="105"/>
      <c r="J42" s="4"/>
    </row>
    <row r="43" spans="1:20" ht="15" customHeight="1">
      <c r="A43" s="4"/>
      <c r="B43" s="7"/>
      <c r="C43" s="4"/>
      <c r="D43" s="88"/>
      <c r="E43" s="17"/>
      <c r="F43" s="17"/>
      <c r="G43" s="87"/>
      <c r="H43" s="17"/>
      <c r="I43" s="105"/>
      <c r="J43" s="4"/>
    </row>
    <row r="44" spans="1:20" ht="15" customHeight="1">
      <c r="A44" s="4"/>
      <c r="B44" s="4"/>
      <c r="C44" s="4"/>
      <c r="D44" s="88"/>
      <c r="E44" s="17"/>
      <c r="F44" s="17"/>
      <c r="G44" s="87"/>
      <c r="H44" s="17"/>
      <c r="I44" s="105"/>
      <c r="J44" s="4"/>
    </row>
    <row r="45" spans="1:20" ht="15" customHeight="1">
      <c r="A45" s="4"/>
      <c r="B45" s="4"/>
      <c r="C45" s="4"/>
      <c r="D45" s="88"/>
      <c r="E45" s="17"/>
      <c r="F45" s="17"/>
      <c r="G45" s="87"/>
      <c r="H45" s="17"/>
      <c r="I45" s="105"/>
      <c r="J45" s="4"/>
      <c r="K45" s="4"/>
      <c r="L45" s="4"/>
      <c r="M45" s="4"/>
      <c r="N45" s="4"/>
      <c r="O45" s="4"/>
      <c r="P45" s="4"/>
      <c r="Q45" s="4"/>
      <c r="R45" s="4"/>
      <c r="S45" s="4"/>
      <c r="T45" s="4"/>
    </row>
    <row r="46" spans="1:20" ht="15" customHeight="1">
      <c r="A46" s="4"/>
      <c r="B46" s="8"/>
      <c r="C46" s="4"/>
      <c r="D46" s="88"/>
      <c r="E46" s="17"/>
      <c r="F46" s="17"/>
      <c r="G46" s="87"/>
      <c r="H46" s="17"/>
      <c r="I46" s="105"/>
      <c r="J46" s="4"/>
      <c r="K46" s="4"/>
      <c r="L46" s="4"/>
      <c r="M46" s="4"/>
      <c r="N46" s="4"/>
      <c r="O46" s="4"/>
      <c r="P46" s="4"/>
      <c r="Q46" s="4"/>
      <c r="R46" s="4"/>
      <c r="S46" s="4"/>
      <c r="T46" s="4"/>
    </row>
    <row r="47" spans="1:20" ht="15" customHeight="1">
      <c r="A47" s="4"/>
      <c r="B47" s="4"/>
      <c r="C47" s="4"/>
      <c r="D47" s="88"/>
      <c r="E47" s="17"/>
      <c r="F47" s="17"/>
      <c r="G47" s="87"/>
      <c r="H47" s="17"/>
      <c r="I47" s="105"/>
      <c r="J47" s="4"/>
      <c r="K47" s="4"/>
      <c r="L47" s="4"/>
      <c r="M47" s="4"/>
      <c r="N47" s="4"/>
      <c r="O47" s="4"/>
      <c r="P47" s="4"/>
      <c r="Q47" s="4"/>
      <c r="R47" s="4"/>
      <c r="S47" s="4"/>
      <c r="T47" s="4"/>
    </row>
    <row r="48" spans="1:20" ht="15" customHeight="1">
      <c r="A48" s="4"/>
      <c r="B48" s="4"/>
      <c r="C48" s="4"/>
      <c r="D48" s="88"/>
      <c r="E48" s="17"/>
      <c r="F48" s="17"/>
      <c r="G48" s="87"/>
      <c r="H48" s="17"/>
      <c r="I48" s="105"/>
      <c r="J48" s="4"/>
      <c r="K48" s="4"/>
      <c r="L48" s="4"/>
      <c r="M48" s="4"/>
      <c r="N48" s="4"/>
      <c r="O48" s="4"/>
      <c r="P48" s="4"/>
      <c r="Q48" s="4"/>
      <c r="R48" s="4"/>
      <c r="S48" s="4"/>
      <c r="T48" s="4"/>
    </row>
    <row r="49" spans="1:20" ht="15" customHeight="1">
      <c r="A49" s="4"/>
      <c r="B49" s="4"/>
      <c r="C49" s="4"/>
      <c r="D49" s="88"/>
      <c r="E49" s="17"/>
      <c r="F49" s="17"/>
      <c r="G49" s="87"/>
      <c r="H49" s="17"/>
      <c r="I49" s="105"/>
      <c r="J49" s="4"/>
      <c r="K49" s="4"/>
      <c r="L49" s="4"/>
      <c r="M49" s="4"/>
      <c r="N49" s="4"/>
      <c r="O49" s="4"/>
      <c r="P49" s="4"/>
      <c r="Q49" s="4"/>
      <c r="R49" s="4"/>
      <c r="S49" s="4"/>
      <c r="T49" s="4"/>
    </row>
    <row r="50" spans="1:20" ht="15" customHeight="1">
      <c r="A50" s="4"/>
      <c r="B50" s="4"/>
      <c r="C50" s="4"/>
      <c r="D50" s="88"/>
      <c r="E50" s="17"/>
      <c r="F50" s="17"/>
      <c r="G50" s="87"/>
      <c r="H50" s="17"/>
      <c r="I50" s="105"/>
      <c r="J50" s="4"/>
      <c r="K50" s="4"/>
      <c r="L50" s="4"/>
      <c r="M50" s="4"/>
      <c r="N50" s="4"/>
      <c r="O50" s="4"/>
      <c r="P50" s="4"/>
      <c r="Q50" s="4"/>
      <c r="R50" s="4"/>
      <c r="S50" s="4"/>
      <c r="T50" s="4"/>
    </row>
    <row r="51" spans="1:20" ht="15" customHeight="1">
      <c r="A51" s="4"/>
      <c r="B51" s="4"/>
      <c r="C51" s="4"/>
      <c r="D51" s="88"/>
      <c r="E51" s="17"/>
      <c r="F51" s="17"/>
      <c r="G51" s="87"/>
      <c r="H51" s="17"/>
      <c r="I51" s="105"/>
      <c r="J51" s="4"/>
      <c r="K51" s="4"/>
      <c r="L51" s="4"/>
      <c r="M51" s="4"/>
      <c r="N51" s="4"/>
      <c r="O51" s="4"/>
      <c r="P51" s="4"/>
      <c r="Q51" s="4"/>
      <c r="R51" s="4"/>
      <c r="S51" s="4"/>
      <c r="T51" s="4"/>
    </row>
    <row r="52" spans="1:20" ht="15" customHeight="1">
      <c r="A52" s="4"/>
      <c r="B52" s="4"/>
      <c r="C52" s="4"/>
      <c r="D52" s="88"/>
      <c r="E52" s="17"/>
      <c r="F52" s="17"/>
      <c r="G52" s="87"/>
      <c r="H52" s="17"/>
      <c r="I52" s="105"/>
      <c r="J52" s="4"/>
      <c r="K52" s="4"/>
      <c r="L52" s="4"/>
      <c r="M52" s="4"/>
      <c r="N52" s="4"/>
      <c r="O52" s="4"/>
      <c r="P52" s="4"/>
      <c r="Q52" s="4"/>
      <c r="R52" s="4"/>
      <c r="S52" s="4"/>
      <c r="T52" s="4"/>
    </row>
    <row r="53" spans="1:20" ht="15" customHeight="1">
      <c r="A53" s="4"/>
      <c r="B53" s="4"/>
      <c r="C53" s="4"/>
      <c r="D53" s="88"/>
      <c r="E53" s="17"/>
      <c r="F53" s="17"/>
      <c r="G53" s="87"/>
      <c r="H53" s="17"/>
      <c r="I53" s="105"/>
      <c r="J53" s="4"/>
      <c r="K53" s="4"/>
      <c r="L53" s="4"/>
      <c r="M53" s="4"/>
      <c r="N53" s="4"/>
      <c r="O53" s="4"/>
      <c r="P53" s="4"/>
      <c r="Q53" s="4"/>
      <c r="R53" s="4"/>
      <c r="S53" s="4"/>
      <c r="T53" s="4"/>
    </row>
    <row r="54" spans="1:20" ht="15" customHeight="1">
      <c r="A54" s="4"/>
      <c r="B54" s="4"/>
      <c r="C54" s="4"/>
      <c r="D54" s="88"/>
      <c r="E54" s="17"/>
      <c r="F54" s="17"/>
      <c r="G54" s="87"/>
      <c r="H54" s="17"/>
      <c r="I54" s="105"/>
      <c r="J54" s="4"/>
      <c r="K54" s="4"/>
      <c r="L54" s="4"/>
      <c r="M54" s="4"/>
      <c r="N54" s="4"/>
      <c r="O54" s="4"/>
      <c r="P54" s="4"/>
      <c r="Q54" s="4"/>
      <c r="R54" s="4"/>
      <c r="S54" s="4"/>
      <c r="T54" s="4"/>
    </row>
    <row r="55" spans="1:20" ht="15" customHeight="1">
      <c r="A55" s="4"/>
      <c r="B55" s="4"/>
      <c r="C55" s="4"/>
      <c r="D55" s="88"/>
      <c r="E55" s="17"/>
      <c r="F55" s="17"/>
      <c r="G55" s="87"/>
      <c r="H55" s="17"/>
      <c r="I55" s="105"/>
      <c r="J55" s="4"/>
      <c r="K55" s="4"/>
      <c r="L55" s="4"/>
      <c r="M55" s="4"/>
      <c r="N55" s="4"/>
      <c r="O55" s="4"/>
      <c r="P55" s="4"/>
      <c r="Q55" s="4"/>
      <c r="R55" s="4"/>
      <c r="S55" s="4"/>
      <c r="T55" s="4"/>
    </row>
    <row r="56" spans="1:20" ht="15" customHeight="1">
      <c r="A56" s="4"/>
      <c r="B56" s="4"/>
      <c r="C56" s="4"/>
      <c r="D56" s="88"/>
      <c r="E56" s="17"/>
      <c r="F56" s="17"/>
      <c r="G56" s="87"/>
      <c r="H56" s="17"/>
      <c r="I56" s="105"/>
      <c r="J56" s="4"/>
      <c r="K56" s="4"/>
      <c r="L56" s="4"/>
      <c r="M56" s="4"/>
      <c r="N56" s="4"/>
      <c r="O56" s="4"/>
      <c r="P56" s="4"/>
      <c r="Q56" s="4"/>
      <c r="R56" s="4"/>
      <c r="S56" s="4"/>
      <c r="T56" s="4"/>
    </row>
    <row r="57" spans="1:20" ht="15" customHeight="1">
      <c r="A57" s="4"/>
      <c r="B57" s="4"/>
      <c r="C57" s="4"/>
      <c r="D57" s="88"/>
      <c r="E57" s="17"/>
      <c r="F57" s="17"/>
      <c r="G57" s="87"/>
      <c r="H57" s="17"/>
      <c r="I57" s="105"/>
      <c r="J57" s="4"/>
      <c r="K57" s="4"/>
      <c r="L57" s="4"/>
      <c r="M57" s="4"/>
      <c r="N57" s="4"/>
      <c r="O57" s="4"/>
      <c r="P57" s="4"/>
      <c r="Q57" s="4"/>
      <c r="R57" s="4"/>
      <c r="S57" s="4"/>
      <c r="T57" s="4"/>
    </row>
    <row r="58" spans="1:20" ht="15" customHeight="1"/>
    <row r="59" spans="1:20" ht="15" customHeight="1"/>
    <row r="60" spans="1:20" ht="15" customHeight="1"/>
    <row r="61" spans="1:20" ht="15" customHeight="1"/>
    <row r="62" spans="1:20" ht="15" customHeight="1"/>
    <row r="63" spans="1:20" ht="15" customHeight="1"/>
    <row r="64" spans="1:20"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sheetData>
  <mergeCells count="3">
    <mergeCell ref="B3:I3"/>
    <mergeCell ref="D14:E14"/>
    <mergeCell ref="G14:H14"/>
  </mergeCells>
  <phoneticPr fontId="16" type="noConversion"/>
  <printOptions horizontalCentered="1" verticalCentered="1"/>
  <pageMargins left="0.59055118110236227" right="0.59055118110236227" top="0.59055118110236227" bottom="0.59055118110236227" header="0.51181102362204722" footer="0.51181102362204722"/>
  <pageSetup paperSize="9" orientation="portrait" r:id="rId1"/>
  <headerFooter differentOddEven="1" alignWithMargins="0">
    <oddFooter>Page &amp;P</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Z51"/>
  <sheetViews>
    <sheetView zoomScaleNormal="100" workbookViewId="0">
      <selection activeCell="K41" sqref="K41:K42"/>
    </sheetView>
  </sheetViews>
  <sheetFormatPr baseColWidth="10" defaultRowHeight="12.75" outlineLevelCol="1"/>
  <cols>
    <col min="1" max="1" width="4.7109375" customWidth="1"/>
    <col min="2" max="2" width="34.7109375" customWidth="1"/>
    <col min="3" max="3" width="5.5703125" customWidth="1"/>
    <col min="4" max="4" width="34.7109375" customWidth="1"/>
    <col min="6" max="9" width="11.42578125" hidden="1" customWidth="1" outlineLevel="1"/>
    <col min="10" max="10" width="25.7109375" hidden="1" customWidth="1" outlineLevel="1"/>
    <col min="11" max="11" width="21" style="81" hidden="1" customWidth="1" outlineLevel="1"/>
    <col min="12" max="12" width="22" style="81" hidden="1" customWidth="1" outlineLevel="1"/>
    <col min="13" max="13" width="11.42578125" style="81" hidden="1" customWidth="1" outlineLevel="1"/>
    <col min="14" max="14" width="11.42578125" hidden="1" customWidth="1" outlineLevel="1"/>
    <col min="15" max="15" width="11.42578125" collapsed="1"/>
  </cols>
  <sheetData>
    <row r="1" spans="1:26">
      <c r="I1" t="s">
        <v>216</v>
      </c>
    </row>
    <row r="3" spans="1:26" ht="15">
      <c r="J3" s="12"/>
      <c r="K3" s="76" t="str">
        <f>"  au "&amp; TEXT(FinExN,"jj mmmm aaaa")</f>
        <v xml:space="preserve">  au 30 juin 2017</v>
      </c>
      <c r="L3" s="76" t="str">
        <f>"  au "&amp; TEXT(FinExN1,"jj mmmm aaaa")</f>
        <v xml:space="preserve">  au 30 juin 2016</v>
      </c>
      <c r="M3" s="80" t="s">
        <v>223</v>
      </c>
    </row>
    <row r="4" spans="1:26">
      <c r="J4" s="12" t="s">
        <v>10</v>
      </c>
      <c r="K4" s="80">
        <f>D_37199/100</f>
        <v>144</v>
      </c>
      <c r="L4" s="80">
        <f>D_37199_1/100</f>
        <v>143.86000000000001</v>
      </c>
      <c r="M4" s="80">
        <f>$K$4-$L$4</f>
        <v>0.13999999999998636</v>
      </c>
    </row>
    <row r="5" spans="1:26">
      <c r="J5" s="12" t="s">
        <v>217</v>
      </c>
      <c r="K5" s="80">
        <f>(D_37005/NbreMoisN)*12</f>
        <v>135216</v>
      </c>
      <c r="L5" s="80">
        <f>(D_37005_1/NbreMoisN1)*12</f>
        <v>226994</v>
      </c>
      <c r="M5" s="80">
        <f>(K5-L5)/L5*100</f>
        <v>-40.43190568913716</v>
      </c>
    </row>
    <row r="6" spans="1:26">
      <c r="J6" s="12" t="s">
        <v>218</v>
      </c>
      <c r="K6" s="80">
        <f>(D_37021/NbreMoisN)*12</f>
        <v>939</v>
      </c>
      <c r="L6" s="80">
        <f>(D_37021_1/NbreMoisN1)*12</f>
        <v>1577.88</v>
      </c>
      <c r="M6" s="80">
        <f t="shared" ref="M6:M12" si="0">(K6-L6)/L6*100</f>
        <v>-40.489771085253636</v>
      </c>
    </row>
    <row r="7" spans="1:26">
      <c r="J7" s="12" t="s">
        <v>219</v>
      </c>
      <c r="K7" s="80">
        <f>D_37025</f>
        <v>-250.25</v>
      </c>
      <c r="L7" s="80">
        <f>D_37025_1</f>
        <v>401.11</v>
      </c>
      <c r="M7" s="80">
        <f t="shared" si="0"/>
        <v>-162.38936949963849</v>
      </c>
    </row>
    <row r="8" spans="1:26">
      <c r="J8" s="12" t="s">
        <v>220</v>
      </c>
      <c r="K8" s="80">
        <f>+D_37141</f>
        <v>2.75</v>
      </c>
      <c r="L8" s="80">
        <f>+D_37141_1</f>
        <v>1.55</v>
      </c>
      <c r="M8" s="80">
        <f t="shared" si="0"/>
        <v>77.41935483870968</v>
      </c>
    </row>
    <row r="9" spans="1:26">
      <c r="J9" s="12" t="s">
        <v>221</v>
      </c>
      <c r="K9" s="80">
        <f>+D_37015</f>
        <v>-27622</v>
      </c>
      <c r="L9" s="80">
        <f>+D_37015_1</f>
        <v>49204</v>
      </c>
      <c r="M9" s="80">
        <f t="shared" si="0"/>
        <v>-156.13771238110724</v>
      </c>
    </row>
    <row r="10" spans="1:26" ht="14.25">
      <c r="B10" s="39"/>
      <c r="J10" s="12" t="s">
        <v>222</v>
      </c>
      <c r="K10" s="80">
        <f>D_37128</f>
        <v>24821</v>
      </c>
      <c r="L10" s="80">
        <f>D_37128_1</f>
        <v>38629</v>
      </c>
      <c r="M10" s="80">
        <f t="shared" si="0"/>
        <v>-35.745165549198788</v>
      </c>
    </row>
    <row r="11" spans="1:26" ht="14.25">
      <c r="A11" s="52"/>
      <c r="B11" s="52" t="s">
        <v>109</v>
      </c>
      <c r="C11" s="52"/>
      <c r="D11" s="52" t="s">
        <v>110</v>
      </c>
      <c r="E11" s="52"/>
      <c r="F11" s="52"/>
      <c r="G11" s="52"/>
      <c r="H11" s="52"/>
      <c r="I11" s="52"/>
      <c r="J11" s="66" t="s">
        <v>24</v>
      </c>
      <c r="K11" s="80">
        <f>D_37181</f>
        <v>56797</v>
      </c>
      <c r="L11" s="80">
        <f>D_37181_1</f>
        <v>75604</v>
      </c>
      <c r="M11" s="80">
        <f t="shared" si="0"/>
        <v>-24.875667954076505</v>
      </c>
      <c r="N11" s="52"/>
      <c r="O11" s="52"/>
      <c r="P11" s="52"/>
      <c r="Q11" s="52"/>
      <c r="R11" s="52"/>
      <c r="S11" s="52"/>
      <c r="T11" s="52"/>
      <c r="U11" s="52"/>
      <c r="V11" s="52"/>
      <c r="W11" s="52"/>
      <c r="X11" s="52"/>
      <c r="Y11" s="52"/>
      <c r="Z11" s="52"/>
    </row>
    <row r="12" spans="1:26">
      <c r="A12" s="42"/>
      <c r="B12" s="42"/>
      <c r="C12" s="42"/>
      <c r="D12" s="42"/>
      <c r="E12" s="42"/>
      <c r="F12" s="42"/>
      <c r="G12" s="42"/>
      <c r="H12" s="42"/>
      <c r="I12" s="42"/>
      <c r="J12" s="69" t="s">
        <v>25</v>
      </c>
      <c r="K12" s="82">
        <f>D_37103</f>
        <v>-31346</v>
      </c>
      <c r="L12" s="82">
        <f>D_37103_1</f>
        <v>-25018</v>
      </c>
      <c r="M12" s="82">
        <f t="shared" si="0"/>
        <v>25.293788472299944</v>
      </c>
      <c r="N12" s="42"/>
      <c r="O12" s="42"/>
      <c r="P12" s="42"/>
      <c r="Q12" s="42"/>
      <c r="R12" s="42"/>
      <c r="S12" s="42"/>
      <c r="T12" s="42"/>
      <c r="U12" s="42"/>
      <c r="V12" s="42"/>
      <c r="W12" s="42"/>
      <c r="X12" s="42"/>
      <c r="Y12" s="42"/>
      <c r="Z12" s="42"/>
    </row>
    <row r="13" spans="1:26" ht="15">
      <c r="A13" s="42"/>
      <c r="B13" s="42"/>
      <c r="C13" s="186" t="s">
        <v>111</v>
      </c>
      <c r="D13" s="42"/>
      <c r="E13" s="42"/>
      <c r="F13" s="42"/>
      <c r="G13" s="42"/>
      <c r="H13" s="42"/>
      <c r="I13" s="42"/>
      <c r="J13" s="70" t="s">
        <v>209</v>
      </c>
      <c r="K13" s="82">
        <f>D_37060</f>
        <v>93183</v>
      </c>
      <c r="L13" s="82">
        <f>D_37060_1</f>
        <v>85661</v>
      </c>
      <c r="M13" s="82">
        <f>(K13-L13)/L13*100</f>
        <v>8.7811255997478437</v>
      </c>
      <c r="N13" s="42"/>
      <c r="O13" s="42"/>
      <c r="P13" s="42"/>
      <c r="Q13" s="42"/>
      <c r="R13" s="42"/>
      <c r="S13" s="42"/>
      <c r="T13" s="42"/>
      <c r="U13" s="42"/>
      <c r="V13" s="42"/>
      <c r="W13" s="42"/>
      <c r="X13" s="42"/>
      <c r="Y13" s="42"/>
      <c r="Z13" s="42"/>
    </row>
    <row r="14" spans="1:26" ht="14.25">
      <c r="A14" s="29"/>
      <c r="B14" s="140"/>
      <c r="C14" s="140"/>
      <c r="D14" s="140"/>
      <c r="E14" s="140"/>
      <c r="F14" s="29"/>
      <c r="G14" s="29"/>
      <c r="H14" s="29"/>
      <c r="I14" s="29"/>
      <c r="J14" s="69" t="s">
        <v>315</v>
      </c>
      <c r="K14" s="108">
        <f xml:space="preserve"> R_722</f>
        <v>3722</v>
      </c>
      <c r="L14" s="108">
        <f xml:space="preserve"> R_722_1</f>
        <v>3511</v>
      </c>
      <c r="M14" s="82">
        <f>(K14-L14)/L14*100</f>
        <v>6.0096838507547705</v>
      </c>
      <c r="N14" s="29"/>
      <c r="O14" s="29"/>
      <c r="P14" s="29"/>
      <c r="Q14" s="29"/>
      <c r="R14" s="29"/>
      <c r="S14" s="29"/>
      <c r="T14" s="29"/>
      <c r="U14" s="29"/>
      <c r="V14" s="29"/>
      <c r="W14" s="29"/>
      <c r="X14" s="29"/>
      <c r="Y14" s="29"/>
      <c r="Z14" s="29"/>
    </row>
    <row r="15" spans="1:26" ht="14.25">
      <c r="A15" s="29"/>
      <c r="B15" s="187" t="s">
        <v>323</v>
      </c>
      <c r="C15" s="140"/>
      <c r="D15" s="187"/>
      <c r="E15" s="140"/>
      <c r="F15" s="29"/>
      <c r="G15" s="29"/>
      <c r="H15" s="29"/>
      <c r="I15" s="29"/>
      <c r="J15" s="29"/>
      <c r="K15" s="83"/>
      <c r="L15" s="83"/>
      <c r="M15" s="83"/>
      <c r="N15" s="29"/>
      <c r="O15" s="29"/>
      <c r="P15" s="29"/>
      <c r="Q15" s="29"/>
      <c r="R15" s="29"/>
      <c r="S15" s="29"/>
      <c r="T15" s="29"/>
      <c r="U15" s="29"/>
      <c r="V15" s="29"/>
      <c r="W15" s="29"/>
      <c r="X15" s="29"/>
      <c r="Y15" s="29"/>
      <c r="Z15" s="29"/>
    </row>
    <row r="16" spans="1:26" ht="14.25">
      <c r="A16" s="29"/>
      <c r="B16" s="187"/>
      <c r="C16" s="140"/>
      <c r="D16" s="187"/>
      <c r="E16" s="140"/>
      <c r="F16" s="29"/>
      <c r="G16" s="29"/>
      <c r="H16" s="29"/>
      <c r="I16" s="29"/>
      <c r="J16" s="29"/>
      <c r="K16" s="83"/>
      <c r="L16" s="83"/>
      <c r="M16" s="83"/>
      <c r="N16" s="29"/>
      <c r="O16" s="29"/>
      <c r="P16" s="29"/>
      <c r="Q16" s="29"/>
      <c r="R16" s="29"/>
      <c r="S16" s="29"/>
      <c r="T16" s="29"/>
      <c r="U16" s="29"/>
      <c r="V16" s="29"/>
      <c r="W16" s="29"/>
      <c r="X16" s="29"/>
      <c r="Y16" s="29"/>
      <c r="Z16" s="29"/>
    </row>
    <row r="17" spans="1:26" ht="14.25">
      <c r="A17" s="29"/>
      <c r="B17" s="187"/>
      <c r="C17" s="140"/>
      <c r="D17" s="187"/>
      <c r="E17" s="140"/>
      <c r="F17" s="29"/>
      <c r="G17" s="29"/>
      <c r="H17" s="29"/>
      <c r="I17" s="29"/>
      <c r="J17" s="29"/>
      <c r="K17" s="83"/>
      <c r="L17" s="83"/>
      <c r="M17" s="83"/>
      <c r="N17" s="29"/>
      <c r="O17" s="29"/>
      <c r="P17" s="29"/>
      <c r="Q17" s="29"/>
      <c r="R17" s="29"/>
      <c r="S17" s="29"/>
      <c r="T17" s="29"/>
      <c r="U17" s="29"/>
      <c r="V17" s="29"/>
      <c r="W17" s="29"/>
      <c r="X17" s="29"/>
      <c r="Y17" s="29"/>
      <c r="Z17" s="29"/>
    </row>
    <row r="18" spans="1:26" ht="14.25">
      <c r="A18" s="29"/>
      <c r="B18" s="187"/>
      <c r="C18" s="140"/>
      <c r="D18" s="187"/>
      <c r="E18" s="140"/>
      <c r="F18" s="29"/>
      <c r="G18" s="29"/>
      <c r="H18" s="29"/>
      <c r="I18" s="29"/>
      <c r="J18" s="29"/>
      <c r="K18" s="83"/>
      <c r="L18" s="83"/>
      <c r="M18" s="83"/>
      <c r="N18" s="29"/>
      <c r="O18" s="29"/>
      <c r="P18" s="29"/>
      <c r="Q18" s="29"/>
      <c r="R18" s="29"/>
      <c r="S18" s="29"/>
      <c r="T18" s="29"/>
      <c r="U18" s="29"/>
      <c r="V18" s="29"/>
      <c r="W18" s="29"/>
      <c r="X18" s="29"/>
      <c r="Y18" s="29"/>
      <c r="Z18" s="29"/>
    </row>
    <row r="19" spans="1:26" ht="14.25">
      <c r="A19" s="29"/>
      <c r="B19" s="187"/>
      <c r="C19" s="140"/>
      <c r="D19" s="187"/>
      <c r="E19" s="140"/>
      <c r="F19" s="29"/>
      <c r="G19" s="29"/>
      <c r="H19" s="29"/>
      <c r="I19" s="29"/>
      <c r="J19" s="29"/>
      <c r="K19" s="83"/>
      <c r="L19" s="83"/>
      <c r="M19" s="83"/>
      <c r="N19" s="29"/>
      <c r="O19" s="29"/>
      <c r="P19" s="29"/>
      <c r="Q19" s="29"/>
      <c r="R19" s="29"/>
      <c r="S19" s="29"/>
      <c r="T19" s="29"/>
      <c r="U19" s="29"/>
      <c r="V19" s="29"/>
      <c r="W19" s="29"/>
      <c r="X19" s="29"/>
      <c r="Y19" s="29"/>
      <c r="Z19" s="29"/>
    </row>
    <row r="20" spans="1:26" ht="14.25">
      <c r="A20" s="29"/>
      <c r="B20" s="187"/>
      <c r="C20" s="140"/>
      <c r="D20" s="187"/>
      <c r="E20" s="140"/>
      <c r="F20" s="29"/>
      <c r="G20" s="29"/>
      <c r="H20" s="29"/>
      <c r="I20" s="29"/>
      <c r="J20" s="29"/>
      <c r="K20" s="83"/>
      <c r="L20" s="83"/>
      <c r="M20" s="83"/>
      <c r="N20" s="29"/>
      <c r="O20" s="29"/>
      <c r="P20" s="29"/>
      <c r="Q20" s="29"/>
      <c r="R20" s="29"/>
      <c r="S20" s="29"/>
      <c r="T20" s="29"/>
      <c r="U20" s="29"/>
      <c r="V20" s="29"/>
      <c r="W20" s="29"/>
      <c r="X20" s="29"/>
      <c r="Y20" s="29"/>
      <c r="Z20" s="29"/>
    </row>
    <row r="21" spans="1:26" ht="14.25">
      <c r="A21" s="29"/>
      <c r="B21" s="187"/>
      <c r="C21" s="140"/>
      <c r="D21" s="187"/>
      <c r="E21" s="140"/>
      <c r="F21" s="29"/>
      <c r="G21" s="29"/>
      <c r="H21" s="29"/>
      <c r="I21" s="29"/>
      <c r="J21" s="29"/>
      <c r="K21" s="83"/>
      <c r="L21" s="83"/>
      <c r="M21" s="83"/>
      <c r="N21" s="29"/>
      <c r="O21" s="29"/>
      <c r="P21" s="29"/>
      <c r="Q21" s="29"/>
      <c r="R21" s="29"/>
      <c r="S21" s="29"/>
      <c r="T21" s="29"/>
      <c r="U21" s="29"/>
      <c r="V21" s="29"/>
      <c r="W21" s="29"/>
      <c r="X21" s="29"/>
      <c r="Y21" s="29"/>
      <c r="Z21" s="29"/>
    </row>
    <row r="22" spans="1:26" ht="14.25">
      <c r="A22" s="29"/>
      <c r="B22" s="187"/>
      <c r="C22" s="140"/>
      <c r="D22" s="187"/>
      <c r="E22" s="140"/>
      <c r="F22" s="29"/>
      <c r="G22" s="29"/>
      <c r="H22" s="29"/>
      <c r="I22" s="29"/>
      <c r="J22" s="29"/>
      <c r="K22" s="83"/>
      <c r="L22" s="83"/>
      <c r="M22" s="83"/>
      <c r="N22" s="29"/>
      <c r="O22" s="29"/>
      <c r="P22" s="29"/>
      <c r="Q22" s="29"/>
      <c r="R22" s="29"/>
      <c r="S22" s="29"/>
      <c r="T22" s="29"/>
      <c r="U22" s="29"/>
      <c r="V22" s="29"/>
      <c r="W22" s="29"/>
      <c r="X22" s="29"/>
      <c r="Y22" s="29"/>
      <c r="Z22" s="29"/>
    </row>
    <row r="23" spans="1:26" ht="14.25">
      <c r="A23" s="29"/>
      <c r="B23" s="187"/>
      <c r="C23" s="140"/>
      <c r="D23" s="187"/>
      <c r="E23" s="140"/>
      <c r="F23" s="29"/>
      <c r="G23" s="29"/>
      <c r="H23" s="29"/>
      <c r="I23" s="29"/>
      <c r="J23" s="29"/>
      <c r="K23" s="83"/>
      <c r="L23" s="83"/>
      <c r="M23" s="83"/>
      <c r="N23" s="29"/>
      <c r="O23" s="29"/>
      <c r="P23" s="29"/>
      <c r="Q23" s="29"/>
      <c r="R23" s="29"/>
      <c r="S23" s="29"/>
      <c r="T23" s="29"/>
      <c r="U23" s="29"/>
      <c r="V23" s="29"/>
      <c r="W23" s="29"/>
      <c r="X23" s="29"/>
      <c r="Y23" s="29"/>
      <c r="Z23" s="29"/>
    </row>
    <row r="24" spans="1:26" ht="14.25">
      <c r="A24" s="29"/>
      <c r="B24" s="187"/>
      <c r="C24" s="140"/>
      <c r="D24" s="187"/>
      <c r="E24" s="140"/>
      <c r="F24" s="29"/>
      <c r="G24" s="29"/>
      <c r="H24" s="29"/>
      <c r="I24" s="29"/>
      <c r="J24" s="29"/>
      <c r="K24" s="83"/>
      <c r="L24" s="83"/>
      <c r="M24" s="83"/>
      <c r="N24" s="29"/>
      <c r="O24" s="29"/>
      <c r="P24" s="29"/>
      <c r="Q24" s="29"/>
      <c r="R24" s="29"/>
      <c r="S24" s="29"/>
      <c r="T24" s="29"/>
      <c r="U24" s="29"/>
      <c r="V24" s="29"/>
      <c r="W24" s="29"/>
      <c r="X24" s="29"/>
      <c r="Y24" s="29"/>
      <c r="Z24" s="29"/>
    </row>
    <row r="25" spans="1:26" ht="14.25">
      <c r="A25" s="29"/>
      <c r="B25" s="187"/>
      <c r="C25" s="140"/>
      <c r="D25" s="187"/>
      <c r="E25" s="140"/>
      <c r="F25" s="29"/>
      <c r="G25" s="29"/>
      <c r="H25" s="29"/>
      <c r="I25" s="29"/>
      <c r="J25" s="29"/>
      <c r="K25" s="83"/>
      <c r="L25" s="83"/>
      <c r="M25" s="83"/>
      <c r="N25" s="29"/>
      <c r="O25" s="29"/>
      <c r="P25" s="29"/>
      <c r="Q25" s="29"/>
      <c r="R25" s="29"/>
      <c r="S25" s="29"/>
      <c r="T25" s="29"/>
      <c r="U25" s="29"/>
      <c r="V25" s="29"/>
      <c r="W25" s="29"/>
      <c r="X25" s="29"/>
      <c r="Y25" s="29"/>
      <c r="Z25" s="29"/>
    </row>
    <row r="26" spans="1:26" ht="14.25">
      <c r="A26" s="29"/>
      <c r="B26" s="140"/>
      <c r="C26" s="140"/>
      <c r="D26" s="140"/>
      <c r="E26" s="140"/>
      <c r="F26" s="29"/>
      <c r="G26" s="29"/>
      <c r="H26" s="29"/>
      <c r="I26" s="29"/>
      <c r="J26" s="29"/>
      <c r="K26" s="83"/>
      <c r="L26" s="83"/>
      <c r="M26" s="83"/>
      <c r="N26" s="29"/>
      <c r="O26" s="29"/>
      <c r="P26" s="29"/>
      <c r="Q26" s="29"/>
      <c r="R26" s="29"/>
      <c r="S26" s="29"/>
      <c r="T26" s="29"/>
      <c r="U26" s="29"/>
      <c r="V26" s="29"/>
      <c r="W26" s="29"/>
      <c r="X26" s="29"/>
      <c r="Y26" s="29"/>
      <c r="Z26" s="29"/>
    </row>
    <row r="27" spans="1:26" ht="14.25">
      <c r="A27" s="29"/>
      <c r="B27" s="187"/>
      <c r="C27" s="140"/>
      <c r="D27" s="187"/>
      <c r="E27" s="140"/>
      <c r="F27" s="29"/>
      <c r="G27" s="29"/>
      <c r="H27" s="29"/>
      <c r="I27" s="29"/>
      <c r="J27" s="29"/>
      <c r="K27" s="83"/>
      <c r="L27" s="83"/>
      <c r="M27" s="83"/>
      <c r="N27" s="29"/>
      <c r="O27" s="29"/>
      <c r="P27" s="29"/>
      <c r="Q27" s="29"/>
      <c r="R27" s="29"/>
      <c r="S27" s="29"/>
      <c r="T27" s="29"/>
      <c r="U27" s="29"/>
      <c r="V27" s="29"/>
      <c r="W27" s="29"/>
      <c r="X27" s="29"/>
      <c r="Y27" s="29"/>
      <c r="Z27" s="29"/>
    </row>
    <row r="28" spans="1:26" ht="14.25">
      <c r="A28" s="29"/>
      <c r="B28" s="187"/>
      <c r="C28" s="140"/>
      <c r="D28" s="187"/>
      <c r="E28" s="140"/>
      <c r="F28" s="29"/>
      <c r="G28" s="29"/>
      <c r="H28" s="29"/>
      <c r="I28" s="29"/>
      <c r="J28" s="29"/>
      <c r="K28" s="83"/>
      <c r="L28" s="83"/>
      <c r="M28" s="83"/>
      <c r="N28" s="29"/>
      <c r="O28" s="29"/>
      <c r="P28" s="29"/>
      <c r="Q28" s="29"/>
      <c r="R28" s="29"/>
      <c r="S28" s="29"/>
      <c r="T28" s="29"/>
      <c r="U28" s="29"/>
      <c r="V28" s="29"/>
      <c r="W28" s="29"/>
      <c r="X28" s="29"/>
      <c r="Y28" s="29"/>
      <c r="Z28" s="29"/>
    </row>
    <row r="29" spans="1:26" ht="14.25">
      <c r="A29" s="29"/>
      <c r="B29" s="187"/>
      <c r="C29" s="140"/>
      <c r="D29" s="187"/>
      <c r="E29" s="140"/>
      <c r="F29" s="29"/>
      <c r="G29" s="29"/>
      <c r="H29" s="29"/>
      <c r="I29" s="29"/>
      <c r="J29" s="29"/>
      <c r="K29" s="83"/>
      <c r="L29" s="83"/>
      <c r="M29" s="83"/>
      <c r="N29" s="29"/>
      <c r="O29" s="29"/>
      <c r="P29" s="29"/>
      <c r="Q29" s="29"/>
      <c r="R29" s="29"/>
      <c r="S29" s="29"/>
      <c r="T29" s="29"/>
      <c r="U29" s="29"/>
      <c r="V29" s="29"/>
      <c r="W29" s="29"/>
      <c r="X29" s="29"/>
      <c r="Y29" s="29"/>
      <c r="Z29" s="29"/>
    </row>
    <row r="30" spans="1:26" ht="14.25">
      <c r="A30" s="29"/>
      <c r="B30" s="187"/>
      <c r="C30" s="140"/>
      <c r="D30" s="140"/>
      <c r="E30" s="140"/>
      <c r="F30" s="29"/>
      <c r="G30" s="29"/>
      <c r="H30" s="29"/>
      <c r="I30" s="29"/>
      <c r="J30" s="29"/>
      <c r="K30" s="83"/>
      <c r="L30" s="83"/>
      <c r="M30" s="83"/>
      <c r="N30" s="29"/>
      <c r="O30" s="29"/>
      <c r="P30" s="29"/>
      <c r="Q30" s="29"/>
      <c r="R30" s="29"/>
      <c r="S30" s="29"/>
      <c r="T30" s="29"/>
      <c r="U30" s="29"/>
      <c r="V30" s="29"/>
      <c r="W30" s="29"/>
      <c r="X30" s="29"/>
      <c r="Y30" s="29"/>
      <c r="Z30" s="29"/>
    </row>
    <row r="31" spans="1:26" ht="14.25">
      <c r="A31" s="29"/>
      <c r="B31" s="187"/>
      <c r="C31" s="140"/>
      <c r="D31" s="187"/>
      <c r="E31" s="140"/>
      <c r="F31" s="29"/>
      <c r="G31" s="29"/>
      <c r="H31" s="29"/>
      <c r="I31" s="29"/>
      <c r="J31" s="29"/>
      <c r="K31" s="83"/>
      <c r="L31" s="83"/>
      <c r="M31" s="83"/>
      <c r="N31" s="29"/>
      <c r="O31" s="29"/>
      <c r="P31" s="29"/>
      <c r="Q31" s="29"/>
      <c r="R31" s="29"/>
      <c r="S31" s="29"/>
      <c r="T31" s="29"/>
      <c r="U31" s="29"/>
      <c r="V31" s="29"/>
      <c r="W31" s="29"/>
      <c r="X31" s="29"/>
      <c r="Y31" s="29"/>
      <c r="Z31" s="29"/>
    </row>
    <row r="32" spans="1:26" ht="14.25">
      <c r="A32" s="29"/>
      <c r="B32" s="187"/>
      <c r="C32" s="140"/>
      <c r="D32" s="187"/>
      <c r="E32" s="140"/>
      <c r="F32" s="29"/>
      <c r="G32" s="29"/>
      <c r="H32" s="29"/>
      <c r="I32" s="29"/>
      <c r="J32" s="29"/>
      <c r="K32" s="83"/>
      <c r="L32" s="83"/>
      <c r="M32" s="83"/>
      <c r="N32" s="29"/>
      <c r="O32" s="29"/>
      <c r="P32" s="29"/>
      <c r="Q32" s="29"/>
      <c r="R32" s="29"/>
      <c r="S32" s="29"/>
      <c r="T32" s="29"/>
      <c r="U32" s="29"/>
      <c r="V32" s="29"/>
      <c r="W32" s="29"/>
      <c r="X32" s="29"/>
      <c r="Y32" s="29"/>
      <c r="Z32" s="29"/>
    </row>
    <row r="33" spans="1:26" ht="14.25">
      <c r="A33" s="29"/>
      <c r="B33" s="187"/>
      <c r="C33" s="140"/>
      <c r="D33" s="187"/>
      <c r="E33" s="140"/>
      <c r="F33" s="29"/>
      <c r="G33" s="29"/>
      <c r="H33" s="29"/>
      <c r="I33" s="29"/>
      <c r="J33" s="29"/>
      <c r="K33" s="83"/>
      <c r="L33" s="83"/>
      <c r="M33" s="83"/>
      <c r="N33" s="29"/>
      <c r="O33" s="29"/>
      <c r="P33" s="29"/>
      <c r="Q33" s="29"/>
      <c r="R33" s="29"/>
      <c r="S33" s="29"/>
      <c r="T33" s="29"/>
      <c r="U33" s="29"/>
      <c r="V33" s="29"/>
      <c r="W33" s="29"/>
      <c r="X33" s="29"/>
      <c r="Y33" s="29"/>
      <c r="Z33" s="29"/>
    </row>
    <row r="34" spans="1:26" ht="14.25">
      <c r="A34" s="29"/>
      <c r="B34" s="187"/>
      <c r="C34" s="140"/>
      <c r="D34" s="140"/>
      <c r="E34" s="140"/>
      <c r="F34" s="29"/>
      <c r="G34" s="29"/>
      <c r="H34" s="29"/>
      <c r="I34" s="29"/>
      <c r="J34" s="29"/>
      <c r="K34" s="83"/>
      <c r="L34" s="83"/>
      <c r="M34" s="83"/>
      <c r="N34" s="29"/>
      <c r="O34" s="29"/>
      <c r="P34" s="29"/>
      <c r="Q34" s="29"/>
      <c r="R34" s="29"/>
      <c r="S34" s="29"/>
      <c r="T34" s="29"/>
      <c r="U34" s="29"/>
      <c r="V34" s="29"/>
      <c r="W34" s="29"/>
      <c r="X34" s="29"/>
      <c r="Y34" s="29"/>
      <c r="Z34" s="29"/>
    </row>
    <row r="35" spans="1:26" ht="15">
      <c r="A35" s="29"/>
      <c r="B35" s="140"/>
      <c r="C35" s="186" t="s">
        <v>112</v>
      </c>
      <c r="D35" s="140"/>
      <c r="E35" s="140"/>
      <c r="F35" s="29"/>
      <c r="G35" s="29"/>
      <c r="H35" s="29"/>
      <c r="I35" s="29"/>
      <c r="J35" s="29"/>
      <c r="K35" s="83"/>
      <c r="L35" s="83"/>
      <c r="M35" s="83"/>
      <c r="N35" s="29"/>
      <c r="O35" s="29"/>
      <c r="P35" s="29"/>
      <c r="Q35" s="29"/>
      <c r="R35" s="29"/>
      <c r="S35" s="29"/>
      <c r="T35" s="29"/>
      <c r="U35" s="29"/>
      <c r="V35" s="29"/>
      <c r="W35" s="29"/>
      <c r="X35" s="29"/>
      <c r="Y35" s="29"/>
      <c r="Z35" s="29"/>
    </row>
    <row r="36" spans="1:26" ht="14.25">
      <c r="A36" s="29"/>
      <c r="B36" s="140"/>
      <c r="C36" s="140"/>
      <c r="D36" s="140"/>
      <c r="E36" s="140"/>
      <c r="F36" s="29"/>
      <c r="G36" s="29"/>
      <c r="H36" s="29"/>
      <c r="I36" s="29"/>
      <c r="J36" s="29"/>
      <c r="K36" s="83"/>
      <c r="L36" s="83"/>
      <c r="M36" s="83"/>
      <c r="N36" s="29"/>
      <c r="O36" s="29"/>
      <c r="P36" s="29"/>
      <c r="Q36" s="29"/>
      <c r="R36" s="29"/>
      <c r="S36" s="29"/>
      <c r="T36" s="29"/>
      <c r="U36" s="29"/>
      <c r="V36" s="29"/>
      <c r="W36" s="29"/>
      <c r="X36" s="29"/>
      <c r="Y36" s="29"/>
      <c r="Z36" s="29"/>
    </row>
    <row r="37" spans="1:26" ht="14.25">
      <c r="A37" s="29"/>
      <c r="B37" s="187" t="str">
        <f>IF($K$10&lt;$K$9,"Vos prélèvements personnels sont","")</f>
        <v/>
      </c>
      <c r="C37" s="140"/>
      <c r="D37" s="187" t="str">
        <f>IF($K$10&gt;$K$9,"Vos prélèvements personnels sont","")</f>
        <v>Vos prélèvements personnels sont</v>
      </c>
      <c r="E37" s="140"/>
      <c r="F37" s="29"/>
      <c r="G37" s="29"/>
      <c r="H37" s="29"/>
      <c r="I37" s="29"/>
      <c r="J37" s="29"/>
      <c r="K37" s="83"/>
      <c r="L37" s="83"/>
      <c r="M37" s="83"/>
      <c r="N37" s="29"/>
      <c r="O37" s="29"/>
      <c r="P37" s="29"/>
      <c r="Q37" s="29"/>
      <c r="R37" s="29"/>
      <c r="S37" s="29"/>
      <c r="T37" s="29"/>
      <c r="U37" s="29"/>
      <c r="V37" s="29"/>
      <c r="W37" s="29"/>
      <c r="X37" s="29"/>
      <c r="Y37" s="29"/>
      <c r="Z37" s="29"/>
    </row>
    <row r="38" spans="1:26" ht="14.25">
      <c r="A38" s="29"/>
      <c r="B38" s="187" t="str">
        <f>IF($K$10&lt;$K$9,"inférieurs à votre bénéfice.","")</f>
        <v/>
      </c>
      <c r="C38" s="140"/>
      <c r="D38" s="187" t="str">
        <f>IF($K$10&gt;$K$9,"supérieurs à votre bénéfice.","")</f>
        <v>supérieurs à votre bénéfice.</v>
      </c>
      <c r="E38" s="140"/>
      <c r="F38" s="29"/>
      <c r="G38" s="29"/>
      <c r="H38" s="29"/>
      <c r="I38" s="29"/>
      <c r="J38" s="29"/>
      <c r="K38" s="83"/>
      <c r="L38" s="83"/>
      <c r="M38" s="83"/>
      <c r="N38" s="29"/>
      <c r="O38" s="29"/>
      <c r="P38" s="29"/>
      <c r="Q38" s="29"/>
      <c r="R38" s="29"/>
      <c r="S38" s="29"/>
      <c r="T38" s="29"/>
      <c r="U38" s="29"/>
      <c r="V38" s="29"/>
      <c r="W38" s="29"/>
      <c r="X38" s="29"/>
      <c r="Y38" s="29"/>
      <c r="Z38" s="29"/>
    </row>
    <row r="39" spans="1:26" ht="14.25">
      <c r="A39" s="29"/>
      <c r="B39" s="187"/>
      <c r="C39" s="140"/>
      <c r="D39" s="187"/>
      <c r="E39" s="140"/>
      <c r="F39" s="29"/>
      <c r="G39" s="29"/>
      <c r="H39" s="29"/>
      <c r="I39" s="29"/>
      <c r="J39" s="29"/>
      <c r="K39" s="83"/>
      <c r="L39" s="83"/>
      <c r="M39" s="83"/>
      <c r="N39" s="29"/>
      <c r="O39" s="29"/>
      <c r="P39" s="29"/>
      <c r="Q39" s="29"/>
      <c r="R39" s="29"/>
      <c r="S39" s="29"/>
      <c r="T39" s="29"/>
      <c r="U39" s="29"/>
      <c r="V39" s="29"/>
      <c r="W39" s="29"/>
      <c r="X39" s="29"/>
      <c r="Y39" s="29"/>
      <c r="Z39" s="29"/>
    </row>
    <row r="40" spans="1:26" ht="14.25">
      <c r="A40" s="29"/>
      <c r="B40" s="187" t="str">
        <f>IF($K$11&gt;0,"L'autofinancement à lui seul a couvert les","")</f>
        <v>L'autofinancement à lui seul a couvert les</v>
      </c>
      <c r="C40" s="140"/>
      <c r="D40" s="187" t="str">
        <f>IF($K$11&lt;0,"L'autofinancement disponible et les autres","")</f>
        <v/>
      </c>
      <c r="E40" s="140"/>
      <c r="F40" s="29"/>
      <c r="G40" s="29"/>
      <c r="H40" s="29"/>
      <c r="I40" s="29"/>
      <c r="J40" s="29"/>
      <c r="K40" s="83"/>
      <c r="L40" s="83"/>
      <c r="M40" s="83"/>
      <c r="N40" s="29"/>
      <c r="O40" s="29"/>
      <c r="P40" s="29"/>
      <c r="Q40" s="29"/>
      <c r="R40" s="29"/>
      <c r="S40" s="29"/>
      <c r="T40" s="29"/>
      <c r="U40" s="29"/>
      <c r="V40" s="29"/>
      <c r="W40" s="29"/>
      <c r="X40" s="29"/>
      <c r="Y40" s="29"/>
      <c r="Z40" s="29"/>
    </row>
    <row r="41" spans="1:26" ht="14.25">
      <c r="A41" s="29"/>
      <c r="B41" s="187" t="str">
        <f>IF($K$11&gt;0,"emplois de la période et a permis de","")</f>
        <v>emplois de la période et a permis de</v>
      </c>
      <c r="C41" s="140"/>
      <c r="D41" s="187" t="str">
        <f>IF($K$11&lt;0,"ressources n'ont pas suffi à couvrir la","")</f>
        <v/>
      </c>
      <c r="E41" s="140"/>
      <c r="F41" s="29"/>
      <c r="G41" s="29"/>
      <c r="H41" s="29"/>
      <c r="I41" s="29"/>
      <c r="J41" s="29"/>
      <c r="K41" s="83"/>
      <c r="L41" s="83"/>
      <c r="M41" s="83"/>
      <c r="N41" s="29"/>
      <c r="O41" s="29"/>
      <c r="P41" s="29"/>
      <c r="Q41" s="29"/>
      <c r="R41" s="29"/>
      <c r="S41" s="29"/>
      <c r="T41" s="29"/>
      <c r="U41" s="29"/>
      <c r="V41" s="29"/>
      <c r="W41" s="29"/>
      <c r="X41" s="29"/>
      <c r="Y41" s="29"/>
      <c r="Z41" s="29"/>
    </row>
    <row r="42" spans="1:26" ht="14.25">
      <c r="A42" s="29"/>
      <c r="B42" s="187" t="str">
        <f>IF($K$11&gt;0,"dégager une variation positive du fonds","")</f>
        <v>dégager une variation positive du fonds</v>
      </c>
      <c r="C42" s="140"/>
      <c r="D42" s="187" t="str">
        <f>IF($K$11&lt;0,"totalité des emplois, d'où une variation","")</f>
        <v/>
      </c>
      <c r="E42" s="140"/>
      <c r="F42" s="29"/>
      <c r="G42" s="29"/>
      <c r="H42" s="29"/>
      <c r="I42" s="29"/>
      <c r="J42" s="29"/>
      <c r="K42" s="83"/>
      <c r="L42" s="83"/>
      <c r="M42" s="83"/>
      <c r="N42" s="29"/>
      <c r="O42" s="29"/>
      <c r="P42" s="29"/>
      <c r="Q42" s="29"/>
      <c r="R42" s="29"/>
      <c r="S42" s="29"/>
      <c r="T42" s="29"/>
      <c r="U42" s="29"/>
      <c r="V42" s="29"/>
      <c r="W42" s="29"/>
      <c r="X42" s="29"/>
      <c r="Y42" s="29"/>
      <c r="Z42" s="29"/>
    </row>
    <row r="43" spans="1:26" ht="14.25">
      <c r="A43" s="29"/>
      <c r="B43" s="187" t="str">
        <f>IF($K$11&gt;0,"de roulement.","")</f>
        <v>de roulement.</v>
      </c>
      <c r="C43" s="140"/>
      <c r="D43" s="187" t="str">
        <f>IF($K$11&lt;0,"négative du fonds de roulement.","")</f>
        <v/>
      </c>
      <c r="E43" s="140"/>
      <c r="F43" s="29"/>
      <c r="G43" s="29"/>
      <c r="H43" s="29"/>
      <c r="I43" s="29"/>
      <c r="J43" s="29"/>
      <c r="K43" s="83"/>
      <c r="L43" s="83"/>
      <c r="M43" s="83"/>
      <c r="N43" s="29"/>
      <c r="O43" s="29"/>
      <c r="P43" s="29"/>
      <c r="Q43" s="29"/>
      <c r="R43" s="29"/>
      <c r="S43" s="29"/>
      <c r="T43" s="29"/>
      <c r="U43" s="29"/>
      <c r="V43" s="29"/>
      <c r="W43" s="29"/>
      <c r="X43" s="29"/>
      <c r="Y43" s="29"/>
      <c r="Z43" s="29"/>
    </row>
    <row r="44" spans="1:26" ht="14.25">
      <c r="A44" s="29"/>
      <c r="B44" s="140"/>
      <c r="C44" s="140"/>
      <c r="D44" s="140"/>
      <c r="E44" s="140"/>
      <c r="F44" s="29"/>
      <c r="G44" s="29"/>
      <c r="H44" s="29"/>
      <c r="I44" s="29"/>
      <c r="J44" s="29"/>
      <c r="K44" s="83"/>
      <c r="L44" s="83"/>
      <c r="M44" s="83"/>
      <c r="N44" s="29"/>
      <c r="O44" s="29"/>
      <c r="P44" s="29"/>
      <c r="Q44" s="29"/>
      <c r="R44" s="29"/>
      <c r="S44" s="29"/>
      <c r="T44" s="29"/>
      <c r="U44" s="29"/>
      <c r="V44" s="29"/>
      <c r="W44" s="29"/>
      <c r="X44" s="29"/>
      <c r="Y44" s="29"/>
      <c r="Z44" s="29"/>
    </row>
    <row r="45" spans="1:26" ht="14.25">
      <c r="A45" s="29"/>
      <c r="B45" s="187" t="str">
        <f>IF($K$12&gt;0,"Celui-ci est adapté aux besoins nés du","")</f>
        <v/>
      </c>
      <c r="C45" s="140"/>
      <c r="D45" s="187" t="str">
        <f>IF($K$12&lt;0,"Celui-ci est insuffisant pour couvrir les","")</f>
        <v>Celui-ci est insuffisant pour couvrir les</v>
      </c>
      <c r="E45" s="140"/>
      <c r="F45" s="29"/>
      <c r="G45" s="29"/>
      <c r="H45" s="29"/>
      <c r="I45" s="29"/>
      <c r="J45" s="29"/>
      <c r="K45" s="83"/>
      <c r="L45" s="83"/>
      <c r="M45" s="83"/>
      <c r="N45" s="29"/>
      <c r="O45" s="29"/>
      <c r="P45" s="29"/>
      <c r="Q45" s="29"/>
      <c r="R45" s="29"/>
      <c r="S45" s="29"/>
      <c r="T45" s="29"/>
      <c r="U45" s="29"/>
      <c r="V45" s="29"/>
      <c r="W45" s="29"/>
      <c r="X45" s="29"/>
      <c r="Y45" s="29"/>
      <c r="Z45" s="29"/>
    </row>
    <row r="46" spans="1:26" ht="14.25">
      <c r="A46" s="29"/>
      <c r="B46" s="187" t="str">
        <f>IF($K$12&gt;0,"cycle d'exploitation ce qui entraine une","")</f>
        <v/>
      </c>
      <c r="C46" s="140"/>
      <c r="D46" s="187" t="str">
        <f>IF($K$12&lt;0,"besoins nés du cycle d'exploitation ce qui","")</f>
        <v>besoins nés du cycle d'exploitation ce qui</v>
      </c>
      <c r="E46" s="140"/>
      <c r="F46" s="29"/>
      <c r="G46" s="29"/>
      <c r="H46" s="29"/>
      <c r="I46" s="29"/>
      <c r="J46" s="29"/>
      <c r="K46" s="83"/>
      <c r="L46" s="83"/>
      <c r="M46" s="83"/>
      <c r="N46" s="29"/>
      <c r="O46" s="29"/>
      <c r="P46" s="29"/>
      <c r="Q46" s="29"/>
      <c r="R46" s="29"/>
      <c r="S46" s="29"/>
      <c r="T46" s="29"/>
      <c r="U46" s="29"/>
      <c r="V46" s="29"/>
      <c r="W46" s="29"/>
      <c r="X46" s="29"/>
      <c r="Y46" s="29"/>
      <c r="Z46" s="29"/>
    </row>
    <row r="47" spans="1:26" ht="14.25">
      <c r="A47" s="29"/>
      <c r="B47" s="187" t="str">
        <f>IF($K$12&gt;0,"trésorerie positive.","")</f>
        <v/>
      </c>
      <c r="C47" s="140"/>
      <c r="D47" s="187" t="str">
        <f>IF($K$12&lt;0,"conduit l'entreprise à recourir au","")</f>
        <v>conduit l'entreprise à recourir au</v>
      </c>
      <c r="E47" s="140"/>
      <c r="F47" s="29"/>
      <c r="G47" s="29"/>
      <c r="H47" s="29"/>
      <c r="I47" s="29"/>
      <c r="J47" s="29"/>
      <c r="K47" s="83"/>
      <c r="L47" s="83"/>
      <c r="M47" s="83"/>
      <c r="N47" s="29"/>
      <c r="O47" s="29"/>
      <c r="P47" s="29"/>
      <c r="Q47" s="29"/>
      <c r="R47" s="29"/>
      <c r="S47" s="29"/>
      <c r="T47" s="29"/>
      <c r="U47" s="29"/>
      <c r="V47" s="29"/>
      <c r="W47" s="29"/>
      <c r="X47" s="29"/>
      <c r="Y47" s="29"/>
      <c r="Z47" s="29"/>
    </row>
    <row r="48" spans="1:26" ht="14.25">
      <c r="A48" s="29"/>
      <c r="B48" s="140"/>
      <c r="C48" s="140"/>
      <c r="D48" s="187" t="str">
        <f>IF($K$12&lt;0,"découvert bancaire.","")</f>
        <v>découvert bancaire.</v>
      </c>
      <c r="E48" s="140"/>
      <c r="F48" s="29"/>
      <c r="G48" s="29"/>
      <c r="H48" s="29"/>
      <c r="I48" s="29"/>
      <c r="J48" s="29"/>
      <c r="K48" s="83"/>
      <c r="L48" s="83"/>
      <c r="M48" s="83"/>
      <c r="N48" s="29"/>
      <c r="O48" s="29"/>
      <c r="P48" s="29"/>
      <c r="Q48" s="29"/>
      <c r="R48" s="29"/>
      <c r="S48" s="29"/>
      <c r="T48" s="29"/>
      <c r="U48" s="29"/>
      <c r="V48" s="29"/>
      <c r="W48" s="29"/>
      <c r="X48" s="29"/>
      <c r="Y48" s="29"/>
      <c r="Z48" s="29"/>
    </row>
    <row r="49" spans="1:26" ht="14.25">
      <c r="A49" s="29"/>
      <c r="B49" s="140"/>
      <c r="C49" s="140"/>
      <c r="D49" s="140"/>
      <c r="E49" s="140"/>
      <c r="F49" s="29"/>
      <c r="G49" s="29"/>
      <c r="H49" s="29"/>
      <c r="I49" s="29"/>
      <c r="J49" s="29"/>
      <c r="K49" s="83"/>
      <c r="L49" s="83"/>
      <c r="M49" s="83"/>
      <c r="N49" s="29"/>
      <c r="O49" s="29"/>
      <c r="P49" s="29"/>
      <c r="Q49" s="29"/>
      <c r="R49" s="29"/>
      <c r="S49" s="29"/>
      <c r="T49" s="29"/>
      <c r="U49" s="29"/>
      <c r="V49" s="29"/>
      <c r="W49" s="29"/>
      <c r="X49" s="29"/>
      <c r="Y49" s="29"/>
      <c r="Z49" s="29"/>
    </row>
    <row r="50" spans="1:26" ht="14.25">
      <c r="A50" s="29"/>
      <c r="B50" s="140"/>
      <c r="C50" s="140"/>
      <c r="D50" s="140"/>
      <c r="E50" s="140"/>
      <c r="F50" s="29"/>
      <c r="G50" s="29"/>
      <c r="H50" s="29"/>
      <c r="I50" s="29"/>
      <c r="J50" s="29"/>
      <c r="K50" s="83"/>
      <c r="L50" s="83"/>
      <c r="M50" s="83"/>
      <c r="N50" s="29"/>
      <c r="O50" s="29"/>
      <c r="P50" s="29"/>
      <c r="Q50" s="29"/>
      <c r="R50" s="29"/>
      <c r="S50" s="29"/>
      <c r="T50" s="29"/>
      <c r="U50" s="29"/>
      <c r="V50" s="29"/>
      <c r="W50" s="29"/>
      <c r="X50" s="29"/>
      <c r="Y50" s="29"/>
      <c r="Z50" s="29"/>
    </row>
    <row r="51" spans="1:26">
      <c r="A51" s="63"/>
      <c r="B51" s="155" t="str">
        <f>TRIM(CivilAdht&amp; " " &amp; NomAdht)</f>
        <v/>
      </c>
      <c r="C51" s="42"/>
      <c r="D51" s="42"/>
      <c r="E51" s="134"/>
    </row>
  </sheetData>
  <phoneticPr fontId="16" type="noConversion"/>
  <printOptions horizontalCentered="1" verticalCentered="1"/>
  <pageMargins left="0.59055118110236227" right="0.39370078740157483" top="0.59055118110236227" bottom="0.59055118110236227" header="0.51181102362204722" footer="0.51181102362204722"/>
  <pageSetup paperSize="9" orientation="portrait" r:id="rId1"/>
  <headerFooter differentOddEven="1" alignWithMargins="0">
    <oddFooter>Page &amp;P</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O740"/>
  <sheetViews>
    <sheetView topLeftCell="A13" zoomScaleNormal="100" workbookViewId="0">
      <selection activeCell="K41" sqref="K41:K42"/>
    </sheetView>
  </sheetViews>
  <sheetFormatPr baseColWidth="10" defaultRowHeight="12.75" outlineLevelRow="1" outlineLevelCol="1"/>
  <cols>
    <col min="1" max="1" width="4.7109375" customWidth="1"/>
    <col min="2" max="2" width="36" customWidth="1"/>
    <col min="3" max="3" width="5.5703125" customWidth="1"/>
    <col min="4" max="4" width="34.7109375" customWidth="1"/>
    <col min="6" max="9" width="11.42578125" hidden="1" customWidth="1" outlineLevel="1"/>
    <col min="10" max="10" width="25.7109375" hidden="1" customWidth="1" outlineLevel="1"/>
    <col min="11" max="11" width="21" style="81" hidden="1" customWidth="1" outlineLevel="1"/>
    <col min="12" max="12" width="22" style="81" hidden="1" customWidth="1" outlineLevel="1"/>
    <col min="13" max="13" width="11.42578125" style="81" hidden="1" customWidth="1" outlineLevel="1"/>
    <col min="14" max="14" width="11.42578125" hidden="1" customWidth="1" outlineLevel="1"/>
    <col min="15" max="15" width="11.42578125" collapsed="1"/>
  </cols>
  <sheetData>
    <row r="1" spans="2:13">
      <c r="I1" t="s">
        <v>216</v>
      </c>
    </row>
    <row r="3" spans="2:13" ht="15">
      <c r="J3" s="12"/>
      <c r="K3" s="76" t="str">
        <f>"  au "&amp; TEXT(FinExN,"jj mmmm aaaa")</f>
        <v xml:space="preserve">  au 30 juin 2017</v>
      </c>
      <c r="L3" s="76" t="str">
        <f>"  au "&amp; TEXT(FinExN1,"jj mmmm aaaa")</f>
        <v xml:space="preserve">  au 30 juin 2016</v>
      </c>
      <c r="M3" s="80" t="s">
        <v>223</v>
      </c>
    </row>
    <row r="4" spans="2:13">
      <c r="J4" s="12" t="s">
        <v>10</v>
      </c>
      <c r="K4" s="80">
        <f>D_37199/100</f>
        <v>144</v>
      </c>
      <c r="L4" s="80">
        <f>D_37199_1/100</f>
        <v>143.86000000000001</v>
      </c>
      <c r="M4" s="80">
        <f>$K$4-$L$4</f>
        <v>0.13999999999998636</v>
      </c>
    </row>
    <row r="5" spans="2:13">
      <c r="J5" s="12" t="s">
        <v>217</v>
      </c>
      <c r="K5" s="80">
        <f>(D_37005/NbreMoisN)*12</f>
        <v>135216</v>
      </c>
      <c r="L5" s="80">
        <f>(D_37005_1/NbreMoisN1)*12</f>
        <v>226994</v>
      </c>
      <c r="M5" s="80">
        <f>(K5-L5)/L5*100</f>
        <v>-40.43190568913716</v>
      </c>
    </row>
    <row r="6" spans="2:13">
      <c r="J6" s="12" t="s">
        <v>218</v>
      </c>
      <c r="K6" s="80">
        <f>(D_37021/NbreMoisN)*12</f>
        <v>939</v>
      </c>
      <c r="L6" s="80">
        <f>(D_37021_1/NbreMoisN1)*12</f>
        <v>1577.88</v>
      </c>
      <c r="M6" s="80">
        <f t="shared" ref="M6:M12" si="0">(K6-L6)/L6*100</f>
        <v>-40.489771085253636</v>
      </c>
    </row>
    <row r="7" spans="2:13">
      <c r="J7" s="12" t="s">
        <v>219</v>
      </c>
      <c r="K7" s="80">
        <f>D_37025</f>
        <v>-250.25</v>
      </c>
      <c r="L7" s="80">
        <f>D_37025_1</f>
        <v>401.11</v>
      </c>
      <c r="M7" s="80">
        <f t="shared" si="0"/>
        <v>-162.38936949963849</v>
      </c>
    </row>
    <row r="8" spans="2:13">
      <c r="J8" s="12" t="s">
        <v>220</v>
      </c>
      <c r="K8" s="80">
        <f>+D_37141</f>
        <v>2.75</v>
      </c>
      <c r="L8" s="80">
        <f>+D_37141_1</f>
        <v>1.55</v>
      </c>
      <c r="M8" s="80">
        <f t="shared" si="0"/>
        <v>77.41935483870968</v>
      </c>
    </row>
    <row r="9" spans="2:13">
      <c r="J9" s="12" t="s">
        <v>215</v>
      </c>
      <c r="K9" s="80">
        <f>+D_37014</f>
        <v>-27622</v>
      </c>
      <c r="L9" s="80">
        <f>+D_37014_1</f>
        <v>49204</v>
      </c>
      <c r="M9" s="80">
        <f t="shared" si="0"/>
        <v>-156.13771238110724</v>
      </c>
    </row>
    <row r="10" spans="2:13" ht="14.25">
      <c r="B10" s="39"/>
      <c r="J10" s="12" t="s">
        <v>222</v>
      </c>
      <c r="K10" s="80">
        <f>D_37128</f>
        <v>24821</v>
      </c>
      <c r="L10" s="80">
        <f>D_37128_1</f>
        <v>38629</v>
      </c>
      <c r="M10" s="80">
        <f t="shared" si="0"/>
        <v>-35.745165549198788</v>
      </c>
    </row>
    <row r="11" spans="2:13" s="52" customFormat="1" ht="14.25">
      <c r="B11" s="52" t="s">
        <v>109</v>
      </c>
      <c r="D11" s="52" t="s">
        <v>110</v>
      </c>
      <c r="J11" s="66" t="s">
        <v>24</v>
      </c>
      <c r="K11" s="80">
        <f>D_37181</f>
        <v>56797</v>
      </c>
      <c r="L11" s="80">
        <f>D_37181_1</f>
        <v>75604</v>
      </c>
      <c r="M11" s="80">
        <f t="shared" si="0"/>
        <v>-24.875667954076505</v>
      </c>
    </row>
    <row r="12" spans="2:13" s="42" customFormat="1" ht="23.25" customHeight="1">
      <c r="J12" s="69" t="s">
        <v>25</v>
      </c>
      <c r="K12" s="82">
        <f>D_37103</f>
        <v>-31346</v>
      </c>
      <c r="L12" s="82">
        <f>D_37103_1</f>
        <v>-25018</v>
      </c>
      <c r="M12" s="82">
        <f t="shared" si="0"/>
        <v>25.293788472299944</v>
      </c>
    </row>
    <row r="13" spans="2:13" s="42" customFormat="1" ht="15">
      <c r="C13" s="186" t="s">
        <v>111</v>
      </c>
      <c r="J13" s="70" t="s">
        <v>209</v>
      </c>
      <c r="K13" s="82">
        <f>D_37060</f>
        <v>93183</v>
      </c>
      <c r="L13" s="82">
        <f>D_37060_1</f>
        <v>85661</v>
      </c>
      <c r="M13" s="82">
        <f>(K13-L13)/L13*100</f>
        <v>8.7811255997478437</v>
      </c>
    </row>
    <row r="14" spans="2:13" s="29" customFormat="1" ht="14.25">
      <c r="B14" s="140"/>
      <c r="C14" s="140"/>
      <c r="D14" s="140"/>
      <c r="J14" s="69" t="s">
        <v>315</v>
      </c>
      <c r="K14" s="108">
        <f xml:space="preserve"> R_722</f>
        <v>3722</v>
      </c>
      <c r="L14" s="108">
        <f xml:space="preserve"> R_722_1</f>
        <v>3511</v>
      </c>
      <c r="M14" s="82">
        <f>(K14-L14)/L14*100</f>
        <v>6.0096838507547705</v>
      </c>
    </row>
    <row r="15" spans="2:13" s="29" customFormat="1" ht="14.25">
      <c r="B15" s="187" t="str">
        <f>IF($K$4&gt;$L$4,"Votre superficie d'exploitation a augmenté","")</f>
        <v>Votre superficie d'exploitation a augmenté</v>
      </c>
      <c r="C15" s="140"/>
      <c r="D15" s="187" t="str">
        <f>IF($L$4&gt;$K$4,"Votre superficie d'exploitation a diminué","")</f>
        <v/>
      </c>
      <c r="J15" s="12" t="s">
        <v>221</v>
      </c>
      <c r="K15" s="80">
        <f>+D_37015</f>
        <v>-27622</v>
      </c>
      <c r="L15" s="80">
        <f>+D_37015_1</f>
        <v>49204</v>
      </c>
      <c r="M15" s="80">
        <f>(K15-L15)/L15*100</f>
        <v>-156.13771238110724</v>
      </c>
    </row>
    <row r="16" spans="2:13" s="29" customFormat="1" ht="14.25">
      <c r="B16" s="187" t="str">
        <f>IF($K$4&gt;$L$4,"de "&amp;FIXED($M$4,2)&amp;" hectares.","")</f>
        <v>de 0,14 hectares.</v>
      </c>
      <c r="C16" s="140"/>
      <c r="D16" s="187" t="str">
        <f>IF($L$4&gt;$K$4,"de "&amp;FIXED($M$4,2)&amp;" hectares.","")</f>
        <v/>
      </c>
      <c r="K16" s="83"/>
      <c r="L16" s="83"/>
      <c r="M16" s="83"/>
    </row>
    <row r="17" spans="2:13" s="29" customFormat="1" ht="14.25">
      <c r="B17" s="187"/>
      <c r="C17" s="140"/>
      <c r="D17" s="187"/>
      <c r="K17" s="83"/>
      <c r="L17" s="83"/>
      <c r="M17" s="83"/>
    </row>
    <row r="18" spans="2:13" s="29" customFormat="1" ht="14.25">
      <c r="B18" s="187" t="str">
        <f>IF((D_37005/NbreMoisN)*12&gt;(D_37005_1/NbreMoisN1)*12,"Votre produit total en valeur a augmenté","")</f>
        <v/>
      </c>
      <c r="C18" s="140"/>
      <c r="D18" s="187" t="str">
        <f>IF((D_37005/NbreMoisN)*12&lt;(D_37005_1/NbreMoisN1)*12,"Votre produit total en valeur a diminué","")</f>
        <v>Votre produit total en valeur a diminué</v>
      </c>
      <c r="K18" s="83"/>
      <c r="L18" s="83"/>
      <c r="M18" s="83"/>
    </row>
    <row r="19" spans="2:13" s="29" customFormat="1" ht="14.25">
      <c r="B19" s="187" t="str">
        <f>IF((D_37005/NbreMoisN)*12&gt;(D_37005_1/NbreMoisN1)*12,"de "&amp;FIXED($M$5,2)&amp;" % .","")</f>
        <v/>
      </c>
      <c r="C19" s="140"/>
      <c r="D19" s="187" t="str">
        <f>IF((D_37005/NbreMoisN)*12&lt;(D_37005_1/NbreMoisN1)*12,"de "&amp;FIXED($M$5,2)&amp;" % .","")</f>
        <v>de -40,43 % .</v>
      </c>
      <c r="K19" s="83"/>
      <c r="L19" s="83"/>
      <c r="M19" s="83"/>
    </row>
    <row r="20" spans="2:13" s="29" customFormat="1" ht="14.25">
      <c r="B20" s="187"/>
      <c r="C20" s="140"/>
      <c r="D20" s="187"/>
      <c r="K20" s="83"/>
      <c r="L20" s="83"/>
      <c r="M20" s="83"/>
    </row>
    <row r="21" spans="2:13" s="29" customFormat="1" ht="14.25">
      <c r="B21" s="187" t="str">
        <f>IF((D_37021/NbreMoisN)*12&gt;(D_37021_1/NbreMoisN1)*12,"Votre produit brut à l'hectare a augmenté","")</f>
        <v/>
      </c>
      <c r="C21" s="140"/>
      <c r="D21" s="187" t="str">
        <f>IF((D_37021/NbreMoisN)*12&lt;(D_37021_1/NbreMoisN1)*12,"Votre produit brut à l'hectare a diminué","")</f>
        <v>Votre produit brut à l'hectare a diminué</v>
      </c>
      <c r="K21" s="83"/>
      <c r="L21" s="83"/>
      <c r="M21" s="83"/>
    </row>
    <row r="22" spans="2:13" s="29" customFormat="1" ht="14.25">
      <c r="B22" s="187" t="str">
        <f>IF((D_37021/NbreMoisN)*12&gt;(D_37021_1/NbreMoisN1)*12,"de "&amp;FIXED($M$6,2)&amp;" % .","")</f>
        <v/>
      </c>
      <c r="C22" s="140"/>
      <c r="D22" s="187" t="str">
        <f>IF((D_37021/NbreMoisN)*12&lt;(D_37021_1/NbreMoisN1)*12,"de "&amp;FIXED($M$6,2)&amp;" % .","")</f>
        <v>de -40,49 % .</v>
      </c>
      <c r="K22" s="83"/>
      <c r="L22" s="83"/>
      <c r="M22" s="83"/>
    </row>
    <row r="23" spans="2:13" s="29" customFormat="1" ht="14.25">
      <c r="B23" s="187"/>
      <c r="C23" s="140"/>
      <c r="D23" s="187"/>
      <c r="K23" s="83"/>
      <c r="L23" s="83"/>
      <c r="M23" s="83"/>
    </row>
    <row r="24" spans="2:13" s="29" customFormat="1" ht="14.25">
      <c r="B24" s="187" t="str">
        <f>IF($K$7&gt;$L$7,"Votre valeur ajoutée à l'hectare a","")</f>
        <v/>
      </c>
      <c r="C24" s="140"/>
      <c r="D24" s="187" t="str">
        <f>IF($K$7&lt;$L$7,"Votre valeur ajoutée à l'hectare a","")</f>
        <v>Votre valeur ajoutée à l'hectare a</v>
      </c>
      <c r="K24" s="83"/>
      <c r="L24" s="83"/>
      <c r="M24" s="83"/>
    </row>
    <row r="25" spans="2:13" s="29" customFormat="1" ht="14.25">
      <c r="B25" s="187" t="str">
        <f>IF($K$7&gt;$L$7,"progressé de "&amp;FIXED($M$7,2)&amp;" %.","")</f>
        <v/>
      </c>
      <c r="C25" s="140"/>
      <c r="D25" s="187" t="str">
        <f>IF($K$7&lt;$L$7,"chuté de "&amp;FIXED($M$7,2)&amp;" %.","")</f>
        <v>chuté de -162,39 %.</v>
      </c>
      <c r="K25" s="83"/>
      <c r="L25" s="83"/>
      <c r="M25" s="83"/>
    </row>
    <row r="26" spans="2:13" s="29" customFormat="1" ht="14.25">
      <c r="B26" s="140"/>
      <c r="C26" s="140"/>
      <c r="D26" s="140"/>
      <c r="K26" s="83"/>
      <c r="L26" s="83"/>
      <c r="M26" s="83"/>
    </row>
    <row r="27" spans="2:13" s="29" customFormat="1" ht="14.25">
      <c r="B27" s="187" t="str">
        <f>IF($K$14&lt;$L$14,"Nette diminution des charges financières.","")</f>
        <v/>
      </c>
      <c r="C27" s="140"/>
      <c r="D27" s="187" t="str">
        <f>IF($K$14&gt;$L$14,"Nette augmentation des charges financières.","")</f>
        <v>Nette augmentation des charges financières.</v>
      </c>
      <c r="K27" s="83"/>
      <c r="L27" s="83"/>
      <c r="M27" s="83"/>
    </row>
    <row r="28" spans="2:13" s="29" customFormat="1" ht="14.25">
      <c r="B28" s="187" t="str">
        <f>IF($K$14&lt;$L$14,"Elles absorbent toutefois "&amp;FIXED($K$8,2)&amp;" % de votre","")</f>
        <v/>
      </c>
      <c r="C28" s="140"/>
      <c r="D28" s="187" t="str">
        <f>IF($K$14&gt;$L$14,"Elles absorbent "&amp;FIXED($K$8,2)&amp;" % de votre chiffre","")</f>
        <v>Elles absorbent 2,75 % de votre chiffre</v>
      </c>
      <c r="K28" s="83"/>
      <c r="L28" s="83"/>
      <c r="M28" s="83"/>
    </row>
    <row r="29" spans="2:13" s="29" customFormat="1" ht="14.25">
      <c r="B29" s="187" t="str">
        <f>IF($K$14&lt;$L$14,"chiffre d'affaires.","")</f>
        <v/>
      </c>
      <c r="C29" s="140"/>
      <c r="D29" s="187" t="str">
        <f>IF($K$14&gt;$L$14,"d'affaires.","")</f>
        <v>d'affaires.</v>
      </c>
      <c r="K29" s="83"/>
      <c r="L29" s="83"/>
      <c r="M29" s="83"/>
    </row>
    <row r="30" spans="2:13" s="29" customFormat="1" ht="14.25">
      <c r="B30" s="187"/>
      <c r="C30" s="140"/>
      <c r="D30" s="140"/>
      <c r="K30" s="83"/>
      <c r="L30" s="83"/>
      <c r="M30" s="83"/>
    </row>
    <row r="31" spans="2:13" s="29" customFormat="1" ht="14.25">
      <c r="B31" s="187" t="str">
        <f>IF($K$9&gt;$L$9,"Très bonne progression du résultat courant","")</f>
        <v/>
      </c>
      <c r="C31" s="140"/>
      <c r="D31" s="187" t="str">
        <f>IF($L$9&gt;$K$9,"Votre résultat courant accuse une baisse en","")</f>
        <v>Votre résultat courant accuse une baisse en</v>
      </c>
      <c r="K31" s="83"/>
      <c r="L31" s="83"/>
      <c r="M31" s="83"/>
    </row>
    <row r="32" spans="2:13" s="29" customFormat="1" ht="14.25">
      <c r="B32" s="187" t="str">
        <f>IF($K$9&gt;$L$9,"tant en valeur absolue qu'en pourcentage","")</f>
        <v/>
      </c>
      <c r="C32" s="140"/>
      <c r="D32" s="187" t="str">
        <f>IF($L$9&gt;$K$9,"pourcentage du chiffre d'affaires et chute","")</f>
        <v>pourcentage du chiffre d'affaires et chute</v>
      </c>
      <c r="K32" s="83"/>
      <c r="L32" s="83"/>
      <c r="M32" s="83"/>
    </row>
    <row r="33" spans="2:13" s="29" customFormat="1" ht="14.25">
      <c r="B33" s="187" t="str">
        <f>IF($K$9&gt;$L$9,"du chiffre d'affaires réalisé.","")</f>
        <v/>
      </c>
      <c r="C33" s="140"/>
      <c r="D33" s="187" t="str">
        <f>IF($L$9&gt;$K$9,"en valeur absolue.","")</f>
        <v>en valeur absolue.</v>
      </c>
      <c r="K33" s="83"/>
      <c r="L33" s="83"/>
      <c r="M33" s="83"/>
    </row>
    <row r="34" spans="2:13" s="29" customFormat="1" ht="23.25" customHeight="1">
      <c r="B34" s="187"/>
      <c r="C34" s="140"/>
      <c r="D34" s="140"/>
      <c r="K34" s="83"/>
      <c r="L34" s="83"/>
      <c r="M34" s="83"/>
    </row>
    <row r="35" spans="2:13" s="29" customFormat="1" ht="15">
      <c r="B35" s="140"/>
      <c r="C35" s="186" t="s">
        <v>112</v>
      </c>
      <c r="D35" s="140"/>
      <c r="K35" s="83"/>
      <c r="L35" s="83"/>
      <c r="M35" s="83"/>
    </row>
    <row r="36" spans="2:13" s="29" customFormat="1" ht="14.25">
      <c r="B36" s="140"/>
      <c r="C36" s="140"/>
      <c r="D36" s="140"/>
      <c r="K36" s="83"/>
      <c r="L36" s="83"/>
      <c r="M36" s="83"/>
    </row>
    <row r="37" spans="2:13" s="29" customFormat="1" ht="14.25">
      <c r="B37" s="187" t="str">
        <f>IF($K$10&lt;$K$15,"Vos prélèvements personnels sont","")</f>
        <v/>
      </c>
      <c r="C37" s="140"/>
      <c r="D37" s="187" t="str">
        <f>IF($K$10&gt;$K$15,"Vos prélèvements personnels sont","")</f>
        <v>Vos prélèvements personnels sont</v>
      </c>
      <c r="K37" s="83"/>
      <c r="L37" s="83"/>
      <c r="M37" s="83"/>
    </row>
    <row r="38" spans="2:13" s="29" customFormat="1" ht="14.25">
      <c r="B38" s="187" t="str">
        <f>IF($K$10&lt;$K$15,"inférieurs à votre bénéfice.","")</f>
        <v/>
      </c>
      <c r="C38" s="140"/>
      <c r="D38" s="187" t="str">
        <f>IF($K$10&gt;$K$15,"supérieurs à votre bénéfice.","")</f>
        <v>supérieurs à votre bénéfice.</v>
      </c>
      <c r="K38" s="83"/>
      <c r="L38" s="83"/>
      <c r="M38" s="83"/>
    </row>
    <row r="39" spans="2:13" s="29" customFormat="1" ht="14.25">
      <c r="B39" s="187"/>
      <c r="C39" s="140"/>
      <c r="D39" s="187"/>
      <c r="K39" s="83"/>
      <c r="L39" s="83"/>
      <c r="M39" s="83"/>
    </row>
    <row r="40" spans="2:13" s="29" customFormat="1" ht="14.25">
      <c r="B40" s="187" t="str">
        <f>IF($M$11&gt;0,"L'autofinancement* à lui seul a couvert les","")</f>
        <v/>
      </c>
      <c r="C40" s="140"/>
      <c r="D40" s="187" t="str">
        <f>IF($M$11&lt;0,"L'autofinancement* disponible et les autres","")</f>
        <v>L'autofinancement* disponible et les autres</v>
      </c>
      <c r="K40" s="83"/>
      <c r="L40" s="83"/>
      <c r="M40" s="83"/>
    </row>
    <row r="41" spans="2:13" s="29" customFormat="1" ht="14.25">
      <c r="B41" s="187" t="str">
        <f>IF($M$11&gt;0,"emplois de la période et a permis de","")</f>
        <v/>
      </c>
      <c r="C41" s="140"/>
      <c r="D41" s="187" t="str">
        <f>IF($M$11&lt;0,"ressources n'ont pas suffi à couvrir la","")</f>
        <v>ressources n'ont pas suffi à couvrir la</v>
      </c>
      <c r="K41" s="83"/>
      <c r="L41" s="83"/>
      <c r="M41" s="83"/>
    </row>
    <row r="42" spans="2:13" s="29" customFormat="1" ht="14.25">
      <c r="B42" s="187" t="str">
        <f>IF($M$11&gt;0,"dégager une variation positive du fonds","")</f>
        <v/>
      </c>
      <c r="C42" s="140"/>
      <c r="D42" s="187" t="str">
        <f>IF($M$11&lt;0,"totalité des emplois, d'où une variation","")</f>
        <v>totalité des emplois, d'où une variation</v>
      </c>
      <c r="K42" s="83"/>
      <c r="L42" s="83"/>
      <c r="M42" s="83"/>
    </row>
    <row r="43" spans="2:13" s="29" customFormat="1" ht="14.25">
      <c r="B43" s="187" t="str">
        <f>IF($M$11&gt;0,"de roulement.","")</f>
        <v/>
      </c>
      <c r="C43" s="140"/>
      <c r="D43" s="187" t="str">
        <f>IF($M$11&lt;0,"négative du fonds de roulement.","")</f>
        <v>négative du fonds de roulement.</v>
      </c>
      <c r="K43" s="83"/>
      <c r="L43" s="83"/>
      <c r="M43" s="83"/>
    </row>
    <row r="44" spans="2:13" s="29" customFormat="1" ht="14.25">
      <c r="B44" s="140"/>
      <c r="C44" s="140"/>
      <c r="D44" s="140"/>
      <c r="K44" s="83"/>
      <c r="L44" s="83"/>
      <c r="M44" s="83"/>
    </row>
    <row r="45" spans="2:13" s="29" customFormat="1" ht="14.25">
      <c r="B45" s="187" t="str">
        <f>IF($K$12&gt;0,"Celui-ci est adapté aux besoins nés du","")</f>
        <v/>
      </c>
      <c r="C45" s="140"/>
      <c r="D45" s="187" t="str">
        <f>IF($K$12&lt;0,"Celui-ci est insuffisant pour couvrir les","")</f>
        <v>Celui-ci est insuffisant pour couvrir les</v>
      </c>
      <c r="K45" s="83"/>
      <c r="L45" s="83"/>
      <c r="M45" s="83"/>
    </row>
    <row r="46" spans="2:13" s="29" customFormat="1" ht="14.25">
      <c r="B46" s="187" t="str">
        <f>IF($K$12&gt;0,"cycle d'exploitation ce qui entraine une","")</f>
        <v/>
      </c>
      <c r="C46" s="140"/>
      <c r="D46" s="187" t="str">
        <f>IF($K$12&lt;0,"besoins nés du cycle d'exploitation ce qui","")</f>
        <v>besoins nés du cycle d'exploitation ce qui</v>
      </c>
      <c r="K46" s="83"/>
      <c r="L46" s="83"/>
      <c r="M46" s="83"/>
    </row>
    <row r="47" spans="2:13" s="29" customFormat="1" ht="14.25">
      <c r="B47" s="187" t="str">
        <f>IF($K$12&gt;0,"trésorerie positive.","")</f>
        <v/>
      </c>
      <c r="C47" s="140"/>
      <c r="D47" s="187" t="str">
        <f>IF($K$12&lt;0,"conduit l'entreprise à recourir au","")</f>
        <v>conduit l'entreprise à recourir au</v>
      </c>
      <c r="K47" s="83"/>
      <c r="L47" s="83"/>
      <c r="M47" s="83"/>
    </row>
    <row r="48" spans="2:13" s="29" customFormat="1" ht="14.25">
      <c r="B48" s="140"/>
      <c r="C48" s="140"/>
      <c r="D48" s="187" t="str">
        <f>IF($K$12&lt;0,"découvert bancaire.","")</f>
        <v>découvert bancaire.</v>
      </c>
      <c r="K48" s="83"/>
      <c r="L48" s="83"/>
      <c r="M48" s="83"/>
    </row>
    <row r="49" spans="1:13" s="29" customFormat="1" ht="14.25">
      <c r="B49" s="140"/>
      <c r="C49" s="140"/>
      <c r="D49" s="140"/>
      <c r="K49" s="83"/>
      <c r="L49" s="83"/>
      <c r="M49" s="83"/>
    </row>
    <row r="50" spans="1:13" s="29" customFormat="1" ht="14.25">
      <c r="B50" s="42" t="str">
        <f>IF(OR(B59="06",B59="05"), "*Influencé par la présence d'une créance DPU de la récolte suivante", " ")</f>
        <v>*Influencé par la présence d'une créance DPU de la récolte suivante</v>
      </c>
      <c r="C50" s="140"/>
      <c r="D50" s="140"/>
      <c r="K50" s="83"/>
      <c r="L50" s="83"/>
      <c r="M50" s="83"/>
    </row>
    <row r="51" spans="1:13">
      <c r="A51" s="63"/>
      <c r="B51" s="155" t="str">
        <f>TRIM(CivilAdht&amp; " " &amp; NomAdht)</f>
        <v/>
      </c>
      <c r="C51" s="42"/>
      <c r="D51" s="42"/>
      <c r="E51" s="15"/>
    </row>
    <row r="52" spans="1:13">
      <c r="B52" s="42"/>
      <c r="C52" s="42"/>
      <c r="D52" s="42"/>
    </row>
    <row r="53" spans="1:13" hidden="1" outlineLevel="1">
      <c r="B53" s="42"/>
      <c r="C53" s="42"/>
      <c r="D53" s="42"/>
    </row>
    <row r="54" spans="1:13" hidden="1" outlineLevel="1">
      <c r="B54" s="42"/>
      <c r="C54" s="42"/>
      <c r="D54" s="42"/>
    </row>
    <row r="55" spans="1:13" ht="32.25" hidden="1" customHeight="1" outlineLevel="1">
      <c r="B55" s="42"/>
      <c r="C55" s="42"/>
      <c r="D55" s="42"/>
    </row>
    <row r="56" spans="1:13" hidden="1" outlineLevel="1">
      <c r="B56" s="42"/>
      <c r="C56" s="42"/>
      <c r="D56" s="42"/>
    </row>
    <row r="57" spans="1:13" hidden="1" outlineLevel="1">
      <c r="B57" s="42" t="str">
        <f>FinExN</f>
        <v>30/06/2017</v>
      </c>
      <c r="C57" s="42"/>
      <c r="D57" s="42"/>
    </row>
    <row r="58" spans="1:13" hidden="1" outlineLevel="1">
      <c r="B58" s="42" t="str">
        <f>LEFT(B57,5)</f>
        <v>30/06</v>
      </c>
      <c r="C58" s="42"/>
      <c r="D58" s="42"/>
    </row>
    <row r="59" spans="1:13" hidden="1" outlineLevel="1">
      <c r="B59" s="42" t="str">
        <f>RIGHT(B58,2)</f>
        <v>06</v>
      </c>
      <c r="C59" s="42"/>
      <c r="D59" s="42"/>
    </row>
    <row r="60" spans="1:13" hidden="1" outlineLevel="1">
      <c r="B60" s="42" t="str">
        <f>IF(OR(B59="06",B59="05"),"*Influencé par la présence d'une créance DPU de la récolte suivante", " ")</f>
        <v>*Influencé par la présence d'une créance DPU de la récolte suivante</v>
      </c>
      <c r="C60" s="42"/>
      <c r="D60" s="42"/>
    </row>
    <row r="61" spans="1:13" collapsed="1">
      <c r="B61" s="42"/>
      <c r="C61" s="42"/>
      <c r="D61" s="42"/>
    </row>
    <row r="62" spans="1:13">
      <c r="B62" s="42"/>
      <c r="C62" s="42"/>
      <c r="D62" s="42"/>
    </row>
    <row r="63" spans="1:13">
      <c r="B63" s="42"/>
      <c r="C63" s="42"/>
      <c r="D63" s="42"/>
    </row>
    <row r="64" spans="1:13">
      <c r="B64" s="42"/>
      <c r="C64" s="42"/>
      <c r="D64" s="42"/>
    </row>
    <row r="65" spans="2:4">
      <c r="B65" s="42"/>
      <c r="C65" s="42"/>
      <c r="D65" s="42"/>
    </row>
    <row r="66" spans="2:4">
      <c r="B66" s="42"/>
      <c r="C66" s="42"/>
      <c r="D66" s="42"/>
    </row>
    <row r="67" spans="2:4">
      <c r="B67" s="42"/>
      <c r="C67" s="42"/>
      <c r="D67" s="42"/>
    </row>
    <row r="68" spans="2:4">
      <c r="B68" s="42"/>
      <c r="C68" s="42"/>
      <c r="D68" s="42"/>
    </row>
    <row r="69" spans="2:4">
      <c r="B69" s="42"/>
      <c r="C69" s="42"/>
      <c r="D69" s="42"/>
    </row>
    <row r="70" spans="2:4">
      <c r="B70" s="42"/>
      <c r="C70" s="42"/>
      <c r="D70" s="42"/>
    </row>
    <row r="71" spans="2:4">
      <c r="B71" s="42"/>
      <c r="C71" s="42"/>
      <c r="D71" s="42"/>
    </row>
    <row r="72" spans="2:4">
      <c r="B72" s="42"/>
      <c r="C72" s="42"/>
      <c r="D72" s="42"/>
    </row>
    <row r="73" spans="2:4">
      <c r="B73" s="42"/>
      <c r="C73" s="42"/>
      <c r="D73" s="42"/>
    </row>
    <row r="74" spans="2:4">
      <c r="B74" s="42"/>
      <c r="C74" s="42"/>
      <c r="D74" s="42"/>
    </row>
    <row r="75" spans="2:4">
      <c r="B75" s="42"/>
      <c r="C75" s="42"/>
      <c r="D75" s="42"/>
    </row>
    <row r="76" spans="2:4">
      <c r="B76" s="42"/>
      <c r="C76" s="42"/>
      <c r="D76" s="42"/>
    </row>
    <row r="77" spans="2:4">
      <c r="B77" s="42"/>
      <c r="C77" s="42"/>
      <c r="D77" s="42"/>
    </row>
    <row r="78" spans="2:4">
      <c r="B78" s="42"/>
      <c r="C78" s="42"/>
      <c r="D78" s="42"/>
    </row>
    <row r="79" spans="2:4">
      <c r="B79" s="42"/>
      <c r="C79" s="42"/>
      <c r="D79" s="42"/>
    </row>
    <row r="80" spans="2:4">
      <c r="B80" s="42"/>
      <c r="C80" s="42"/>
      <c r="D80" s="42"/>
    </row>
    <row r="81" spans="2:4">
      <c r="B81" s="42"/>
      <c r="C81" s="42"/>
      <c r="D81" s="42"/>
    </row>
    <row r="82" spans="2:4">
      <c r="B82" s="42"/>
      <c r="C82" s="42"/>
      <c r="D82" s="42"/>
    </row>
    <row r="83" spans="2:4">
      <c r="B83" s="42"/>
      <c r="C83" s="42"/>
      <c r="D83" s="42"/>
    </row>
    <row r="84" spans="2:4">
      <c r="B84" s="42"/>
      <c r="C84" s="42"/>
      <c r="D84" s="42"/>
    </row>
    <row r="85" spans="2:4">
      <c r="B85" s="42"/>
      <c r="C85" s="42"/>
      <c r="D85" s="42"/>
    </row>
    <row r="86" spans="2:4">
      <c r="B86" s="42"/>
      <c r="C86" s="42"/>
      <c r="D86" s="42"/>
    </row>
    <row r="87" spans="2:4">
      <c r="B87" s="42"/>
      <c r="C87" s="42"/>
      <c r="D87" s="42"/>
    </row>
    <row r="88" spans="2:4">
      <c r="B88" s="42"/>
      <c r="C88" s="42"/>
      <c r="D88" s="42"/>
    </row>
    <row r="89" spans="2:4">
      <c r="B89" s="42"/>
      <c r="C89" s="42"/>
      <c r="D89" s="42"/>
    </row>
    <row r="90" spans="2:4">
      <c r="B90" s="42"/>
      <c r="C90" s="42"/>
      <c r="D90" s="42"/>
    </row>
    <row r="91" spans="2:4">
      <c r="B91" s="42"/>
      <c r="C91" s="42"/>
      <c r="D91" s="42"/>
    </row>
    <row r="92" spans="2:4">
      <c r="B92" s="42"/>
      <c r="C92" s="42"/>
      <c r="D92" s="42"/>
    </row>
    <row r="93" spans="2:4">
      <c r="B93" s="42"/>
      <c r="C93" s="42"/>
      <c r="D93" s="42"/>
    </row>
    <row r="94" spans="2:4">
      <c r="B94" s="42"/>
      <c r="C94" s="42"/>
      <c r="D94" s="42"/>
    </row>
    <row r="95" spans="2:4">
      <c r="B95" s="42"/>
      <c r="C95" s="42"/>
      <c r="D95" s="42"/>
    </row>
    <row r="96" spans="2:4">
      <c r="B96" s="42"/>
      <c r="C96" s="42"/>
      <c r="D96" s="42"/>
    </row>
    <row r="97" spans="2:4">
      <c r="B97" s="42"/>
      <c r="C97" s="42"/>
      <c r="D97" s="42"/>
    </row>
    <row r="98" spans="2:4">
      <c r="B98" s="42"/>
      <c r="C98" s="42"/>
      <c r="D98" s="42"/>
    </row>
    <row r="99" spans="2:4">
      <c r="B99" s="42"/>
      <c r="C99" s="42"/>
      <c r="D99" s="42"/>
    </row>
    <row r="100" spans="2:4">
      <c r="B100" s="42"/>
      <c r="C100" s="42"/>
      <c r="D100" s="42"/>
    </row>
    <row r="101" spans="2:4">
      <c r="B101" s="42"/>
      <c r="C101" s="42"/>
      <c r="D101" s="42"/>
    </row>
    <row r="102" spans="2:4">
      <c r="B102" s="42"/>
      <c r="C102" s="42"/>
      <c r="D102" s="42"/>
    </row>
    <row r="103" spans="2:4">
      <c r="B103" s="42"/>
      <c r="C103" s="42"/>
      <c r="D103" s="42"/>
    </row>
    <row r="104" spans="2:4">
      <c r="B104" s="42"/>
      <c r="C104" s="42"/>
      <c r="D104" s="42"/>
    </row>
    <row r="105" spans="2:4">
      <c r="B105" s="42"/>
      <c r="C105" s="42"/>
      <c r="D105" s="42"/>
    </row>
    <row r="106" spans="2:4">
      <c r="B106" s="42"/>
      <c r="C106" s="42"/>
      <c r="D106" s="42"/>
    </row>
    <row r="107" spans="2:4">
      <c r="B107" s="42"/>
      <c r="C107" s="42"/>
      <c r="D107" s="42"/>
    </row>
    <row r="108" spans="2:4">
      <c r="B108" s="42"/>
      <c r="C108" s="42"/>
      <c r="D108" s="42"/>
    </row>
    <row r="109" spans="2:4">
      <c r="B109" s="42"/>
      <c r="C109" s="42"/>
      <c r="D109" s="42"/>
    </row>
    <row r="110" spans="2:4">
      <c r="B110" s="42"/>
      <c r="C110" s="42"/>
      <c r="D110" s="42"/>
    </row>
    <row r="111" spans="2:4">
      <c r="B111" s="42"/>
      <c r="C111" s="42"/>
      <c r="D111" s="42"/>
    </row>
    <row r="112" spans="2:4">
      <c r="B112" s="42"/>
      <c r="C112" s="42"/>
      <c r="D112" s="42"/>
    </row>
    <row r="113" spans="2:4">
      <c r="B113" s="42"/>
      <c r="C113" s="42"/>
      <c r="D113" s="42"/>
    </row>
    <row r="114" spans="2:4">
      <c r="B114" s="42"/>
      <c r="C114" s="42"/>
      <c r="D114" s="42"/>
    </row>
    <row r="115" spans="2:4">
      <c r="B115" s="42"/>
      <c r="C115" s="42"/>
      <c r="D115" s="42"/>
    </row>
    <row r="116" spans="2:4">
      <c r="B116" s="42"/>
      <c r="C116" s="42"/>
      <c r="D116" s="42"/>
    </row>
    <row r="117" spans="2:4">
      <c r="B117" s="42"/>
      <c r="C117" s="42"/>
      <c r="D117" s="42"/>
    </row>
    <row r="118" spans="2:4">
      <c r="B118" s="42"/>
      <c r="C118" s="42"/>
      <c r="D118" s="42"/>
    </row>
    <row r="119" spans="2:4">
      <c r="B119" s="42"/>
      <c r="C119" s="42"/>
      <c r="D119" s="42"/>
    </row>
    <row r="120" spans="2:4">
      <c r="B120" s="42"/>
      <c r="C120" s="42"/>
      <c r="D120" s="42"/>
    </row>
    <row r="121" spans="2:4">
      <c r="B121" s="42"/>
      <c r="C121" s="42"/>
      <c r="D121" s="42"/>
    </row>
    <row r="122" spans="2:4">
      <c r="B122" s="42"/>
      <c r="C122" s="42"/>
      <c r="D122" s="42"/>
    </row>
    <row r="123" spans="2:4">
      <c r="B123" s="42"/>
      <c r="C123" s="42"/>
      <c r="D123" s="42"/>
    </row>
    <row r="124" spans="2:4">
      <c r="B124" s="42"/>
      <c r="C124" s="42"/>
      <c r="D124" s="42"/>
    </row>
    <row r="125" spans="2:4">
      <c r="B125" s="42"/>
      <c r="C125" s="42"/>
      <c r="D125" s="42"/>
    </row>
    <row r="126" spans="2:4">
      <c r="B126" s="42"/>
      <c r="C126" s="42"/>
      <c r="D126" s="42"/>
    </row>
    <row r="127" spans="2:4">
      <c r="B127" s="42"/>
      <c r="C127" s="42"/>
      <c r="D127" s="42"/>
    </row>
    <row r="128" spans="2:4">
      <c r="B128" s="42"/>
      <c r="C128" s="42"/>
      <c r="D128" s="42"/>
    </row>
    <row r="129" spans="2:4">
      <c r="B129" s="42"/>
      <c r="C129" s="42"/>
      <c r="D129" s="42"/>
    </row>
    <row r="130" spans="2:4">
      <c r="B130" s="42"/>
      <c r="C130" s="42"/>
      <c r="D130" s="42"/>
    </row>
    <row r="131" spans="2:4">
      <c r="B131" s="42"/>
      <c r="C131" s="42"/>
      <c r="D131" s="42"/>
    </row>
    <row r="132" spans="2:4">
      <c r="B132" s="42"/>
      <c r="C132" s="42"/>
      <c r="D132" s="42"/>
    </row>
    <row r="133" spans="2:4">
      <c r="B133" s="42"/>
      <c r="C133" s="42"/>
      <c r="D133" s="42"/>
    </row>
    <row r="134" spans="2:4">
      <c r="B134" s="42"/>
      <c r="C134" s="42"/>
      <c r="D134" s="42"/>
    </row>
    <row r="135" spans="2:4">
      <c r="B135" s="42"/>
      <c r="C135" s="42"/>
      <c r="D135" s="42"/>
    </row>
    <row r="136" spans="2:4">
      <c r="B136" s="42"/>
      <c r="C136" s="42"/>
      <c r="D136" s="42"/>
    </row>
    <row r="137" spans="2:4">
      <c r="B137" s="42"/>
      <c r="C137" s="42"/>
      <c r="D137" s="42"/>
    </row>
    <row r="138" spans="2:4">
      <c r="B138" s="42"/>
      <c r="C138" s="42"/>
      <c r="D138" s="42"/>
    </row>
    <row r="139" spans="2:4">
      <c r="B139" s="42"/>
      <c r="C139" s="42"/>
      <c r="D139" s="42"/>
    </row>
    <row r="140" spans="2:4">
      <c r="B140" s="42"/>
      <c r="C140" s="42"/>
      <c r="D140" s="42"/>
    </row>
    <row r="141" spans="2:4">
      <c r="B141" s="42"/>
      <c r="C141" s="42"/>
      <c r="D141" s="42"/>
    </row>
    <row r="142" spans="2:4">
      <c r="B142" s="42"/>
      <c r="C142" s="42"/>
      <c r="D142" s="42"/>
    </row>
    <row r="143" spans="2:4">
      <c r="B143" s="42"/>
      <c r="C143" s="42"/>
      <c r="D143" s="42"/>
    </row>
    <row r="144" spans="2:4">
      <c r="B144" s="42"/>
      <c r="C144" s="42"/>
      <c r="D144" s="42"/>
    </row>
    <row r="145" spans="2:4">
      <c r="B145" s="42"/>
      <c r="C145" s="42"/>
      <c r="D145" s="42"/>
    </row>
    <row r="146" spans="2:4">
      <c r="B146" s="42"/>
      <c r="C146" s="42"/>
      <c r="D146" s="42"/>
    </row>
    <row r="147" spans="2:4">
      <c r="B147" s="42"/>
      <c r="C147" s="42"/>
      <c r="D147" s="42"/>
    </row>
    <row r="148" spans="2:4">
      <c r="B148" s="42"/>
      <c r="C148" s="42"/>
      <c r="D148" s="42"/>
    </row>
    <row r="149" spans="2:4">
      <c r="B149" s="42"/>
      <c r="C149" s="42"/>
      <c r="D149" s="42"/>
    </row>
    <row r="150" spans="2:4">
      <c r="B150" s="42"/>
      <c r="C150" s="42"/>
      <c r="D150" s="42"/>
    </row>
    <row r="151" spans="2:4">
      <c r="B151" s="42"/>
      <c r="C151" s="42"/>
      <c r="D151" s="42"/>
    </row>
    <row r="152" spans="2:4">
      <c r="B152" s="42"/>
      <c r="C152" s="42"/>
      <c r="D152" s="42"/>
    </row>
    <row r="153" spans="2:4">
      <c r="B153" s="42"/>
      <c r="C153" s="42"/>
      <c r="D153" s="42"/>
    </row>
    <row r="154" spans="2:4">
      <c r="B154" s="42"/>
      <c r="C154" s="42"/>
      <c r="D154" s="42"/>
    </row>
    <row r="155" spans="2:4">
      <c r="B155" s="42"/>
      <c r="C155" s="42"/>
      <c r="D155" s="42"/>
    </row>
    <row r="156" spans="2:4">
      <c r="B156" s="42"/>
      <c r="C156" s="42"/>
      <c r="D156" s="42"/>
    </row>
    <row r="157" spans="2:4">
      <c r="B157" s="42"/>
      <c r="C157" s="42"/>
      <c r="D157" s="42"/>
    </row>
    <row r="158" spans="2:4">
      <c r="B158" s="42"/>
      <c r="C158" s="42"/>
      <c r="D158" s="42"/>
    </row>
    <row r="159" spans="2:4">
      <c r="B159" s="42"/>
      <c r="C159" s="42"/>
      <c r="D159" s="42"/>
    </row>
    <row r="160" spans="2:4">
      <c r="B160" s="42"/>
      <c r="C160" s="42"/>
      <c r="D160" s="42"/>
    </row>
    <row r="161" spans="2:4">
      <c r="B161" s="42"/>
      <c r="C161" s="42"/>
      <c r="D161" s="42"/>
    </row>
    <row r="162" spans="2:4">
      <c r="B162" s="42"/>
      <c r="C162" s="42"/>
      <c r="D162" s="42"/>
    </row>
    <row r="163" spans="2:4">
      <c r="B163" s="42"/>
      <c r="C163" s="42"/>
      <c r="D163" s="42"/>
    </row>
    <row r="164" spans="2:4">
      <c r="B164" s="42"/>
      <c r="C164" s="42"/>
      <c r="D164" s="42"/>
    </row>
    <row r="165" spans="2:4">
      <c r="B165" s="42"/>
      <c r="C165" s="42"/>
      <c r="D165" s="42"/>
    </row>
    <row r="166" spans="2:4">
      <c r="B166" s="42"/>
      <c r="C166" s="42"/>
      <c r="D166" s="42"/>
    </row>
    <row r="167" spans="2:4">
      <c r="B167" s="42"/>
      <c r="C167" s="42"/>
      <c r="D167" s="42"/>
    </row>
    <row r="168" spans="2:4">
      <c r="B168" s="42"/>
      <c r="C168" s="42"/>
      <c r="D168" s="42"/>
    </row>
    <row r="169" spans="2:4">
      <c r="B169" s="42"/>
      <c r="C169" s="42"/>
      <c r="D169" s="42"/>
    </row>
    <row r="170" spans="2:4">
      <c r="B170" s="42"/>
      <c r="C170" s="42"/>
      <c r="D170" s="42"/>
    </row>
    <row r="171" spans="2:4">
      <c r="B171" s="42"/>
      <c r="C171" s="42"/>
      <c r="D171" s="42"/>
    </row>
    <row r="172" spans="2:4">
      <c r="B172" s="42"/>
      <c r="C172" s="42"/>
      <c r="D172" s="42"/>
    </row>
    <row r="173" spans="2:4">
      <c r="B173" s="42"/>
      <c r="C173" s="42"/>
      <c r="D173" s="42"/>
    </row>
    <row r="174" spans="2:4">
      <c r="B174" s="42"/>
      <c r="C174" s="42"/>
      <c r="D174" s="42"/>
    </row>
    <row r="175" spans="2:4">
      <c r="B175" s="42"/>
      <c r="C175" s="42"/>
      <c r="D175" s="42"/>
    </row>
    <row r="176" spans="2:4">
      <c r="B176" s="42"/>
      <c r="C176" s="42"/>
      <c r="D176" s="42"/>
    </row>
    <row r="177" spans="2:4">
      <c r="B177" s="42"/>
      <c r="C177" s="42"/>
      <c r="D177" s="42"/>
    </row>
    <row r="178" spans="2:4">
      <c r="B178" s="42"/>
      <c r="C178" s="42"/>
      <c r="D178" s="42"/>
    </row>
    <row r="179" spans="2:4">
      <c r="B179" s="42"/>
      <c r="C179" s="42"/>
      <c r="D179" s="42"/>
    </row>
    <row r="180" spans="2:4">
      <c r="B180" s="42"/>
      <c r="C180" s="42"/>
      <c r="D180" s="42"/>
    </row>
    <row r="181" spans="2:4">
      <c r="B181" s="42"/>
      <c r="C181" s="42"/>
      <c r="D181" s="42"/>
    </row>
    <row r="182" spans="2:4">
      <c r="B182" s="42"/>
      <c r="C182" s="42"/>
      <c r="D182" s="42"/>
    </row>
    <row r="183" spans="2:4">
      <c r="B183" s="42"/>
      <c r="C183" s="42"/>
      <c r="D183" s="42"/>
    </row>
    <row r="184" spans="2:4">
      <c r="B184" s="42"/>
      <c r="C184" s="42"/>
      <c r="D184" s="42"/>
    </row>
    <row r="185" spans="2:4">
      <c r="B185" s="42"/>
      <c r="C185" s="42"/>
      <c r="D185" s="42"/>
    </row>
    <row r="186" spans="2:4">
      <c r="B186" s="42"/>
      <c r="C186" s="42"/>
      <c r="D186" s="42"/>
    </row>
    <row r="187" spans="2:4">
      <c r="B187" s="42"/>
      <c r="C187" s="42"/>
      <c r="D187" s="42"/>
    </row>
    <row r="188" spans="2:4">
      <c r="B188" s="42"/>
      <c r="C188" s="42"/>
      <c r="D188" s="42"/>
    </row>
    <row r="189" spans="2:4">
      <c r="B189" s="42"/>
      <c r="C189" s="42"/>
      <c r="D189" s="42"/>
    </row>
    <row r="190" spans="2:4">
      <c r="B190" s="42"/>
      <c r="C190" s="42"/>
      <c r="D190" s="42"/>
    </row>
    <row r="191" spans="2:4">
      <c r="B191" s="42"/>
      <c r="C191" s="42"/>
      <c r="D191" s="42"/>
    </row>
    <row r="192" spans="2:4">
      <c r="B192" s="42"/>
      <c r="C192" s="42"/>
      <c r="D192" s="42"/>
    </row>
    <row r="193" spans="2:4">
      <c r="B193" s="42"/>
      <c r="C193" s="42"/>
      <c r="D193" s="42"/>
    </row>
    <row r="194" spans="2:4">
      <c r="B194" s="42"/>
      <c r="C194" s="42"/>
      <c r="D194" s="42"/>
    </row>
    <row r="195" spans="2:4">
      <c r="B195" s="42"/>
      <c r="C195" s="42"/>
      <c r="D195" s="42"/>
    </row>
    <row r="196" spans="2:4">
      <c r="B196" s="42"/>
      <c r="C196" s="42"/>
      <c r="D196" s="42"/>
    </row>
    <row r="197" spans="2:4">
      <c r="B197" s="42"/>
      <c r="C197" s="42"/>
      <c r="D197" s="42"/>
    </row>
    <row r="198" spans="2:4">
      <c r="B198" s="42"/>
      <c r="C198" s="42"/>
      <c r="D198" s="42"/>
    </row>
    <row r="199" spans="2:4">
      <c r="B199" s="42"/>
      <c r="C199" s="42"/>
      <c r="D199" s="42"/>
    </row>
    <row r="200" spans="2:4">
      <c r="B200" s="42"/>
      <c r="C200" s="42"/>
      <c r="D200" s="42"/>
    </row>
    <row r="201" spans="2:4">
      <c r="B201" s="42"/>
      <c r="C201" s="42"/>
      <c r="D201" s="42"/>
    </row>
    <row r="202" spans="2:4">
      <c r="B202" s="42"/>
      <c r="C202" s="42"/>
      <c r="D202" s="42"/>
    </row>
    <row r="203" spans="2:4">
      <c r="B203" s="42"/>
      <c r="C203" s="42"/>
      <c r="D203" s="42"/>
    </row>
    <row r="204" spans="2:4">
      <c r="B204" s="42"/>
      <c r="C204" s="42"/>
      <c r="D204" s="42"/>
    </row>
    <row r="205" spans="2:4">
      <c r="B205" s="42"/>
      <c r="C205" s="42"/>
      <c r="D205" s="42"/>
    </row>
    <row r="206" spans="2:4">
      <c r="B206" s="42"/>
      <c r="C206" s="42"/>
      <c r="D206" s="42"/>
    </row>
    <row r="207" spans="2:4">
      <c r="B207" s="42"/>
      <c r="C207" s="42"/>
      <c r="D207" s="42"/>
    </row>
    <row r="208" spans="2:4">
      <c r="B208" s="42"/>
      <c r="C208" s="42"/>
      <c r="D208" s="42"/>
    </row>
    <row r="209" spans="2:4">
      <c r="B209" s="42"/>
      <c r="C209" s="42"/>
      <c r="D209" s="42"/>
    </row>
    <row r="210" spans="2:4">
      <c r="B210" s="42"/>
      <c r="C210" s="42"/>
      <c r="D210" s="42"/>
    </row>
    <row r="211" spans="2:4">
      <c r="B211" s="42"/>
      <c r="C211" s="42"/>
      <c r="D211" s="42"/>
    </row>
    <row r="212" spans="2:4">
      <c r="B212" s="42"/>
      <c r="C212" s="42"/>
      <c r="D212" s="42"/>
    </row>
    <row r="213" spans="2:4">
      <c r="B213" s="42"/>
      <c r="C213" s="42"/>
      <c r="D213" s="42"/>
    </row>
    <row r="214" spans="2:4">
      <c r="B214" s="42"/>
      <c r="C214" s="42"/>
      <c r="D214" s="42"/>
    </row>
    <row r="215" spans="2:4">
      <c r="B215" s="42"/>
      <c r="C215" s="42"/>
      <c r="D215" s="42"/>
    </row>
    <row r="216" spans="2:4">
      <c r="B216" s="42"/>
      <c r="C216" s="42"/>
      <c r="D216" s="42"/>
    </row>
    <row r="217" spans="2:4">
      <c r="B217" s="42"/>
      <c r="C217" s="42"/>
      <c r="D217" s="42"/>
    </row>
    <row r="218" spans="2:4">
      <c r="B218" s="42"/>
      <c r="C218" s="42"/>
      <c r="D218" s="42"/>
    </row>
    <row r="219" spans="2:4">
      <c r="B219" s="42"/>
      <c r="C219" s="42"/>
      <c r="D219" s="42"/>
    </row>
    <row r="220" spans="2:4">
      <c r="B220" s="42"/>
      <c r="C220" s="42"/>
      <c r="D220" s="42"/>
    </row>
    <row r="221" spans="2:4">
      <c r="B221" s="42"/>
      <c r="C221" s="42"/>
      <c r="D221" s="42"/>
    </row>
    <row r="222" spans="2:4">
      <c r="B222" s="42"/>
      <c r="C222" s="42"/>
      <c r="D222" s="42"/>
    </row>
    <row r="223" spans="2:4">
      <c r="B223" s="42"/>
      <c r="C223" s="42"/>
      <c r="D223" s="42"/>
    </row>
    <row r="224" spans="2:4">
      <c r="B224" s="42"/>
      <c r="C224" s="42"/>
      <c r="D224" s="42"/>
    </row>
    <row r="225" spans="2:4">
      <c r="B225" s="42"/>
      <c r="C225" s="42"/>
      <c r="D225" s="42"/>
    </row>
    <row r="226" spans="2:4">
      <c r="B226" s="42"/>
      <c r="C226" s="42"/>
      <c r="D226" s="42"/>
    </row>
    <row r="227" spans="2:4">
      <c r="B227" s="42"/>
      <c r="C227" s="42"/>
      <c r="D227" s="42"/>
    </row>
    <row r="228" spans="2:4">
      <c r="B228" s="42"/>
      <c r="C228" s="42"/>
      <c r="D228" s="42"/>
    </row>
    <row r="229" spans="2:4">
      <c r="B229" s="42"/>
      <c r="C229" s="42"/>
      <c r="D229" s="42"/>
    </row>
    <row r="230" spans="2:4">
      <c r="B230" s="42"/>
      <c r="C230" s="42"/>
      <c r="D230" s="42"/>
    </row>
    <row r="231" spans="2:4">
      <c r="B231" s="42"/>
      <c r="C231" s="42"/>
      <c r="D231" s="42"/>
    </row>
    <row r="232" spans="2:4">
      <c r="B232" s="42"/>
      <c r="C232" s="42"/>
      <c r="D232" s="42"/>
    </row>
    <row r="233" spans="2:4">
      <c r="B233" s="42"/>
      <c r="C233" s="42"/>
      <c r="D233" s="42"/>
    </row>
    <row r="234" spans="2:4">
      <c r="B234" s="42"/>
      <c r="C234" s="42"/>
      <c r="D234" s="42"/>
    </row>
    <row r="235" spans="2:4">
      <c r="B235" s="42"/>
      <c r="C235" s="42"/>
      <c r="D235" s="42"/>
    </row>
    <row r="236" spans="2:4">
      <c r="B236" s="42"/>
      <c r="C236" s="42"/>
      <c r="D236" s="42"/>
    </row>
    <row r="237" spans="2:4">
      <c r="B237" s="42"/>
      <c r="C237" s="42"/>
      <c r="D237" s="42"/>
    </row>
    <row r="238" spans="2:4">
      <c r="B238" s="42"/>
      <c r="C238" s="42"/>
      <c r="D238" s="42"/>
    </row>
    <row r="239" spans="2:4">
      <c r="B239" s="42"/>
      <c r="C239" s="42"/>
      <c r="D239" s="42"/>
    </row>
    <row r="240" spans="2:4">
      <c r="B240" s="42"/>
      <c r="C240" s="42"/>
      <c r="D240" s="42"/>
    </row>
    <row r="241" spans="2:4">
      <c r="B241" s="42"/>
      <c r="C241" s="42"/>
      <c r="D241" s="42"/>
    </row>
    <row r="242" spans="2:4">
      <c r="B242" s="42"/>
      <c r="C242" s="42"/>
      <c r="D242" s="42"/>
    </row>
    <row r="243" spans="2:4">
      <c r="B243" s="42"/>
      <c r="C243" s="42"/>
      <c r="D243" s="42"/>
    </row>
    <row r="244" spans="2:4">
      <c r="B244" s="42"/>
      <c r="C244" s="42"/>
      <c r="D244" s="42"/>
    </row>
    <row r="245" spans="2:4">
      <c r="B245" s="42"/>
      <c r="C245" s="42"/>
      <c r="D245" s="42"/>
    </row>
    <row r="246" spans="2:4">
      <c r="B246" s="42"/>
      <c r="C246" s="42"/>
      <c r="D246" s="42"/>
    </row>
    <row r="247" spans="2:4">
      <c r="B247" s="42"/>
      <c r="C247" s="42"/>
      <c r="D247" s="42"/>
    </row>
    <row r="248" spans="2:4">
      <c r="B248" s="42"/>
      <c r="C248" s="42"/>
      <c r="D248" s="42"/>
    </row>
    <row r="249" spans="2:4">
      <c r="B249" s="42"/>
      <c r="C249" s="42"/>
      <c r="D249" s="42"/>
    </row>
    <row r="250" spans="2:4">
      <c r="B250" s="42"/>
      <c r="C250" s="42"/>
      <c r="D250" s="42"/>
    </row>
    <row r="251" spans="2:4">
      <c r="B251" s="42"/>
      <c r="C251" s="42"/>
      <c r="D251" s="42"/>
    </row>
    <row r="252" spans="2:4">
      <c r="B252" s="42"/>
      <c r="C252" s="42"/>
      <c r="D252" s="42"/>
    </row>
    <row r="253" spans="2:4">
      <c r="B253" s="42"/>
      <c r="C253" s="42"/>
      <c r="D253" s="42"/>
    </row>
    <row r="254" spans="2:4">
      <c r="B254" s="42"/>
      <c r="C254" s="42"/>
      <c r="D254" s="42"/>
    </row>
    <row r="255" spans="2:4">
      <c r="B255" s="42"/>
      <c r="C255" s="42"/>
      <c r="D255" s="42"/>
    </row>
    <row r="256" spans="2:4">
      <c r="B256" s="42"/>
      <c r="C256" s="42"/>
      <c r="D256" s="42"/>
    </row>
    <row r="257" spans="2:4">
      <c r="B257" s="42"/>
      <c r="C257" s="42"/>
      <c r="D257" s="42"/>
    </row>
    <row r="258" spans="2:4">
      <c r="B258" s="42"/>
      <c r="C258" s="42"/>
      <c r="D258" s="42"/>
    </row>
    <row r="259" spans="2:4">
      <c r="B259" s="42"/>
      <c r="C259" s="42"/>
      <c r="D259" s="42"/>
    </row>
    <row r="260" spans="2:4">
      <c r="B260" s="42"/>
      <c r="C260" s="42"/>
      <c r="D260" s="42"/>
    </row>
    <row r="261" spans="2:4">
      <c r="B261" s="42"/>
      <c r="C261" s="42"/>
      <c r="D261" s="42"/>
    </row>
    <row r="262" spans="2:4">
      <c r="B262" s="42"/>
      <c r="C262" s="42"/>
      <c r="D262" s="42"/>
    </row>
    <row r="263" spans="2:4">
      <c r="B263" s="42"/>
      <c r="C263" s="42"/>
      <c r="D263" s="42"/>
    </row>
    <row r="264" spans="2:4">
      <c r="B264" s="42"/>
      <c r="C264" s="42"/>
      <c r="D264" s="42"/>
    </row>
    <row r="265" spans="2:4">
      <c r="B265" s="42"/>
      <c r="C265" s="42"/>
      <c r="D265" s="42"/>
    </row>
    <row r="266" spans="2:4">
      <c r="B266" s="42"/>
      <c r="C266" s="42"/>
      <c r="D266" s="42"/>
    </row>
    <row r="267" spans="2:4">
      <c r="B267" s="42"/>
      <c r="C267" s="42"/>
      <c r="D267" s="42"/>
    </row>
    <row r="268" spans="2:4">
      <c r="B268" s="42"/>
      <c r="C268" s="42"/>
      <c r="D268" s="42"/>
    </row>
    <row r="269" spans="2:4">
      <c r="B269" s="42"/>
      <c r="C269" s="42"/>
      <c r="D269" s="42"/>
    </row>
    <row r="270" spans="2:4">
      <c r="B270" s="42"/>
      <c r="C270" s="42"/>
      <c r="D270" s="42"/>
    </row>
    <row r="271" spans="2:4">
      <c r="B271" s="42"/>
      <c r="C271" s="42"/>
      <c r="D271" s="42"/>
    </row>
    <row r="272" spans="2:4">
      <c r="B272" s="42"/>
      <c r="C272" s="42"/>
      <c r="D272" s="42"/>
    </row>
    <row r="273" spans="2:4">
      <c r="B273" s="42"/>
      <c r="C273" s="42"/>
      <c r="D273" s="42"/>
    </row>
    <row r="274" spans="2:4">
      <c r="B274" s="42"/>
      <c r="C274" s="42"/>
      <c r="D274" s="42"/>
    </row>
    <row r="275" spans="2:4">
      <c r="B275" s="42"/>
      <c r="C275" s="42"/>
      <c r="D275" s="42"/>
    </row>
    <row r="276" spans="2:4">
      <c r="B276" s="42"/>
      <c r="C276" s="42"/>
      <c r="D276" s="42"/>
    </row>
    <row r="277" spans="2:4">
      <c r="B277" s="42"/>
      <c r="C277" s="42"/>
      <c r="D277" s="42"/>
    </row>
    <row r="278" spans="2:4">
      <c r="B278" s="42"/>
      <c r="C278" s="42"/>
      <c r="D278" s="42"/>
    </row>
    <row r="279" spans="2:4">
      <c r="B279" s="42"/>
      <c r="C279" s="42"/>
      <c r="D279" s="42"/>
    </row>
    <row r="280" spans="2:4">
      <c r="B280" s="42"/>
      <c r="C280" s="42"/>
      <c r="D280" s="42"/>
    </row>
    <row r="281" spans="2:4">
      <c r="B281" s="42"/>
      <c r="C281" s="42"/>
      <c r="D281" s="42"/>
    </row>
    <row r="282" spans="2:4">
      <c r="B282" s="42"/>
      <c r="C282" s="42"/>
      <c r="D282" s="42"/>
    </row>
    <row r="283" spans="2:4">
      <c r="B283" s="42"/>
      <c r="C283" s="42"/>
      <c r="D283" s="42"/>
    </row>
    <row r="284" spans="2:4">
      <c r="B284" s="42"/>
      <c r="C284" s="42"/>
      <c r="D284" s="42"/>
    </row>
    <row r="285" spans="2:4">
      <c r="B285" s="42"/>
      <c r="C285" s="42"/>
      <c r="D285" s="42"/>
    </row>
    <row r="286" spans="2:4">
      <c r="B286" s="42"/>
      <c r="C286" s="42"/>
      <c r="D286" s="42"/>
    </row>
    <row r="287" spans="2:4">
      <c r="B287" s="42"/>
      <c r="C287" s="42"/>
      <c r="D287" s="42"/>
    </row>
    <row r="288" spans="2:4">
      <c r="B288" s="42"/>
      <c r="C288" s="42"/>
      <c r="D288" s="42"/>
    </row>
    <row r="289" spans="2:4">
      <c r="B289" s="42"/>
      <c r="C289" s="42"/>
      <c r="D289" s="42"/>
    </row>
    <row r="290" spans="2:4">
      <c r="B290" s="42"/>
      <c r="C290" s="42"/>
      <c r="D290" s="42"/>
    </row>
    <row r="291" spans="2:4">
      <c r="B291" s="42"/>
      <c r="C291" s="42"/>
      <c r="D291" s="42"/>
    </row>
    <row r="292" spans="2:4">
      <c r="B292" s="42"/>
      <c r="C292" s="42"/>
      <c r="D292" s="42"/>
    </row>
    <row r="293" spans="2:4">
      <c r="B293" s="42"/>
      <c r="C293" s="42"/>
      <c r="D293" s="42"/>
    </row>
    <row r="294" spans="2:4">
      <c r="B294" s="42"/>
      <c r="C294" s="42"/>
      <c r="D294" s="42"/>
    </row>
    <row r="295" spans="2:4">
      <c r="B295" s="42"/>
      <c r="C295" s="42"/>
      <c r="D295" s="42"/>
    </row>
    <row r="296" spans="2:4">
      <c r="B296" s="42"/>
      <c r="C296" s="42"/>
      <c r="D296" s="42"/>
    </row>
    <row r="297" spans="2:4">
      <c r="B297" s="42"/>
      <c r="C297" s="42"/>
      <c r="D297" s="42"/>
    </row>
    <row r="298" spans="2:4">
      <c r="B298" s="42"/>
      <c r="C298" s="42"/>
      <c r="D298" s="42"/>
    </row>
    <row r="299" spans="2:4">
      <c r="B299" s="42"/>
      <c r="C299" s="42"/>
      <c r="D299" s="42"/>
    </row>
    <row r="300" spans="2:4">
      <c r="B300" s="42"/>
      <c r="C300" s="42"/>
      <c r="D300" s="42"/>
    </row>
    <row r="301" spans="2:4">
      <c r="B301" s="42"/>
      <c r="C301" s="42"/>
      <c r="D301" s="42"/>
    </row>
    <row r="302" spans="2:4">
      <c r="B302" s="42"/>
      <c r="C302" s="42"/>
      <c r="D302" s="42"/>
    </row>
    <row r="303" spans="2:4">
      <c r="B303" s="42"/>
      <c r="C303" s="42"/>
      <c r="D303" s="42"/>
    </row>
    <row r="304" spans="2:4">
      <c r="B304" s="42"/>
      <c r="C304" s="42"/>
      <c r="D304" s="42"/>
    </row>
    <row r="305" spans="2:4">
      <c r="B305" s="42"/>
      <c r="C305" s="42"/>
      <c r="D305" s="42"/>
    </row>
    <row r="306" spans="2:4">
      <c r="B306" s="42"/>
      <c r="C306" s="42"/>
      <c r="D306" s="42"/>
    </row>
    <row r="307" spans="2:4">
      <c r="B307" s="42"/>
      <c r="C307" s="42"/>
      <c r="D307" s="42"/>
    </row>
    <row r="308" spans="2:4">
      <c r="B308" s="42"/>
      <c r="C308" s="42"/>
      <c r="D308" s="42"/>
    </row>
    <row r="309" spans="2:4">
      <c r="B309" s="42"/>
      <c r="C309" s="42"/>
      <c r="D309" s="42"/>
    </row>
    <row r="310" spans="2:4">
      <c r="B310" s="42"/>
      <c r="C310" s="42"/>
      <c r="D310" s="42"/>
    </row>
    <row r="311" spans="2:4">
      <c r="B311" s="42"/>
      <c r="C311" s="42"/>
      <c r="D311" s="42"/>
    </row>
    <row r="312" spans="2:4">
      <c r="B312" s="42"/>
      <c r="C312" s="42"/>
      <c r="D312" s="42"/>
    </row>
    <row r="313" spans="2:4">
      <c r="B313" s="42"/>
      <c r="C313" s="42"/>
      <c r="D313" s="42"/>
    </row>
    <row r="314" spans="2:4">
      <c r="B314" s="42"/>
      <c r="C314" s="42"/>
      <c r="D314" s="42"/>
    </row>
    <row r="315" spans="2:4">
      <c r="B315" s="42"/>
      <c r="C315" s="42"/>
      <c r="D315" s="42"/>
    </row>
    <row r="316" spans="2:4">
      <c r="B316" s="42"/>
      <c r="C316" s="42"/>
      <c r="D316" s="42"/>
    </row>
    <row r="317" spans="2:4">
      <c r="B317" s="42"/>
      <c r="C317" s="42"/>
      <c r="D317" s="42"/>
    </row>
    <row r="318" spans="2:4">
      <c r="B318" s="42"/>
      <c r="C318" s="42"/>
      <c r="D318" s="42"/>
    </row>
    <row r="319" spans="2:4">
      <c r="B319" s="42"/>
      <c r="C319" s="42"/>
      <c r="D319" s="42"/>
    </row>
    <row r="320" spans="2:4">
      <c r="B320" s="42"/>
      <c r="C320" s="42"/>
      <c r="D320" s="42"/>
    </row>
    <row r="321" spans="2:4">
      <c r="B321" s="42"/>
      <c r="C321" s="42"/>
      <c r="D321" s="42"/>
    </row>
    <row r="322" spans="2:4">
      <c r="B322" s="42"/>
      <c r="C322" s="42"/>
      <c r="D322" s="42"/>
    </row>
    <row r="323" spans="2:4">
      <c r="B323" s="42"/>
      <c r="C323" s="42"/>
      <c r="D323" s="42"/>
    </row>
    <row r="324" spans="2:4">
      <c r="B324" s="42"/>
      <c r="C324" s="42"/>
      <c r="D324" s="42"/>
    </row>
    <row r="325" spans="2:4">
      <c r="B325" s="42"/>
      <c r="C325" s="42"/>
      <c r="D325" s="42"/>
    </row>
    <row r="326" spans="2:4">
      <c r="B326" s="42"/>
      <c r="C326" s="42"/>
      <c r="D326" s="42"/>
    </row>
    <row r="327" spans="2:4">
      <c r="B327" s="42"/>
      <c r="C327" s="42"/>
      <c r="D327" s="42"/>
    </row>
    <row r="328" spans="2:4">
      <c r="B328" s="42"/>
      <c r="C328" s="42"/>
      <c r="D328" s="42"/>
    </row>
    <row r="329" spans="2:4">
      <c r="B329" s="42"/>
      <c r="C329" s="42"/>
      <c r="D329" s="42"/>
    </row>
    <row r="330" spans="2:4">
      <c r="B330" s="42"/>
      <c r="C330" s="42"/>
      <c r="D330" s="42"/>
    </row>
    <row r="331" spans="2:4">
      <c r="B331" s="42"/>
      <c r="C331" s="42"/>
      <c r="D331" s="42"/>
    </row>
    <row r="332" spans="2:4">
      <c r="B332" s="42"/>
      <c r="C332" s="42"/>
      <c r="D332" s="42"/>
    </row>
    <row r="333" spans="2:4">
      <c r="B333" s="42"/>
      <c r="C333" s="42"/>
      <c r="D333" s="42"/>
    </row>
    <row r="334" spans="2:4">
      <c r="B334" s="42"/>
      <c r="C334" s="42"/>
      <c r="D334" s="42"/>
    </row>
    <row r="335" spans="2:4">
      <c r="B335" s="42"/>
      <c r="C335" s="42"/>
      <c r="D335" s="42"/>
    </row>
    <row r="336" spans="2:4">
      <c r="B336" s="42"/>
      <c r="C336" s="42"/>
      <c r="D336" s="42"/>
    </row>
    <row r="337" spans="2:4">
      <c r="B337" s="42"/>
      <c r="C337" s="42"/>
      <c r="D337" s="42"/>
    </row>
    <row r="338" spans="2:4">
      <c r="B338" s="42"/>
      <c r="C338" s="42"/>
      <c r="D338" s="42"/>
    </row>
    <row r="339" spans="2:4">
      <c r="B339" s="42"/>
      <c r="C339" s="42"/>
      <c r="D339" s="42"/>
    </row>
    <row r="340" spans="2:4">
      <c r="B340" s="42"/>
      <c r="C340" s="42"/>
      <c r="D340" s="42"/>
    </row>
    <row r="341" spans="2:4">
      <c r="B341" s="42"/>
      <c r="C341" s="42"/>
      <c r="D341" s="42"/>
    </row>
    <row r="342" spans="2:4">
      <c r="B342" s="42"/>
      <c r="C342" s="42"/>
      <c r="D342" s="42"/>
    </row>
    <row r="343" spans="2:4">
      <c r="B343" s="42"/>
      <c r="C343" s="42"/>
      <c r="D343" s="42"/>
    </row>
    <row r="344" spans="2:4">
      <c r="B344" s="42"/>
      <c r="C344" s="42"/>
      <c r="D344" s="42"/>
    </row>
    <row r="345" spans="2:4">
      <c r="B345" s="42"/>
      <c r="C345" s="42"/>
      <c r="D345" s="42"/>
    </row>
    <row r="346" spans="2:4">
      <c r="B346" s="42"/>
      <c r="C346" s="42"/>
      <c r="D346" s="42"/>
    </row>
    <row r="347" spans="2:4">
      <c r="B347" s="42"/>
      <c r="C347" s="42"/>
      <c r="D347" s="42"/>
    </row>
    <row r="348" spans="2:4">
      <c r="B348" s="42"/>
      <c r="C348" s="42"/>
      <c r="D348" s="42"/>
    </row>
    <row r="349" spans="2:4">
      <c r="B349" s="42"/>
      <c r="C349" s="42"/>
      <c r="D349" s="42"/>
    </row>
    <row r="350" spans="2:4">
      <c r="B350" s="42"/>
      <c r="C350" s="42"/>
      <c r="D350" s="42"/>
    </row>
    <row r="351" spans="2:4">
      <c r="B351" s="42"/>
      <c r="C351" s="42"/>
      <c r="D351" s="42"/>
    </row>
    <row r="352" spans="2:4">
      <c r="B352" s="42"/>
      <c r="C352" s="42"/>
      <c r="D352" s="42"/>
    </row>
    <row r="353" spans="2:4">
      <c r="B353" s="42"/>
      <c r="C353" s="42"/>
      <c r="D353" s="42"/>
    </row>
    <row r="354" spans="2:4">
      <c r="B354" s="42"/>
      <c r="C354" s="42"/>
      <c r="D354" s="42"/>
    </row>
    <row r="355" spans="2:4">
      <c r="B355" s="42"/>
      <c r="C355" s="42"/>
      <c r="D355" s="42"/>
    </row>
    <row r="356" spans="2:4">
      <c r="B356" s="42"/>
      <c r="C356" s="42"/>
      <c r="D356" s="42"/>
    </row>
    <row r="357" spans="2:4">
      <c r="B357" s="42"/>
      <c r="C357" s="42"/>
      <c r="D357" s="42"/>
    </row>
    <row r="358" spans="2:4">
      <c r="B358" s="42"/>
      <c r="C358" s="42"/>
      <c r="D358" s="42"/>
    </row>
    <row r="359" spans="2:4">
      <c r="B359" s="42"/>
      <c r="C359" s="42"/>
      <c r="D359" s="42"/>
    </row>
    <row r="360" spans="2:4">
      <c r="B360" s="42"/>
      <c r="C360" s="42"/>
      <c r="D360" s="42"/>
    </row>
    <row r="361" spans="2:4">
      <c r="B361" s="42"/>
      <c r="C361" s="42"/>
      <c r="D361" s="42"/>
    </row>
    <row r="362" spans="2:4">
      <c r="B362" s="42"/>
      <c r="C362" s="42"/>
      <c r="D362" s="42"/>
    </row>
    <row r="363" spans="2:4">
      <c r="B363" s="42"/>
      <c r="C363" s="42"/>
      <c r="D363" s="42"/>
    </row>
    <row r="364" spans="2:4">
      <c r="B364" s="42"/>
      <c r="C364" s="42"/>
      <c r="D364" s="42"/>
    </row>
    <row r="365" spans="2:4">
      <c r="B365" s="42"/>
      <c r="C365" s="42"/>
      <c r="D365" s="42"/>
    </row>
    <row r="366" spans="2:4">
      <c r="B366" s="42"/>
      <c r="C366" s="42"/>
      <c r="D366" s="42"/>
    </row>
    <row r="367" spans="2:4">
      <c r="B367" s="42"/>
      <c r="C367" s="42"/>
      <c r="D367" s="42"/>
    </row>
    <row r="368" spans="2:4">
      <c r="B368" s="42"/>
      <c r="C368" s="42"/>
      <c r="D368" s="42"/>
    </row>
    <row r="369" spans="2:4">
      <c r="B369" s="42"/>
      <c r="C369" s="42"/>
      <c r="D369" s="42"/>
    </row>
    <row r="370" spans="2:4">
      <c r="B370" s="42"/>
      <c r="C370" s="42"/>
      <c r="D370" s="42"/>
    </row>
    <row r="371" spans="2:4">
      <c r="B371" s="42"/>
      <c r="C371" s="42"/>
      <c r="D371" s="42"/>
    </row>
    <row r="372" spans="2:4">
      <c r="B372" s="42"/>
      <c r="C372" s="42"/>
      <c r="D372" s="42"/>
    </row>
    <row r="373" spans="2:4">
      <c r="B373" s="42"/>
      <c r="C373" s="42"/>
      <c r="D373" s="42"/>
    </row>
    <row r="374" spans="2:4">
      <c r="B374" s="42"/>
      <c r="C374" s="42"/>
      <c r="D374" s="42"/>
    </row>
    <row r="375" spans="2:4">
      <c r="B375" s="42"/>
      <c r="C375" s="42"/>
      <c r="D375" s="42"/>
    </row>
    <row r="376" spans="2:4">
      <c r="B376" s="42"/>
      <c r="C376" s="42"/>
      <c r="D376" s="42"/>
    </row>
    <row r="377" spans="2:4">
      <c r="B377" s="42"/>
      <c r="C377" s="42"/>
      <c r="D377" s="42"/>
    </row>
    <row r="378" spans="2:4">
      <c r="B378" s="42"/>
      <c r="C378" s="42"/>
      <c r="D378" s="42"/>
    </row>
    <row r="379" spans="2:4">
      <c r="B379" s="42"/>
      <c r="C379" s="42"/>
      <c r="D379" s="42"/>
    </row>
    <row r="380" spans="2:4">
      <c r="B380" s="42"/>
      <c r="C380" s="42"/>
      <c r="D380" s="42"/>
    </row>
    <row r="381" spans="2:4">
      <c r="B381" s="42"/>
      <c r="C381" s="42"/>
      <c r="D381" s="42"/>
    </row>
    <row r="382" spans="2:4">
      <c r="B382" s="42"/>
      <c r="C382" s="42"/>
      <c r="D382" s="42"/>
    </row>
    <row r="383" spans="2:4">
      <c r="B383" s="42"/>
      <c r="C383" s="42"/>
      <c r="D383" s="42"/>
    </row>
    <row r="384" spans="2:4">
      <c r="B384" s="42"/>
      <c r="C384" s="42"/>
      <c r="D384" s="42"/>
    </row>
    <row r="385" spans="2:4">
      <c r="B385" s="42"/>
      <c r="C385" s="42"/>
      <c r="D385" s="42"/>
    </row>
    <row r="386" spans="2:4">
      <c r="B386" s="42"/>
      <c r="C386" s="42"/>
      <c r="D386" s="42"/>
    </row>
    <row r="387" spans="2:4">
      <c r="B387" s="42"/>
      <c r="C387" s="42"/>
      <c r="D387" s="42"/>
    </row>
    <row r="388" spans="2:4">
      <c r="B388" s="42"/>
      <c r="C388" s="42"/>
      <c r="D388" s="42"/>
    </row>
    <row r="389" spans="2:4">
      <c r="B389" s="42"/>
      <c r="C389" s="42"/>
      <c r="D389" s="42"/>
    </row>
    <row r="390" spans="2:4">
      <c r="B390" s="42"/>
      <c r="C390" s="42"/>
      <c r="D390" s="42"/>
    </row>
    <row r="391" spans="2:4">
      <c r="B391" s="42"/>
      <c r="C391" s="42"/>
      <c r="D391" s="42"/>
    </row>
    <row r="392" spans="2:4">
      <c r="B392" s="42"/>
      <c r="C392" s="42"/>
      <c r="D392" s="42"/>
    </row>
    <row r="393" spans="2:4">
      <c r="B393" s="42"/>
      <c r="C393" s="42"/>
      <c r="D393" s="42"/>
    </row>
    <row r="394" spans="2:4">
      <c r="B394" s="42"/>
      <c r="C394" s="42"/>
      <c r="D394" s="42"/>
    </row>
    <row r="395" spans="2:4">
      <c r="B395" s="42"/>
      <c r="C395" s="42"/>
      <c r="D395" s="42"/>
    </row>
    <row r="396" spans="2:4">
      <c r="B396" s="42"/>
      <c r="C396" s="42"/>
      <c r="D396" s="42"/>
    </row>
    <row r="397" spans="2:4">
      <c r="B397" s="42"/>
      <c r="C397" s="42"/>
      <c r="D397" s="42"/>
    </row>
    <row r="398" spans="2:4">
      <c r="B398" s="42"/>
      <c r="C398" s="42"/>
      <c r="D398" s="42"/>
    </row>
    <row r="399" spans="2:4">
      <c r="B399" s="42"/>
      <c r="C399" s="42"/>
      <c r="D399" s="42"/>
    </row>
    <row r="400" spans="2:4">
      <c r="B400" s="42"/>
      <c r="C400" s="42"/>
      <c r="D400" s="42"/>
    </row>
    <row r="401" spans="2:4">
      <c r="B401" s="42"/>
      <c r="C401" s="42"/>
      <c r="D401" s="42"/>
    </row>
    <row r="402" spans="2:4">
      <c r="B402" s="42"/>
      <c r="C402" s="42"/>
      <c r="D402" s="42"/>
    </row>
    <row r="403" spans="2:4">
      <c r="B403" s="42"/>
      <c r="C403" s="42"/>
      <c r="D403" s="42"/>
    </row>
    <row r="404" spans="2:4">
      <c r="B404" s="42"/>
      <c r="C404" s="42"/>
      <c r="D404" s="42"/>
    </row>
    <row r="405" spans="2:4">
      <c r="B405" s="42"/>
      <c r="C405" s="42"/>
      <c r="D405" s="42"/>
    </row>
    <row r="406" spans="2:4">
      <c r="B406" s="42"/>
      <c r="C406" s="42"/>
      <c r="D406" s="42"/>
    </row>
    <row r="407" spans="2:4">
      <c r="B407" s="42"/>
      <c r="C407" s="42"/>
      <c r="D407" s="42"/>
    </row>
    <row r="408" spans="2:4">
      <c r="B408" s="42"/>
      <c r="C408" s="42"/>
      <c r="D408" s="42"/>
    </row>
    <row r="409" spans="2:4">
      <c r="B409" s="42"/>
      <c r="C409" s="42"/>
      <c r="D409" s="42"/>
    </row>
    <row r="410" spans="2:4">
      <c r="B410" s="42"/>
      <c r="C410" s="42"/>
      <c r="D410" s="42"/>
    </row>
    <row r="411" spans="2:4">
      <c r="B411" s="42"/>
      <c r="C411" s="42"/>
      <c r="D411" s="42"/>
    </row>
    <row r="412" spans="2:4">
      <c r="B412" s="42"/>
      <c r="C412" s="42"/>
      <c r="D412" s="42"/>
    </row>
    <row r="413" spans="2:4">
      <c r="B413" s="42"/>
      <c r="C413" s="42"/>
      <c r="D413" s="42"/>
    </row>
    <row r="414" spans="2:4">
      <c r="B414" s="42"/>
      <c r="C414" s="42"/>
      <c r="D414" s="42"/>
    </row>
    <row r="415" spans="2:4">
      <c r="B415" s="42"/>
      <c r="C415" s="42"/>
      <c r="D415" s="42"/>
    </row>
    <row r="416" spans="2:4">
      <c r="B416" s="42"/>
      <c r="C416" s="42"/>
      <c r="D416" s="42"/>
    </row>
    <row r="417" spans="2:4">
      <c r="B417" s="42"/>
      <c r="C417" s="42"/>
      <c r="D417" s="42"/>
    </row>
    <row r="418" spans="2:4">
      <c r="B418" s="42"/>
      <c r="C418" s="42"/>
      <c r="D418" s="42"/>
    </row>
    <row r="419" spans="2:4">
      <c r="B419" s="42"/>
      <c r="C419" s="42"/>
      <c r="D419" s="42"/>
    </row>
    <row r="420" spans="2:4">
      <c r="B420" s="42"/>
      <c r="C420" s="42"/>
      <c r="D420" s="42"/>
    </row>
    <row r="421" spans="2:4">
      <c r="B421" s="42"/>
      <c r="C421" s="42"/>
      <c r="D421" s="42"/>
    </row>
    <row r="422" spans="2:4">
      <c r="B422" s="42"/>
      <c r="C422" s="42"/>
      <c r="D422" s="42"/>
    </row>
    <row r="423" spans="2:4">
      <c r="B423" s="42"/>
      <c r="C423" s="42"/>
      <c r="D423" s="42"/>
    </row>
    <row r="424" spans="2:4">
      <c r="B424" s="42"/>
      <c r="C424" s="42"/>
      <c r="D424" s="42"/>
    </row>
    <row r="425" spans="2:4">
      <c r="B425" s="42"/>
      <c r="C425" s="42"/>
      <c r="D425" s="42"/>
    </row>
    <row r="426" spans="2:4">
      <c r="B426" s="42"/>
      <c r="C426" s="42"/>
      <c r="D426" s="42"/>
    </row>
    <row r="427" spans="2:4">
      <c r="B427" s="42"/>
      <c r="C427" s="42"/>
      <c r="D427" s="42"/>
    </row>
    <row r="428" spans="2:4">
      <c r="B428" s="42"/>
      <c r="C428" s="42"/>
      <c r="D428" s="42"/>
    </row>
    <row r="429" spans="2:4">
      <c r="B429" s="42"/>
      <c r="C429" s="42"/>
      <c r="D429" s="42"/>
    </row>
    <row r="430" spans="2:4">
      <c r="B430" s="42"/>
      <c r="C430" s="42"/>
      <c r="D430" s="42"/>
    </row>
    <row r="431" spans="2:4">
      <c r="B431" s="42"/>
      <c r="C431" s="42"/>
      <c r="D431" s="42"/>
    </row>
    <row r="432" spans="2:4">
      <c r="B432" s="42"/>
      <c r="C432" s="42"/>
      <c r="D432" s="42"/>
    </row>
    <row r="433" spans="2:4">
      <c r="B433" s="42"/>
      <c r="C433" s="42"/>
      <c r="D433" s="42"/>
    </row>
    <row r="434" spans="2:4">
      <c r="B434" s="42"/>
      <c r="C434" s="42"/>
      <c r="D434" s="42"/>
    </row>
    <row r="435" spans="2:4">
      <c r="B435" s="42"/>
      <c r="C435" s="42"/>
      <c r="D435" s="42"/>
    </row>
    <row r="436" spans="2:4">
      <c r="B436" s="42"/>
      <c r="C436" s="42"/>
      <c r="D436" s="42"/>
    </row>
    <row r="437" spans="2:4">
      <c r="B437" s="42"/>
      <c r="C437" s="42"/>
      <c r="D437" s="42"/>
    </row>
    <row r="438" spans="2:4">
      <c r="B438" s="42"/>
      <c r="C438" s="42"/>
      <c r="D438" s="42"/>
    </row>
    <row r="439" spans="2:4">
      <c r="B439" s="42"/>
      <c r="C439" s="42"/>
      <c r="D439" s="42"/>
    </row>
    <row r="440" spans="2:4">
      <c r="B440" s="42"/>
      <c r="C440" s="42"/>
      <c r="D440" s="42"/>
    </row>
    <row r="441" spans="2:4">
      <c r="B441" s="42"/>
      <c r="C441" s="42"/>
      <c r="D441" s="42"/>
    </row>
    <row r="442" spans="2:4">
      <c r="B442" s="42"/>
      <c r="C442" s="42"/>
      <c r="D442" s="42"/>
    </row>
    <row r="443" spans="2:4">
      <c r="B443" s="42"/>
      <c r="C443" s="42"/>
      <c r="D443" s="42"/>
    </row>
    <row r="444" spans="2:4">
      <c r="B444" s="42"/>
      <c r="C444" s="42"/>
      <c r="D444" s="42"/>
    </row>
    <row r="445" spans="2:4">
      <c r="B445" s="42"/>
      <c r="C445" s="42"/>
      <c r="D445" s="42"/>
    </row>
    <row r="446" spans="2:4">
      <c r="B446" s="42"/>
      <c r="C446" s="42"/>
      <c r="D446" s="42"/>
    </row>
    <row r="447" spans="2:4">
      <c r="B447" s="42"/>
      <c r="C447" s="42"/>
      <c r="D447" s="42"/>
    </row>
    <row r="448" spans="2:4">
      <c r="B448" s="42"/>
      <c r="C448" s="42"/>
      <c r="D448" s="42"/>
    </row>
    <row r="449" spans="2:4">
      <c r="B449" s="42"/>
      <c r="C449" s="42"/>
      <c r="D449" s="42"/>
    </row>
    <row r="450" spans="2:4">
      <c r="B450" s="42"/>
      <c r="C450" s="42"/>
      <c r="D450" s="42"/>
    </row>
    <row r="451" spans="2:4">
      <c r="B451" s="42"/>
      <c r="C451" s="42"/>
      <c r="D451" s="42"/>
    </row>
    <row r="452" spans="2:4">
      <c r="B452" s="42"/>
      <c r="C452" s="42"/>
      <c r="D452" s="42"/>
    </row>
    <row r="453" spans="2:4">
      <c r="B453" s="42"/>
      <c r="C453" s="42"/>
      <c r="D453" s="42"/>
    </row>
    <row r="454" spans="2:4">
      <c r="B454" s="42"/>
      <c r="C454" s="42"/>
      <c r="D454" s="42"/>
    </row>
    <row r="455" spans="2:4">
      <c r="B455" s="42"/>
      <c r="C455" s="42"/>
      <c r="D455" s="42"/>
    </row>
    <row r="456" spans="2:4">
      <c r="B456" s="42"/>
      <c r="C456" s="42"/>
      <c r="D456" s="42"/>
    </row>
    <row r="457" spans="2:4">
      <c r="B457" s="42"/>
      <c r="C457" s="42"/>
      <c r="D457" s="42"/>
    </row>
    <row r="458" spans="2:4">
      <c r="B458" s="42"/>
      <c r="C458" s="42"/>
      <c r="D458" s="42"/>
    </row>
    <row r="459" spans="2:4">
      <c r="B459" s="42"/>
      <c r="C459" s="42"/>
      <c r="D459" s="42"/>
    </row>
    <row r="460" spans="2:4">
      <c r="B460" s="42"/>
      <c r="C460" s="42"/>
      <c r="D460" s="42"/>
    </row>
    <row r="461" spans="2:4">
      <c r="B461" s="42"/>
      <c r="C461" s="42"/>
      <c r="D461" s="42"/>
    </row>
    <row r="462" spans="2:4">
      <c r="B462" s="42"/>
      <c r="C462" s="42"/>
      <c r="D462" s="42"/>
    </row>
    <row r="463" spans="2:4">
      <c r="B463" s="42"/>
      <c r="C463" s="42"/>
      <c r="D463" s="42"/>
    </row>
    <row r="464" spans="2:4">
      <c r="B464" s="42"/>
      <c r="C464" s="42"/>
      <c r="D464" s="42"/>
    </row>
    <row r="465" spans="2:4">
      <c r="B465" s="42"/>
      <c r="C465" s="42"/>
      <c r="D465" s="42"/>
    </row>
    <row r="466" spans="2:4">
      <c r="B466" s="42"/>
      <c r="C466" s="42"/>
      <c r="D466" s="42"/>
    </row>
    <row r="467" spans="2:4">
      <c r="B467" s="42"/>
      <c r="C467" s="42"/>
      <c r="D467" s="42"/>
    </row>
    <row r="468" spans="2:4">
      <c r="B468" s="42"/>
      <c r="C468" s="42"/>
      <c r="D468" s="42"/>
    </row>
    <row r="469" spans="2:4">
      <c r="B469" s="42"/>
      <c r="C469" s="42"/>
      <c r="D469" s="42"/>
    </row>
    <row r="470" spans="2:4">
      <c r="B470" s="42"/>
      <c r="C470" s="42"/>
      <c r="D470" s="42"/>
    </row>
    <row r="471" spans="2:4">
      <c r="B471" s="42"/>
      <c r="C471" s="42"/>
      <c r="D471" s="42"/>
    </row>
    <row r="472" spans="2:4">
      <c r="B472" s="42"/>
      <c r="C472" s="42"/>
      <c r="D472" s="42"/>
    </row>
    <row r="473" spans="2:4">
      <c r="B473" s="42"/>
      <c r="C473" s="42"/>
      <c r="D473" s="42"/>
    </row>
    <row r="474" spans="2:4">
      <c r="B474" s="42"/>
      <c r="C474" s="42"/>
      <c r="D474" s="42"/>
    </row>
    <row r="475" spans="2:4">
      <c r="B475" s="42"/>
      <c r="C475" s="42"/>
      <c r="D475" s="42"/>
    </row>
    <row r="476" spans="2:4">
      <c r="B476" s="42"/>
      <c r="C476" s="42"/>
      <c r="D476" s="42"/>
    </row>
    <row r="477" spans="2:4">
      <c r="B477" s="42"/>
      <c r="C477" s="42"/>
      <c r="D477" s="42"/>
    </row>
    <row r="478" spans="2:4">
      <c r="B478" s="42"/>
      <c r="C478" s="42"/>
      <c r="D478" s="42"/>
    </row>
    <row r="479" spans="2:4">
      <c r="B479" s="42"/>
      <c r="C479" s="42"/>
      <c r="D479" s="42"/>
    </row>
    <row r="480" spans="2:4">
      <c r="B480" s="42"/>
      <c r="C480" s="42"/>
      <c r="D480" s="42"/>
    </row>
    <row r="481" spans="2:4">
      <c r="B481" s="42"/>
      <c r="C481" s="42"/>
      <c r="D481" s="42"/>
    </row>
    <row r="482" spans="2:4">
      <c r="B482" s="42"/>
      <c r="C482" s="42"/>
      <c r="D482" s="42"/>
    </row>
    <row r="483" spans="2:4">
      <c r="B483" s="42"/>
      <c r="C483" s="42"/>
      <c r="D483" s="42"/>
    </row>
    <row r="484" spans="2:4">
      <c r="B484" s="42"/>
      <c r="C484" s="42"/>
      <c r="D484" s="42"/>
    </row>
    <row r="485" spans="2:4">
      <c r="B485" s="42"/>
      <c r="C485" s="42"/>
      <c r="D485" s="42"/>
    </row>
    <row r="486" spans="2:4">
      <c r="B486" s="42"/>
      <c r="C486" s="42"/>
      <c r="D486" s="42"/>
    </row>
    <row r="487" spans="2:4">
      <c r="B487" s="42"/>
      <c r="C487" s="42"/>
      <c r="D487" s="42"/>
    </row>
    <row r="488" spans="2:4">
      <c r="B488" s="42"/>
      <c r="C488" s="42"/>
      <c r="D488" s="42"/>
    </row>
    <row r="489" spans="2:4">
      <c r="B489" s="42"/>
      <c r="C489" s="42"/>
      <c r="D489" s="42"/>
    </row>
    <row r="490" spans="2:4">
      <c r="B490" s="42"/>
      <c r="C490" s="42"/>
      <c r="D490" s="42"/>
    </row>
    <row r="491" spans="2:4">
      <c r="B491" s="42"/>
      <c r="C491" s="42"/>
      <c r="D491" s="42"/>
    </row>
    <row r="492" spans="2:4">
      <c r="B492" s="42"/>
      <c r="C492" s="42"/>
      <c r="D492" s="42"/>
    </row>
    <row r="493" spans="2:4">
      <c r="B493" s="42"/>
      <c r="C493" s="42"/>
      <c r="D493" s="42"/>
    </row>
    <row r="494" spans="2:4">
      <c r="B494" s="42"/>
      <c r="C494" s="42"/>
      <c r="D494" s="42"/>
    </row>
    <row r="495" spans="2:4">
      <c r="B495" s="42"/>
      <c r="C495" s="42"/>
      <c r="D495" s="42"/>
    </row>
    <row r="496" spans="2:4">
      <c r="B496" s="42"/>
      <c r="C496" s="42"/>
      <c r="D496" s="42"/>
    </row>
    <row r="497" spans="2:4">
      <c r="B497" s="42"/>
      <c r="C497" s="42"/>
      <c r="D497" s="42"/>
    </row>
    <row r="498" spans="2:4">
      <c r="B498" s="42"/>
      <c r="C498" s="42"/>
      <c r="D498" s="42"/>
    </row>
    <row r="499" spans="2:4">
      <c r="B499" s="42"/>
      <c r="C499" s="42"/>
      <c r="D499" s="42"/>
    </row>
    <row r="500" spans="2:4">
      <c r="B500" s="42"/>
      <c r="C500" s="42"/>
      <c r="D500" s="42"/>
    </row>
    <row r="501" spans="2:4">
      <c r="B501" s="42"/>
      <c r="C501" s="42"/>
      <c r="D501" s="42"/>
    </row>
    <row r="502" spans="2:4">
      <c r="B502" s="42"/>
      <c r="C502" s="42"/>
      <c r="D502" s="42"/>
    </row>
    <row r="503" spans="2:4">
      <c r="B503" s="42"/>
      <c r="C503" s="42"/>
      <c r="D503" s="42"/>
    </row>
    <row r="504" spans="2:4">
      <c r="B504" s="42"/>
      <c r="C504" s="42"/>
      <c r="D504" s="42"/>
    </row>
    <row r="505" spans="2:4">
      <c r="B505" s="42"/>
      <c r="C505" s="42"/>
      <c r="D505" s="42"/>
    </row>
    <row r="506" spans="2:4">
      <c r="B506" s="42"/>
      <c r="C506" s="42"/>
      <c r="D506" s="42"/>
    </row>
    <row r="507" spans="2:4">
      <c r="B507" s="42"/>
      <c r="C507" s="42"/>
      <c r="D507" s="42"/>
    </row>
    <row r="508" spans="2:4">
      <c r="B508" s="42"/>
      <c r="C508" s="42"/>
      <c r="D508" s="42"/>
    </row>
    <row r="509" spans="2:4">
      <c r="B509" s="42"/>
      <c r="C509" s="42"/>
      <c r="D509" s="42"/>
    </row>
    <row r="510" spans="2:4">
      <c r="B510" s="42"/>
      <c r="C510" s="42"/>
      <c r="D510" s="42"/>
    </row>
    <row r="511" spans="2:4">
      <c r="B511" s="42"/>
      <c r="C511" s="42"/>
      <c r="D511" s="42"/>
    </row>
    <row r="512" spans="2:4">
      <c r="B512" s="42"/>
      <c r="C512" s="42"/>
      <c r="D512" s="42"/>
    </row>
    <row r="513" spans="2:4">
      <c r="B513" s="42"/>
      <c r="C513" s="42"/>
      <c r="D513" s="42"/>
    </row>
    <row r="514" spans="2:4">
      <c r="B514" s="42"/>
      <c r="C514" s="42"/>
      <c r="D514" s="42"/>
    </row>
    <row r="515" spans="2:4">
      <c r="B515" s="42"/>
      <c r="C515" s="42"/>
      <c r="D515" s="42"/>
    </row>
    <row r="516" spans="2:4">
      <c r="B516" s="42"/>
      <c r="C516" s="42"/>
      <c r="D516" s="42"/>
    </row>
    <row r="517" spans="2:4">
      <c r="B517" s="42"/>
      <c r="C517" s="42"/>
      <c r="D517" s="42"/>
    </row>
    <row r="518" spans="2:4">
      <c r="B518" s="42"/>
      <c r="C518" s="42"/>
      <c r="D518" s="42"/>
    </row>
    <row r="519" spans="2:4">
      <c r="B519" s="42"/>
      <c r="C519" s="42"/>
      <c r="D519" s="42"/>
    </row>
    <row r="520" spans="2:4">
      <c r="B520" s="42"/>
      <c r="C520" s="42"/>
      <c r="D520" s="42"/>
    </row>
    <row r="521" spans="2:4">
      <c r="B521" s="42"/>
      <c r="C521" s="42"/>
      <c r="D521" s="42"/>
    </row>
    <row r="522" spans="2:4">
      <c r="B522" s="42"/>
      <c r="C522" s="42"/>
      <c r="D522" s="42"/>
    </row>
    <row r="523" spans="2:4">
      <c r="B523" s="42"/>
      <c r="C523" s="42"/>
      <c r="D523" s="42"/>
    </row>
    <row r="524" spans="2:4">
      <c r="B524" s="42"/>
      <c r="C524" s="42"/>
      <c r="D524" s="42"/>
    </row>
    <row r="525" spans="2:4">
      <c r="B525" s="42"/>
      <c r="C525" s="42"/>
      <c r="D525" s="42"/>
    </row>
    <row r="526" spans="2:4">
      <c r="B526" s="42"/>
      <c r="C526" s="42"/>
      <c r="D526" s="42"/>
    </row>
    <row r="527" spans="2:4">
      <c r="B527" s="42"/>
      <c r="C527" s="42"/>
      <c r="D527" s="42"/>
    </row>
    <row r="528" spans="2:4">
      <c r="B528" s="42"/>
      <c r="C528" s="42"/>
      <c r="D528" s="42"/>
    </row>
    <row r="529" spans="2:4">
      <c r="B529" s="42"/>
      <c r="C529" s="42"/>
      <c r="D529" s="42"/>
    </row>
    <row r="530" spans="2:4">
      <c r="B530" s="42"/>
      <c r="C530" s="42"/>
      <c r="D530" s="42"/>
    </row>
    <row r="531" spans="2:4">
      <c r="B531" s="42"/>
      <c r="C531" s="42"/>
      <c r="D531" s="42"/>
    </row>
    <row r="532" spans="2:4">
      <c r="B532" s="42"/>
      <c r="C532" s="42"/>
      <c r="D532" s="42"/>
    </row>
    <row r="533" spans="2:4">
      <c r="B533" s="42"/>
      <c r="C533" s="42"/>
      <c r="D533" s="42"/>
    </row>
    <row r="534" spans="2:4">
      <c r="B534" s="42"/>
      <c r="C534" s="42"/>
      <c r="D534" s="42"/>
    </row>
    <row r="535" spans="2:4">
      <c r="B535" s="42"/>
      <c r="C535" s="42"/>
      <c r="D535" s="42"/>
    </row>
    <row r="536" spans="2:4">
      <c r="B536" s="42"/>
      <c r="C536" s="42"/>
      <c r="D536" s="42"/>
    </row>
    <row r="537" spans="2:4">
      <c r="B537" s="42"/>
      <c r="C537" s="42"/>
      <c r="D537" s="42"/>
    </row>
    <row r="538" spans="2:4">
      <c r="B538" s="42"/>
      <c r="C538" s="42"/>
      <c r="D538" s="42"/>
    </row>
    <row r="539" spans="2:4">
      <c r="B539" s="42"/>
      <c r="C539" s="42"/>
      <c r="D539" s="42"/>
    </row>
    <row r="540" spans="2:4">
      <c r="B540" s="42"/>
      <c r="C540" s="42"/>
      <c r="D540" s="42"/>
    </row>
    <row r="541" spans="2:4">
      <c r="B541" s="42"/>
      <c r="C541" s="42"/>
      <c r="D541" s="42"/>
    </row>
    <row r="542" spans="2:4">
      <c r="B542" s="42"/>
      <c r="C542" s="42"/>
      <c r="D542" s="42"/>
    </row>
    <row r="543" spans="2:4">
      <c r="B543" s="42"/>
      <c r="C543" s="42"/>
      <c r="D543" s="42"/>
    </row>
    <row r="544" spans="2:4">
      <c r="B544" s="42"/>
      <c r="C544" s="42"/>
      <c r="D544" s="42"/>
    </row>
    <row r="545" spans="2:4">
      <c r="B545" s="42"/>
      <c r="C545" s="42"/>
      <c r="D545" s="42"/>
    </row>
    <row r="546" spans="2:4">
      <c r="B546" s="42"/>
      <c r="C546" s="42"/>
      <c r="D546" s="42"/>
    </row>
    <row r="547" spans="2:4">
      <c r="B547" s="42"/>
      <c r="C547" s="42"/>
      <c r="D547" s="42"/>
    </row>
    <row r="548" spans="2:4">
      <c r="B548" s="42"/>
      <c r="C548" s="42"/>
      <c r="D548" s="42"/>
    </row>
    <row r="549" spans="2:4">
      <c r="B549" s="42"/>
      <c r="C549" s="42"/>
      <c r="D549" s="42"/>
    </row>
    <row r="550" spans="2:4">
      <c r="B550" s="42"/>
      <c r="C550" s="42"/>
      <c r="D550" s="42"/>
    </row>
    <row r="551" spans="2:4">
      <c r="B551" s="42"/>
      <c r="C551" s="42"/>
      <c r="D551" s="42"/>
    </row>
    <row r="552" spans="2:4">
      <c r="B552" s="42"/>
      <c r="C552" s="42"/>
      <c r="D552" s="42"/>
    </row>
    <row r="553" spans="2:4">
      <c r="B553" s="42"/>
      <c r="C553" s="42"/>
      <c r="D553" s="42"/>
    </row>
    <row r="554" spans="2:4">
      <c r="B554" s="42"/>
      <c r="C554" s="42"/>
      <c r="D554" s="42"/>
    </row>
    <row r="555" spans="2:4">
      <c r="B555" s="42"/>
      <c r="C555" s="42"/>
      <c r="D555" s="42"/>
    </row>
    <row r="556" spans="2:4">
      <c r="B556" s="42"/>
      <c r="C556" s="42"/>
      <c r="D556" s="42"/>
    </row>
    <row r="557" spans="2:4">
      <c r="B557" s="42"/>
      <c r="C557" s="42"/>
      <c r="D557" s="42"/>
    </row>
    <row r="558" spans="2:4">
      <c r="B558" s="42"/>
      <c r="C558" s="42"/>
      <c r="D558" s="42"/>
    </row>
    <row r="559" spans="2:4">
      <c r="B559" s="42"/>
      <c r="C559" s="42"/>
      <c r="D559" s="42"/>
    </row>
    <row r="560" spans="2:4">
      <c r="B560" s="42"/>
      <c r="C560" s="42"/>
      <c r="D560" s="42"/>
    </row>
    <row r="561" spans="2:4">
      <c r="B561" s="42"/>
      <c r="C561" s="42"/>
      <c r="D561" s="42"/>
    </row>
    <row r="562" spans="2:4">
      <c r="B562" s="42"/>
      <c r="C562" s="42"/>
      <c r="D562" s="42"/>
    </row>
    <row r="563" spans="2:4">
      <c r="B563" s="42"/>
      <c r="C563" s="42"/>
      <c r="D563" s="42"/>
    </row>
    <row r="564" spans="2:4">
      <c r="B564" s="42"/>
      <c r="C564" s="42"/>
      <c r="D564" s="42"/>
    </row>
    <row r="565" spans="2:4">
      <c r="B565" s="42"/>
      <c r="C565" s="42"/>
      <c r="D565" s="42"/>
    </row>
    <row r="566" spans="2:4">
      <c r="B566" s="42"/>
      <c r="C566" s="42"/>
      <c r="D566" s="42"/>
    </row>
    <row r="567" spans="2:4">
      <c r="B567" s="42"/>
      <c r="C567" s="42"/>
      <c r="D567" s="42"/>
    </row>
    <row r="568" spans="2:4">
      <c r="B568" s="42"/>
      <c r="C568" s="42"/>
      <c r="D568" s="42"/>
    </row>
    <row r="569" spans="2:4">
      <c r="B569" s="42"/>
      <c r="C569" s="42"/>
      <c r="D569" s="42"/>
    </row>
    <row r="570" spans="2:4">
      <c r="B570" s="42"/>
      <c r="C570" s="42"/>
      <c r="D570" s="42"/>
    </row>
    <row r="571" spans="2:4">
      <c r="B571" s="42"/>
      <c r="C571" s="42"/>
      <c r="D571" s="42"/>
    </row>
    <row r="572" spans="2:4">
      <c r="B572" s="42"/>
      <c r="C572" s="42"/>
      <c r="D572" s="42"/>
    </row>
    <row r="573" spans="2:4">
      <c r="B573" s="42"/>
      <c r="C573" s="42"/>
      <c r="D573" s="42"/>
    </row>
    <row r="574" spans="2:4">
      <c r="B574" s="42"/>
      <c r="C574" s="42"/>
      <c r="D574" s="42"/>
    </row>
    <row r="575" spans="2:4">
      <c r="B575" s="42"/>
      <c r="C575" s="42"/>
      <c r="D575" s="42"/>
    </row>
    <row r="576" spans="2:4">
      <c r="B576" s="42"/>
      <c r="C576" s="42"/>
      <c r="D576" s="42"/>
    </row>
    <row r="577" spans="2:4">
      <c r="B577" s="42"/>
      <c r="C577" s="42"/>
      <c r="D577" s="42"/>
    </row>
    <row r="578" spans="2:4">
      <c r="B578" s="42"/>
      <c r="C578" s="42"/>
      <c r="D578" s="42"/>
    </row>
    <row r="579" spans="2:4">
      <c r="B579" s="42"/>
      <c r="C579" s="42"/>
      <c r="D579" s="42"/>
    </row>
    <row r="580" spans="2:4">
      <c r="B580" s="42"/>
      <c r="C580" s="42"/>
      <c r="D580" s="42"/>
    </row>
    <row r="581" spans="2:4">
      <c r="B581" s="42"/>
      <c r="C581" s="42"/>
      <c r="D581" s="42"/>
    </row>
    <row r="582" spans="2:4">
      <c r="B582" s="42"/>
      <c r="C582" s="42"/>
      <c r="D582" s="42"/>
    </row>
    <row r="583" spans="2:4">
      <c r="B583" s="42"/>
      <c r="C583" s="42"/>
      <c r="D583" s="42"/>
    </row>
    <row r="584" spans="2:4">
      <c r="B584" s="42"/>
      <c r="C584" s="42"/>
      <c r="D584" s="42"/>
    </row>
    <row r="585" spans="2:4">
      <c r="B585" s="42"/>
      <c r="C585" s="42"/>
      <c r="D585" s="42"/>
    </row>
    <row r="586" spans="2:4">
      <c r="B586" s="42"/>
      <c r="C586" s="42"/>
      <c r="D586" s="42"/>
    </row>
    <row r="587" spans="2:4">
      <c r="B587" s="42"/>
      <c r="C587" s="42"/>
      <c r="D587" s="42"/>
    </row>
    <row r="588" spans="2:4">
      <c r="B588" s="42"/>
      <c r="C588" s="42"/>
      <c r="D588" s="42"/>
    </row>
    <row r="589" spans="2:4">
      <c r="B589" s="42"/>
      <c r="C589" s="42"/>
      <c r="D589" s="42"/>
    </row>
    <row r="590" spans="2:4">
      <c r="B590" s="42"/>
      <c r="C590" s="42"/>
      <c r="D590" s="42"/>
    </row>
    <row r="591" spans="2:4">
      <c r="B591" s="42"/>
      <c r="C591" s="42"/>
      <c r="D591" s="42"/>
    </row>
    <row r="592" spans="2:4">
      <c r="B592" s="42"/>
      <c r="C592" s="42"/>
      <c r="D592" s="42"/>
    </row>
    <row r="593" spans="2:4">
      <c r="B593" s="42"/>
      <c r="C593" s="42"/>
      <c r="D593" s="42"/>
    </row>
    <row r="594" spans="2:4">
      <c r="B594" s="42"/>
      <c r="C594" s="42"/>
      <c r="D594" s="42"/>
    </row>
    <row r="595" spans="2:4">
      <c r="B595" s="42"/>
      <c r="C595" s="42"/>
      <c r="D595" s="42"/>
    </row>
    <row r="596" spans="2:4">
      <c r="B596" s="42"/>
      <c r="C596" s="42"/>
      <c r="D596" s="42"/>
    </row>
    <row r="597" spans="2:4">
      <c r="B597" s="42"/>
      <c r="C597" s="42"/>
      <c r="D597" s="42"/>
    </row>
    <row r="598" spans="2:4">
      <c r="B598" s="42"/>
      <c r="C598" s="42"/>
      <c r="D598" s="42"/>
    </row>
    <row r="599" spans="2:4">
      <c r="B599" s="42"/>
      <c r="C599" s="42"/>
      <c r="D599" s="42"/>
    </row>
    <row r="600" spans="2:4">
      <c r="B600" s="42"/>
      <c r="C600" s="42"/>
      <c r="D600" s="42"/>
    </row>
    <row r="601" spans="2:4">
      <c r="B601" s="42"/>
      <c r="C601" s="42"/>
      <c r="D601" s="42"/>
    </row>
    <row r="602" spans="2:4">
      <c r="B602" s="42"/>
      <c r="C602" s="42"/>
      <c r="D602" s="42"/>
    </row>
    <row r="603" spans="2:4">
      <c r="B603" s="42"/>
      <c r="C603" s="42"/>
      <c r="D603" s="42"/>
    </row>
    <row r="604" spans="2:4">
      <c r="B604" s="42"/>
      <c r="C604" s="42"/>
      <c r="D604" s="42"/>
    </row>
    <row r="605" spans="2:4">
      <c r="B605" s="42"/>
      <c r="C605" s="42"/>
      <c r="D605" s="42"/>
    </row>
    <row r="606" spans="2:4">
      <c r="B606" s="42"/>
      <c r="C606" s="42"/>
      <c r="D606" s="42"/>
    </row>
    <row r="607" spans="2:4">
      <c r="B607" s="42"/>
      <c r="C607" s="42"/>
      <c r="D607" s="42"/>
    </row>
    <row r="608" spans="2:4">
      <c r="B608" s="42"/>
      <c r="C608" s="42"/>
      <c r="D608" s="42"/>
    </row>
    <row r="609" spans="2:4">
      <c r="B609" s="42"/>
      <c r="C609" s="42"/>
      <c r="D609" s="42"/>
    </row>
    <row r="610" spans="2:4">
      <c r="B610" s="42"/>
      <c r="C610" s="42"/>
      <c r="D610" s="42"/>
    </row>
    <row r="611" spans="2:4">
      <c r="B611" s="42"/>
      <c r="C611" s="42"/>
      <c r="D611" s="42"/>
    </row>
    <row r="612" spans="2:4">
      <c r="B612" s="42"/>
      <c r="C612" s="42"/>
      <c r="D612" s="42"/>
    </row>
    <row r="613" spans="2:4">
      <c r="B613" s="42"/>
      <c r="C613" s="42"/>
      <c r="D613" s="42"/>
    </row>
    <row r="614" spans="2:4">
      <c r="B614" s="42"/>
      <c r="C614" s="42"/>
      <c r="D614" s="42"/>
    </row>
    <row r="615" spans="2:4">
      <c r="B615" s="42"/>
      <c r="C615" s="42"/>
      <c r="D615" s="42"/>
    </row>
    <row r="616" spans="2:4">
      <c r="B616" s="42"/>
      <c r="C616" s="42"/>
      <c r="D616" s="42"/>
    </row>
    <row r="617" spans="2:4">
      <c r="B617" s="42"/>
      <c r="C617" s="42"/>
      <c r="D617" s="42"/>
    </row>
    <row r="618" spans="2:4">
      <c r="B618" s="42"/>
      <c r="C618" s="42"/>
      <c r="D618" s="42"/>
    </row>
    <row r="619" spans="2:4">
      <c r="B619" s="42"/>
      <c r="C619" s="42"/>
      <c r="D619" s="42"/>
    </row>
    <row r="620" spans="2:4">
      <c r="B620" s="42"/>
      <c r="C620" s="42"/>
      <c r="D620" s="42"/>
    </row>
    <row r="621" spans="2:4">
      <c r="B621" s="42"/>
      <c r="C621" s="42"/>
      <c r="D621" s="42"/>
    </row>
    <row r="622" spans="2:4">
      <c r="B622" s="42"/>
      <c r="C622" s="42"/>
      <c r="D622" s="42"/>
    </row>
    <row r="623" spans="2:4">
      <c r="B623" s="42"/>
      <c r="C623" s="42"/>
      <c r="D623" s="42"/>
    </row>
    <row r="624" spans="2:4">
      <c r="B624" s="42"/>
      <c r="C624" s="42"/>
      <c r="D624" s="42"/>
    </row>
    <row r="625" spans="2:4">
      <c r="B625" s="42"/>
      <c r="C625" s="42"/>
      <c r="D625" s="42"/>
    </row>
    <row r="626" spans="2:4">
      <c r="B626" s="42"/>
      <c r="C626" s="42"/>
      <c r="D626" s="42"/>
    </row>
    <row r="627" spans="2:4">
      <c r="B627" s="42"/>
      <c r="C627" s="42"/>
      <c r="D627" s="42"/>
    </row>
    <row r="628" spans="2:4">
      <c r="B628" s="42"/>
      <c r="C628" s="42"/>
      <c r="D628" s="42"/>
    </row>
    <row r="629" spans="2:4">
      <c r="B629" s="42"/>
      <c r="C629" s="42"/>
      <c r="D629" s="42"/>
    </row>
    <row r="630" spans="2:4">
      <c r="B630" s="42"/>
      <c r="C630" s="42"/>
      <c r="D630" s="42"/>
    </row>
    <row r="631" spans="2:4">
      <c r="B631" s="42"/>
      <c r="C631" s="42"/>
      <c r="D631" s="42"/>
    </row>
    <row r="632" spans="2:4">
      <c r="B632" s="42"/>
      <c r="C632" s="42"/>
      <c r="D632" s="42"/>
    </row>
    <row r="633" spans="2:4">
      <c r="B633" s="42"/>
      <c r="C633" s="42"/>
      <c r="D633" s="42"/>
    </row>
    <row r="634" spans="2:4">
      <c r="B634" s="42"/>
      <c r="C634" s="42"/>
      <c r="D634" s="42"/>
    </row>
    <row r="635" spans="2:4">
      <c r="B635" s="42"/>
      <c r="C635" s="42"/>
      <c r="D635" s="42"/>
    </row>
    <row r="636" spans="2:4">
      <c r="B636" s="42"/>
      <c r="C636" s="42"/>
      <c r="D636" s="42"/>
    </row>
    <row r="637" spans="2:4">
      <c r="B637" s="42"/>
      <c r="C637" s="42"/>
      <c r="D637" s="42"/>
    </row>
    <row r="638" spans="2:4">
      <c r="B638" s="42"/>
      <c r="C638" s="42"/>
      <c r="D638" s="42"/>
    </row>
    <row r="639" spans="2:4">
      <c r="B639" s="42"/>
      <c r="C639" s="42"/>
      <c r="D639" s="42"/>
    </row>
    <row r="640" spans="2:4">
      <c r="B640" s="42"/>
      <c r="C640" s="42"/>
      <c r="D640" s="42"/>
    </row>
    <row r="641" spans="2:4">
      <c r="B641" s="42"/>
      <c r="C641" s="42"/>
      <c r="D641" s="42"/>
    </row>
    <row r="642" spans="2:4">
      <c r="B642" s="42"/>
      <c r="C642" s="42"/>
      <c r="D642" s="42"/>
    </row>
    <row r="643" spans="2:4">
      <c r="B643" s="42"/>
      <c r="C643" s="42"/>
      <c r="D643" s="42"/>
    </row>
    <row r="644" spans="2:4">
      <c r="B644" s="42"/>
      <c r="C644" s="42"/>
      <c r="D644" s="42"/>
    </row>
    <row r="645" spans="2:4">
      <c r="B645" s="42"/>
      <c r="C645" s="42"/>
      <c r="D645" s="42"/>
    </row>
    <row r="646" spans="2:4">
      <c r="B646" s="42"/>
      <c r="C646" s="42"/>
      <c r="D646" s="42"/>
    </row>
    <row r="647" spans="2:4">
      <c r="B647" s="42"/>
      <c r="C647" s="42"/>
      <c r="D647" s="42"/>
    </row>
    <row r="648" spans="2:4">
      <c r="B648" s="42"/>
      <c r="C648" s="42"/>
      <c r="D648" s="42"/>
    </row>
    <row r="649" spans="2:4">
      <c r="B649" s="42"/>
      <c r="C649" s="42"/>
      <c r="D649" s="42"/>
    </row>
    <row r="650" spans="2:4">
      <c r="B650" s="42"/>
      <c r="C650" s="42"/>
      <c r="D650" s="42"/>
    </row>
    <row r="651" spans="2:4">
      <c r="B651" s="42"/>
      <c r="C651" s="42"/>
      <c r="D651" s="42"/>
    </row>
    <row r="652" spans="2:4">
      <c r="B652" s="42"/>
      <c r="C652" s="42"/>
      <c r="D652" s="42"/>
    </row>
    <row r="653" spans="2:4">
      <c r="B653" s="42"/>
      <c r="C653" s="42"/>
      <c r="D653" s="42"/>
    </row>
    <row r="654" spans="2:4">
      <c r="B654" s="42"/>
      <c r="C654" s="42"/>
      <c r="D654" s="42"/>
    </row>
    <row r="655" spans="2:4">
      <c r="B655" s="42"/>
      <c r="C655" s="42"/>
      <c r="D655" s="42"/>
    </row>
    <row r="656" spans="2:4">
      <c r="B656" s="42"/>
      <c r="C656" s="42"/>
      <c r="D656" s="42"/>
    </row>
    <row r="657" spans="2:4">
      <c r="B657" s="42"/>
      <c r="C657" s="42"/>
      <c r="D657" s="42"/>
    </row>
    <row r="658" spans="2:4">
      <c r="B658" s="42"/>
      <c r="C658" s="42"/>
      <c r="D658" s="42"/>
    </row>
    <row r="659" spans="2:4">
      <c r="B659" s="42"/>
      <c r="C659" s="42"/>
      <c r="D659" s="42"/>
    </row>
    <row r="660" spans="2:4">
      <c r="B660" s="42"/>
      <c r="C660" s="42"/>
      <c r="D660" s="42"/>
    </row>
    <row r="661" spans="2:4">
      <c r="B661" s="42"/>
      <c r="C661" s="42"/>
      <c r="D661" s="42"/>
    </row>
    <row r="662" spans="2:4">
      <c r="B662" s="42"/>
      <c r="C662" s="42"/>
      <c r="D662" s="42"/>
    </row>
    <row r="663" spans="2:4">
      <c r="B663" s="42"/>
      <c r="C663" s="42"/>
      <c r="D663" s="42"/>
    </row>
    <row r="664" spans="2:4">
      <c r="B664" s="42"/>
      <c r="C664" s="42"/>
      <c r="D664" s="42"/>
    </row>
    <row r="665" spans="2:4">
      <c r="B665" s="42"/>
      <c r="C665" s="42"/>
      <c r="D665" s="42"/>
    </row>
    <row r="666" spans="2:4">
      <c r="B666" s="42"/>
      <c r="C666" s="42"/>
      <c r="D666" s="42"/>
    </row>
    <row r="667" spans="2:4">
      <c r="B667" s="42"/>
      <c r="C667" s="42"/>
      <c r="D667" s="42"/>
    </row>
    <row r="668" spans="2:4">
      <c r="B668" s="42"/>
      <c r="C668" s="42"/>
      <c r="D668" s="42"/>
    </row>
    <row r="669" spans="2:4">
      <c r="B669" s="42"/>
      <c r="C669" s="42"/>
      <c r="D669" s="42"/>
    </row>
    <row r="670" spans="2:4">
      <c r="B670" s="42"/>
      <c r="C670" s="42"/>
      <c r="D670" s="42"/>
    </row>
    <row r="671" spans="2:4">
      <c r="B671" s="42"/>
      <c r="C671" s="42"/>
      <c r="D671" s="42"/>
    </row>
    <row r="672" spans="2:4">
      <c r="B672" s="42"/>
      <c r="C672" s="42"/>
      <c r="D672" s="42"/>
    </row>
    <row r="673" spans="2:4">
      <c r="B673" s="42"/>
      <c r="C673" s="42"/>
      <c r="D673" s="42"/>
    </row>
    <row r="674" spans="2:4">
      <c r="B674" s="42"/>
      <c r="C674" s="42"/>
      <c r="D674" s="42"/>
    </row>
    <row r="675" spans="2:4">
      <c r="B675" s="42"/>
      <c r="C675" s="42"/>
      <c r="D675" s="42"/>
    </row>
    <row r="676" spans="2:4">
      <c r="B676" s="42"/>
      <c r="C676" s="42"/>
      <c r="D676" s="42"/>
    </row>
    <row r="677" spans="2:4">
      <c r="B677" s="42"/>
      <c r="C677" s="42"/>
      <c r="D677" s="42"/>
    </row>
    <row r="678" spans="2:4">
      <c r="B678" s="42"/>
      <c r="C678" s="42"/>
      <c r="D678" s="42"/>
    </row>
    <row r="679" spans="2:4">
      <c r="B679" s="42"/>
      <c r="C679" s="42"/>
      <c r="D679" s="42"/>
    </row>
    <row r="680" spans="2:4">
      <c r="B680" s="42"/>
      <c r="C680" s="42"/>
      <c r="D680" s="42"/>
    </row>
    <row r="681" spans="2:4">
      <c r="B681" s="42"/>
      <c r="C681" s="42"/>
      <c r="D681" s="42"/>
    </row>
    <row r="682" spans="2:4">
      <c r="B682" s="42"/>
      <c r="C682" s="42"/>
      <c r="D682" s="42"/>
    </row>
    <row r="683" spans="2:4">
      <c r="B683" s="42"/>
      <c r="C683" s="42"/>
      <c r="D683" s="42"/>
    </row>
    <row r="684" spans="2:4">
      <c r="B684" s="42"/>
      <c r="C684" s="42"/>
      <c r="D684" s="42"/>
    </row>
    <row r="685" spans="2:4">
      <c r="B685" s="42"/>
      <c r="C685" s="42"/>
      <c r="D685" s="42"/>
    </row>
    <row r="686" spans="2:4">
      <c r="B686" s="42"/>
      <c r="C686" s="42"/>
      <c r="D686" s="42"/>
    </row>
    <row r="687" spans="2:4">
      <c r="B687" s="42"/>
      <c r="C687" s="42"/>
      <c r="D687" s="42"/>
    </row>
    <row r="688" spans="2:4">
      <c r="B688" s="42"/>
      <c r="C688" s="42"/>
      <c r="D688" s="42"/>
    </row>
    <row r="689" spans="2:4">
      <c r="B689" s="42"/>
      <c r="C689" s="42"/>
      <c r="D689" s="42"/>
    </row>
    <row r="690" spans="2:4">
      <c r="B690" s="42"/>
      <c r="C690" s="42"/>
      <c r="D690" s="42"/>
    </row>
    <row r="691" spans="2:4">
      <c r="B691" s="42"/>
      <c r="C691" s="42"/>
      <c r="D691" s="42"/>
    </row>
    <row r="692" spans="2:4">
      <c r="B692" s="42"/>
      <c r="C692" s="42"/>
      <c r="D692" s="42"/>
    </row>
    <row r="693" spans="2:4">
      <c r="B693" s="42"/>
      <c r="C693" s="42"/>
      <c r="D693" s="42"/>
    </row>
    <row r="694" spans="2:4">
      <c r="B694" s="42"/>
      <c r="C694" s="42"/>
      <c r="D694" s="42"/>
    </row>
    <row r="695" spans="2:4">
      <c r="B695" s="42"/>
      <c r="C695" s="42"/>
      <c r="D695" s="42"/>
    </row>
    <row r="696" spans="2:4">
      <c r="B696" s="42"/>
      <c r="C696" s="42"/>
      <c r="D696" s="42"/>
    </row>
    <row r="697" spans="2:4">
      <c r="B697" s="42"/>
      <c r="C697" s="42"/>
      <c r="D697" s="42"/>
    </row>
    <row r="698" spans="2:4">
      <c r="B698" s="42"/>
      <c r="C698" s="42"/>
      <c r="D698" s="42"/>
    </row>
    <row r="699" spans="2:4">
      <c r="B699" s="42"/>
      <c r="C699" s="42"/>
      <c r="D699" s="42"/>
    </row>
    <row r="700" spans="2:4">
      <c r="B700" s="42"/>
      <c r="C700" s="42"/>
      <c r="D700" s="42"/>
    </row>
    <row r="701" spans="2:4">
      <c r="B701" s="42"/>
      <c r="C701" s="42"/>
      <c r="D701" s="42"/>
    </row>
    <row r="702" spans="2:4">
      <c r="B702" s="42"/>
      <c r="C702" s="42"/>
      <c r="D702" s="42"/>
    </row>
    <row r="703" spans="2:4">
      <c r="B703" s="42"/>
      <c r="C703" s="42"/>
      <c r="D703" s="42"/>
    </row>
    <row r="704" spans="2:4">
      <c r="B704" s="42"/>
      <c r="C704" s="42"/>
      <c r="D704" s="42"/>
    </row>
    <row r="705" spans="2:4">
      <c r="B705" s="42"/>
      <c r="C705" s="42"/>
      <c r="D705" s="42"/>
    </row>
    <row r="706" spans="2:4">
      <c r="B706" s="42"/>
      <c r="C706" s="42"/>
      <c r="D706" s="42"/>
    </row>
    <row r="707" spans="2:4">
      <c r="B707" s="42"/>
      <c r="C707" s="42"/>
      <c r="D707" s="42"/>
    </row>
    <row r="708" spans="2:4">
      <c r="B708" s="42"/>
      <c r="C708" s="42"/>
      <c r="D708" s="42"/>
    </row>
    <row r="709" spans="2:4">
      <c r="B709" s="42"/>
      <c r="C709" s="42"/>
      <c r="D709" s="42"/>
    </row>
    <row r="710" spans="2:4">
      <c r="B710" s="42"/>
      <c r="C710" s="42"/>
      <c r="D710" s="42"/>
    </row>
    <row r="711" spans="2:4">
      <c r="B711" s="42"/>
      <c r="C711" s="42"/>
      <c r="D711" s="42"/>
    </row>
    <row r="712" spans="2:4">
      <c r="B712" s="42"/>
      <c r="C712" s="42"/>
      <c r="D712" s="42"/>
    </row>
    <row r="713" spans="2:4">
      <c r="B713" s="42"/>
      <c r="C713" s="42"/>
      <c r="D713" s="42"/>
    </row>
    <row r="714" spans="2:4">
      <c r="B714" s="42"/>
      <c r="C714" s="42"/>
      <c r="D714" s="42"/>
    </row>
    <row r="715" spans="2:4">
      <c r="B715" s="42"/>
      <c r="C715" s="42"/>
      <c r="D715" s="42"/>
    </row>
    <row r="716" spans="2:4">
      <c r="B716" s="42"/>
      <c r="C716" s="42"/>
      <c r="D716" s="42"/>
    </row>
    <row r="717" spans="2:4">
      <c r="B717" s="42"/>
      <c r="C717" s="42"/>
      <c r="D717" s="42"/>
    </row>
    <row r="718" spans="2:4">
      <c r="B718" s="42"/>
      <c r="C718" s="42"/>
      <c r="D718" s="42"/>
    </row>
    <row r="719" spans="2:4">
      <c r="B719" s="42"/>
      <c r="C719" s="42"/>
      <c r="D719" s="42"/>
    </row>
    <row r="720" spans="2:4">
      <c r="B720" s="42"/>
      <c r="C720" s="42"/>
      <c r="D720" s="42"/>
    </row>
    <row r="721" spans="2:4">
      <c r="B721" s="42"/>
      <c r="C721" s="42"/>
      <c r="D721" s="42"/>
    </row>
    <row r="722" spans="2:4">
      <c r="B722" s="42"/>
      <c r="C722" s="42"/>
      <c r="D722" s="42"/>
    </row>
    <row r="723" spans="2:4">
      <c r="B723" s="42"/>
      <c r="C723" s="42"/>
      <c r="D723" s="42"/>
    </row>
    <row r="724" spans="2:4">
      <c r="B724" s="42"/>
      <c r="C724" s="42"/>
      <c r="D724" s="42"/>
    </row>
    <row r="725" spans="2:4">
      <c r="B725" s="42"/>
      <c r="C725" s="42"/>
      <c r="D725" s="42"/>
    </row>
    <row r="726" spans="2:4">
      <c r="B726" s="42"/>
      <c r="C726" s="42"/>
      <c r="D726" s="42"/>
    </row>
    <row r="727" spans="2:4">
      <c r="B727" s="42"/>
      <c r="C727" s="42"/>
      <c r="D727" s="42"/>
    </row>
    <row r="728" spans="2:4">
      <c r="B728" s="42"/>
      <c r="C728" s="42"/>
      <c r="D728" s="42"/>
    </row>
    <row r="729" spans="2:4">
      <c r="B729" s="42"/>
      <c r="C729" s="42"/>
      <c r="D729" s="42"/>
    </row>
    <row r="730" spans="2:4">
      <c r="B730" s="42"/>
      <c r="C730" s="42"/>
      <c r="D730" s="42"/>
    </row>
    <row r="731" spans="2:4">
      <c r="B731" s="42"/>
      <c r="C731" s="42"/>
      <c r="D731" s="42"/>
    </row>
    <row r="732" spans="2:4">
      <c r="B732" s="42"/>
      <c r="C732" s="42"/>
      <c r="D732" s="42"/>
    </row>
    <row r="733" spans="2:4">
      <c r="B733" s="42"/>
      <c r="C733" s="42"/>
      <c r="D733" s="42"/>
    </row>
    <row r="734" spans="2:4">
      <c r="B734" s="42"/>
      <c r="C734" s="42"/>
      <c r="D734" s="42"/>
    </row>
    <row r="735" spans="2:4">
      <c r="B735" s="42"/>
      <c r="C735" s="42"/>
      <c r="D735" s="42"/>
    </row>
    <row r="736" spans="2:4">
      <c r="B736" s="42"/>
      <c r="C736" s="42"/>
      <c r="D736" s="42"/>
    </row>
    <row r="737" spans="2:4">
      <c r="B737" s="42"/>
      <c r="C737" s="42"/>
      <c r="D737" s="42"/>
    </row>
    <row r="738" spans="2:4">
      <c r="B738" s="42"/>
      <c r="C738" s="42"/>
      <c r="D738" s="42"/>
    </row>
    <row r="739" spans="2:4">
      <c r="B739" s="42"/>
      <c r="C739" s="42"/>
      <c r="D739" s="42"/>
    </row>
    <row r="740" spans="2:4">
      <c r="B740" s="42"/>
      <c r="C740" s="42"/>
      <c r="D740" s="42"/>
    </row>
  </sheetData>
  <phoneticPr fontId="16" type="noConversion"/>
  <printOptions horizontalCentered="1" verticalCentered="1"/>
  <pageMargins left="0.39370078740157483" right="0.39370078740157483" top="0.59055118110236227" bottom="0.59055118110236227" header="0.51181102362204722" footer="0.51181102362204722"/>
  <pageSetup paperSize="9" orientation="portrait" r:id="rId1"/>
  <headerFooter alignWithMargins="0">
    <oddFooter>Page &amp;P</oddFooter>
  </headerFooter>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I34"/>
  <sheetViews>
    <sheetView workbookViewId="0">
      <selection activeCell="K41" sqref="K41:K42"/>
    </sheetView>
  </sheetViews>
  <sheetFormatPr baseColWidth="10" defaultRowHeight="12.75"/>
  <cols>
    <col min="1" max="1" width="12.7109375" customWidth="1"/>
    <col min="2" max="2" width="26.28515625" customWidth="1"/>
    <col min="3" max="6" width="12.7109375" customWidth="1"/>
    <col min="7" max="7" width="13.42578125" customWidth="1"/>
    <col min="8" max="9" width="12.7109375" customWidth="1"/>
  </cols>
  <sheetData>
    <row r="1" spans="1:9">
      <c r="A1" s="155" t="str">
        <f>TRIM(CivilAdht&amp; " " &amp; NomAdht)</f>
        <v/>
      </c>
    </row>
    <row r="2" spans="1:9" ht="9.75" customHeight="1" thickBot="1"/>
    <row r="3" spans="1:9" ht="31.5" thickTop="1" thickBot="1">
      <c r="A3" s="1077" t="s">
        <v>348</v>
      </c>
      <c r="B3" s="1077"/>
      <c r="C3" s="1077"/>
      <c r="D3" s="1077"/>
      <c r="E3" s="1077"/>
      <c r="F3" s="1077"/>
      <c r="G3" s="1077"/>
      <c r="H3" s="1077"/>
      <c r="I3" s="1077"/>
    </row>
    <row r="4" spans="1:9" ht="9.75" customHeight="1" thickTop="1" thickBot="1"/>
    <row r="5" spans="1:9" ht="13.5">
      <c r="A5" s="520"/>
      <c r="B5" s="521"/>
      <c r="C5" s="522"/>
      <c r="D5" s="523"/>
      <c r="E5" s="524"/>
      <c r="F5" s="523"/>
      <c r="G5" s="524"/>
      <c r="H5" s="523"/>
      <c r="I5" s="525"/>
    </row>
    <row r="6" spans="1:9">
      <c r="A6" s="526" t="s">
        <v>349</v>
      </c>
      <c r="B6" s="527" t="s">
        <v>350</v>
      </c>
      <c r="C6" s="528" t="s">
        <v>10</v>
      </c>
      <c r="D6" s="529" t="s">
        <v>351</v>
      </c>
      <c r="E6" s="527" t="s">
        <v>205</v>
      </c>
      <c r="F6" s="529" t="s">
        <v>352</v>
      </c>
      <c r="G6" s="527" t="s">
        <v>353</v>
      </c>
      <c r="H6" s="529" t="s">
        <v>359</v>
      </c>
      <c r="I6" s="530" t="s">
        <v>354</v>
      </c>
    </row>
    <row r="7" spans="1:9">
      <c r="A7" s="531"/>
      <c r="B7" s="532"/>
      <c r="C7" s="533"/>
      <c r="D7" s="529" t="s">
        <v>355</v>
      </c>
      <c r="E7" s="527" t="s">
        <v>356</v>
      </c>
      <c r="F7" s="529"/>
      <c r="G7" s="527" t="s">
        <v>356</v>
      </c>
      <c r="H7" s="529" t="s">
        <v>356</v>
      </c>
      <c r="I7" s="530" t="s">
        <v>356</v>
      </c>
    </row>
    <row r="8" spans="1:9" ht="15" customHeight="1" thickBot="1">
      <c r="A8" s="534"/>
      <c r="B8" s="535"/>
      <c r="C8" s="536"/>
      <c r="D8" s="537"/>
      <c r="E8" s="538"/>
      <c r="F8" s="537"/>
      <c r="G8" s="538"/>
      <c r="H8" s="537"/>
      <c r="I8" s="539" t="s">
        <v>357</v>
      </c>
    </row>
    <row r="9" spans="1:9">
      <c r="A9" s="540"/>
      <c r="B9" s="541"/>
      <c r="C9" s="542"/>
      <c r="D9" s="543"/>
      <c r="E9" s="544"/>
      <c r="F9" s="543"/>
      <c r="G9" s="544"/>
      <c r="H9" s="543"/>
      <c r="I9" s="545"/>
    </row>
    <row r="10" spans="1:9">
      <c r="A10" s="546" t="s">
        <v>358</v>
      </c>
      <c r="B10" s="547"/>
      <c r="C10" s="548"/>
      <c r="D10" s="549"/>
      <c r="E10" s="550"/>
      <c r="F10" s="551"/>
      <c r="G10" s="550"/>
      <c r="H10" s="551" t="s">
        <v>358</v>
      </c>
      <c r="I10" s="552" t="s">
        <v>358</v>
      </c>
    </row>
    <row r="11" spans="1:9">
      <c r="A11" s="553" t="s">
        <v>358</v>
      </c>
      <c r="B11" s="554"/>
      <c r="C11" s="542"/>
      <c r="D11" s="555"/>
      <c r="E11" s="544"/>
      <c r="F11" s="543"/>
      <c r="G11" s="544"/>
      <c r="H11" s="543" t="s">
        <v>358</v>
      </c>
      <c r="I11" s="545" t="s">
        <v>358</v>
      </c>
    </row>
    <row r="12" spans="1:9" ht="9.9499999999999993" customHeight="1">
      <c r="A12" s="556"/>
      <c r="B12" s="557"/>
      <c r="C12" s="558"/>
      <c r="D12" s="559"/>
      <c r="E12" s="560"/>
      <c r="F12" s="561"/>
      <c r="G12" s="560"/>
      <c r="H12" s="561"/>
      <c r="I12" s="562"/>
    </row>
    <row r="13" spans="1:9">
      <c r="A13" s="563"/>
      <c r="B13" s="564"/>
      <c r="C13" s="542"/>
      <c r="D13" s="555"/>
      <c r="E13" s="544"/>
      <c r="F13" s="543"/>
      <c r="G13" s="544"/>
      <c r="H13" s="543"/>
      <c r="I13" s="545"/>
    </row>
    <row r="14" spans="1:9">
      <c r="A14" s="565" t="s">
        <v>358</v>
      </c>
      <c r="B14" s="547"/>
      <c r="C14" s="548"/>
      <c r="D14" s="549"/>
      <c r="E14" s="550"/>
      <c r="F14" s="551"/>
      <c r="G14" s="550"/>
      <c r="H14" s="551" t="s">
        <v>358</v>
      </c>
      <c r="I14" s="552" t="s">
        <v>358</v>
      </c>
    </row>
    <row r="15" spans="1:9">
      <c r="A15" s="566" t="s">
        <v>358</v>
      </c>
      <c r="B15" s="554"/>
      <c r="C15" s="542"/>
      <c r="D15" s="555"/>
      <c r="E15" s="544"/>
      <c r="F15" s="543"/>
      <c r="G15" s="544"/>
      <c r="H15" s="543" t="s">
        <v>358</v>
      </c>
      <c r="I15" s="545" t="s">
        <v>358</v>
      </c>
    </row>
    <row r="16" spans="1:9" ht="9.9499999999999993" customHeight="1">
      <c r="A16" s="556"/>
      <c r="B16" s="567"/>
      <c r="C16" s="558"/>
      <c r="D16" s="559"/>
      <c r="E16" s="560"/>
      <c r="F16" s="561"/>
      <c r="G16" s="560"/>
      <c r="H16" s="561"/>
      <c r="I16" s="562"/>
    </row>
    <row r="17" spans="1:9">
      <c r="A17" s="563"/>
      <c r="B17" s="564"/>
      <c r="C17" s="542"/>
      <c r="D17" s="555"/>
      <c r="E17" s="544"/>
      <c r="F17" s="543"/>
      <c r="G17" s="544"/>
      <c r="H17" s="543"/>
      <c r="I17" s="545"/>
    </row>
    <row r="18" spans="1:9">
      <c r="A18" s="565" t="s">
        <v>358</v>
      </c>
      <c r="B18" s="547"/>
      <c r="C18" s="548"/>
      <c r="D18" s="549"/>
      <c r="E18" s="550"/>
      <c r="F18" s="551"/>
      <c r="G18" s="550"/>
      <c r="H18" s="551" t="s">
        <v>358</v>
      </c>
      <c r="I18" s="552" t="s">
        <v>358</v>
      </c>
    </row>
    <row r="19" spans="1:9">
      <c r="A19" s="568" t="s">
        <v>358</v>
      </c>
      <c r="B19" s="569"/>
      <c r="C19" s="570"/>
      <c r="D19" s="571"/>
      <c r="E19" s="572"/>
      <c r="F19" s="573"/>
      <c r="G19" s="572"/>
      <c r="H19" s="573" t="s">
        <v>358</v>
      </c>
      <c r="I19" s="574" t="s">
        <v>358</v>
      </c>
    </row>
    <row r="20" spans="1:9" ht="9.9499999999999993" customHeight="1">
      <c r="A20" s="556"/>
      <c r="B20" s="567"/>
      <c r="C20" s="558"/>
      <c r="D20" s="559"/>
      <c r="E20" s="560"/>
      <c r="F20" s="561"/>
      <c r="G20" s="560"/>
      <c r="H20" s="561"/>
      <c r="I20" s="562"/>
    </row>
    <row r="21" spans="1:9">
      <c r="A21" s="563"/>
      <c r="B21" s="564"/>
      <c r="C21" s="542"/>
      <c r="D21" s="555"/>
      <c r="E21" s="544"/>
      <c r="F21" s="543"/>
      <c r="G21" s="544"/>
      <c r="H21" s="543"/>
      <c r="I21" s="545"/>
    </row>
    <row r="22" spans="1:9">
      <c r="A22" s="546" t="s">
        <v>358</v>
      </c>
      <c r="B22" s="547"/>
      <c r="C22" s="548"/>
      <c r="D22" s="549"/>
      <c r="E22" s="550"/>
      <c r="F22" s="551"/>
      <c r="G22" s="550"/>
      <c r="H22" s="551" t="s">
        <v>358</v>
      </c>
      <c r="I22" s="552" t="s">
        <v>358</v>
      </c>
    </row>
    <row r="23" spans="1:9">
      <c r="A23" s="575" t="s">
        <v>358</v>
      </c>
      <c r="B23" s="576"/>
      <c r="C23" s="577"/>
      <c r="D23" s="578"/>
      <c r="E23" s="579"/>
      <c r="F23" s="580"/>
      <c r="G23" s="579"/>
      <c r="H23" s="580" t="s">
        <v>358</v>
      </c>
      <c r="I23" s="581" t="s">
        <v>358</v>
      </c>
    </row>
    <row r="24" spans="1:9" ht="9.9499999999999993" customHeight="1">
      <c r="A24" s="582"/>
      <c r="B24" s="583"/>
      <c r="C24" s="584"/>
      <c r="D24" s="585"/>
      <c r="E24" s="586"/>
      <c r="F24" s="587"/>
      <c r="G24" s="586"/>
      <c r="H24" s="587"/>
      <c r="I24" s="588"/>
    </row>
    <row r="25" spans="1:9">
      <c r="A25" s="589"/>
      <c r="B25" s="590"/>
      <c r="C25" s="570"/>
      <c r="D25" s="571"/>
      <c r="E25" s="572"/>
      <c r="F25" s="573"/>
      <c r="G25" s="572"/>
      <c r="H25" s="573"/>
      <c r="I25" s="574"/>
    </row>
    <row r="26" spans="1:9">
      <c r="A26" s="546" t="s">
        <v>358</v>
      </c>
      <c r="B26" s="547"/>
      <c r="C26" s="548"/>
      <c r="D26" s="549"/>
      <c r="E26" s="550"/>
      <c r="F26" s="551"/>
      <c r="G26" s="550"/>
      <c r="H26" s="551" t="s">
        <v>358</v>
      </c>
      <c r="I26" s="552" t="s">
        <v>358</v>
      </c>
    </row>
    <row r="27" spans="1:9">
      <c r="A27" s="575" t="s">
        <v>358</v>
      </c>
      <c r="B27" s="569"/>
      <c r="C27" s="570"/>
      <c r="D27" s="571"/>
      <c r="E27" s="572"/>
      <c r="F27" s="573"/>
      <c r="G27" s="572"/>
      <c r="H27" s="573" t="s">
        <v>358</v>
      </c>
      <c r="I27" s="581" t="s">
        <v>358</v>
      </c>
    </row>
    <row r="28" spans="1:9" ht="9.9499999999999993" customHeight="1">
      <c r="A28" s="591"/>
      <c r="B28" s="583"/>
      <c r="C28" s="584"/>
      <c r="D28" s="585"/>
      <c r="E28" s="586"/>
      <c r="F28" s="587"/>
      <c r="G28" s="586"/>
      <c r="H28" s="587"/>
      <c r="I28" s="588"/>
    </row>
    <row r="29" spans="1:9">
      <c r="A29" s="589"/>
      <c r="B29" s="590"/>
      <c r="C29" s="570"/>
      <c r="D29" s="571"/>
      <c r="E29" s="572"/>
      <c r="F29" s="573"/>
      <c r="G29" s="572"/>
      <c r="H29" s="573"/>
      <c r="I29" s="574"/>
    </row>
    <row r="30" spans="1:9">
      <c r="A30" s="546" t="s">
        <v>358</v>
      </c>
      <c r="B30" s="547"/>
      <c r="C30" s="548"/>
      <c r="D30" s="549"/>
      <c r="E30" s="550"/>
      <c r="F30" s="551"/>
      <c r="G30" s="550"/>
      <c r="H30" s="551" t="s">
        <v>358</v>
      </c>
      <c r="I30" s="552" t="s">
        <v>358</v>
      </c>
    </row>
    <row r="31" spans="1:9">
      <c r="A31" s="568" t="s">
        <v>358</v>
      </c>
      <c r="B31" s="569" t="s">
        <v>358</v>
      </c>
      <c r="C31" s="570" t="s">
        <v>358</v>
      </c>
      <c r="D31" s="571" t="s">
        <v>358</v>
      </c>
      <c r="E31" s="572" t="s">
        <v>358</v>
      </c>
      <c r="F31" s="573" t="s">
        <v>358</v>
      </c>
      <c r="G31" s="572" t="s">
        <v>358</v>
      </c>
      <c r="H31" s="573" t="s">
        <v>358</v>
      </c>
      <c r="I31" s="574" t="s">
        <v>358</v>
      </c>
    </row>
    <row r="32" spans="1:9" ht="9.9499999999999993" customHeight="1" thickBot="1">
      <c r="A32" s="592"/>
      <c r="B32" s="593"/>
      <c r="C32" s="594"/>
      <c r="D32" s="595"/>
      <c r="E32" s="596"/>
      <c r="F32" s="597"/>
      <c r="G32" s="596"/>
      <c r="H32" s="597"/>
      <c r="I32" s="598"/>
    </row>
    <row r="33" spans="1:9">
      <c r="A33" s="599"/>
      <c r="B33" s="600"/>
      <c r="C33" s="601"/>
      <c r="D33" s="601"/>
      <c r="E33" s="601"/>
      <c r="F33" s="601"/>
      <c r="G33" s="601"/>
      <c r="H33" s="601"/>
      <c r="I33" s="602"/>
    </row>
    <row r="34" spans="1:9">
      <c r="A34" s="603"/>
      <c r="B34" s="604"/>
      <c r="C34" s="605"/>
      <c r="D34" s="605"/>
      <c r="E34" s="605"/>
      <c r="F34" s="605"/>
      <c r="G34" s="605"/>
      <c r="H34" s="605"/>
      <c r="I34" s="602"/>
    </row>
  </sheetData>
  <mergeCells count="1">
    <mergeCell ref="A3:I3"/>
  </mergeCells>
  <phoneticPr fontId="16" type="noConversion"/>
  <printOptions horizontalCentered="1" verticalCentered="1"/>
  <pageMargins left="0.39370078740157483" right="0.39370078740157483" top="0.19685039370078741" bottom="0.19685039370078741" header="0.51181102362204722" footer="0.51181102362204722"/>
  <pageSetup paperSize="9" orientation="landscape" verticalDpi="0" r:id="rId1"/>
  <headerFooter alignWithMargins="0">
    <oddFooter>Page &amp;P</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9"/>
  <dimension ref="A1:H102"/>
  <sheetViews>
    <sheetView workbookViewId="0">
      <selection activeCell="B11" sqref="B11:H100"/>
    </sheetView>
  </sheetViews>
  <sheetFormatPr baseColWidth="10" defaultRowHeight="12.75"/>
  <cols>
    <col min="1" max="1" width="2.5703125" customWidth="1"/>
    <col min="2" max="2" width="10.5703125" customWidth="1"/>
    <col min="3" max="3" width="25.140625" customWidth="1"/>
    <col min="4" max="4" width="10.85546875" customWidth="1"/>
    <col min="5" max="6" width="12.7109375" customWidth="1"/>
    <col min="7" max="7" width="11.42578125" customWidth="1"/>
    <col min="8" max="8" width="14" customWidth="1"/>
    <col min="9" max="9" width="1.28515625" customWidth="1"/>
  </cols>
  <sheetData>
    <row r="1" spans="1:8">
      <c r="A1" s="818">
        <v>111</v>
      </c>
      <c r="B1" s="155" t="str">
        <f>TRIM(CivilAdht&amp; " " &amp; NomAdht)</f>
        <v/>
      </c>
    </row>
    <row r="2" spans="1:8">
      <c r="A2" s="818">
        <v>111</v>
      </c>
      <c r="B2" s="155"/>
    </row>
    <row r="3" spans="1:8" ht="9.75" customHeight="1" thickBot="1">
      <c r="A3" s="818">
        <v>111</v>
      </c>
    </row>
    <row r="4" spans="1:8" ht="24.75" thickTop="1" thickBot="1">
      <c r="B4" s="1047" t="s">
        <v>348</v>
      </c>
      <c r="C4" s="1048"/>
      <c r="D4" s="1048"/>
      <c r="E4" s="1048"/>
      <c r="F4" s="1048"/>
      <c r="G4" s="1048"/>
      <c r="H4" s="1048"/>
    </row>
    <row r="5" spans="1:8" ht="30.75" thickTop="1">
      <c r="A5" s="818">
        <v>111</v>
      </c>
      <c r="B5" s="819"/>
      <c r="C5" s="819"/>
      <c r="D5" s="819"/>
      <c r="E5" s="819"/>
      <c r="F5" s="819"/>
      <c r="G5" s="819"/>
      <c r="H5" s="819"/>
    </row>
    <row r="6" spans="1:8" ht="9.75" customHeight="1">
      <c r="A6" s="818">
        <v>111</v>
      </c>
    </row>
    <row r="7" spans="1:8" ht="13.5">
      <c r="B7" s="836"/>
      <c r="C7" s="837"/>
      <c r="D7" s="838"/>
      <c r="E7" s="839"/>
      <c r="F7" s="840"/>
      <c r="G7" s="839"/>
      <c r="H7" s="841"/>
    </row>
    <row r="8" spans="1:8">
      <c r="B8" s="842" t="s">
        <v>349</v>
      </c>
      <c r="C8" s="824" t="s">
        <v>350</v>
      </c>
      <c r="D8" s="825" t="s">
        <v>10</v>
      </c>
      <c r="E8" s="826" t="s">
        <v>351</v>
      </c>
      <c r="F8" s="824" t="s">
        <v>205</v>
      </c>
      <c r="G8" s="826" t="s">
        <v>352</v>
      </c>
      <c r="H8" s="843" t="s">
        <v>353</v>
      </c>
    </row>
    <row r="9" spans="1:8">
      <c r="B9" s="844"/>
      <c r="C9" s="827"/>
      <c r="D9" s="831"/>
      <c r="E9" s="826" t="s">
        <v>355</v>
      </c>
      <c r="F9" s="824" t="s">
        <v>356</v>
      </c>
      <c r="G9" s="826"/>
      <c r="H9" s="843" t="s">
        <v>356</v>
      </c>
    </row>
    <row r="10" spans="1:8" ht="15" customHeight="1">
      <c r="B10" s="845"/>
      <c r="C10" s="846"/>
      <c r="D10" s="847" t="s">
        <v>114</v>
      </c>
      <c r="E10" s="848"/>
      <c r="F10" s="849" t="s">
        <v>569</v>
      </c>
      <c r="G10" s="850" t="s">
        <v>570</v>
      </c>
      <c r="H10" s="851" t="s">
        <v>484</v>
      </c>
    </row>
    <row r="11" spans="1:8" s="806" customFormat="1" ht="19.5" customHeight="1">
      <c r="B11" s="834" t="str">
        <f>IF(ISBLANK(DONNEES_RDT!B11),"",TEXT(FinExN,"jj mmmm aaaa"))</f>
        <v/>
      </c>
      <c r="C11" s="820" t="str">
        <f>IF(ISBLANK(DONNEES_RDT!B11),"",DONNEES_RDT!B11)</f>
        <v/>
      </c>
      <c r="D11" s="821" t="str">
        <f>IF(ISBLANK(DONNEES_RDT!B11),"",DONNEES_RDT!C11)</f>
        <v/>
      </c>
      <c r="E11" s="822" t="str">
        <f>IF(ISBLANK(DONNEES_RDT!B11),"",DONNEES_RDT!C11/SUM(DONNEES_RDT!C$11:C$120))</f>
        <v/>
      </c>
      <c r="F11" s="823" t="str">
        <f>IF(ISBLANK(DONNEES_RDT!D11),"",IF(DONNEES_RDT!F11="TNE",DONNEES_RDT!D11/DONNEES_RDT!C11,IF(DONNEES_RDT!F11="DTN",(DONNEES_RDT!D11*0.1)/DONNEES_RDT!C11,IF(DONNEES_RDT!F11="KGM",(DONNEES_RDT!D11*0.001)/DONNEES_RDT!C11))))</f>
        <v/>
      </c>
      <c r="G11" s="823" t="str">
        <f>IF(ISBLANK(DONNEES_RDT!D11),"",IF(DONNEES_RDT!F11="TNE",DONNEES_RDT!E11/DONNEES_RDT!D11,IF(DONNEES_RDT!F11="DTN",DONNEES_RDT!E11/(DONNEES_RDT!D11*0.1),IF(DONNEES_RDT!F11="KGM",(DONNEES_RDT!E11/(DONNEES_RDT!D11*0.001))))))</f>
        <v/>
      </c>
      <c r="H11" s="823" t="str">
        <f>IF(ISBLANK(DONNEES_RDT!D11),"",DONNEES_RDT!E11/DONNEES_RDT!C11)</f>
        <v/>
      </c>
    </row>
    <row r="12" spans="1:8" s="806" customFormat="1" ht="19.5" customHeight="1">
      <c r="B12" s="834" t="str">
        <f>IF(ISBLANK(DONNEES_RDT!B13),"",TEXT(FinExN,"jj mmmm aaaa"))</f>
        <v/>
      </c>
      <c r="C12" s="820" t="str">
        <f>IF(ISBLANK(DONNEES_RDT!B13),"",DONNEES_RDT!B13)</f>
        <v/>
      </c>
      <c r="D12" s="821" t="str">
        <f>IF(ISBLANK(DONNEES_RDT!B13),"",DONNEES_RDT!C13)</f>
        <v/>
      </c>
      <c r="E12" s="822" t="str">
        <f>IF(ISBLANK(DONNEES_RDT!B13),"",DONNEES_RDT!C13/SUM(DONNEES_RDT!C$11:C$120))</f>
        <v/>
      </c>
      <c r="F12" s="823" t="str">
        <f>IF(ISBLANK(DONNEES_RDT!D13),"",IF(DONNEES_RDT!F13="TNE",DONNEES_RDT!D13/DONNEES_RDT!C13,IF(DONNEES_RDT!F13="DTN",(DONNEES_RDT!D13*0.1)/DONNEES_RDT!C13,IF(DONNEES_RDT!F13="KGM",(DONNEES_RDT!D13*0.001)/DONNEES_RDT!C13))))</f>
        <v/>
      </c>
      <c r="G12" s="823" t="str">
        <f>IF(ISBLANK(DONNEES_RDT!D13),"",IF(DONNEES_RDT!F13="TNE",DONNEES_RDT!E13/DONNEES_RDT!D13,IF(DONNEES_RDT!F13="DTN",DONNEES_RDT!E13/(DONNEES_RDT!D13*0.1),IF(DONNEES_RDT!F13="KGM",(DONNEES_RDT!E13/(DONNEES_RDT!D13*0.001))))))</f>
        <v/>
      </c>
      <c r="H12" s="823" t="str">
        <f>IF(ISBLANK(DONNEES_RDT!D13),"",DONNEES_RDT!E13/DONNEES_RDT!C13)</f>
        <v/>
      </c>
    </row>
    <row r="13" spans="1:8" s="806" customFormat="1" ht="19.5" customHeight="1">
      <c r="B13" s="834" t="str">
        <f>IF(ISBLANK(DONNEES_RDT!B14),"",TEXT(FinExN,"jj mmmm aaaa"))</f>
        <v/>
      </c>
      <c r="C13" s="820" t="str">
        <f>IF(ISBLANK(DONNEES_RDT!B14),"",DONNEES_RDT!B14)</f>
        <v/>
      </c>
      <c r="D13" s="821" t="str">
        <f>IF(ISBLANK(DONNEES_RDT!B14),"",DONNEES_RDT!C14)</f>
        <v/>
      </c>
      <c r="E13" s="822" t="str">
        <f>IF(ISBLANK(DONNEES_RDT!B14),"",DONNEES_RDT!C14/SUM(DONNEES_RDT!C$11:C$120))</f>
        <v/>
      </c>
      <c r="F13" s="823" t="str">
        <f>IF(ISBLANK(DONNEES_RDT!D14),"",IF(DONNEES_RDT!F14="TNE",DONNEES_RDT!D14/DONNEES_RDT!C14,IF(DONNEES_RDT!F14="DTN",(DONNEES_RDT!D14*0.1)/DONNEES_RDT!C14,IF(DONNEES_RDT!F14="KGM",(DONNEES_RDT!D14*0.001)/DONNEES_RDT!C14))))</f>
        <v/>
      </c>
      <c r="G13" s="823" t="str">
        <f>IF(ISBLANK(DONNEES_RDT!D14),"",IF(DONNEES_RDT!F14="TNE",DONNEES_RDT!E14/DONNEES_RDT!D14,IF(DONNEES_RDT!F14="DTN",DONNEES_RDT!E14/(DONNEES_RDT!D14*0.1),IF(DONNEES_RDT!F14="KGM",(DONNEES_RDT!E14/(DONNEES_RDT!D14*0.001))))))</f>
        <v/>
      </c>
      <c r="H13" s="823" t="str">
        <f>IF(ISBLANK(DONNEES_RDT!D14),"",DONNEES_RDT!E14/DONNEES_RDT!C14)</f>
        <v/>
      </c>
    </row>
    <row r="14" spans="1:8" s="806" customFormat="1" ht="19.5" customHeight="1">
      <c r="B14" s="834" t="str">
        <f>IF(ISBLANK(DONNEES_RDT!B15),"",TEXT(FinExN,"jj mmmm aaaa"))</f>
        <v/>
      </c>
      <c r="C14" s="820" t="str">
        <f>IF(ISBLANK(DONNEES_RDT!B15),"",DONNEES_RDT!B15)</f>
        <v/>
      </c>
      <c r="D14" s="821" t="str">
        <f>IF(ISBLANK(DONNEES_RDT!B15),"",DONNEES_RDT!C15)</f>
        <v/>
      </c>
      <c r="E14" s="822" t="str">
        <f>IF(ISBLANK(DONNEES_RDT!B15),"",DONNEES_RDT!C15/SUM(DONNEES_RDT!C$11:C$120))</f>
        <v/>
      </c>
      <c r="F14" s="823" t="str">
        <f>IF(ISBLANK(DONNEES_RDT!D15),"",IF(DONNEES_RDT!F15="TNE",DONNEES_RDT!D15/DONNEES_RDT!C15,IF(DONNEES_RDT!F15="DTN",(DONNEES_RDT!D15*0.1)/DONNEES_RDT!C15,IF(DONNEES_RDT!F15="KGM",(DONNEES_RDT!D15*0.001)/DONNEES_RDT!C15))))</f>
        <v/>
      </c>
      <c r="G14" s="823" t="str">
        <f>IF(ISBLANK(DONNEES_RDT!D15),"",IF(DONNEES_RDT!F15="TNE",DONNEES_RDT!E15/DONNEES_RDT!D15,IF(DONNEES_RDT!F15="DTN",DONNEES_RDT!E15/(DONNEES_RDT!D15*0.1),IF(DONNEES_RDT!F15="KGM",(DONNEES_RDT!E15/(DONNEES_RDT!D15*0.001))))))</f>
        <v/>
      </c>
      <c r="H14" s="823" t="str">
        <f>IF(ISBLANK(DONNEES_RDT!D15),"",DONNEES_RDT!E15/DONNEES_RDT!C15)</f>
        <v/>
      </c>
    </row>
    <row r="15" spans="1:8" s="806" customFormat="1" ht="19.5" customHeight="1">
      <c r="B15" s="834" t="str">
        <f>IF(ISBLANK(DONNEES_RDT!B18),"",TEXT(FinExN,"jj mmmm aaaa"))</f>
        <v/>
      </c>
      <c r="C15" s="820" t="str">
        <f>IF(ISBLANK(DONNEES_RDT!B18),"",DONNEES_RDT!B18)</f>
        <v/>
      </c>
      <c r="D15" s="821" t="str">
        <f>IF(ISBLANK(DONNEES_RDT!B18),"",DONNEES_RDT!C18)</f>
        <v/>
      </c>
      <c r="E15" s="822" t="str">
        <f>IF(ISBLANK(DONNEES_RDT!B18),"",DONNEES_RDT!C18/SUM(DONNEES_RDT!C$11:C$120))</f>
        <v/>
      </c>
      <c r="F15" s="823" t="str">
        <f>IF(ISBLANK(DONNEES_RDT!D18),"",IF(DONNEES_RDT!F18="TNE",DONNEES_RDT!D18/DONNEES_RDT!C18,IF(DONNEES_RDT!F18="DTN",(DONNEES_RDT!D18*0.1)/DONNEES_RDT!C18,IF(DONNEES_RDT!F18="KGM",(DONNEES_RDT!D18*0.001)/DONNEES_RDT!C18))))</f>
        <v/>
      </c>
      <c r="G15" s="823" t="str">
        <f>IF(ISBLANK(DONNEES_RDT!D18),"",IF(DONNEES_RDT!F18="TNE",DONNEES_RDT!E18/DONNEES_RDT!D18,IF(DONNEES_RDT!F18="DTN",DONNEES_RDT!E18/(DONNEES_RDT!D18*0.1),IF(DONNEES_RDT!F18="KGM",(DONNEES_RDT!E18/(DONNEES_RDT!D18*0.001))))))</f>
        <v/>
      </c>
      <c r="H15" s="823" t="str">
        <f>IF(ISBLANK(DONNEES_RDT!D18),"",DONNEES_RDT!E18/DONNEES_RDT!C18)</f>
        <v/>
      </c>
    </row>
    <row r="16" spans="1:8" s="806" customFormat="1" ht="19.5" customHeight="1">
      <c r="B16" s="834" t="str">
        <f>IF(ISBLANK(DONNEES_RDT!B19),"",TEXT(FinExN,"jj mmmm aaaa"))</f>
        <v/>
      </c>
      <c r="C16" s="820" t="str">
        <f>IF(ISBLANK(DONNEES_RDT!B19),"",DONNEES_RDT!B19)</f>
        <v/>
      </c>
      <c r="D16" s="821" t="str">
        <f>IF(ISBLANK(DONNEES_RDT!B19),"",DONNEES_RDT!C19)</f>
        <v/>
      </c>
      <c r="E16" s="822" t="str">
        <f>IF(ISBLANK(DONNEES_RDT!B19),"",DONNEES_RDT!C19/SUM(DONNEES_RDT!C$11:C$120))</f>
        <v/>
      </c>
      <c r="F16" s="823" t="str">
        <f>IF(ISBLANK(DONNEES_RDT!D19),"",IF(DONNEES_RDT!F19="TNE",DONNEES_RDT!D19/DONNEES_RDT!C19,IF(DONNEES_RDT!F19="DTN",(DONNEES_RDT!D19*0.1)/DONNEES_RDT!C19,IF(DONNEES_RDT!F19="KGM",(DONNEES_RDT!D19*0.001)/DONNEES_RDT!C19))))</f>
        <v/>
      </c>
      <c r="G16" s="823" t="str">
        <f>IF(ISBLANK(DONNEES_RDT!D19),"",IF(DONNEES_RDT!F19="TNE",DONNEES_RDT!E19/DONNEES_RDT!D19,IF(DONNEES_RDT!F19="DTN",DONNEES_RDT!E19/(DONNEES_RDT!D19*0.1),IF(DONNEES_RDT!F19="KGM",(DONNEES_RDT!E19/(DONNEES_RDT!D19*0.001))))))</f>
        <v/>
      </c>
      <c r="H16" s="823" t="str">
        <f>IF(ISBLANK(DONNEES_RDT!D19),"",DONNEES_RDT!E19/DONNEES_RDT!C19)</f>
        <v/>
      </c>
    </row>
    <row r="17" spans="2:8" s="806" customFormat="1" ht="19.5" customHeight="1">
      <c r="B17" s="834" t="str">
        <f>IF(ISBLANK(DONNEES_RDT!B20),"",TEXT(FinExN,"jj mmmm aaaa"))</f>
        <v/>
      </c>
      <c r="C17" s="820" t="str">
        <f>IF(ISBLANK(DONNEES_RDT!B20),"",DONNEES_RDT!B20)</f>
        <v/>
      </c>
      <c r="D17" s="821" t="str">
        <f>IF(ISBLANK(DONNEES_RDT!B20),"",DONNEES_RDT!C20)</f>
        <v/>
      </c>
      <c r="E17" s="822" t="str">
        <f>IF(ISBLANK(DONNEES_RDT!B20),"",DONNEES_RDT!C20/SUM(DONNEES_RDT!C$11:C$120))</f>
        <v/>
      </c>
      <c r="F17" s="823" t="str">
        <f>IF(ISBLANK(DONNEES_RDT!D20),"",IF(DONNEES_RDT!F20="TNE",DONNEES_RDT!D20/DONNEES_RDT!C20,IF(DONNEES_RDT!F20="DTN",(DONNEES_RDT!D20*0.1)/DONNEES_RDT!C20,IF(DONNEES_RDT!F20="KGM",(DONNEES_RDT!D20*0.001)/DONNEES_RDT!C20))))</f>
        <v/>
      </c>
      <c r="G17" s="823" t="str">
        <f>IF(ISBLANK(DONNEES_RDT!D20),"",IF(DONNEES_RDT!F20="TNE",DONNEES_RDT!E20/DONNEES_RDT!D20,IF(DONNEES_RDT!F20="DTN",DONNEES_RDT!E20/(DONNEES_RDT!D20*0.1),IF(DONNEES_RDT!F20="KGM",(DONNEES_RDT!E20/(DONNEES_RDT!D20*0.001))))))</f>
        <v/>
      </c>
      <c r="H17" s="823" t="str">
        <f>IF(ISBLANK(DONNEES_RDT!D20),"",DONNEES_RDT!E20/DONNEES_RDT!C20)</f>
        <v/>
      </c>
    </row>
    <row r="18" spans="2:8" s="806" customFormat="1" ht="19.5" customHeight="1">
      <c r="B18" s="834" t="str">
        <f>IF(ISBLANK(DONNEES_RDT!B21),"",TEXT(FinExN,"jj mmmm aaaa"))</f>
        <v/>
      </c>
      <c r="C18" s="820" t="str">
        <f>IF(ISBLANK(DONNEES_RDT!B21),"",DONNEES_RDT!B21)</f>
        <v/>
      </c>
      <c r="D18" s="821" t="str">
        <f>IF(ISBLANK(DONNEES_RDT!B21),"",DONNEES_RDT!C21)</f>
        <v/>
      </c>
      <c r="E18" s="822" t="str">
        <f>IF(ISBLANK(DONNEES_RDT!B21),"",DONNEES_RDT!C21/SUM(DONNEES_RDT!C$11:C$120))</f>
        <v/>
      </c>
      <c r="F18" s="823" t="str">
        <f>IF(ISBLANK(DONNEES_RDT!D21),"",IF(DONNEES_RDT!F21="TNE",DONNEES_RDT!D21/DONNEES_RDT!C21,IF(DONNEES_RDT!F21="DTN",(DONNEES_RDT!D21*0.1)/DONNEES_RDT!C21,IF(DONNEES_RDT!F21="KGM",(DONNEES_RDT!D21*0.001)/DONNEES_RDT!C21))))</f>
        <v/>
      </c>
      <c r="G18" s="823" t="str">
        <f>IF(ISBLANK(DONNEES_RDT!D21),"",IF(DONNEES_RDT!F21="TNE",DONNEES_RDT!E21/DONNEES_RDT!D21,IF(DONNEES_RDT!F21="DTN",DONNEES_RDT!E21/(DONNEES_RDT!D21*0.1),IF(DONNEES_RDT!F21="KGM",(DONNEES_RDT!E21/(DONNEES_RDT!D21*0.001))))))</f>
        <v/>
      </c>
      <c r="H18" s="823" t="str">
        <f>IF(ISBLANK(DONNEES_RDT!D21),"",DONNEES_RDT!E21/DONNEES_RDT!C21)</f>
        <v/>
      </c>
    </row>
    <row r="19" spans="2:8" s="806" customFormat="1" ht="19.5" customHeight="1">
      <c r="B19" s="834" t="str">
        <f>IF(ISBLANK(DONNEES_RDT!B22),"",TEXT(FinExN,"jj mmmm aaaa"))</f>
        <v/>
      </c>
      <c r="C19" s="820" t="str">
        <f>IF(ISBLANK(DONNEES_RDT!B22),"",DONNEES_RDT!B22)</f>
        <v/>
      </c>
      <c r="D19" s="821" t="str">
        <f>IF(ISBLANK(DONNEES_RDT!B22),"",DONNEES_RDT!C22)</f>
        <v/>
      </c>
      <c r="E19" s="822" t="str">
        <f>IF(ISBLANK(DONNEES_RDT!B22),"",DONNEES_RDT!C22/SUM(DONNEES_RDT!C$11:C$120))</f>
        <v/>
      </c>
      <c r="F19" s="823" t="str">
        <f>IF(ISBLANK(DONNEES_RDT!D22),"",IF(DONNEES_RDT!F22="TNE",DONNEES_RDT!D22/DONNEES_RDT!C22,IF(DONNEES_RDT!F22="DTN",(DONNEES_RDT!D22*0.1)/DONNEES_RDT!C22,IF(DONNEES_RDT!F22="KGM",(DONNEES_RDT!D22*0.001)/DONNEES_RDT!C22))))</f>
        <v/>
      </c>
      <c r="G19" s="823" t="str">
        <f>IF(ISBLANK(DONNEES_RDT!D22),"",IF(DONNEES_RDT!F22="TNE",DONNEES_RDT!E22/DONNEES_RDT!D22,IF(DONNEES_RDT!F22="DTN",DONNEES_RDT!E22/(DONNEES_RDT!D22*0.1),IF(DONNEES_RDT!F22="KGM",(DONNEES_RDT!E22/(DONNEES_RDT!D22*0.001))))))</f>
        <v/>
      </c>
      <c r="H19" s="823" t="str">
        <f>IF(ISBLANK(DONNEES_RDT!D22),"",DONNEES_RDT!E22/DONNEES_RDT!C22)</f>
        <v/>
      </c>
    </row>
    <row r="20" spans="2:8" s="806" customFormat="1" ht="19.5" customHeight="1">
      <c r="B20" s="834" t="str">
        <f>IF(ISBLANK(DONNEES_RDT!B23),"",TEXT(FinExN,"jj mmmm aaaa"))</f>
        <v/>
      </c>
      <c r="C20" s="820" t="str">
        <f>IF(ISBLANK(DONNEES_RDT!B23),"",DONNEES_RDT!B23)</f>
        <v/>
      </c>
      <c r="D20" s="821" t="str">
        <f>IF(ISBLANK(DONNEES_RDT!B23),"",DONNEES_RDT!C23)</f>
        <v/>
      </c>
      <c r="E20" s="822" t="str">
        <f>IF(ISBLANK(DONNEES_RDT!B23),"",DONNEES_RDT!C23/SUM(DONNEES_RDT!C$11:C$120))</f>
        <v/>
      </c>
      <c r="F20" s="823" t="str">
        <f>IF(ISBLANK(DONNEES_RDT!D23),"",IF(DONNEES_RDT!F23="TNE",DONNEES_RDT!D23/DONNEES_RDT!C23,IF(DONNEES_RDT!F23="DTN",(DONNEES_RDT!D23*0.1)/DONNEES_RDT!C23,IF(DONNEES_RDT!F23="KGM",(DONNEES_RDT!D23*0.001)/DONNEES_RDT!C23))))</f>
        <v/>
      </c>
      <c r="G20" s="823" t="str">
        <f>IF(ISBLANK(DONNEES_RDT!D23),"",IF(DONNEES_RDT!F23="TNE",DONNEES_RDT!E23/DONNEES_RDT!D23,IF(DONNEES_RDT!F23="DTN",DONNEES_RDT!E23/(DONNEES_RDT!D23*0.1),IF(DONNEES_RDT!F23="KGM",(DONNEES_RDT!E23/(DONNEES_RDT!D23*0.001))))))</f>
        <v/>
      </c>
      <c r="H20" s="823" t="str">
        <f>IF(ISBLANK(DONNEES_RDT!D23),"",DONNEES_RDT!E23/DONNEES_RDT!C23)</f>
        <v/>
      </c>
    </row>
    <row r="21" spans="2:8" s="806" customFormat="1" ht="19.5" customHeight="1">
      <c r="B21" s="834" t="str">
        <f>IF(ISBLANK(DONNEES_RDT!B24),"",TEXT(FinExN,"jj mmmm aaaa"))</f>
        <v/>
      </c>
      <c r="C21" s="820" t="str">
        <f>IF(ISBLANK(DONNEES_RDT!B24),"",DONNEES_RDT!B24)</f>
        <v/>
      </c>
      <c r="D21" s="821" t="str">
        <f>IF(ISBLANK(DONNEES_RDT!B24),"",DONNEES_RDT!C24)</f>
        <v/>
      </c>
      <c r="E21" s="822" t="str">
        <f>IF(ISBLANK(DONNEES_RDT!B24),"",DONNEES_RDT!C24/SUM(DONNEES_RDT!C$11:C$120))</f>
        <v/>
      </c>
      <c r="F21" s="823" t="str">
        <f>IF(ISBLANK(DONNEES_RDT!D24),"",IF(DONNEES_RDT!F24="TNE",DONNEES_RDT!D24/DONNEES_RDT!C24,IF(DONNEES_RDT!F24="DTN",(DONNEES_RDT!D24*0.1)/DONNEES_RDT!C24,IF(DONNEES_RDT!F24="KGM",(DONNEES_RDT!D24*0.001)/DONNEES_RDT!C24))))</f>
        <v/>
      </c>
      <c r="G21" s="823" t="str">
        <f>IF(ISBLANK(DONNEES_RDT!D24),"",IF(DONNEES_RDT!F24="TNE",DONNEES_RDT!E24/DONNEES_RDT!D24,IF(DONNEES_RDT!F24="DTN",DONNEES_RDT!E24/(DONNEES_RDT!D24*0.1),IF(DONNEES_RDT!F24="KGM",(DONNEES_RDT!E24/(DONNEES_RDT!D24*0.001))))))</f>
        <v/>
      </c>
      <c r="H21" s="823" t="str">
        <f>IF(ISBLANK(DONNEES_RDT!D24),"",DONNEES_RDT!E24/DONNEES_RDT!C24)</f>
        <v/>
      </c>
    </row>
    <row r="22" spans="2:8" s="806" customFormat="1" ht="19.5" customHeight="1">
      <c r="B22" s="834" t="str">
        <f>IF(ISBLANK(DONNEES_RDT!B25),"",TEXT(FinExN,"jj mmmm aaaa"))</f>
        <v/>
      </c>
      <c r="C22" s="820" t="str">
        <f>IF(ISBLANK(DONNEES_RDT!B25),"",DONNEES_RDT!B25)</f>
        <v/>
      </c>
      <c r="D22" s="821" t="str">
        <f>IF(ISBLANK(DONNEES_RDT!B25),"",DONNEES_RDT!C25)</f>
        <v/>
      </c>
      <c r="E22" s="822" t="str">
        <f>IF(ISBLANK(DONNEES_RDT!B25),"",DONNEES_RDT!C25/SUM(DONNEES_RDT!C$11:C$120))</f>
        <v/>
      </c>
      <c r="F22" s="823" t="str">
        <f>IF(ISBLANK(DONNEES_RDT!D25),"",IF(DONNEES_RDT!F25="TNE",DONNEES_RDT!D25/DONNEES_RDT!C25,IF(DONNEES_RDT!F25="DTN",(DONNEES_RDT!D25*0.1)/DONNEES_RDT!C25,IF(DONNEES_RDT!F25="KGM",(DONNEES_RDT!D25*0.001)/DONNEES_RDT!C25))))</f>
        <v/>
      </c>
      <c r="G22" s="823" t="str">
        <f>IF(ISBLANK(DONNEES_RDT!D25),"",IF(DONNEES_RDT!F25="TNE",DONNEES_RDT!E25/DONNEES_RDT!D25,IF(DONNEES_RDT!F25="DTN",DONNEES_RDT!E25/(DONNEES_RDT!D25*0.1),IF(DONNEES_RDT!F25="KGM",(DONNEES_RDT!E25/(DONNEES_RDT!D25*0.001))))))</f>
        <v/>
      </c>
      <c r="H22" s="823" t="str">
        <f>IF(ISBLANK(DONNEES_RDT!D25),"",DONNEES_RDT!E25/DONNEES_RDT!C25)</f>
        <v/>
      </c>
    </row>
    <row r="23" spans="2:8" s="806" customFormat="1" ht="19.5" customHeight="1">
      <c r="B23" s="834" t="str">
        <f>IF(ISBLANK(DONNEES_RDT!B26),"",TEXT(FinExN,"jj mmmm aaaa"))</f>
        <v/>
      </c>
      <c r="C23" s="820" t="str">
        <f>IF(ISBLANK(DONNEES_RDT!B26),"",DONNEES_RDT!B26)</f>
        <v/>
      </c>
      <c r="D23" s="821" t="str">
        <f>IF(ISBLANK(DONNEES_RDT!B26),"",DONNEES_RDT!C26)</f>
        <v/>
      </c>
      <c r="E23" s="822" t="str">
        <f>IF(ISBLANK(DONNEES_RDT!B26),"",DONNEES_RDT!C26/SUM(DONNEES_RDT!C$11:C$120))</f>
        <v/>
      </c>
      <c r="F23" s="823" t="str">
        <f>IF(ISBLANK(DONNEES_RDT!D26),"",IF(DONNEES_RDT!F26="TNE",DONNEES_RDT!D26/DONNEES_RDT!C26,IF(DONNEES_RDT!F26="DTN",(DONNEES_RDT!D26*0.1)/DONNEES_RDT!C26,IF(DONNEES_RDT!F26="KGM",(DONNEES_RDT!D26*0.001)/DONNEES_RDT!C26))))</f>
        <v/>
      </c>
      <c r="G23" s="823" t="str">
        <f>IF(ISBLANK(DONNEES_RDT!D26),"",IF(DONNEES_RDT!F26="TNE",DONNEES_RDT!E26/DONNEES_RDT!D26,IF(DONNEES_RDT!F26="DTN",DONNEES_RDT!E26/(DONNEES_RDT!D26*0.1),IF(DONNEES_RDT!F26="KGM",(DONNEES_RDT!E26/(DONNEES_RDT!D26*0.001))))))</f>
        <v/>
      </c>
      <c r="H23" s="823" t="str">
        <f>IF(ISBLANK(DONNEES_RDT!D26),"",DONNEES_RDT!E26/DONNEES_RDT!C26)</f>
        <v/>
      </c>
    </row>
    <row r="24" spans="2:8" s="806" customFormat="1" ht="19.5" customHeight="1">
      <c r="B24" s="834" t="str">
        <f>IF(ISBLANK(DONNEES_RDT!B27),"",TEXT(FinExN,"jj mmmm aaaa"))</f>
        <v/>
      </c>
      <c r="C24" s="820" t="str">
        <f>IF(ISBLANK(DONNEES_RDT!B27),"",DONNEES_RDT!B27)</f>
        <v/>
      </c>
      <c r="D24" s="821" t="str">
        <f>IF(ISBLANK(DONNEES_RDT!B27),"",DONNEES_RDT!C27)</f>
        <v/>
      </c>
      <c r="E24" s="822" t="str">
        <f>IF(ISBLANK(DONNEES_RDT!B27),"",DONNEES_RDT!C27/SUM(DONNEES_RDT!C$11:C$120))</f>
        <v/>
      </c>
      <c r="F24" s="823" t="str">
        <f>IF(ISBLANK(DONNEES_RDT!D27),"",IF(DONNEES_RDT!F27="TNE",DONNEES_RDT!D27/DONNEES_RDT!C27,IF(DONNEES_RDT!F27="DTN",(DONNEES_RDT!D27*0.1)/DONNEES_RDT!C27,IF(DONNEES_RDT!F27="KGM",(DONNEES_RDT!D27*0.001)/DONNEES_RDT!C27))))</f>
        <v/>
      </c>
      <c r="G24" s="823" t="str">
        <f>IF(ISBLANK(DONNEES_RDT!D27),"",IF(DONNEES_RDT!F27="TNE",DONNEES_RDT!E27/DONNEES_RDT!D27,IF(DONNEES_RDT!F27="DTN",DONNEES_RDT!E27/(DONNEES_RDT!D27*0.1),IF(DONNEES_RDT!F27="KGM",(DONNEES_RDT!E27/(DONNEES_RDT!D27*0.001))))))</f>
        <v/>
      </c>
      <c r="H24" s="823" t="str">
        <f>IF(ISBLANK(DONNEES_RDT!D27),"",DONNEES_RDT!E27/DONNEES_RDT!C27)</f>
        <v/>
      </c>
    </row>
    <row r="25" spans="2:8" s="806" customFormat="1" ht="19.5" customHeight="1">
      <c r="B25" s="834" t="str">
        <f>IF(ISBLANK(DONNEES_RDT!B28),"",TEXT(FinExN,"jj mmmm aaaa"))</f>
        <v/>
      </c>
      <c r="C25" s="820" t="str">
        <f>IF(ISBLANK(DONNEES_RDT!B28),"",DONNEES_RDT!B28)</f>
        <v/>
      </c>
      <c r="D25" s="821" t="str">
        <f>IF(ISBLANK(DONNEES_RDT!B28),"",DONNEES_RDT!C28)</f>
        <v/>
      </c>
      <c r="E25" s="822" t="str">
        <f>IF(ISBLANK(DONNEES_RDT!B28),"",DONNEES_RDT!C28/SUM(DONNEES_RDT!C$11:C$120))</f>
        <v/>
      </c>
      <c r="F25" s="823" t="str">
        <f>IF(ISBLANK(DONNEES_RDT!D28),"",IF(DONNEES_RDT!F28="TNE",DONNEES_RDT!D28/DONNEES_RDT!C28,IF(DONNEES_RDT!F28="DTN",(DONNEES_RDT!D28*0.1)/DONNEES_RDT!C28,IF(DONNEES_RDT!F28="KGM",(DONNEES_RDT!D28*0.001)/DONNEES_RDT!C28))))</f>
        <v/>
      </c>
      <c r="G25" s="823" t="str">
        <f>IF(ISBLANK(DONNEES_RDT!D28),"",IF(DONNEES_RDT!F28="TNE",DONNEES_RDT!E28/DONNEES_RDT!D28,IF(DONNEES_RDT!F28="DTN",DONNEES_RDT!E28/(DONNEES_RDT!D28*0.1),IF(DONNEES_RDT!F28="KGM",(DONNEES_RDT!E28/(DONNEES_RDT!D28*0.001))))))</f>
        <v/>
      </c>
      <c r="H25" s="823" t="str">
        <f>IF(ISBLANK(DONNEES_RDT!D28),"",DONNEES_RDT!E28/DONNEES_RDT!C28)</f>
        <v/>
      </c>
    </row>
    <row r="26" spans="2:8" s="806" customFormat="1" ht="19.5" customHeight="1">
      <c r="B26" s="834" t="str">
        <f>IF(ISBLANK(DONNEES_RDT!B29),"",TEXT(FinExN,"jj mmmm aaaa"))</f>
        <v/>
      </c>
      <c r="C26" s="820" t="str">
        <f>IF(ISBLANK(DONNEES_RDT!B29),"",DONNEES_RDT!B29)</f>
        <v/>
      </c>
      <c r="D26" s="821" t="str">
        <f>IF(ISBLANK(DONNEES_RDT!B29),"",DONNEES_RDT!C29)</f>
        <v/>
      </c>
      <c r="E26" s="822" t="str">
        <f>IF(ISBLANK(DONNEES_RDT!B29),"",DONNEES_RDT!C29/SUM(DONNEES_RDT!C$11:C$120))</f>
        <v/>
      </c>
      <c r="F26" s="823" t="str">
        <f>IF(ISBLANK(DONNEES_RDT!D29),"",IF(DONNEES_RDT!F29="TNE",DONNEES_RDT!D29/DONNEES_RDT!C29,IF(DONNEES_RDT!F29="DTN",(DONNEES_RDT!D29*0.1)/DONNEES_RDT!C29,IF(DONNEES_RDT!F29="KGM",(DONNEES_RDT!D29*0.001)/DONNEES_RDT!C29))))</f>
        <v/>
      </c>
      <c r="G26" s="823" t="str">
        <f>IF(ISBLANK(DONNEES_RDT!D29),"",IF(DONNEES_RDT!F29="TNE",DONNEES_RDT!E29/DONNEES_RDT!D29,IF(DONNEES_RDT!F29="DTN",DONNEES_RDT!E29/(DONNEES_RDT!D29*0.1),IF(DONNEES_RDT!F29="KGM",(DONNEES_RDT!E29/(DONNEES_RDT!D29*0.001))))))</f>
        <v/>
      </c>
      <c r="H26" s="823" t="str">
        <f>IF(ISBLANK(DONNEES_RDT!D29),"",DONNEES_RDT!E29/DONNEES_RDT!C29)</f>
        <v/>
      </c>
    </row>
    <row r="27" spans="2:8" s="806" customFormat="1" ht="19.5" customHeight="1">
      <c r="B27" s="834" t="str">
        <f>IF(ISBLANK(DONNEES_RDT!B30),"",TEXT(FinExN,"jj mmmm aaaa"))</f>
        <v/>
      </c>
      <c r="C27" s="820" t="str">
        <f>IF(ISBLANK(DONNEES_RDT!B30),"",DONNEES_RDT!B30)</f>
        <v/>
      </c>
      <c r="D27" s="821" t="str">
        <f>IF(ISBLANK(DONNEES_RDT!B30),"",DONNEES_RDT!C30)</f>
        <v/>
      </c>
      <c r="E27" s="822" t="str">
        <f>IF(ISBLANK(DONNEES_RDT!B30),"",DONNEES_RDT!C30/SUM(DONNEES_RDT!C$11:C$120))</f>
        <v/>
      </c>
      <c r="F27" s="823" t="str">
        <f>IF(ISBLANK(DONNEES_RDT!D30),"",IF(DONNEES_RDT!F30="TNE",DONNEES_RDT!D30/DONNEES_RDT!C30,IF(DONNEES_RDT!F30="DTN",(DONNEES_RDT!D30*0.1)/DONNEES_RDT!C30,IF(DONNEES_RDT!F30="KGM",(DONNEES_RDT!D30*0.001)/DONNEES_RDT!C30))))</f>
        <v/>
      </c>
      <c r="G27" s="823" t="str">
        <f>IF(ISBLANK(DONNEES_RDT!D30),"",IF(DONNEES_RDT!F30="TNE",DONNEES_RDT!E30/DONNEES_RDT!D30,IF(DONNEES_RDT!F30="DTN",DONNEES_RDT!E30/(DONNEES_RDT!D30*0.1),IF(DONNEES_RDT!F30="KGM",(DONNEES_RDT!E30/(DONNEES_RDT!D30*0.001))))))</f>
        <v/>
      </c>
      <c r="H27" s="823" t="str">
        <f>IF(ISBLANK(DONNEES_RDT!D30),"",DONNEES_RDT!E30/DONNEES_RDT!C30)</f>
        <v/>
      </c>
    </row>
    <row r="28" spans="2:8" s="806" customFormat="1" ht="19.5" customHeight="1">
      <c r="B28" s="834" t="str">
        <f>IF(ISBLANK(DONNEES_RDT!B31),"",TEXT(FinExN,"jj mmmm aaaa"))</f>
        <v/>
      </c>
      <c r="C28" s="820" t="str">
        <f>IF(ISBLANK(DONNEES_RDT!B31),"",DONNEES_RDT!B31)</f>
        <v/>
      </c>
      <c r="D28" s="821" t="str">
        <f>IF(ISBLANK(DONNEES_RDT!B31),"",DONNEES_RDT!C31)</f>
        <v/>
      </c>
      <c r="E28" s="822" t="str">
        <f>IF(ISBLANK(DONNEES_RDT!B31),"",DONNEES_RDT!C31/SUM(DONNEES_RDT!C$11:C$120))</f>
        <v/>
      </c>
      <c r="F28" s="823" t="str">
        <f>IF(ISBLANK(DONNEES_RDT!D31),"",IF(DONNEES_RDT!F31="TNE",DONNEES_RDT!D31/DONNEES_RDT!C31,IF(DONNEES_RDT!F31="DTN",(DONNEES_RDT!D31*0.1)/DONNEES_RDT!C31,IF(DONNEES_RDT!F31="KGM",(DONNEES_RDT!D31*0.001)/DONNEES_RDT!C31))))</f>
        <v/>
      </c>
      <c r="G28" s="823" t="str">
        <f>IF(ISBLANK(DONNEES_RDT!D31),"",IF(DONNEES_RDT!F31="TNE",DONNEES_RDT!E31/DONNEES_RDT!D31,IF(DONNEES_RDT!F31="DTN",DONNEES_RDT!E31/(DONNEES_RDT!D31*0.1),IF(DONNEES_RDT!F31="KGM",(DONNEES_RDT!E31/(DONNEES_RDT!D31*0.001))))))</f>
        <v/>
      </c>
      <c r="H28" s="823" t="str">
        <f>IF(ISBLANK(DONNEES_RDT!D31),"",DONNEES_RDT!E31/DONNEES_RDT!C31)</f>
        <v/>
      </c>
    </row>
    <row r="29" spans="2:8" s="806" customFormat="1" ht="19.5" customHeight="1">
      <c r="B29" s="834" t="str">
        <f>IF(ISBLANK(DONNEES_RDT!B32),"",TEXT(FinExN,"jj mmmm aaaa"))</f>
        <v/>
      </c>
      <c r="C29" s="820" t="str">
        <f>IF(ISBLANK(DONNEES_RDT!B32),"",DONNEES_RDT!B32)</f>
        <v/>
      </c>
      <c r="D29" s="821" t="str">
        <f>IF(ISBLANK(DONNEES_RDT!B32),"",DONNEES_RDT!C32)</f>
        <v/>
      </c>
      <c r="E29" s="822" t="str">
        <f>IF(ISBLANK(DONNEES_RDT!B32),"",DONNEES_RDT!C32/SUM(DONNEES_RDT!C$11:C$120))</f>
        <v/>
      </c>
      <c r="F29" s="823" t="str">
        <f>IF(ISBLANK(DONNEES_RDT!D32),"",IF(DONNEES_RDT!F32="TNE",DONNEES_RDT!D32/DONNEES_RDT!C32,IF(DONNEES_RDT!F32="DTN",(DONNEES_RDT!D32*0.1)/DONNEES_RDT!C32,IF(DONNEES_RDT!F32="KGM",(DONNEES_RDT!D32*0.001)/DONNEES_RDT!C32))))</f>
        <v/>
      </c>
      <c r="G29" s="823" t="str">
        <f>IF(ISBLANK(DONNEES_RDT!D32),"",IF(DONNEES_RDT!F32="TNE",DONNEES_RDT!E32/DONNEES_RDT!D32,IF(DONNEES_RDT!F32="DTN",DONNEES_RDT!E32/(DONNEES_RDT!D32*0.1),IF(DONNEES_RDT!F32="KGM",(DONNEES_RDT!E32/(DONNEES_RDT!D32*0.001))))))</f>
        <v/>
      </c>
      <c r="H29" s="823" t="str">
        <f>IF(ISBLANK(DONNEES_RDT!D32),"",DONNEES_RDT!E32/DONNEES_RDT!C32)</f>
        <v/>
      </c>
    </row>
    <row r="30" spans="2:8" s="806" customFormat="1" ht="19.5" customHeight="1">
      <c r="B30" s="834" t="str">
        <f>IF(ISBLANK(DONNEES_RDT!B33),"",TEXT(FinExN,"jj mmmm aaaa"))</f>
        <v/>
      </c>
      <c r="C30" s="820" t="str">
        <f>IF(ISBLANK(DONNEES_RDT!B33),"",DONNEES_RDT!B33)</f>
        <v/>
      </c>
      <c r="D30" s="821" t="str">
        <f>IF(ISBLANK(DONNEES_RDT!B33),"",DONNEES_RDT!C33)</f>
        <v/>
      </c>
      <c r="E30" s="822" t="str">
        <f>IF(ISBLANK(DONNEES_RDT!B33),"",DONNEES_RDT!C33/SUM(DONNEES_RDT!C$11:C$120))</f>
        <v/>
      </c>
      <c r="F30" s="823" t="str">
        <f>IF(ISBLANK(DONNEES_RDT!D33),"",IF(DONNEES_RDT!F33="TNE",DONNEES_RDT!D33/DONNEES_RDT!C33,IF(DONNEES_RDT!F33="DTN",(DONNEES_RDT!D33*0.1)/DONNEES_RDT!C33,IF(DONNEES_RDT!F33="KGM",(DONNEES_RDT!D33*0.001)/DONNEES_RDT!C33))))</f>
        <v/>
      </c>
      <c r="G30" s="823" t="str">
        <f>IF(ISBLANK(DONNEES_RDT!D33),"",IF(DONNEES_RDT!F33="TNE",DONNEES_RDT!E33/DONNEES_RDT!D33,IF(DONNEES_RDT!F33="DTN",DONNEES_RDT!E33/(DONNEES_RDT!D33*0.1),IF(DONNEES_RDT!F33="KGM",(DONNEES_RDT!E33/(DONNEES_RDT!D33*0.001))))))</f>
        <v/>
      </c>
      <c r="H30" s="823" t="str">
        <f>IF(ISBLANK(DONNEES_RDT!D33),"",DONNEES_RDT!E33/DONNEES_RDT!C33)</f>
        <v/>
      </c>
    </row>
    <row r="31" spans="2:8" s="806" customFormat="1" ht="19.5" customHeight="1">
      <c r="B31" s="834" t="str">
        <f>IF(ISBLANK(DONNEES_RDT!B34),"",TEXT(FinExN,"jj mmmm aaaa"))</f>
        <v/>
      </c>
      <c r="C31" s="820" t="str">
        <f>IF(ISBLANK(DONNEES_RDT!B34),"",DONNEES_RDT!B34)</f>
        <v/>
      </c>
      <c r="D31" s="821" t="str">
        <f>IF(ISBLANK(DONNEES_RDT!B34),"",DONNEES_RDT!C34)</f>
        <v/>
      </c>
      <c r="E31" s="822" t="str">
        <f>IF(ISBLANK(DONNEES_RDT!B34),"",DONNEES_RDT!C34/SUM(DONNEES_RDT!C$11:C$120))</f>
        <v/>
      </c>
      <c r="F31" s="823" t="str">
        <f>IF(ISBLANK(DONNEES_RDT!D34),"",IF(DONNEES_RDT!F34="TNE",DONNEES_RDT!D34/DONNEES_RDT!C34,IF(DONNEES_RDT!F34="DTN",(DONNEES_RDT!D34*0.1)/DONNEES_RDT!C34,IF(DONNEES_RDT!F34="KGM",(DONNEES_RDT!D34*0.001)/DONNEES_RDT!C34))))</f>
        <v/>
      </c>
      <c r="G31" s="823" t="str">
        <f>IF(ISBLANK(DONNEES_RDT!D34),"",IF(DONNEES_RDT!F34="TNE",DONNEES_RDT!E34/DONNEES_RDT!D34,IF(DONNEES_RDT!F34="DTN",DONNEES_RDT!E34/(DONNEES_RDT!D34*0.1),IF(DONNEES_RDT!F34="KGM",(DONNEES_RDT!E34/(DONNEES_RDT!D34*0.001))))))</f>
        <v/>
      </c>
      <c r="H31" s="823" t="str">
        <f>IF(ISBLANK(DONNEES_RDT!D34),"",DONNEES_RDT!E34/DONNEES_RDT!C34)</f>
        <v/>
      </c>
    </row>
    <row r="32" spans="2:8" s="806" customFormat="1" ht="19.5" customHeight="1">
      <c r="B32" s="834" t="str">
        <f>IF(ISBLANK(DONNEES_RDT!B35),"",TEXT(FinExN,"jj mmmm aaaa"))</f>
        <v/>
      </c>
      <c r="C32" s="820" t="str">
        <f>IF(ISBLANK(DONNEES_RDT!B35),"",DONNEES_RDT!B35)</f>
        <v/>
      </c>
      <c r="D32" s="821" t="str">
        <f>IF(ISBLANK(DONNEES_RDT!B35),"",DONNEES_RDT!C35)</f>
        <v/>
      </c>
      <c r="E32" s="822" t="str">
        <f>IF(ISBLANK(DONNEES_RDT!B35),"",DONNEES_RDT!C35/SUM(DONNEES_RDT!C$11:C$120))</f>
        <v/>
      </c>
      <c r="F32" s="823" t="str">
        <f>IF(ISBLANK(DONNEES_RDT!D35),"",IF(DONNEES_RDT!F35="TNE",DONNEES_RDT!D35/DONNEES_RDT!C35,IF(DONNEES_RDT!F35="DTN",(DONNEES_RDT!D35*0.1)/DONNEES_RDT!C35,IF(DONNEES_RDT!F35="KGM",(DONNEES_RDT!D35*0.001)/DONNEES_RDT!C35))))</f>
        <v/>
      </c>
      <c r="G32" s="823" t="str">
        <f>IF(ISBLANK(DONNEES_RDT!D35),"",IF(DONNEES_RDT!F35="TNE",DONNEES_RDT!E35/DONNEES_RDT!D35,IF(DONNEES_RDT!F35="DTN",DONNEES_RDT!E35/(DONNEES_RDT!D35*0.1),IF(DONNEES_RDT!F35="KGM",(DONNEES_RDT!E35/(DONNEES_RDT!D35*0.001))))))</f>
        <v/>
      </c>
      <c r="H32" s="823" t="str">
        <f>IF(ISBLANK(DONNEES_RDT!D35),"",DONNEES_RDT!E35/DONNEES_RDT!C35)</f>
        <v/>
      </c>
    </row>
    <row r="33" spans="2:8" s="806" customFormat="1" ht="19.5" customHeight="1">
      <c r="B33" s="834" t="str">
        <f>IF(ISBLANK(DONNEES_RDT!B36),"",TEXT(FinExN,"jj mmmm aaaa"))</f>
        <v/>
      </c>
      <c r="C33" s="820" t="str">
        <f>IF(ISBLANK(DONNEES_RDT!B36),"",DONNEES_RDT!B36)</f>
        <v/>
      </c>
      <c r="D33" s="821" t="str">
        <f>IF(ISBLANK(DONNEES_RDT!B36),"",DONNEES_RDT!C36)</f>
        <v/>
      </c>
      <c r="E33" s="822" t="str">
        <f>IF(ISBLANK(DONNEES_RDT!B36),"",DONNEES_RDT!C36/SUM(DONNEES_RDT!C$11:C$120))</f>
        <v/>
      </c>
      <c r="F33" s="823" t="str">
        <f>IF(ISBLANK(DONNEES_RDT!D36),"",IF(DONNEES_RDT!F36="TNE",DONNEES_RDT!D36/DONNEES_RDT!C36,IF(DONNEES_RDT!F36="DTN",(DONNEES_RDT!D36*0.1)/DONNEES_RDT!C36,IF(DONNEES_RDT!F36="KGM",(DONNEES_RDT!D36*0.001)/DONNEES_RDT!C36))))</f>
        <v/>
      </c>
      <c r="G33" s="823" t="str">
        <f>IF(ISBLANK(DONNEES_RDT!D36),"",IF(DONNEES_RDT!F36="TNE",DONNEES_RDT!E36/DONNEES_RDT!D36,IF(DONNEES_RDT!F36="DTN",DONNEES_RDT!E36/(DONNEES_RDT!D36*0.1),IF(DONNEES_RDT!F36="KGM",(DONNEES_RDT!E36/(DONNEES_RDT!D36*0.001))))))</f>
        <v/>
      </c>
      <c r="H33" s="823" t="str">
        <f>IF(ISBLANK(DONNEES_RDT!D36),"",DONNEES_RDT!E36/DONNEES_RDT!C36)</f>
        <v/>
      </c>
    </row>
    <row r="34" spans="2:8" s="806" customFormat="1" ht="19.5" customHeight="1">
      <c r="B34" s="834" t="str">
        <f>IF(ISBLANK(DONNEES_RDT!B37),"",TEXT(FinExN,"jj mmmm aaaa"))</f>
        <v/>
      </c>
      <c r="C34" s="820" t="str">
        <f>IF(ISBLANK(DONNEES_RDT!B37),"",DONNEES_RDT!B37)</f>
        <v/>
      </c>
      <c r="D34" s="821" t="str">
        <f>IF(ISBLANK(DONNEES_RDT!B37),"",DONNEES_RDT!C37)</f>
        <v/>
      </c>
      <c r="E34" s="822" t="str">
        <f>IF(ISBLANK(DONNEES_RDT!B37),"",DONNEES_RDT!C37/SUM(DONNEES_RDT!C$11:C$120))</f>
        <v/>
      </c>
      <c r="F34" s="823" t="str">
        <f>IF(ISBLANK(DONNEES_RDT!D37),"",IF(DONNEES_RDT!F37="TNE",DONNEES_RDT!D37/DONNEES_RDT!C37,IF(DONNEES_RDT!F37="DTN",(DONNEES_RDT!D37*0.1)/DONNEES_RDT!C37,IF(DONNEES_RDT!F37="KGM",(DONNEES_RDT!D37*0.001)/DONNEES_RDT!C37))))</f>
        <v/>
      </c>
      <c r="G34" s="823" t="str">
        <f>IF(ISBLANK(DONNEES_RDT!D37),"",IF(DONNEES_RDT!F37="TNE",DONNEES_RDT!E37/DONNEES_RDT!D37,IF(DONNEES_RDT!F37="DTN",DONNEES_RDT!E37/(DONNEES_RDT!D37*0.1),IF(DONNEES_RDT!F37="KGM",(DONNEES_RDT!E37/(DONNEES_RDT!D37*0.001))))))</f>
        <v/>
      </c>
      <c r="H34" s="823" t="str">
        <f>IF(ISBLANK(DONNEES_RDT!D37),"",DONNEES_RDT!E37/DONNEES_RDT!C37)</f>
        <v/>
      </c>
    </row>
    <row r="35" spans="2:8" s="806" customFormat="1" ht="19.5" customHeight="1">
      <c r="B35" s="834" t="str">
        <f>IF(ISBLANK(DONNEES_RDT!B38),"",TEXT(FinExN,"jj mmmm aaaa"))</f>
        <v/>
      </c>
      <c r="C35" s="820" t="str">
        <f>IF(ISBLANK(DONNEES_RDT!B38),"",DONNEES_RDT!B38)</f>
        <v/>
      </c>
      <c r="D35" s="821" t="str">
        <f>IF(ISBLANK(DONNEES_RDT!B38),"",DONNEES_RDT!C38)</f>
        <v/>
      </c>
      <c r="E35" s="822" t="str">
        <f>IF(ISBLANK(DONNEES_RDT!B38),"",DONNEES_RDT!C38/SUM(DONNEES_RDT!C$11:C$120))</f>
        <v/>
      </c>
      <c r="F35" s="823" t="str">
        <f>IF(ISBLANK(DONNEES_RDT!D38),"",IF(DONNEES_RDT!F38="TNE",DONNEES_RDT!D38/DONNEES_RDT!C38,IF(DONNEES_RDT!F38="DTN",(DONNEES_RDT!D38*0.1)/DONNEES_RDT!C38,IF(DONNEES_RDT!F38="KGM",(DONNEES_RDT!D38*0.001)/DONNEES_RDT!C38))))</f>
        <v/>
      </c>
      <c r="G35" s="823" t="str">
        <f>IF(ISBLANK(DONNEES_RDT!D38),"",IF(DONNEES_RDT!F38="TNE",DONNEES_RDT!E38/DONNEES_RDT!D38,IF(DONNEES_RDT!F38="DTN",DONNEES_RDT!E38/(DONNEES_RDT!D38*0.1),IF(DONNEES_RDT!F38="KGM",(DONNEES_RDT!E38/(DONNEES_RDT!D38*0.001))))))</f>
        <v/>
      </c>
      <c r="H35" s="823" t="str">
        <f>IF(ISBLANK(DONNEES_RDT!D38),"",DONNEES_RDT!E38/DONNEES_RDT!C38)</f>
        <v/>
      </c>
    </row>
    <row r="36" spans="2:8" s="806" customFormat="1" ht="19.5" customHeight="1">
      <c r="B36" s="834" t="str">
        <f>IF(ISBLANK(DONNEES_RDT!B39),"",TEXT(FinExN,"jj mmmm aaaa"))</f>
        <v/>
      </c>
      <c r="C36" s="820" t="str">
        <f>IF(ISBLANK(DONNEES_RDT!B39),"",DONNEES_RDT!B39)</f>
        <v/>
      </c>
      <c r="D36" s="821" t="str">
        <f>IF(ISBLANK(DONNEES_RDT!B39),"",DONNEES_RDT!C39)</f>
        <v/>
      </c>
      <c r="E36" s="822" t="str">
        <f>IF(ISBLANK(DONNEES_RDT!B39),"",DONNEES_RDT!C39/SUM(DONNEES_RDT!C$11:C$120))</f>
        <v/>
      </c>
      <c r="F36" s="823" t="str">
        <f>IF(ISBLANK(DONNEES_RDT!D39),"",IF(DONNEES_RDT!F39="TNE",DONNEES_RDT!D39/DONNEES_RDT!C39,IF(DONNEES_RDT!F39="DTN",(DONNEES_RDT!D39*0.1)/DONNEES_RDT!C39,IF(DONNEES_RDT!F39="KGM",(DONNEES_RDT!D39*0.001)/DONNEES_RDT!C39))))</f>
        <v/>
      </c>
      <c r="G36" s="823" t="str">
        <f>IF(ISBLANK(DONNEES_RDT!D39),"",IF(DONNEES_RDT!F39="TNE",DONNEES_RDT!E39/DONNEES_RDT!D39,IF(DONNEES_RDT!F39="DTN",DONNEES_RDT!E39/(DONNEES_RDT!D39*0.1),IF(DONNEES_RDT!F39="KGM",(DONNEES_RDT!E39/(DONNEES_RDT!D39*0.001))))))</f>
        <v/>
      </c>
      <c r="H36" s="823" t="str">
        <f>IF(ISBLANK(DONNEES_RDT!D39),"",DONNEES_RDT!E39/DONNEES_RDT!C39)</f>
        <v/>
      </c>
    </row>
    <row r="37" spans="2:8" s="806" customFormat="1" ht="19.5" customHeight="1">
      <c r="B37" s="834" t="str">
        <f>IF(ISBLANK(DONNEES_RDT!B40),"",TEXT(FinExN,"jj mmmm aaaa"))</f>
        <v/>
      </c>
      <c r="C37" s="820" t="str">
        <f>IF(ISBLANK(DONNEES_RDT!B40),"",DONNEES_RDT!B40)</f>
        <v/>
      </c>
      <c r="D37" s="821" t="str">
        <f>IF(ISBLANK(DONNEES_RDT!B40),"",DONNEES_RDT!C40)</f>
        <v/>
      </c>
      <c r="E37" s="822" t="str">
        <f>IF(ISBLANK(DONNEES_RDT!B40),"",DONNEES_RDT!C40/SUM(DONNEES_RDT!C$11:C$120))</f>
        <v/>
      </c>
      <c r="F37" s="823" t="str">
        <f>IF(ISBLANK(DONNEES_RDT!D40),"",IF(DONNEES_RDT!F40="TNE",DONNEES_RDT!D40/DONNEES_RDT!C40,IF(DONNEES_RDT!F40="DTN",(DONNEES_RDT!D40*0.1)/DONNEES_RDT!C40,IF(DONNEES_RDT!F40="KGM",(DONNEES_RDT!D40*0.001)/DONNEES_RDT!C40))))</f>
        <v/>
      </c>
      <c r="G37" s="823" t="str">
        <f>IF(ISBLANK(DONNEES_RDT!D40),"",IF(DONNEES_RDT!F40="TNE",DONNEES_RDT!E40/DONNEES_RDT!D40,IF(DONNEES_RDT!F40="DTN",DONNEES_RDT!E40/(DONNEES_RDT!D40*0.1),IF(DONNEES_RDT!F40="KGM",(DONNEES_RDT!E40/(DONNEES_RDT!D40*0.001))))))</f>
        <v/>
      </c>
      <c r="H37" s="823" t="str">
        <f>IF(ISBLANK(DONNEES_RDT!D40),"",DONNEES_RDT!E40/DONNEES_RDT!C40)</f>
        <v/>
      </c>
    </row>
    <row r="38" spans="2:8" s="806" customFormat="1" ht="19.5" customHeight="1">
      <c r="B38" s="834" t="str">
        <f>IF(ISBLANK(DONNEES_RDT!B41),"",TEXT(FinExN,"jj mmmm aaaa"))</f>
        <v/>
      </c>
      <c r="C38" s="820" t="str">
        <f>IF(ISBLANK(DONNEES_RDT!B41),"",DONNEES_RDT!B41)</f>
        <v/>
      </c>
      <c r="D38" s="821" t="str">
        <f>IF(ISBLANK(DONNEES_RDT!B41),"",DONNEES_RDT!C41)</f>
        <v/>
      </c>
      <c r="E38" s="822" t="str">
        <f>IF(ISBLANK(DONNEES_RDT!B41),"",DONNEES_RDT!C41/SUM(DONNEES_RDT!C$11:C$120))</f>
        <v/>
      </c>
      <c r="F38" s="823" t="str">
        <f>IF(ISBLANK(DONNEES_RDT!D41),"",IF(DONNEES_RDT!F41="TNE",DONNEES_RDT!D41/DONNEES_RDT!C41,IF(DONNEES_RDT!F41="DTN",(DONNEES_RDT!D41*0.1)/DONNEES_RDT!C41,IF(DONNEES_RDT!F41="KGM",(DONNEES_RDT!D41*0.001)/DONNEES_RDT!C41))))</f>
        <v/>
      </c>
      <c r="G38" s="823" t="str">
        <f>IF(ISBLANK(DONNEES_RDT!D41),"",IF(DONNEES_RDT!F41="TNE",DONNEES_RDT!E41/DONNEES_RDT!D41,IF(DONNEES_RDT!F41="DTN",DONNEES_RDT!E41/(DONNEES_RDT!D41*0.1),IF(DONNEES_RDT!F41="KGM",(DONNEES_RDT!E41/(DONNEES_RDT!D41*0.001))))))</f>
        <v/>
      </c>
      <c r="H38" s="823" t="str">
        <f>IF(ISBLANK(DONNEES_RDT!D41),"",DONNEES_RDT!E41/DONNEES_RDT!C41)</f>
        <v/>
      </c>
    </row>
    <row r="39" spans="2:8" s="806" customFormat="1" ht="19.5" customHeight="1">
      <c r="B39" s="834" t="str">
        <f>IF(ISBLANK(DONNEES_RDT!B43),"",TEXT(FinExN,"jj mmmm aaaa"))</f>
        <v/>
      </c>
      <c r="C39" s="820" t="str">
        <f>IF(ISBLANK(DONNEES_RDT!B43),"",DONNEES_RDT!B43)</f>
        <v/>
      </c>
      <c r="D39" s="821" t="str">
        <f>IF(ISBLANK(DONNEES_RDT!B43),"",DONNEES_RDT!C43)</f>
        <v/>
      </c>
      <c r="E39" s="822" t="str">
        <f>IF(ISBLANK(DONNEES_RDT!B43),"",DONNEES_RDT!C43/SUM(DONNEES_RDT!C$11:C$120))</f>
        <v/>
      </c>
      <c r="F39" s="823" t="str">
        <f>IF(ISBLANK(DONNEES_RDT!D43),"",IF(DONNEES_RDT!F43="TNE",DONNEES_RDT!D43/DONNEES_RDT!C43,IF(DONNEES_RDT!F43="DTN",(DONNEES_RDT!D43*0.1)/DONNEES_RDT!C43,IF(DONNEES_RDT!F43="KGM",(DONNEES_RDT!D43*0.001)/DONNEES_RDT!C43))))</f>
        <v/>
      </c>
      <c r="G39" s="823" t="str">
        <f>IF(ISBLANK(DONNEES_RDT!D43),"",IF(DONNEES_RDT!F43="TNE",DONNEES_RDT!E43/DONNEES_RDT!D43,IF(DONNEES_RDT!F43="DTN",DONNEES_RDT!E43/(DONNEES_RDT!D43*0.1),IF(DONNEES_RDT!F43="KGM",(DONNEES_RDT!E43/(DONNEES_RDT!D43*0.001))))))</f>
        <v/>
      </c>
      <c r="H39" s="823" t="str">
        <f>IF(ISBLANK(DONNEES_RDT!D43),"",DONNEES_RDT!E43/DONNEES_RDT!C43)</f>
        <v/>
      </c>
    </row>
    <row r="40" spans="2:8" s="806" customFormat="1" ht="19.5" customHeight="1">
      <c r="B40" s="834" t="str">
        <f>IF(ISBLANK(DONNEES_RDT!B44),"",TEXT(FinExN,"jj mmmm aaaa"))</f>
        <v/>
      </c>
      <c r="C40" s="820" t="str">
        <f>IF(ISBLANK(DONNEES_RDT!B44),"",DONNEES_RDT!B44)</f>
        <v/>
      </c>
      <c r="D40" s="821" t="str">
        <f>IF(ISBLANK(DONNEES_RDT!B44),"",DONNEES_RDT!C44)</f>
        <v/>
      </c>
      <c r="E40" s="822" t="str">
        <f>IF(ISBLANK(DONNEES_RDT!B44),"",DONNEES_RDT!C44/SUM(DONNEES_RDT!C$11:C$120))</f>
        <v/>
      </c>
      <c r="F40" s="823" t="str">
        <f>IF(ISBLANK(DONNEES_RDT!D44),"",IF(DONNEES_RDT!F44="TNE",DONNEES_RDT!D44/DONNEES_RDT!C44,IF(DONNEES_RDT!F44="DTN",(DONNEES_RDT!D44*0.1)/DONNEES_RDT!C44,IF(DONNEES_RDT!F44="KGM",(DONNEES_RDT!D44*0.001)/DONNEES_RDT!C44))))</f>
        <v/>
      </c>
      <c r="G40" s="823" t="str">
        <f>IF(ISBLANK(DONNEES_RDT!D44),"",IF(DONNEES_RDT!F44="TNE",DONNEES_RDT!E44/DONNEES_RDT!D44,IF(DONNEES_RDT!F44="DTN",DONNEES_RDT!E44/(DONNEES_RDT!D44*0.1),IF(DONNEES_RDT!F44="KGM",(DONNEES_RDT!E44/(DONNEES_RDT!D44*0.001))))))</f>
        <v/>
      </c>
      <c r="H40" s="823" t="str">
        <f>IF(ISBLANK(DONNEES_RDT!D44),"",DONNEES_RDT!E44/DONNEES_RDT!C44)</f>
        <v/>
      </c>
    </row>
    <row r="41" spans="2:8" s="806" customFormat="1" ht="19.5" customHeight="1">
      <c r="B41" s="834" t="str">
        <f>IF(ISBLANK(DONNEES_RDT!B45),"",TEXT(FinExN,"jj mmmm aaaa"))</f>
        <v/>
      </c>
      <c r="C41" s="820" t="str">
        <f>IF(ISBLANK(DONNEES_RDT!B45),"",DONNEES_RDT!B45)</f>
        <v/>
      </c>
      <c r="D41" s="821" t="str">
        <f>IF(ISBLANK(DONNEES_RDT!B45),"",DONNEES_RDT!C45)</f>
        <v/>
      </c>
      <c r="E41" s="822" t="str">
        <f>IF(ISBLANK(DONNEES_RDT!B45),"",DONNEES_RDT!C45/SUM(DONNEES_RDT!C$11:C$120))</f>
        <v/>
      </c>
      <c r="F41" s="823" t="str">
        <f>IF(ISBLANK(DONNEES_RDT!D45),"",IF(DONNEES_RDT!F45="TNE",DONNEES_RDT!D45/DONNEES_RDT!C45,IF(DONNEES_RDT!F45="DTN",(DONNEES_RDT!D45*0.1)/DONNEES_RDT!C45,IF(DONNEES_RDT!F45="KGM",(DONNEES_RDT!D45*0.001)/DONNEES_RDT!C45))))</f>
        <v/>
      </c>
      <c r="G41" s="823" t="str">
        <f>IF(ISBLANK(DONNEES_RDT!D45),"",IF(DONNEES_RDT!F45="TNE",DONNEES_RDT!E45/DONNEES_RDT!D45,IF(DONNEES_RDT!F45="DTN",DONNEES_RDT!E45/(DONNEES_RDT!D45*0.1),IF(DONNEES_RDT!F45="KGM",(DONNEES_RDT!E45/(DONNEES_RDT!D45*0.001))))))</f>
        <v/>
      </c>
      <c r="H41" s="823" t="str">
        <f>IF(ISBLANK(DONNEES_RDT!D45),"",DONNEES_RDT!E45/DONNEES_RDT!C45)</f>
        <v/>
      </c>
    </row>
    <row r="42" spans="2:8" s="806" customFormat="1" ht="19.5" customHeight="1">
      <c r="B42" s="834" t="str">
        <f>IF(ISBLANK(DONNEES_RDT!B46),"",TEXT(FinExN,"jj mmmm aaaa"))</f>
        <v/>
      </c>
      <c r="C42" s="820" t="str">
        <f>IF(ISBLANK(DONNEES_RDT!B46),"",DONNEES_RDT!B46)</f>
        <v/>
      </c>
      <c r="D42" s="821" t="str">
        <f>IF(ISBLANK(DONNEES_RDT!B46),"",DONNEES_RDT!C46)</f>
        <v/>
      </c>
      <c r="E42" s="822" t="str">
        <f>IF(ISBLANK(DONNEES_RDT!B46),"",DONNEES_RDT!C46/SUM(DONNEES_RDT!C$11:C$120))</f>
        <v/>
      </c>
      <c r="F42" s="823" t="str">
        <f>IF(ISBLANK(DONNEES_RDT!D46),"",IF(DONNEES_RDT!F46="TNE",DONNEES_RDT!D46/DONNEES_RDT!C46,IF(DONNEES_RDT!F46="DTN",(DONNEES_RDT!D46*0.1)/DONNEES_RDT!C46,IF(DONNEES_RDT!F46="KGM",(DONNEES_RDT!D46*0.001)/DONNEES_RDT!C46))))</f>
        <v/>
      </c>
      <c r="G42" s="823" t="str">
        <f>IF(ISBLANK(DONNEES_RDT!D46),"",IF(DONNEES_RDT!F46="TNE",DONNEES_RDT!E46/DONNEES_RDT!D46,IF(DONNEES_RDT!F46="DTN",DONNEES_RDT!E46/(DONNEES_RDT!D46*0.1),IF(DONNEES_RDT!F46="KGM",(DONNEES_RDT!E46/(DONNEES_RDT!D46*0.001))))))</f>
        <v/>
      </c>
      <c r="H42" s="823" t="str">
        <f>IF(ISBLANK(DONNEES_RDT!D46),"",DONNEES_RDT!E46/DONNEES_RDT!C46)</f>
        <v/>
      </c>
    </row>
    <row r="43" spans="2:8" s="806" customFormat="1" ht="19.5" customHeight="1">
      <c r="B43" s="834" t="str">
        <f>IF(ISBLANK(DONNEES_RDT!B47),"",TEXT(FinExN,"jj mmmm aaaa"))</f>
        <v/>
      </c>
      <c r="C43" s="820" t="str">
        <f>IF(ISBLANK(DONNEES_RDT!B47),"",DONNEES_RDT!B47)</f>
        <v/>
      </c>
      <c r="D43" s="821" t="str">
        <f>IF(ISBLANK(DONNEES_RDT!B47),"",DONNEES_RDT!C47)</f>
        <v/>
      </c>
      <c r="E43" s="822" t="str">
        <f>IF(ISBLANK(DONNEES_RDT!B47),"",DONNEES_RDT!C47/SUM(DONNEES_RDT!C$11:C$120))</f>
        <v/>
      </c>
      <c r="F43" s="823" t="str">
        <f>IF(ISBLANK(DONNEES_RDT!D47),"",IF(DONNEES_RDT!F47="TNE",DONNEES_RDT!D47/DONNEES_RDT!C47,IF(DONNEES_RDT!F47="DTN",(DONNEES_RDT!D47*0.1)/DONNEES_RDT!C47,IF(DONNEES_RDT!F47="KGM",(DONNEES_RDT!D47*0.001)/DONNEES_RDT!C47))))</f>
        <v/>
      </c>
      <c r="G43" s="823" t="str">
        <f>IF(ISBLANK(DONNEES_RDT!D47),"",IF(DONNEES_RDT!F47="TNE",DONNEES_RDT!E47/DONNEES_RDT!D47,IF(DONNEES_RDT!F47="DTN",DONNEES_RDT!E47/(DONNEES_RDT!D47*0.1),IF(DONNEES_RDT!F47="KGM",(DONNEES_RDT!E47/(DONNEES_RDT!D47*0.001))))))</f>
        <v/>
      </c>
      <c r="H43" s="823" t="str">
        <f>IF(ISBLANK(DONNEES_RDT!D47),"",DONNEES_RDT!E47/DONNEES_RDT!C47)</f>
        <v/>
      </c>
    </row>
    <row r="44" spans="2:8" s="806" customFormat="1" ht="19.5" customHeight="1">
      <c r="B44" s="834" t="str">
        <f>IF(ISBLANK(DONNEES_RDT!B48),"",TEXT(FinExN,"jj mmmm aaaa"))</f>
        <v/>
      </c>
      <c r="C44" s="820" t="str">
        <f>IF(ISBLANK(DONNEES_RDT!B48),"",DONNEES_RDT!B48)</f>
        <v/>
      </c>
      <c r="D44" s="821" t="str">
        <f>IF(ISBLANK(DONNEES_RDT!B48),"",DONNEES_RDT!C48)</f>
        <v/>
      </c>
      <c r="E44" s="822" t="str">
        <f>IF(ISBLANK(DONNEES_RDT!B48),"",DONNEES_RDT!C48/SUM(DONNEES_RDT!C$11:C$120))</f>
        <v/>
      </c>
      <c r="F44" s="823" t="str">
        <f>IF(ISBLANK(DONNEES_RDT!D48),"",IF(DONNEES_RDT!F48="TNE",DONNEES_RDT!D48/DONNEES_RDT!C48,IF(DONNEES_RDT!F48="DTN",(DONNEES_RDT!D48*0.1)/DONNEES_RDT!C48,IF(DONNEES_RDT!F48="KGM",(DONNEES_RDT!D48*0.001)/DONNEES_RDT!C48))))</f>
        <v/>
      </c>
      <c r="G44" s="823" t="str">
        <f>IF(ISBLANK(DONNEES_RDT!D48),"",IF(DONNEES_RDT!F48="TNE",DONNEES_RDT!E48/DONNEES_RDT!D48,IF(DONNEES_RDT!F48="DTN",DONNEES_RDT!E48/(DONNEES_RDT!D48*0.1),IF(DONNEES_RDT!F48="KGM",(DONNEES_RDT!E48/(DONNEES_RDT!D48*0.001))))))</f>
        <v/>
      </c>
      <c r="H44" s="823" t="str">
        <f>IF(ISBLANK(DONNEES_RDT!D48),"",DONNEES_RDT!E48/DONNEES_RDT!C48)</f>
        <v/>
      </c>
    </row>
    <row r="45" spans="2:8" s="806" customFormat="1" ht="19.5" customHeight="1">
      <c r="B45" s="834" t="str">
        <f>IF(ISBLANK(DONNEES_RDT!B49),"",TEXT(FinExN,"jj mmmm aaaa"))</f>
        <v/>
      </c>
      <c r="C45" s="820" t="str">
        <f>IF(ISBLANK(DONNEES_RDT!B49),"",DONNEES_RDT!B49)</f>
        <v/>
      </c>
      <c r="D45" s="821" t="str">
        <f>IF(ISBLANK(DONNEES_RDT!B49),"",DONNEES_RDT!C49)</f>
        <v/>
      </c>
      <c r="E45" s="822" t="str">
        <f>IF(ISBLANK(DONNEES_RDT!B49),"",DONNEES_RDT!C49/SUM(DONNEES_RDT!C$11:C$120))</f>
        <v/>
      </c>
      <c r="F45" s="823" t="str">
        <f>IF(ISBLANK(DONNEES_RDT!D49),"",IF(DONNEES_RDT!F49="TNE",DONNEES_RDT!D49/DONNEES_RDT!C49,IF(DONNEES_RDT!F49="DTN",(DONNEES_RDT!D49*0.1)/DONNEES_RDT!C49,IF(DONNEES_RDT!F49="KGM",(DONNEES_RDT!D49*0.001)/DONNEES_RDT!C49))))</f>
        <v/>
      </c>
      <c r="G45" s="823" t="str">
        <f>IF(ISBLANK(DONNEES_RDT!D49),"",IF(DONNEES_RDT!F49="TNE",DONNEES_RDT!E49/DONNEES_RDT!D49,IF(DONNEES_RDT!F49="DTN",DONNEES_RDT!E49/(DONNEES_RDT!D49*0.1),IF(DONNEES_RDT!F49="KGM",(DONNEES_RDT!E49/(DONNEES_RDT!D49*0.001))))))</f>
        <v/>
      </c>
      <c r="H45" s="823" t="str">
        <f>IF(ISBLANK(DONNEES_RDT!D49),"",DONNEES_RDT!E49/DONNEES_RDT!C49)</f>
        <v/>
      </c>
    </row>
    <row r="46" spans="2:8" s="806" customFormat="1" ht="19.5" customHeight="1">
      <c r="B46" s="834" t="str">
        <f>IF(ISBLANK(DONNEES_RDT!B50),"",TEXT(FinExN,"jj mmmm aaaa"))</f>
        <v/>
      </c>
      <c r="C46" s="820" t="str">
        <f>IF(ISBLANK(DONNEES_RDT!B50),"",DONNEES_RDT!B50)</f>
        <v/>
      </c>
      <c r="D46" s="821" t="str">
        <f>IF(ISBLANK(DONNEES_RDT!B50),"",DONNEES_RDT!C50)</f>
        <v/>
      </c>
      <c r="E46" s="822" t="str">
        <f>IF(ISBLANK(DONNEES_RDT!B50),"",DONNEES_RDT!C50/SUM(DONNEES_RDT!C$11:C$120))</f>
        <v/>
      </c>
      <c r="F46" s="823" t="str">
        <f>IF(ISBLANK(DONNEES_RDT!D50),"",IF(DONNEES_RDT!F50="TNE",DONNEES_RDT!D50/DONNEES_RDT!C50,IF(DONNEES_RDT!F50="DTN",(DONNEES_RDT!D50*0.1)/DONNEES_RDT!C50,IF(DONNEES_RDT!F50="KGM",(DONNEES_RDT!D50*0.001)/DONNEES_RDT!C50))))</f>
        <v/>
      </c>
      <c r="G46" s="823" t="str">
        <f>IF(ISBLANK(DONNEES_RDT!D50),"",IF(DONNEES_RDT!F50="TNE",DONNEES_RDT!E50/DONNEES_RDT!D50,IF(DONNEES_RDT!F50="DTN",DONNEES_RDT!E50/(DONNEES_RDT!D50*0.1),IF(DONNEES_RDT!F50="KGM",(DONNEES_RDT!E50/(DONNEES_RDT!D50*0.001))))))</f>
        <v/>
      </c>
      <c r="H46" s="823" t="str">
        <f>IF(ISBLANK(DONNEES_RDT!D50),"",DONNEES_RDT!E50/DONNEES_RDT!C50)</f>
        <v/>
      </c>
    </row>
    <row r="47" spans="2:8" s="806" customFormat="1" ht="19.5" customHeight="1">
      <c r="B47" s="834" t="str">
        <f>IF(ISBLANK(DONNEES_RDT!B51),"",TEXT(FinExN,"jj mmmm aaaa"))</f>
        <v/>
      </c>
      <c r="C47" s="820" t="str">
        <f>IF(ISBLANK(DONNEES_RDT!B51),"",DONNEES_RDT!B51)</f>
        <v/>
      </c>
      <c r="D47" s="821" t="str">
        <f>IF(ISBLANK(DONNEES_RDT!B51),"",DONNEES_RDT!C51)</f>
        <v/>
      </c>
      <c r="E47" s="822" t="str">
        <f>IF(ISBLANK(DONNEES_RDT!B51),"",DONNEES_RDT!C51/SUM(DONNEES_RDT!C$11:C$120))</f>
        <v/>
      </c>
      <c r="F47" s="823" t="str">
        <f>IF(ISBLANK(DONNEES_RDT!D51),"",IF(DONNEES_RDT!F51="TNE",DONNEES_RDT!D51/DONNEES_RDT!C51,IF(DONNEES_RDT!F51="DTN",(DONNEES_RDT!D51*0.1)/DONNEES_RDT!C51,IF(DONNEES_RDT!F51="KGM",(DONNEES_RDT!D51*0.001)/DONNEES_RDT!C51))))</f>
        <v/>
      </c>
      <c r="G47" s="823" t="str">
        <f>IF(ISBLANK(DONNEES_RDT!D51),"",IF(DONNEES_RDT!F51="TNE",DONNEES_RDT!E51/DONNEES_RDT!D51,IF(DONNEES_RDT!F51="DTN",DONNEES_RDT!E51/(DONNEES_RDT!D51*0.1),IF(DONNEES_RDT!F51="KGM",(DONNEES_RDT!E51/(DONNEES_RDT!D51*0.001))))))</f>
        <v/>
      </c>
      <c r="H47" s="823" t="str">
        <f>IF(ISBLANK(DONNEES_RDT!D51),"",DONNEES_RDT!E51/DONNEES_RDT!C51)</f>
        <v/>
      </c>
    </row>
    <row r="48" spans="2:8" s="806" customFormat="1" ht="19.5" customHeight="1">
      <c r="B48" s="834" t="str">
        <f>IF(ISBLANK(DONNEES_RDT!B52),"",TEXT(FinExN,"jj mmmm aaaa"))</f>
        <v/>
      </c>
      <c r="C48" s="820" t="str">
        <f>IF(ISBLANK(DONNEES_RDT!B52),"",DONNEES_RDT!B52)</f>
        <v/>
      </c>
      <c r="D48" s="821" t="str">
        <f>IF(ISBLANK(DONNEES_RDT!B52),"",DONNEES_RDT!C52)</f>
        <v/>
      </c>
      <c r="E48" s="822" t="str">
        <f>IF(ISBLANK(DONNEES_RDT!B52),"",DONNEES_RDT!C52/SUM(DONNEES_RDT!C$11:C$120))</f>
        <v/>
      </c>
      <c r="F48" s="823" t="str">
        <f>IF(ISBLANK(DONNEES_RDT!D52),"",IF(DONNEES_RDT!F52="TNE",DONNEES_RDT!D52/DONNEES_RDT!C52,IF(DONNEES_RDT!F52="DTN",(DONNEES_RDT!D52*0.1)/DONNEES_RDT!C52,IF(DONNEES_RDT!F52="KGM",(DONNEES_RDT!D52*0.001)/DONNEES_RDT!C52))))</f>
        <v/>
      </c>
      <c r="G48" s="823" t="str">
        <f>IF(ISBLANK(DONNEES_RDT!D52),"",IF(DONNEES_RDT!F52="TNE",DONNEES_RDT!E52/DONNEES_RDT!D52,IF(DONNEES_RDT!F52="DTN",DONNEES_RDT!E52/(DONNEES_RDT!D52*0.1),IF(DONNEES_RDT!F52="KGM",(DONNEES_RDT!E52/(DONNEES_RDT!D52*0.001))))))</f>
        <v/>
      </c>
      <c r="H48" s="823" t="str">
        <f>IF(ISBLANK(DONNEES_RDT!D52),"",DONNEES_RDT!E52/DONNEES_RDT!C52)</f>
        <v/>
      </c>
    </row>
    <row r="49" spans="2:8" s="806" customFormat="1" ht="19.5" customHeight="1">
      <c r="B49" s="834" t="str">
        <f>IF(ISBLANK(DONNEES_RDT!B53),"",TEXT(FinExN,"jj mmmm aaaa"))</f>
        <v/>
      </c>
      <c r="C49" s="820" t="str">
        <f>IF(ISBLANK(DONNEES_RDT!B53),"",DONNEES_RDT!B53)</f>
        <v/>
      </c>
      <c r="D49" s="821" t="str">
        <f>IF(ISBLANK(DONNEES_RDT!B53),"",DONNEES_RDT!C53)</f>
        <v/>
      </c>
      <c r="E49" s="822" t="str">
        <f>IF(ISBLANK(DONNEES_RDT!B53),"",DONNEES_RDT!C53/SUM(DONNEES_RDT!C$11:C$120))</f>
        <v/>
      </c>
      <c r="F49" s="823" t="str">
        <f>IF(ISBLANK(DONNEES_RDT!D53),"",IF(DONNEES_RDT!F53="TNE",DONNEES_RDT!D53/DONNEES_RDT!C53,IF(DONNEES_RDT!F53="DTN",(DONNEES_RDT!D53*0.1)/DONNEES_RDT!C53,IF(DONNEES_RDT!F53="KGM",(DONNEES_RDT!D53*0.001)/DONNEES_RDT!C53))))</f>
        <v/>
      </c>
      <c r="G49" s="823" t="str">
        <f>IF(ISBLANK(DONNEES_RDT!D53),"",IF(DONNEES_RDT!F53="TNE",DONNEES_RDT!E53/DONNEES_RDT!D53,IF(DONNEES_RDT!F53="DTN",DONNEES_RDT!E53/(DONNEES_RDT!D53*0.1),IF(DONNEES_RDT!F53="KGM",(DONNEES_RDT!E53/(DONNEES_RDT!D53*0.001))))))</f>
        <v/>
      </c>
      <c r="H49" s="823" t="str">
        <f>IF(ISBLANK(DONNEES_RDT!D53),"",DONNEES_RDT!E53/DONNEES_RDT!C53)</f>
        <v/>
      </c>
    </row>
    <row r="50" spans="2:8" s="806" customFormat="1" ht="19.5" customHeight="1">
      <c r="B50" s="834" t="str">
        <f>IF(ISBLANK(DONNEES_RDT!B54),"",TEXT(FinExN,"jj mmmm aaaa"))</f>
        <v/>
      </c>
      <c r="C50" s="820" t="str">
        <f>IF(ISBLANK(DONNEES_RDT!B54),"",DONNEES_RDT!B54)</f>
        <v/>
      </c>
      <c r="D50" s="821" t="str">
        <f>IF(ISBLANK(DONNEES_RDT!B54),"",DONNEES_RDT!C54)</f>
        <v/>
      </c>
      <c r="E50" s="822" t="str">
        <f>IF(ISBLANK(DONNEES_RDT!B54),"",DONNEES_RDT!C54/SUM(DONNEES_RDT!C$11:C$120))</f>
        <v/>
      </c>
      <c r="F50" s="823" t="str">
        <f>IF(ISBLANK(DONNEES_RDT!D54),"",IF(DONNEES_RDT!F54="TNE",DONNEES_RDT!D54/DONNEES_RDT!C54,IF(DONNEES_RDT!F54="DTN",(DONNEES_RDT!D54*0.1)/DONNEES_RDT!C54,IF(DONNEES_RDT!F54="KGM",(DONNEES_RDT!D54*0.001)/DONNEES_RDT!C54))))</f>
        <v/>
      </c>
      <c r="G50" s="823" t="str">
        <f>IF(ISBLANK(DONNEES_RDT!D54),"",IF(DONNEES_RDT!F54="TNE",DONNEES_RDT!E54/DONNEES_RDT!D54,IF(DONNEES_RDT!F54="DTN",DONNEES_RDT!E54/(DONNEES_RDT!D54*0.1),IF(DONNEES_RDT!F54="KGM",(DONNEES_RDT!E54/(DONNEES_RDT!D54*0.001))))))</f>
        <v/>
      </c>
      <c r="H50" s="823" t="str">
        <f>IF(ISBLANK(DONNEES_RDT!D54),"",DONNEES_RDT!E54/DONNEES_RDT!C54)</f>
        <v/>
      </c>
    </row>
    <row r="51" spans="2:8" s="806" customFormat="1" ht="19.5" customHeight="1">
      <c r="B51" s="834" t="str">
        <f>IF(ISBLANK(DONNEES_RDT!B55),"",TEXT(FinExN,"jj mmmm aaaa"))</f>
        <v/>
      </c>
      <c r="C51" s="820" t="str">
        <f>IF(ISBLANK(DONNEES_RDT!B55),"",DONNEES_RDT!B55)</f>
        <v/>
      </c>
      <c r="D51" s="821" t="str">
        <f>IF(ISBLANK(DONNEES_RDT!B55),"",DONNEES_RDT!C55)</f>
        <v/>
      </c>
      <c r="E51" s="822" t="str">
        <f>IF(ISBLANK(DONNEES_RDT!B55),"",DONNEES_RDT!C55/SUM(DONNEES_RDT!C$11:C$120))</f>
        <v/>
      </c>
      <c r="F51" s="823" t="str">
        <f>IF(ISBLANK(DONNEES_RDT!D55),"",IF(DONNEES_RDT!F55="TNE",DONNEES_RDT!D55/DONNEES_RDT!C55,IF(DONNEES_RDT!F55="DTN",(DONNEES_RDT!D55*0.1)/DONNEES_RDT!C55,IF(DONNEES_RDT!F55="KGM",(DONNEES_RDT!D55*0.001)/DONNEES_RDT!C55))))</f>
        <v/>
      </c>
      <c r="G51" s="823" t="str">
        <f>IF(ISBLANK(DONNEES_RDT!D55),"",IF(DONNEES_RDT!F55="TNE",DONNEES_RDT!E55/DONNEES_RDT!D55,IF(DONNEES_RDT!F55="DTN",DONNEES_RDT!E55/(DONNEES_RDT!D55*0.1),IF(DONNEES_RDT!F55="KGM",(DONNEES_RDT!E55/(DONNEES_RDT!D55*0.001))))))</f>
        <v/>
      </c>
      <c r="H51" s="823" t="str">
        <f>IF(ISBLANK(DONNEES_RDT!D55),"",DONNEES_RDT!E55/DONNEES_RDT!C55)</f>
        <v/>
      </c>
    </row>
    <row r="52" spans="2:8" s="806" customFormat="1" ht="19.5" customHeight="1">
      <c r="B52" s="834" t="str">
        <f>IF(ISBLANK(DONNEES_RDT!B56),"",TEXT(FinExN,"jj mmmm aaaa"))</f>
        <v/>
      </c>
      <c r="C52" s="820" t="str">
        <f>IF(ISBLANK(DONNEES_RDT!B56),"",DONNEES_RDT!B56)</f>
        <v/>
      </c>
      <c r="D52" s="821" t="str">
        <f>IF(ISBLANK(DONNEES_RDT!B56),"",DONNEES_RDT!C56)</f>
        <v/>
      </c>
      <c r="E52" s="822" t="str">
        <f>IF(ISBLANK(DONNEES_RDT!B56),"",DONNEES_RDT!C56/SUM(DONNEES_RDT!C$11:C$120))</f>
        <v/>
      </c>
      <c r="F52" s="823" t="str">
        <f>IF(ISBLANK(DONNEES_RDT!D56),"",IF(DONNEES_RDT!F56="TNE",DONNEES_RDT!D56/DONNEES_RDT!C56,IF(DONNEES_RDT!F56="DTN",(DONNEES_RDT!D56*0.1)/DONNEES_RDT!C56,IF(DONNEES_RDT!F56="KGM",(DONNEES_RDT!D56*0.001)/DONNEES_RDT!C56))))</f>
        <v/>
      </c>
      <c r="G52" s="823" t="str">
        <f>IF(ISBLANK(DONNEES_RDT!D56),"",IF(DONNEES_RDT!F56="TNE",DONNEES_RDT!E56/DONNEES_RDT!D56,IF(DONNEES_RDT!F56="DTN",DONNEES_RDT!E56/(DONNEES_RDT!D56*0.1),IF(DONNEES_RDT!F56="KGM",(DONNEES_RDT!E56/(DONNEES_RDT!D56*0.001))))))</f>
        <v/>
      </c>
      <c r="H52" s="823" t="str">
        <f>IF(ISBLANK(DONNEES_RDT!D56),"",DONNEES_RDT!E56/DONNEES_RDT!C56)</f>
        <v/>
      </c>
    </row>
    <row r="53" spans="2:8" s="806" customFormat="1" ht="19.5" customHeight="1">
      <c r="B53" s="834" t="str">
        <f>IF(ISBLANK(DONNEES_RDT!B58),"",TEXT(FinExN,"jj mmmm aaaa"))</f>
        <v/>
      </c>
      <c r="C53" s="820" t="str">
        <f>IF(ISBLANK(DONNEES_RDT!B58),"",DONNEES_RDT!B58)</f>
        <v/>
      </c>
      <c r="D53" s="821" t="str">
        <f>IF(ISBLANK(DONNEES_RDT!B58),"",DONNEES_RDT!C58)</f>
        <v/>
      </c>
      <c r="E53" s="822" t="str">
        <f>IF(ISBLANK(DONNEES_RDT!B58),"",DONNEES_RDT!C58/SUM(DONNEES_RDT!C$11:C$120))</f>
        <v/>
      </c>
      <c r="F53" s="823" t="str">
        <f>IF(ISBLANK(DONNEES_RDT!D58),"",IF(DONNEES_RDT!F58="TNE",DONNEES_RDT!D58/DONNEES_RDT!C58,IF(DONNEES_RDT!F58="DTN",(DONNEES_RDT!D58*0.1)/DONNEES_RDT!C58,IF(DONNEES_RDT!F58="KGM",(DONNEES_RDT!D58*0.001)/DONNEES_RDT!C58))))</f>
        <v/>
      </c>
      <c r="G53" s="823" t="str">
        <f>IF(ISBLANK(DONNEES_RDT!D58),"",IF(DONNEES_RDT!F58="TNE",DONNEES_RDT!E58/DONNEES_RDT!D58,IF(DONNEES_RDT!F58="DTN",DONNEES_RDT!E58/(DONNEES_RDT!D58*0.1),IF(DONNEES_RDT!F58="KGM",(DONNEES_RDT!E58/(DONNEES_RDT!D58*0.001))))))</f>
        <v/>
      </c>
      <c r="H53" s="823" t="str">
        <f>IF(ISBLANK(DONNEES_RDT!D58),"",DONNEES_RDT!E58/DONNEES_RDT!C58)</f>
        <v/>
      </c>
    </row>
    <row r="54" spans="2:8" s="806" customFormat="1" ht="19.5" customHeight="1">
      <c r="B54" s="834" t="str">
        <f>IF(ISBLANK(DONNEES_RDT!B59),"",TEXT(FinExN,"jj mmmm aaaa"))</f>
        <v/>
      </c>
      <c r="C54" s="820" t="str">
        <f>IF(ISBLANK(DONNEES_RDT!B59),"",DONNEES_RDT!B59)</f>
        <v/>
      </c>
      <c r="D54" s="821" t="str">
        <f>IF(ISBLANK(DONNEES_RDT!B59),"",DONNEES_RDT!C59)</f>
        <v/>
      </c>
      <c r="E54" s="822" t="str">
        <f>IF(ISBLANK(DONNEES_RDT!B59),"",DONNEES_RDT!C59/SUM(DONNEES_RDT!C$11:C$120))</f>
        <v/>
      </c>
      <c r="F54" s="823" t="str">
        <f>IF(ISBLANK(DONNEES_RDT!D59),"",IF(DONNEES_RDT!F59="TNE",DONNEES_RDT!D59/DONNEES_RDT!C59,IF(DONNEES_RDT!F59="DTN",(DONNEES_RDT!D59*0.1)/DONNEES_RDT!C59,IF(DONNEES_RDT!F59="KGM",(DONNEES_RDT!D59*0.001)/DONNEES_RDT!C59))))</f>
        <v/>
      </c>
      <c r="G54" s="823" t="str">
        <f>IF(ISBLANK(DONNEES_RDT!D59),"",IF(DONNEES_RDT!F59="TNE",DONNEES_RDT!E59/DONNEES_RDT!D59,IF(DONNEES_RDT!F59="DTN",DONNEES_RDT!E59/(DONNEES_RDT!D59*0.1),IF(DONNEES_RDT!F59="KGM",(DONNEES_RDT!E59/(DONNEES_RDT!D59*0.001))))))</f>
        <v/>
      </c>
      <c r="H54" s="823" t="str">
        <f>IF(ISBLANK(DONNEES_RDT!D59),"",DONNEES_RDT!E59/DONNEES_RDT!C59)</f>
        <v/>
      </c>
    </row>
    <row r="55" spans="2:8" s="806" customFormat="1" ht="19.5" customHeight="1">
      <c r="B55" s="834" t="str">
        <f>IF(ISBLANK(DONNEES_RDT!B60),"",TEXT(FinExN,"jj mmmm aaaa"))</f>
        <v/>
      </c>
      <c r="C55" s="820" t="str">
        <f>IF(ISBLANK(DONNEES_RDT!B60),"",DONNEES_RDT!B60)</f>
        <v/>
      </c>
      <c r="D55" s="821" t="str">
        <f>IF(ISBLANK(DONNEES_RDT!B60),"",DONNEES_RDT!C60)</f>
        <v/>
      </c>
      <c r="E55" s="822" t="str">
        <f>IF(ISBLANK(DONNEES_RDT!B60),"",DONNEES_RDT!C60/SUM(DONNEES_RDT!C$11:C$120))</f>
        <v/>
      </c>
      <c r="F55" s="823" t="str">
        <f>IF(ISBLANK(DONNEES_RDT!D60),"",IF(DONNEES_RDT!F60="TNE",DONNEES_RDT!D60/DONNEES_RDT!C60,IF(DONNEES_RDT!F60="DTN",(DONNEES_RDT!D60*0.1)/DONNEES_RDT!C60,IF(DONNEES_RDT!F60="KGM",(DONNEES_RDT!D60*0.001)/DONNEES_RDT!C60))))</f>
        <v/>
      </c>
      <c r="G55" s="823" t="str">
        <f>IF(ISBLANK(DONNEES_RDT!D60),"",IF(DONNEES_RDT!F60="TNE",DONNEES_RDT!E60/DONNEES_RDT!D60,IF(DONNEES_RDT!F60="DTN",DONNEES_RDT!E60/(DONNEES_RDT!D60*0.1),IF(DONNEES_RDT!F60="KGM",(DONNEES_RDT!E60/(DONNEES_RDT!D60*0.001))))))</f>
        <v/>
      </c>
      <c r="H55" s="823" t="str">
        <f>IF(ISBLANK(DONNEES_RDT!D60),"",DONNEES_RDT!E60/DONNEES_RDT!C60)</f>
        <v/>
      </c>
    </row>
    <row r="56" spans="2:8" s="806" customFormat="1" ht="19.5" customHeight="1">
      <c r="B56" s="834" t="str">
        <f>IF(ISBLANK(DONNEES_RDT!B61),"",TEXT(FinExN,"jj mmmm aaaa"))</f>
        <v/>
      </c>
      <c r="C56" s="820" t="str">
        <f>IF(ISBLANK(DONNEES_RDT!B61),"",DONNEES_RDT!B61)</f>
        <v/>
      </c>
      <c r="D56" s="821" t="str">
        <f>IF(ISBLANK(DONNEES_RDT!B61),"",DONNEES_RDT!C61)</f>
        <v/>
      </c>
      <c r="E56" s="822" t="str">
        <f>IF(ISBLANK(DONNEES_RDT!B61),"",DONNEES_RDT!C61/SUM(DONNEES_RDT!C$11:C$120))</f>
        <v/>
      </c>
      <c r="F56" s="823" t="str">
        <f>IF(ISBLANK(DONNEES_RDT!D61),"",IF(DONNEES_RDT!F61="TNE",DONNEES_RDT!D61/DONNEES_RDT!C61,IF(DONNEES_RDT!F61="DTN",(DONNEES_RDT!D61*0.1)/DONNEES_RDT!C61,IF(DONNEES_RDT!F61="KGM",(DONNEES_RDT!D61*0.001)/DONNEES_RDT!C61))))</f>
        <v/>
      </c>
      <c r="G56" s="823" t="str">
        <f>IF(ISBLANK(DONNEES_RDT!D61),"",IF(DONNEES_RDT!F61="TNE",DONNEES_RDT!E61/DONNEES_RDT!D61,IF(DONNEES_RDT!F61="DTN",DONNEES_RDT!E61/(DONNEES_RDT!D61*0.1),IF(DONNEES_RDT!F61="KGM",(DONNEES_RDT!E61/(DONNEES_RDT!D61*0.001))))))</f>
        <v/>
      </c>
      <c r="H56" s="823" t="str">
        <f>IF(ISBLANK(DONNEES_RDT!D61),"",DONNEES_RDT!E61/DONNEES_RDT!C61)</f>
        <v/>
      </c>
    </row>
    <row r="57" spans="2:8" s="806" customFormat="1" ht="19.5" customHeight="1">
      <c r="B57" s="834" t="str">
        <f>IF(ISBLANK(DONNEES_RDT!B62),"",TEXT(FinExN,"jj mmmm aaaa"))</f>
        <v/>
      </c>
      <c r="C57" s="820" t="str">
        <f>IF(ISBLANK(DONNEES_RDT!B62),"",DONNEES_RDT!B62)</f>
        <v/>
      </c>
      <c r="D57" s="821" t="str">
        <f>IF(ISBLANK(DONNEES_RDT!B62),"",DONNEES_RDT!C62)</f>
        <v/>
      </c>
      <c r="E57" s="822" t="str">
        <f>IF(ISBLANK(DONNEES_RDT!B62),"",DONNEES_RDT!C62/SUM(DONNEES_RDT!C$11:C$120))</f>
        <v/>
      </c>
      <c r="F57" s="823" t="str">
        <f>IF(ISBLANK(DONNEES_RDT!D62),"",IF(DONNEES_RDT!F62="TNE",DONNEES_RDT!D62/DONNEES_RDT!C62,IF(DONNEES_RDT!F62="DTN",(DONNEES_RDT!D62*0.1)/DONNEES_RDT!C62,IF(DONNEES_RDT!F62="KGM",(DONNEES_RDT!D62*0.001)/DONNEES_RDT!C62))))</f>
        <v/>
      </c>
      <c r="G57" s="823" t="str">
        <f>IF(ISBLANK(DONNEES_RDT!D62),"",IF(DONNEES_RDT!F62="TNE",DONNEES_RDT!E62/DONNEES_RDT!D62,IF(DONNEES_RDT!F62="DTN",DONNEES_RDT!E62/(DONNEES_RDT!D62*0.1),IF(DONNEES_RDT!F62="KGM",(DONNEES_RDT!E62/(DONNEES_RDT!D62*0.001))))))</f>
        <v/>
      </c>
      <c r="H57" s="823" t="str">
        <f>IF(ISBLANK(DONNEES_RDT!D62),"",DONNEES_RDT!E62/DONNEES_RDT!C62)</f>
        <v/>
      </c>
    </row>
    <row r="58" spans="2:8" s="806" customFormat="1" ht="19.5" customHeight="1">
      <c r="B58" s="834" t="str">
        <f>IF(ISBLANK(DONNEES_RDT!B63),"",TEXT(FinExN,"jj mmmm aaaa"))</f>
        <v/>
      </c>
      <c r="C58" s="820" t="str">
        <f>IF(ISBLANK(DONNEES_RDT!B63),"",DONNEES_RDT!B63)</f>
        <v/>
      </c>
      <c r="D58" s="821" t="str">
        <f>IF(ISBLANK(DONNEES_RDT!B63),"",DONNEES_RDT!C63)</f>
        <v/>
      </c>
      <c r="E58" s="822" t="str">
        <f>IF(ISBLANK(DONNEES_RDT!B63),"",DONNEES_RDT!C63/SUM(DONNEES_RDT!C$11:C$120))</f>
        <v/>
      </c>
      <c r="F58" s="823" t="str">
        <f>IF(ISBLANK(DONNEES_RDT!D63),"",IF(DONNEES_RDT!F63="TNE",DONNEES_RDT!D63/DONNEES_RDT!C63,IF(DONNEES_RDT!F63="DTN",(DONNEES_RDT!D63*0.1)/DONNEES_RDT!C63,IF(DONNEES_RDT!F63="KGM",(DONNEES_RDT!D63*0.001)/DONNEES_RDT!C63))))</f>
        <v/>
      </c>
      <c r="G58" s="823" t="str">
        <f>IF(ISBLANK(DONNEES_RDT!D63),"",IF(DONNEES_RDT!F63="TNE",DONNEES_RDT!E63/DONNEES_RDT!D63,IF(DONNEES_RDT!F63="DTN",DONNEES_RDT!E63/(DONNEES_RDT!D63*0.1),IF(DONNEES_RDT!F63="KGM",(DONNEES_RDT!E63/(DONNEES_RDT!D63*0.001))))))</f>
        <v/>
      </c>
      <c r="H58" s="823" t="str">
        <f>IF(ISBLANK(DONNEES_RDT!D63),"",DONNEES_RDT!E63/DONNEES_RDT!C63)</f>
        <v/>
      </c>
    </row>
    <row r="59" spans="2:8" s="806" customFormat="1" ht="19.5" customHeight="1">
      <c r="B59" s="834" t="str">
        <f>IF(ISBLANK(DONNEES_RDT!B64),"",TEXT(FinExN,"jj mmmm aaaa"))</f>
        <v/>
      </c>
      <c r="C59" s="820" t="str">
        <f>IF(ISBLANK(DONNEES_RDT!B64),"",DONNEES_RDT!B64)</f>
        <v/>
      </c>
      <c r="D59" s="821" t="str">
        <f>IF(ISBLANK(DONNEES_RDT!B64),"",DONNEES_RDT!C64)</f>
        <v/>
      </c>
      <c r="E59" s="822" t="str">
        <f>IF(ISBLANK(DONNEES_RDT!B64),"",DONNEES_RDT!C64/SUM(DONNEES_RDT!C$11:C$120))</f>
        <v/>
      </c>
      <c r="F59" s="823" t="str">
        <f>IF(ISBLANK(DONNEES_RDT!D64),"",IF(DONNEES_RDT!F64="TNE",DONNEES_RDT!D64/DONNEES_RDT!C64,IF(DONNEES_RDT!F64="DTN",(DONNEES_RDT!D64*0.1)/DONNEES_RDT!C64,IF(DONNEES_RDT!F64="KGM",(DONNEES_RDT!D64*0.001)/DONNEES_RDT!C64))))</f>
        <v/>
      </c>
      <c r="G59" s="823" t="str">
        <f>IF(ISBLANK(DONNEES_RDT!D64),"",IF(DONNEES_RDT!F64="TNE",DONNEES_RDT!E64/DONNEES_RDT!D64,IF(DONNEES_RDT!F64="DTN",DONNEES_RDT!E64/(DONNEES_RDT!D64*0.1),IF(DONNEES_RDT!F64="KGM",(DONNEES_RDT!E64/(DONNEES_RDT!D64*0.001))))))</f>
        <v/>
      </c>
      <c r="H59" s="823" t="str">
        <f>IF(ISBLANK(DONNEES_RDT!D64),"",DONNEES_RDT!E64/DONNEES_RDT!C64)</f>
        <v/>
      </c>
    </row>
    <row r="60" spans="2:8" s="806" customFormat="1" ht="19.5" customHeight="1">
      <c r="B60" s="834" t="str">
        <f>IF(ISBLANK(DONNEES_RDT!B65),"",TEXT(FinExN,"jj mmmm aaaa"))</f>
        <v/>
      </c>
      <c r="C60" s="820" t="str">
        <f>IF(ISBLANK(DONNEES_RDT!B65),"",DONNEES_RDT!B65)</f>
        <v/>
      </c>
      <c r="D60" s="821" t="str">
        <f>IF(ISBLANK(DONNEES_RDT!B65),"",DONNEES_RDT!C65)</f>
        <v/>
      </c>
      <c r="E60" s="822" t="str">
        <f>IF(ISBLANK(DONNEES_RDT!B65),"",DONNEES_RDT!C65/SUM(DONNEES_RDT!C$11:C$120))</f>
        <v/>
      </c>
      <c r="F60" s="823" t="str">
        <f>IF(ISBLANK(DONNEES_RDT!D65),"",IF(DONNEES_RDT!F65="TNE",DONNEES_RDT!D65/DONNEES_RDT!C65,IF(DONNEES_RDT!F65="DTN",(DONNEES_RDT!D65*0.1)/DONNEES_RDT!C65,IF(DONNEES_RDT!F65="KGM",(DONNEES_RDT!D65*0.001)/DONNEES_RDT!C65))))</f>
        <v/>
      </c>
      <c r="G60" s="823" t="str">
        <f>IF(ISBLANK(DONNEES_RDT!D65),"",IF(DONNEES_RDT!F65="TNE",DONNEES_RDT!E65/DONNEES_RDT!D65,IF(DONNEES_RDT!F65="DTN",DONNEES_RDT!E65/(DONNEES_RDT!D65*0.1),IF(DONNEES_RDT!F65="KGM",(DONNEES_RDT!E65/(DONNEES_RDT!D65*0.001))))))</f>
        <v/>
      </c>
      <c r="H60" s="823" t="str">
        <f>IF(ISBLANK(DONNEES_RDT!D65),"",DONNEES_RDT!E65/DONNEES_RDT!C65)</f>
        <v/>
      </c>
    </row>
    <row r="61" spans="2:8" s="806" customFormat="1" ht="19.5" customHeight="1">
      <c r="B61" s="834" t="str">
        <f>IF(ISBLANK(DONNEES_RDT!B66),"",TEXT(FinExN,"jj mmmm aaaa"))</f>
        <v/>
      </c>
      <c r="C61" s="820" t="str">
        <f>IF(ISBLANK(DONNEES_RDT!B66),"",DONNEES_RDT!B66)</f>
        <v/>
      </c>
      <c r="D61" s="821" t="str">
        <f>IF(ISBLANK(DONNEES_RDT!B66),"",DONNEES_RDT!C66)</f>
        <v/>
      </c>
      <c r="E61" s="822" t="str">
        <f>IF(ISBLANK(DONNEES_RDT!B66),"",DONNEES_RDT!C66/SUM(DONNEES_RDT!C$11:C$120))</f>
        <v/>
      </c>
      <c r="F61" s="823" t="str">
        <f>IF(ISBLANK(DONNEES_RDT!D66),"",IF(DONNEES_RDT!F66="TNE",DONNEES_RDT!D66/DONNEES_RDT!C66,IF(DONNEES_RDT!F66="DTN",(DONNEES_RDT!D66*0.1)/DONNEES_RDT!C66,IF(DONNEES_RDT!F66="KGM",(DONNEES_RDT!D66*0.001)/DONNEES_RDT!C66))))</f>
        <v/>
      </c>
      <c r="G61" s="823" t="str">
        <f>IF(ISBLANK(DONNEES_RDT!D66),"",IF(DONNEES_RDT!F66="TNE",DONNEES_RDT!E66/DONNEES_RDT!D66,IF(DONNEES_RDT!F66="DTN",DONNEES_RDT!E66/(DONNEES_RDT!D66*0.1),IF(DONNEES_RDT!F66="KGM",(DONNEES_RDT!E66/(DONNEES_RDT!D66*0.001))))))</f>
        <v/>
      </c>
      <c r="H61" s="823" t="str">
        <f>IF(ISBLANK(DONNEES_RDT!D66),"",DONNEES_RDT!E66/DONNEES_RDT!C66)</f>
        <v/>
      </c>
    </row>
    <row r="62" spans="2:8" s="806" customFormat="1" ht="19.5" customHeight="1">
      <c r="B62" s="834" t="str">
        <f>IF(ISBLANK(DONNEES_RDT!B67),"",TEXT(FinExN,"jj mmmm aaaa"))</f>
        <v/>
      </c>
      <c r="C62" s="820" t="str">
        <f>IF(ISBLANK(DONNEES_RDT!B67),"",DONNEES_RDT!B67)</f>
        <v/>
      </c>
      <c r="D62" s="821" t="str">
        <f>IF(ISBLANK(DONNEES_RDT!B67),"",DONNEES_RDT!C67)</f>
        <v/>
      </c>
      <c r="E62" s="822" t="str">
        <f>IF(ISBLANK(DONNEES_RDT!B67),"",DONNEES_RDT!C67/SUM(DONNEES_RDT!C$11:C$120))</f>
        <v/>
      </c>
      <c r="F62" s="823" t="str">
        <f>IF(ISBLANK(DONNEES_RDT!D67),"",IF(DONNEES_RDT!F67="TNE",DONNEES_RDT!D67/DONNEES_RDT!C67,IF(DONNEES_RDT!F67="DTN",(DONNEES_RDT!D67*0.1)/DONNEES_RDT!C67,IF(DONNEES_RDT!F67="KGM",(DONNEES_RDT!D67*0.001)/DONNEES_RDT!C67))))</f>
        <v/>
      </c>
      <c r="G62" s="823" t="str">
        <f>IF(ISBLANK(DONNEES_RDT!D67),"",IF(DONNEES_RDT!F67="TNE",DONNEES_RDT!E67/DONNEES_RDT!D67,IF(DONNEES_RDT!F67="DTN",DONNEES_RDT!E67/(DONNEES_RDT!D67*0.1),IF(DONNEES_RDT!F67="KGM",(DONNEES_RDT!E67/(DONNEES_RDT!D67*0.001))))))</f>
        <v/>
      </c>
      <c r="H62" s="823" t="str">
        <f>IF(ISBLANK(DONNEES_RDT!D67),"",DONNEES_RDT!E67/DONNEES_RDT!C67)</f>
        <v/>
      </c>
    </row>
    <row r="63" spans="2:8" s="806" customFormat="1" ht="19.5" customHeight="1">
      <c r="B63" s="834" t="str">
        <f>IF(ISBLANK(DONNEES_RDT!B68),"",TEXT(FinExN,"jj mmmm aaaa"))</f>
        <v/>
      </c>
      <c r="C63" s="820" t="str">
        <f>IF(ISBLANK(DONNEES_RDT!B68),"",DONNEES_RDT!B68)</f>
        <v/>
      </c>
      <c r="D63" s="821" t="str">
        <f>IF(ISBLANK(DONNEES_RDT!B68),"",DONNEES_RDT!C68)</f>
        <v/>
      </c>
      <c r="E63" s="822" t="str">
        <f>IF(ISBLANK(DONNEES_RDT!B68),"",DONNEES_RDT!C68/SUM(DONNEES_RDT!C$11:C$120))</f>
        <v/>
      </c>
      <c r="F63" s="823" t="str">
        <f>IF(ISBLANK(DONNEES_RDT!D68),"",IF(DONNEES_RDT!F68="TNE",DONNEES_RDT!D68/DONNEES_RDT!C68,IF(DONNEES_RDT!F68="DTN",(DONNEES_RDT!D68*0.1)/DONNEES_RDT!C68,IF(DONNEES_RDT!F68="KGM",(DONNEES_RDT!D68*0.001)/DONNEES_RDT!C68))))</f>
        <v/>
      </c>
      <c r="G63" s="823" t="str">
        <f>IF(ISBLANK(DONNEES_RDT!D68),"",IF(DONNEES_RDT!F68="TNE",DONNEES_RDT!E68/DONNEES_RDT!D68,IF(DONNEES_RDT!F68="DTN",DONNEES_RDT!E68/(DONNEES_RDT!D68*0.1),IF(DONNEES_RDT!F68="KGM",(DONNEES_RDT!E68/(DONNEES_RDT!D68*0.001))))))</f>
        <v/>
      </c>
      <c r="H63" s="823" t="str">
        <f>IF(ISBLANK(DONNEES_RDT!D68),"",DONNEES_RDT!E68/DONNEES_RDT!C68)</f>
        <v/>
      </c>
    </row>
    <row r="64" spans="2:8" s="806" customFormat="1" ht="19.5" customHeight="1">
      <c r="B64" s="834" t="str">
        <f>IF(ISBLANK(DONNEES_RDT!B69),"",TEXT(FinExN,"jj mmmm aaaa"))</f>
        <v/>
      </c>
      <c r="C64" s="820" t="str">
        <f>IF(ISBLANK(DONNEES_RDT!B69),"",DONNEES_RDT!B69)</f>
        <v/>
      </c>
      <c r="D64" s="821" t="str">
        <f>IF(ISBLANK(DONNEES_RDT!B69),"",DONNEES_RDT!C69)</f>
        <v/>
      </c>
      <c r="E64" s="822" t="str">
        <f>IF(ISBLANK(DONNEES_RDT!B69),"",DONNEES_RDT!C69/SUM(DONNEES_RDT!C$11:C$120))</f>
        <v/>
      </c>
      <c r="F64" s="823" t="str">
        <f>IF(ISBLANK(DONNEES_RDT!D69),"",IF(DONNEES_RDT!F69="TNE",DONNEES_RDT!D69/DONNEES_RDT!C69,IF(DONNEES_RDT!F69="DTN",(DONNEES_RDT!D69*0.1)/DONNEES_RDT!C69,IF(DONNEES_RDT!F69="KGM",(DONNEES_RDT!D69*0.001)/DONNEES_RDT!C69))))</f>
        <v/>
      </c>
      <c r="G64" s="823" t="str">
        <f>IF(ISBLANK(DONNEES_RDT!D69),"",IF(DONNEES_RDT!F69="TNE",DONNEES_RDT!E69/DONNEES_RDT!D69,IF(DONNEES_RDT!F69="DTN",DONNEES_RDT!E69/(DONNEES_RDT!D69*0.1),IF(DONNEES_RDT!F69="KGM",(DONNEES_RDT!E69/(DONNEES_RDT!D69*0.001))))))</f>
        <v/>
      </c>
      <c r="H64" s="823" t="str">
        <f>IF(ISBLANK(DONNEES_RDT!D69),"",DONNEES_RDT!E69/DONNEES_RDT!C69)</f>
        <v/>
      </c>
    </row>
    <row r="65" spans="2:8" s="806" customFormat="1" ht="19.5" customHeight="1">
      <c r="B65" s="834" t="str">
        <f>IF(ISBLANK(DONNEES_RDT!B70),"",TEXT(FinExN,"jj mmmm aaaa"))</f>
        <v/>
      </c>
      <c r="C65" s="820" t="str">
        <f>IF(ISBLANK(DONNEES_RDT!B70),"",DONNEES_RDT!B70)</f>
        <v/>
      </c>
      <c r="D65" s="821" t="str">
        <f>IF(ISBLANK(DONNEES_RDT!B70),"",DONNEES_RDT!C70)</f>
        <v/>
      </c>
      <c r="E65" s="822" t="str">
        <f>IF(ISBLANK(DONNEES_RDT!B70),"",DONNEES_RDT!C70/SUM(DONNEES_RDT!C$11:C$120))</f>
        <v/>
      </c>
      <c r="F65" s="823" t="str">
        <f>IF(ISBLANK(DONNEES_RDT!D70),"",IF(DONNEES_RDT!F70="TNE",DONNEES_RDT!D70/DONNEES_RDT!C70,IF(DONNEES_RDT!F70="DTN",(DONNEES_RDT!D70*0.1)/DONNEES_RDT!C70,IF(DONNEES_RDT!F70="KGM",(DONNEES_RDT!D70*0.001)/DONNEES_RDT!C70))))</f>
        <v/>
      </c>
      <c r="G65" s="823" t="str">
        <f>IF(ISBLANK(DONNEES_RDT!D70),"",IF(DONNEES_RDT!F70="TNE",DONNEES_RDT!E70/DONNEES_RDT!D70,IF(DONNEES_RDT!F70="DTN",DONNEES_RDT!E70/(DONNEES_RDT!D70*0.1),IF(DONNEES_RDT!F70="KGM",(DONNEES_RDT!E70/(DONNEES_RDT!D70*0.001))))))</f>
        <v/>
      </c>
      <c r="H65" s="823" t="str">
        <f>IF(ISBLANK(DONNEES_RDT!D70),"",DONNEES_RDT!E70/DONNEES_RDT!C70)</f>
        <v/>
      </c>
    </row>
    <row r="66" spans="2:8" s="806" customFormat="1" ht="19.5" customHeight="1">
      <c r="B66" s="834" t="str">
        <f>IF(ISBLANK(DONNEES_RDT!B71),"",TEXT(FinExN,"jj mmmm aaaa"))</f>
        <v/>
      </c>
      <c r="C66" s="820" t="str">
        <f>IF(ISBLANK(DONNEES_RDT!B71),"",DONNEES_RDT!B71)</f>
        <v/>
      </c>
      <c r="D66" s="821" t="str">
        <f>IF(ISBLANK(DONNEES_RDT!B71),"",DONNEES_RDT!C71)</f>
        <v/>
      </c>
      <c r="E66" s="822" t="str">
        <f>IF(ISBLANK(DONNEES_RDT!B71),"",DONNEES_RDT!C71/SUM(DONNEES_RDT!C$11:C$120))</f>
        <v/>
      </c>
      <c r="F66" s="823" t="str">
        <f>IF(ISBLANK(DONNEES_RDT!D71),"",IF(DONNEES_RDT!F71="TNE",DONNEES_RDT!D71/DONNEES_RDT!C71,IF(DONNEES_RDT!F71="DTN",(DONNEES_RDT!D71*0.1)/DONNEES_RDT!C71,IF(DONNEES_RDT!F71="KGM",(DONNEES_RDT!D71*0.001)/DONNEES_RDT!C71))))</f>
        <v/>
      </c>
      <c r="G66" s="823" t="str">
        <f>IF(ISBLANK(DONNEES_RDT!D71),"",IF(DONNEES_RDT!F71="TNE",DONNEES_RDT!E71/DONNEES_RDT!D71,IF(DONNEES_RDT!F71="DTN",DONNEES_RDT!E71/(DONNEES_RDT!D71*0.1),IF(DONNEES_RDT!F71="KGM",(DONNEES_RDT!E71/(DONNEES_RDT!D71*0.001))))))</f>
        <v/>
      </c>
      <c r="H66" s="823" t="str">
        <f>IF(ISBLANK(DONNEES_RDT!D71),"",DONNEES_RDT!E71/DONNEES_RDT!C71)</f>
        <v/>
      </c>
    </row>
    <row r="67" spans="2:8" s="806" customFormat="1" ht="19.5" customHeight="1">
      <c r="B67" s="834" t="str">
        <f>IF(ISBLANK(DONNEES_RDT!B72),"",TEXT(FinExN,"jj mmmm aaaa"))</f>
        <v/>
      </c>
      <c r="C67" s="820" t="str">
        <f>IF(ISBLANK(DONNEES_RDT!B72),"",DONNEES_RDT!B72)</f>
        <v/>
      </c>
      <c r="D67" s="821" t="str">
        <f>IF(ISBLANK(DONNEES_RDT!B72),"",DONNEES_RDT!C72)</f>
        <v/>
      </c>
      <c r="E67" s="822" t="str">
        <f>IF(ISBLANK(DONNEES_RDT!B72),"",DONNEES_RDT!C72/SUM(DONNEES_RDT!C$11:C$120))</f>
        <v/>
      </c>
      <c r="F67" s="823" t="str">
        <f>IF(ISBLANK(DONNEES_RDT!D72),"",IF(DONNEES_RDT!F72="TNE",DONNEES_RDT!D72/DONNEES_RDT!C72,IF(DONNEES_RDT!F72="DTN",(DONNEES_RDT!D72*0.1)/DONNEES_RDT!C72,IF(DONNEES_RDT!F72="KGM",(DONNEES_RDT!D72*0.001)/DONNEES_RDT!C72))))</f>
        <v/>
      </c>
      <c r="G67" s="823" t="str">
        <f>IF(ISBLANK(DONNEES_RDT!D72),"",IF(DONNEES_RDT!F72="TNE",DONNEES_RDT!E72/DONNEES_RDT!D72,IF(DONNEES_RDT!F72="DTN",DONNEES_RDT!E72/(DONNEES_RDT!D72*0.1),IF(DONNEES_RDT!F72="KGM",(DONNEES_RDT!E72/(DONNEES_RDT!D72*0.001))))))</f>
        <v/>
      </c>
      <c r="H67" s="823" t="str">
        <f>IF(ISBLANK(DONNEES_RDT!D72),"",DONNEES_RDT!E72/DONNEES_RDT!C72)</f>
        <v/>
      </c>
    </row>
    <row r="68" spans="2:8" s="806" customFormat="1" ht="19.5" customHeight="1">
      <c r="B68" s="834" t="str">
        <f>IF(ISBLANK(DONNEES_RDT!B73),"",TEXT(FinExN,"jj mmmm aaaa"))</f>
        <v/>
      </c>
      <c r="C68" s="820" t="str">
        <f>IF(ISBLANK(DONNEES_RDT!B73),"",DONNEES_RDT!B73)</f>
        <v/>
      </c>
      <c r="D68" s="821" t="str">
        <f>IF(ISBLANK(DONNEES_RDT!B73),"",DONNEES_RDT!C73)</f>
        <v/>
      </c>
      <c r="E68" s="822" t="str">
        <f>IF(ISBLANK(DONNEES_RDT!B73),"",DONNEES_RDT!C73/SUM(DONNEES_RDT!C$11:C$120))</f>
        <v/>
      </c>
      <c r="F68" s="823" t="str">
        <f>IF(ISBLANK(DONNEES_RDT!D73),"",IF(DONNEES_RDT!F73="TNE",DONNEES_RDT!D73/DONNEES_RDT!C73,IF(DONNEES_RDT!F73="DTN",(DONNEES_RDT!D73*0.1)/DONNEES_RDT!C73,IF(DONNEES_RDT!F73="KGM",(DONNEES_RDT!D73*0.001)/DONNEES_RDT!C73))))</f>
        <v/>
      </c>
      <c r="G68" s="823" t="str">
        <f>IF(ISBLANK(DONNEES_RDT!D73),"",IF(DONNEES_RDT!F73="TNE",DONNEES_RDT!E73/DONNEES_RDT!D73,IF(DONNEES_RDT!F73="DTN",DONNEES_RDT!E73/(DONNEES_RDT!D73*0.1),IF(DONNEES_RDT!F73="KGM",(DONNEES_RDT!E73/(DONNEES_RDT!D73*0.001))))))</f>
        <v/>
      </c>
      <c r="H68" s="823" t="str">
        <f>IF(ISBLANK(DONNEES_RDT!D73),"",DONNEES_RDT!E73/DONNEES_RDT!C73)</f>
        <v/>
      </c>
    </row>
    <row r="69" spans="2:8" s="806" customFormat="1" ht="19.5" customHeight="1">
      <c r="B69" s="834" t="str">
        <f>IF(ISBLANK(DONNEES_RDT!B74),"",TEXT(FinExN,"jj mmmm aaaa"))</f>
        <v/>
      </c>
      <c r="C69" s="820" t="str">
        <f>IF(ISBLANK(DONNEES_RDT!B74),"",DONNEES_RDT!B74)</f>
        <v/>
      </c>
      <c r="D69" s="821" t="str">
        <f>IF(ISBLANK(DONNEES_RDT!B74),"",DONNEES_RDT!C74)</f>
        <v/>
      </c>
      <c r="E69" s="822" t="str">
        <f>IF(ISBLANK(DONNEES_RDT!B74),"",DONNEES_RDT!C74/SUM(DONNEES_RDT!C$11:C$120))</f>
        <v/>
      </c>
      <c r="F69" s="823" t="str">
        <f>IF(ISBLANK(DONNEES_RDT!D74),"",IF(DONNEES_RDT!F74="TNE",DONNEES_RDT!D74/DONNEES_RDT!C74,IF(DONNEES_RDT!F74="DTN",(DONNEES_RDT!D74*0.1)/DONNEES_RDT!C74,IF(DONNEES_RDT!F74="KGM",(DONNEES_RDT!D74*0.001)/DONNEES_RDT!C74))))</f>
        <v/>
      </c>
      <c r="G69" s="823" t="str">
        <f>IF(ISBLANK(DONNEES_RDT!D74),"",IF(DONNEES_RDT!F74="TNE",DONNEES_RDT!E74/DONNEES_RDT!D74,IF(DONNEES_RDT!F74="DTN",DONNEES_RDT!E74/(DONNEES_RDT!D74*0.1),IF(DONNEES_RDT!F74="KGM",(DONNEES_RDT!E74/(DONNEES_RDT!D74*0.001))))))</f>
        <v/>
      </c>
      <c r="H69" s="823" t="str">
        <f>IF(ISBLANK(DONNEES_RDT!D74),"",DONNEES_RDT!E74/DONNEES_RDT!C74)</f>
        <v/>
      </c>
    </row>
    <row r="70" spans="2:8" s="806" customFormat="1" ht="19.5" customHeight="1">
      <c r="B70" s="834" t="str">
        <f>IF(ISBLANK(DONNEES_RDT!B75),"",TEXT(FinExN,"jj mmmm aaaa"))</f>
        <v/>
      </c>
      <c r="C70" s="820" t="str">
        <f>IF(ISBLANK(DONNEES_RDT!B75),"",DONNEES_RDT!B75)</f>
        <v/>
      </c>
      <c r="D70" s="821" t="str">
        <f>IF(ISBLANK(DONNEES_RDT!B75),"",DONNEES_RDT!C75)</f>
        <v/>
      </c>
      <c r="E70" s="822" t="str">
        <f>IF(ISBLANK(DONNEES_RDT!B75),"",DONNEES_RDT!C75/SUM(DONNEES_RDT!C$11:C$120))</f>
        <v/>
      </c>
      <c r="F70" s="823" t="str">
        <f>IF(ISBLANK(DONNEES_RDT!D75),"",IF(DONNEES_RDT!F75="TNE",DONNEES_RDT!D75/DONNEES_RDT!C75,IF(DONNEES_RDT!F75="DTN",(DONNEES_RDT!D75*0.1)/DONNEES_RDT!C75,IF(DONNEES_RDT!F75="KGM",(DONNEES_RDT!D75*0.001)/DONNEES_RDT!C75))))</f>
        <v/>
      </c>
      <c r="G70" s="823" t="str">
        <f>IF(ISBLANK(DONNEES_RDT!D75),"",IF(DONNEES_RDT!F75="TNE",DONNEES_RDT!E75/DONNEES_RDT!D75,IF(DONNEES_RDT!F75="DTN",DONNEES_RDT!E75/(DONNEES_RDT!D75*0.1),IF(DONNEES_RDT!F75="KGM",(DONNEES_RDT!E75/(DONNEES_RDT!D75*0.001))))))</f>
        <v/>
      </c>
      <c r="H70" s="823" t="str">
        <f>IF(ISBLANK(DONNEES_RDT!D75),"",DONNEES_RDT!E75/DONNEES_RDT!C75)</f>
        <v/>
      </c>
    </row>
    <row r="71" spans="2:8" s="806" customFormat="1" ht="19.5" customHeight="1">
      <c r="B71" s="834" t="str">
        <f>IF(ISBLANK(DONNEES_RDT!B76),"",TEXT(FinExN,"jj mmmm aaaa"))</f>
        <v/>
      </c>
      <c r="C71" s="820" t="str">
        <f>IF(ISBLANK(DONNEES_RDT!B76),"",DONNEES_RDT!B76)</f>
        <v/>
      </c>
      <c r="D71" s="821" t="str">
        <f>IF(ISBLANK(DONNEES_RDT!B76),"",DONNEES_RDT!C76)</f>
        <v/>
      </c>
      <c r="E71" s="822" t="str">
        <f>IF(ISBLANK(DONNEES_RDT!B76),"",DONNEES_RDT!C76/SUM(DONNEES_RDT!C$11:C$120))</f>
        <v/>
      </c>
      <c r="F71" s="823" t="str">
        <f>IF(ISBLANK(DONNEES_RDT!D76),"",IF(DONNEES_RDT!F76="TNE",DONNEES_RDT!D76/DONNEES_RDT!C76,IF(DONNEES_RDT!F76="DTN",(DONNEES_RDT!D76*0.1)/DONNEES_RDT!C76,IF(DONNEES_RDT!F76="KGM",(DONNEES_RDT!D76*0.001)/DONNEES_RDT!C76))))</f>
        <v/>
      </c>
      <c r="G71" s="823" t="str">
        <f>IF(ISBLANK(DONNEES_RDT!D76),"",IF(DONNEES_RDT!F76="TNE",DONNEES_RDT!E76/DONNEES_RDT!D76,IF(DONNEES_RDT!F76="DTN",DONNEES_RDT!E76/(DONNEES_RDT!D76*0.1),IF(DONNEES_RDT!F76="KGM",(DONNEES_RDT!E76/(DONNEES_RDT!D76*0.001))))))</f>
        <v/>
      </c>
      <c r="H71" s="823" t="str">
        <f>IF(ISBLANK(DONNEES_RDT!D76),"",DONNEES_RDT!E76/DONNEES_RDT!C76)</f>
        <v/>
      </c>
    </row>
    <row r="72" spans="2:8" s="806" customFormat="1" ht="19.5" customHeight="1">
      <c r="B72" s="834" t="str">
        <f>IF(ISBLANK(DONNEES_RDT!B77),"",TEXT(FinExN,"jj mmmm aaaa"))</f>
        <v/>
      </c>
      <c r="C72" s="820" t="str">
        <f>IF(ISBLANK(DONNEES_RDT!B77),"",DONNEES_RDT!B77)</f>
        <v/>
      </c>
      <c r="D72" s="821" t="str">
        <f>IF(ISBLANK(DONNEES_RDT!B77),"",DONNEES_RDT!C77)</f>
        <v/>
      </c>
      <c r="E72" s="822" t="str">
        <f>IF(ISBLANK(DONNEES_RDT!B77),"",DONNEES_RDT!C77/SUM(DONNEES_RDT!C$11:C$120))</f>
        <v/>
      </c>
      <c r="F72" s="823" t="str">
        <f>IF(ISBLANK(DONNEES_RDT!D77),"",IF(DONNEES_RDT!F77="TNE",DONNEES_RDT!D77/DONNEES_RDT!C77,IF(DONNEES_RDT!F77="DTN",(DONNEES_RDT!D77*0.1)/DONNEES_RDT!C77,IF(DONNEES_RDT!F77="KGM",(DONNEES_RDT!D77*0.001)/DONNEES_RDT!C77))))</f>
        <v/>
      </c>
      <c r="G72" s="823" t="str">
        <f>IF(ISBLANK(DONNEES_RDT!D77),"",IF(DONNEES_RDT!F77="TNE",DONNEES_RDT!E77/DONNEES_RDT!D77,IF(DONNEES_RDT!F77="DTN",DONNEES_RDT!E77/(DONNEES_RDT!D77*0.1),IF(DONNEES_RDT!F77="KGM",(DONNEES_RDT!E77/(DONNEES_RDT!D77*0.001))))))</f>
        <v/>
      </c>
      <c r="H72" s="823" t="str">
        <f>IF(ISBLANK(DONNEES_RDT!D77),"",DONNEES_RDT!E77/DONNEES_RDT!C77)</f>
        <v/>
      </c>
    </row>
    <row r="73" spans="2:8" s="806" customFormat="1" ht="19.5" customHeight="1">
      <c r="B73" s="834" t="str">
        <f>IF(ISBLANK(DONNEES_RDT!B78),"",TEXT(FinExN,"jj mmmm aaaa"))</f>
        <v/>
      </c>
      <c r="C73" s="820" t="str">
        <f>IF(ISBLANK(DONNEES_RDT!B78),"",DONNEES_RDT!B78)</f>
        <v/>
      </c>
      <c r="D73" s="821" t="str">
        <f>IF(ISBLANK(DONNEES_RDT!B78),"",DONNEES_RDT!C78)</f>
        <v/>
      </c>
      <c r="E73" s="822" t="str">
        <f>IF(ISBLANK(DONNEES_RDT!B78),"",DONNEES_RDT!C78/SUM(DONNEES_RDT!C$11:C$120))</f>
        <v/>
      </c>
      <c r="F73" s="823" t="str">
        <f>IF(ISBLANK(DONNEES_RDT!D78),"",IF(DONNEES_RDT!F78="TNE",DONNEES_RDT!D78/DONNEES_RDT!C78,IF(DONNEES_RDT!F78="DTN",(DONNEES_RDT!D78*0.1)/DONNEES_RDT!C78,IF(DONNEES_RDT!F78="KGM",(DONNEES_RDT!D78*0.001)/DONNEES_RDT!C78))))</f>
        <v/>
      </c>
      <c r="G73" s="823" t="str">
        <f>IF(ISBLANK(DONNEES_RDT!D78),"",IF(DONNEES_RDT!F78="TNE",DONNEES_RDT!E78/DONNEES_RDT!D78,IF(DONNEES_RDT!F78="DTN",DONNEES_RDT!E78/(DONNEES_RDT!D78*0.1),IF(DONNEES_RDT!F78="KGM",(DONNEES_RDT!E78/(DONNEES_RDT!D78*0.001))))))</f>
        <v/>
      </c>
      <c r="H73" s="823" t="str">
        <f>IF(ISBLANK(DONNEES_RDT!D78),"",DONNEES_RDT!E78/DONNEES_RDT!C78)</f>
        <v/>
      </c>
    </row>
    <row r="74" spans="2:8" s="806" customFormat="1" ht="19.5" customHeight="1">
      <c r="B74" s="834" t="str">
        <f>IF(ISBLANK(DONNEES_RDT!B79),"",TEXT(FinExN,"jj mmmm aaaa"))</f>
        <v/>
      </c>
      <c r="C74" s="820" t="str">
        <f>IF(ISBLANK(DONNEES_RDT!B79),"",DONNEES_RDT!B79)</f>
        <v/>
      </c>
      <c r="D74" s="821" t="str">
        <f>IF(ISBLANK(DONNEES_RDT!B79),"",DONNEES_RDT!C79)</f>
        <v/>
      </c>
      <c r="E74" s="822" t="str">
        <f>IF(ISBLANK(DONNEES_RDT!B79),"",DONNEES_RDT!C79/SUM(DONNEES_RDT!C$11:C$120))</f>
        <v/>
      </c>
      <c r="F74" s="823" t="str">
        <f>IF(ISBLANK(DONNEES_RDT!D79),"",IF(DONNEES_RDT!F79="TNE",DONNEES_RDT!D79/DONNEES_RDT!C79,IF(DONNEES_RDT!F79="DTN",(DONNEES_RDT!D79*0.1)/DONNEES_RDT!C79,IF(DONNEES_RDT!F79="KGM",(DONNEES_RDT!D79*0.001)/DONNEES_RDT!C79))))</f>
        <v/>
      </c>
      <c r="G74" s="823" t="str">
        <f>IF(ISBLANK(DONNEES_RDT!D79),"",IF(DONNEES_RDT!F79="TNE",DONNEES_RDT!E79/DONNEES_RDT!D79,IF(DONNEES_RDT!F79="DTN",DONNEES_RDT!E79/(DONNEES_RDT!D79*0.1),IF(DONNEES_RDT!F79="KGM",(DONNEES_RDT!E79/(DONNEES_RDT!D79*0.001))))))</f>
        <v/>
      </c>
      <c r="H74" s="823" t="str">
        <f>IF(ISBLANK(DONNEES_RDT!D79),"",DONNEES_RDT!E79/DONNEES_RDT!C79)</f>
        <v/>
      </c>
    </row>
    <row r="75" spans="2:8" s="806" customFormat="1" ht="19.5" customHeight="1">
      <c r="B75" s="834" t="str">
        <f>IF(ISBLANK(DONNEES_RDT!B80),"",TEXT(FinExN,"jj mmmm aaaa"))</f>
        <v/>
      </c>
      <c r="C75" s="820" t="str">
        <f>IF(ISBLANK(DONNEES_RDT!B80),"",DONNEES_RDT!B80)</f>
        <v/>
      </c>
      <c r="D75" s="821" t="str">
        <f>IF(ISBLANK(DONNEES_RDT!B80),"",DONNEES_RDT!C80)</f>
        <v/>
      </c>
      <c r="E75" s="822" t="str">
        <f>IF(ISBLANK(DONNEES_RDT!B80),"",DONNEES_RDT!C80/SUM(DONNEES_RDT!C$11:C$120))</f>
        <v/>
      </c>
      <c r="F75" s="823" t="str">
        <f>IF(ISBLANK(DONNEES_RDT!D80),"",IF(DONNEES_RDT!F80="TNE",DONNEES_RDT!D80/DONNEES_RDT!C80,IF(DONNEES_RDT!F80="DTN",(DONNEES_RDT!D80*0.1)/DONNEES_RDT!C80,IF(DONNEES_RDT!F80="KGM",(DONNEES_RDT!D80*0.001)/DONNEES_RDT!C80))))</f>
        <v/>
      </c>
      <c r="G75" s="823" t="str">
        <f>IF(ISBLANK(DONNEES_RDT!D80),"",IF(DONNEES_RDT!F80="TNE",DONNEES_RDT!E80/DONNEES_RDT!D80,IF(DONNEES_RDT!F80="DTN",DONNEES_RDT!E80/(DONNEES_RDT!D80*0.1),IF(DONNEES_RDT!F80="KGM",(DONNEES_RDT!E80/(DONNEES_RDT!D80*0.001))))))</f>
        <v/>
      </c>
      <c r="H75" s="823" t="str">
        <f>IF(ISBLANK(DONNEES_RDT!D80),"",DONNEES_RDT!E80/DONNEES_RDT!C80)</f>
        <v/>
      </c>
    </row>
    <row r="76" spans="2:8" s="806" customFormat="1" ht="19.5" customHeight="1">
      <c r="B76" s="834" t="str">
        <f>IF(ISBLANK(DONNEES_RDT!B81),"",TEXT(FinExN,"jj mmmm aaaa"))</f>
        <v/>
      </c>
      <c r="C76" s="820" t="str">
        <f>IF(ISBLANK(DONNEES_RDT!B81),"",DONNEES_RDT!B81)</f>
        <v/>
      </c>
      <c r="D76" s="821" t="str">
        <f>IF(ISBLANK(DONNEES_RDT!B81),"",DONNEES_RDT!C81)</f>
        <v/>
      </c>
      <c r="E76" s="822" t="str">
        <f>IF(ISBLANK(DONNEES_RDT!B81),"",DONNEES_RDT!C81/SUM(DONNEES_RDT!C$11:C$120))</f>
        <v/>
      </c>
      <c r="F76" s="823" t="str">
        <f>IF(ISBLANK(DONNEES_RDT!D81),"",IF(DONNEES_RDT!F81="TNE",DONNEES_RDT!D81/DONNEES_RDT!C81,IF(DONNEES_RDT!F81="DTN",(DONNEES_RDT!D81*0.1)/DONNEES_RDT!C81,IF(DONNEES_RDT!F81="KGM",(DONNEES_RDT!D81*0.001)/DONNEES_RDT!C81))))</f>
        <v/>
      </c>
      <c r="G76" s="823" t="str">
        <f>IF(ISBLANK(DONNEES_RDT!D81),"",IF(DONNEES_RDT!F81="TNE",DONNEES_RDT!E81/DONNEES_RDT!D81,IF(DONNEES_RDT!F81="DTN",DONNEES_RDT!E81/(DONNEES_RDT!D81*0.1),IF(DONNEES_RDT!F81="KGM",(DONNEES_RDT!E81/(DONNEES_RDT!D81*0.001))))))</f>
        <v/>
      </c>
      <c r="H76" s="823" t="str">
        <f>IF(ISBLANK(DONNEES_RDT!D81),"",DONNEES_RDT!E81/DONNEES_RDT!C81)</f>
        <v/>
      </c>
    </row>
    <row r="77" spans="2:8" s="806" customFormat="1" ht="19.5" customHeight="1">
      <c r="B77" s="834" t="str">
        <f>IF(ISBLANK(DONNEES_RDT!B82),"",TEXT(FinExN,"jj mmmm aaaa"))</f>
        <v/>
      </c>
      <c r="C77" s="820" t="str">
        <f>IF(ISBLANK(DONNEES_RDT!B82),"",DONNEES_RDT!B82)</f>
        <v/>
      </c>
      <c r="D77" s="821" t="str">
        <f>IF(ISBLANK(DONNEES_RDT!B82),"",DONNEES_RDT!C82)</f>
        <v/>
      </c>
      <c r="E77" s="822" t="str">
        <f>IF(ISBLANK(DONNEES_RDT!B82),"",DONNEES_RDT!C82/SUM(DONNEES_RDT!C$11:C$120))</f>
        <v/>
      </c>
      <c r="F77" s="823" t="str">
        <f>IF(ISBLANK(DONNEES_RDT!D82),"",IF(DONNEES_RDT!F82="TNE",DONNEES_RDT!D82/DONNEES_RDT!C82,IF(DONNEES_RDT!F82="DTN",(DONNEES_RDT!D82*0.1)/DONNEES_RDT!C82,IF(DONNEES_RDT!F82="KGM",(DONNEES_RDT!D82*0.001)/DONNEES_RDT!C82))))</f>
        <v/>
      </c>
      <c r="G77" s="823" t="str">
        <f>IF(ISBLANK(DONNEES_RDT!D82),"",IF(DONNEES_RDT!F82="TNE",DONNEES_RDT!E82/DONNEES_RDT!D82,IF(DONNEES_RDT!F82="DTN",DONNEES_RDT!E82/(DONNEES_RDT!D82*0.1),IF(DONNEES_RDT!F82="KGM",(DONNEES_RDT!E82/(DONNEES_RDT!D82*0.001))))))</f>
        <v/>
      </c>
      <c r="H77" s="823" t="str">
        <f>IF(ISBLANK(DONNEES_RDT!D82),"",DONNEES_RDT!E82/DONNEES_RDT!C82)</f>
        <v/>
      </c>
    </row>
    <row r="78" spans="2:8" s="806" customFormat="1" ht="19.5" customHeight="1">
      <c r="B78" s="834" t="str">
        <f>IF(ISBLANK(DONNEES_RDT!B83),"",TEXT(FinExN,"jj mmmm aaaa"))</f>
        <v/>
      </c>
      <c r="C78" s="820" t="str">
        <f>IF(ISBLANK(DONNEES_RDT!B83),"",DONNEES_RDT!B83)</f>
        <v/>
      </c>
      <c r="D78" s="821" t="str">
        <f>IF(ISBLANK(DONNEES_RDT!B83),"",DONNEES_RDT!C83)</f>
        <v/>
      </c>
      <c r="E78" s="822" t="str">
        <f>IF(ISBLANK(DONNEES_RDT!B83),"",DONNEES_RDT!C83/SUM(DONNEES_RDT!C$11:C$120))</f>
        <v/>
      </c>
      <c r="F78" s="823" t="str">
        <f>IF(ISBLANK(DONNEES_RDT!D83),"",IF(DONNEES_RDT!F83="TNE",DONNEES_RDT!D83/DONNEES_RDT!C83,IF(DONNEES_RDT!F83="DTN",(DONNEES_RDT!D83*0.1)/DONNEES_RDT!C83,IF(DONNEES_RDT!F83="KGM",(DONNEES_RDT!D83*0.001)/DONNEES_RDT!C83))))</f>
        <v/>
      </c>
      <c r="G78" s="823" t="str">
        <f>IF(ISBLANK(DONNEES_RDT!D83),"",IF(DONNEES_RDT!F83="TNE",DONNEES_RDT!E83/DONNEES_RDT!D83,IF(DONNEES_RDT!F83="DTN",DONNEES_RDT!E83/(DONNEES_RDT!D83*0.1),IF(DONNEES_RDT!F83="KGM",(DONNEES_RDT!E83/(DONNEES_RDT!D83*0.001))))))</f>
        <v/>
      </c>
      <c r="H78" s="823" t="str">
        <f>IF(ISBLANK(DONNEES_RDT!D83),"",DONNEES_RDT!E83/DONNEES_RDT!C83)</f>
        <v/>
      </c>
    </row>
    <row r="79" spans="2:8" s="806" customFormat="1" ht="19.5" customHeight="1">
      <c r="B79" s="834" t="str">
        <f>IF(ISBLANK(DONNEES_RDT!B84),"",TEXT(FinExN,"jj mmmm aaaa"))</f>
        <v/>
      </c>
      <c r="C79" s="820" t="str">
        <f>IF(ISBLANK(DONNEES_RDT!B84),"",DONNEES_RDT!B84)</f>
        <v/>
      </c>
      <c r="D79" s="821" t="str">
        <f>IF(ISBLANK(DONNEES_RDT!B84),"",DONNEES_RDT!C84)</f>
        <v/>
      </c>
      <c r="E79" s="822" t="str">
        <f>IF(ISBLANK(DONNEES_RDT!B84),"",DONNEES_RDT!C84/SUM(DONNEES_RDT!C$11:C$120))</f>
        <v/>
      </c>
      <c r="F79" s="823" t="str">
        <f>IF(ISBLANK(DONNEES_RDT!D84),"",IF(DONNEES_RDT!F84="TNE",DONNEES_RDT!D84/DONNEES_RDT!C84,IF(DONNEES_RDT!F84="DTN",(DONNEES_RDT!D84*0.1)/DONNEES_RDT!C84,IF(DONNEES_RDT!F84="KGM",(DONNEES_RDT!D84*0.001)/DONNEES_RDT!C84))))</f>
        <v/>
      </c>
      <c r="G79" s="823" t="str">
        <f>IF(ISBLANK(DONNEES_RDT!D84),"",IF(DONNEES_RDT!F84="TNE",DONNEES_RDT!E84/DONNEES_RDT!D84,IF(DONNEES_RDT!F84="DTN",DONNEES_RDT!E84/(DONNEES_RDT!D84*0.1),IF(DONNEES_RDT!F84="KGM",(DONNEES_RDT!E84/(DONNEES_RDT!D84*0.001))))))</f>
        <v/>
      </c>
      <c r="H79" s="823" t="str">
        <f>IF(ISBLANK(DONNEES_RDT!D84),"",DONNEES_RDT!E84/DONNEES_RDT!C84)</f>
        <v/>
      </c>
    </row>
    <row r="80" spans="2:8" s="806" customFormat="1" ht="19.5" customHeight="1">
      <c r="B80" s="834" t="str">
        <f>IF(ISBLANK(DONNEES_RDT!B85),"",TEXT(FinExN,"jj mmmm aaaa"))</f>
        <v/>
      </c>
      <c r="C80" s="820" t="str">
        <f>IF(ISBLANK(DONNEES_RDT!B85),"",DONNEES_RDT!B85)</f>
        <v/>
      </c>
      <c r="D80" s="821" t="str">
        <f>IF(ISBLANK(DONNEES_RDT!B85),"",DONNEES_RDT!C85)</f>
        <v/>
      </c>
      <c r="E80" s="822" t="str">
        <f>IF(ISBLANK(DONNEES_RDT!B85),"",DONNEES_RDT!C85/SUM(DONNEES_RDT!C$11:C$120))</f>
        <v/>
      </c>
      <c r="F80" s="823" t="str">
        <f>IF(ISBLANK(DONNEES_RDT!D85),"",IF(DONNEES_RDT!F85="TNE",DONNEES_RDT!D85/DONNEES_RDT!C85,IF(DONNEES_RDT!F85="DTN",(DONNEES_RDT!D85*0.1)/DONNEES_RDT!C85,IF(DONNEES_RDT!F85="KGM",(DONNEES_RDT!D85*0.001)/DONNEES_RDT!C85))))</f>
        <v/>
      </c>
      <c r="G80" s="823" t="str">
        <f>IF(ISBLANK(DONNEES_RDT!D85),"",IF(DONNEES_RDT!F85="TNE",DONNEES_RDT!E85/DONNEES_RDT!D85,IF(DONNEES_RDT!F85="DTN",DONNEES_RDT!E85/(DONNEES_RDT!D85*0.1),IF(DONNEES_RDT!F85="KGM",(DONNEES_RDT!E85/(DONNEES_RDT!D85*0.001))))))</f>
        <v/>
      </c>
      <c r="H80" s="823" t="str">
        <f>IF(ISBLANK(DONNEES_RDT!D85),"",DONNEES_RDT!E85/DONNEES_RDT!C85)</f>
        <v/>
      </c>
    </row>
    <row r="81" spans="2:8" s="806" customFormat="1" ht="19.5" customHeight="1">
      <c r="B81" s="834" t="str">
        <f>IF(ISBLANK(DONNEES_RDT!B86),"",TEXT(FinExN,"jj mmmm aaaa"))</f>
        <v/>
      </c>
      <c r="C81" s="820" t="str">
        <f>IF(ISBLANK(DONNEES_RDT!B86),"",DONNEES_RDT!B86)</f>
        <v/>
      </c>
      <c r="D81" s="821" t="str">
        <f>IF(ISBLANK(DONNEES_RDT!B86),"",DONNEES_RDT!C86)</f>
        <v/>
      </c>
      <c r="E81" s="822" t="str">
        <f>IF(ISBLANK(DONNEES_RDT!B86),"",DONNEES_RDT!C86/SUM(DONNEES_RDT!C$11:C$120))</f>
        <v/>
      </c>
      <c r="F81" s="823" t="str">
        <f>IF(ISBLANK(DONNEES_RDT!D86),"",IF(DONNEES_RDT!F86="TNE",DONNEES_RDT!D86/DONNEES_RDT!C86,IF(DONNEES_RDT!F86="DTN",(DONNEES_RDT!D86*0.1)/DONNEES_RDT!C86,IF(DONNEES_RDT!F86="KGM",(DONNEES_RDT!D86*0.001)/DONNEES_RDT!C86))))</f>
        <v/>
      </c>
      <c r="G81" s="823" t="str">
        <f>IF(ISBLANK(DONNEES_RDT!D86),"",IF(DONNEES_RDT!F86="TNE",DONNEES_RDT!E86/DONNEES_RDT!D86,IF(DONNEES_RDT!F86="DTN",DONNEES_RDT!E86/(DONNEES_RDT!D86*0.1),IF(DONNEES_RDT!F86="KGM",(DONNEES_RDT!E86/(DONNEES_RDT!D86*0.001))))))</f>
        <v/>
      </c>
      <c r="H81" s="823" t="str">
        <f>IF(ISBLANK(DONNEES_RDT!D86),"",DONNEES_RDT!E86/DONNEES_RDT!C86)</f>
        <v/>
      </c>
    </row>
    <row r="82" spans="2:8" s="806" customFormat="1" ht="19.5" customHeight="1">
      <c r="B82" s="834" t="str">
        <f>IF(ISBLANK(DONNEES_RDT!B87),"",TEXT(FinExN,"jj mmmm aaaa"))</f>
        <v/>
      </c>
      <c r="C82" s="820" t="str">
        <f>IF(ISBLANK(DONNEES_RDT!B87),"",DONNEES_RDT!B87)</f>
        <v/>
      </c>
      <c r="D82" s="821" t="str">
        <f>IF(ISBLANK(DONNEES_RDT!B87),"",DONNEES_RDT!C87)</f>
        <v/>
      </c>
      <c r="E82" s="822" t="str">
        <f>IF(ISBLANK(DONNEES_RDT!B87),"",DONNEES_RDT!C87/SUM(DONNEES_RDT!C$11:C$120))</f>
        <v/>
      </c>
      <c r="F82" s="823" t="str">
        <f>IF(ISBLANK(DONNEES_RDT!D87),"",IF(DONNEES_RDT!F87="TNE",DONNEES_RDT!D87/DONNEES_RDT!C87,IF(DONNEES_RDT!F87="DTN",(DONNEES_RDT!D87*0.1)/DONNEES_RDT!C87,IF(DONNEES_RDT!F87="KGM",(DONNEES_RDT!D87*0.001)/DONNEES_RDT!C87))))</f>
        <v/>
      </c>
      <c r="G82" s="823" t="str">
        <f>IF(ISBLANK(DONNEES_RDT!D87),"",IF(DONNEES_RDT!F87="TNE",DONNEES_RDT!E87/DONNEES_RDT!D87,IF(DONNEES_RDT!F87="DTN",DONNEES_RDT!E87/(DONNEES_RDT!D87*0.1),IF(DONNEES_RDT!F87="KGM",(DONNEES_RDT!E87/(DONNEES_RDT!D87*0.001))))))</f>
        <v/>
      </c>
      <c r="H82" s="823" t="str">
        <f>IF(ISBLANK(DONNEES_RDT!D87),"",DONNEES_RDT!E87/DONNEES_RDT!C87)</f>
        <v/>
      </c>
    </row>
    <row r="83" spans="2:8" s="806" customFormat="1" ht="19.5" customHeight="1">
      <c r="B83" s="834" t="str">
        <f>IF(ISBLANK(DONNEES_RDT!B88),"",TEXT(FinExN,"jj mmmm aaaa"))</f>
        <v/>
      </c>
      <c r="C83" s="820" t="str">
        <f>IF(ISBLANK(DONNEES_RDT!B88),"",DONNEES_RDT!B88)</f>
        <v/>
      </c>
      <c r="D83" s="821" t="str">
        <f>IF(ISBLANK(DONNEES_RDT!B88),"",DONNEES_RDT!C88)</f>
        <v/>
      </c>
      <c r="E83" s="822" t="str">
        <f>IF(ISBLANK(DONNEES_RDT!B88),"",DONNEES_RDT!C88/SUM(DONNEES_RDT!C$11:C$120))</f>
        <v/>
      </c>
      <c r="F83" s="823" t="str">
        <f>IF(ISBLANK(DONNEES_RDT!D88),"",IF(DONNEES_RDT!F88="TNE",DONNEES_RDT!D88/DONNEES_RDT!C88,IF(DONNEES_RDT!F88="DTN",(DONNEES_RDT!D88*0.1)/DONNEES_RDT!C88,IF(DONNEES_RDT!F88="KGM",(DONNEES_RDT!D88*0.001)/DONNEES_RDT!C88))))</f>
        <v/>
      </c>
      <c r="G83" s="823" t="str">
        <f>IF(ISBLANK(DONNEES_RDT!D88),"",IF(DONNEES_RDT!F88="TNE",DONNEES_RDT!E88/DONNEES_RDT!D88,IF(DONNEES_RDT!F88="DTN",DONNEES_RDT!E88/(DONNEES_RDT!D88*0.1),IF(DONNEES_RDT!F88="KGM",(DONNEES_RDT!E88/(DONNEES_RDT!D88*0.001))))))</f>
        <v/>
      </c>
      <c r="H83" s="823" t="str">
        <f>IF(ISBLANK(DONNEES_RDT!D88),"",DONNEES_RDT!E88/DONNEES_RDT!C88)</f>
        <v/>
      </c>
    </row>
    <row r="84" spans="2:8" s="806" customFormat="1" ht="19.5" customHeight="1">
      <c r="B84" s="834" t="str">
        <f>IF(ISBLANK(DONNEES_RDT!B89),"",TEXT(FinExN,"jj mmmm aaaa"))</f>
        <v/>
      </c>
      <c r="C84" s="820" t="str">
        <f>IF(ISBLANK(DONNEES_RDT!B89),"",DONNEES_RDT!B89)</f>
        <v/>
      </c>
      <c r="D84" s="821" t="str">
        <f>IF(ISBLANK(DONNEES_RDT!B89),"",DONNEES_RDT!C89)</f>
        <v/>
      </c>
      <c r="E84" s="822" t="str">
        <f>IF(ISBLANK(DONNEES_RDT!B89),"",DONNEES_RDT!C89/SUM(DONNEES_RDT!C$11:C$120))</f>
        <v/>
      </c>
      <c r="F84" s="823" t="str">
        <f>IF(ISBLANK(DONNEES_RDT!D89),"",IF(DONNEES_RDT!F89="TNE",DONNEES_RDT!D89/DONNEES_RDT!C89,IF(DONNEES_RDT!F89="DTN",(DONNEES_RDT!D89*0.1)/DONNEES_RDT!C89,IF(DONNEES_RDT!F89="KGM",(DONNEES_RDT!D89*0.001)/DONNEES_RDT!C89))))</f>
        <v/>
      </c>
      <c r="G84" s="823" t="str">
        <f>IF(ISBLANK(DONNEES_RDT!D89),"",IF(DONNEES_RDT!F89="TNE",DONNEES_RDT!E89/DONNEES_RDT!D89,IF(DONNEES_RDT!F89="DTN",DONNEES_RDT!E89/(DONNEES_RDT!D89*0.1),IF(DONNEES_RDT!F89="KGM",(DONNEES_RDT!E89/(DONNEES_RDT!D89*0.001))))))</f>
        <v/>
      </c>
      <c r="H84" s="823" t="str">
        <f>IF(ISBLANK(DONNEES_RDT!D89),"",DONNEES_RDT!E89/DONNEES_RDT!C89)</f>
        <v/>
      </c>
    </row>
    <row r="85" spans="2:8" s="806" customFormat="1" ht="19.5" customHeight="1">
      <c r="B85" s="834" t="str">
        <f>IF(ISBLANK(DONNEES_RDT!B90),"",TEXT(FinExN,"jj mmmm aaaa"))</f>
        <v/>
      </c>
      <c r="C85" s="820" t="str">
        <f>IF(ISBLANK(DONNEES_RDT!B90),"",DONNEES_RDT!B90)</f>
        <v/>
      </c>
      <c r="D85" s="821" t="str">
        <f>IF(ISBLANK(DONNEES_RDT!B90),"",DONNEES_RDT!C90)</f>
        <v/>
      </c>
      <c r="E85" s="822" t="str">
        <f>IF(ISBLANK(DONNEES_RDT!B90),"",DONNEES_RDT!C90/SUM(DONNEES_RDT!C$11:C$120))</f>
        <v/>
      </c>
      <c r="F85" s="823" t="str">
        <f>IF(ISBLANK(DONNEES_RDT!D90),"",IF(DONNEES_RDT!F90="TNE",DONNEES_RDT!D90/DONNEES_RDT!C90,IF(DONNEES_RDT!F90="DTN",(DONNEES_RDT!D90*0.1)/DONNEES_RDT!C90,IF(DONNEES_RDT!F90="KGM",(DONNEES_RDT!D90*0.001)/DONNEES_RDT!C90))))</f>
        <v/>
      </c>
      <c r="G85" s="823" t="str">
        <f>IF(ISBLANK(DONNEES_RDT!D90),"",IF(DONNEES_RDT!F90="TNE",DONNEES_RDT!E90/DONNEES_RDT!D90,IF(DONNEES_RDT!F90="DTN",DONNEES_RDT!E90/(DONNEES_RDT!D90*0.1),IF(DONNEES_RDT!F90="KGM",(DONNEES_RDT!E90/(DONNEES_RDT!D90*0.001))))))</f>
        <v/>
      </c>
      <c r="H85" s="823" t="str">
        <f>IF(ISBLANK(DONNEES_RDT!D90),"",DONNEES_RDT!E90/DONNEES_RDT!C90)</f>
        <v/>
      </c>
    </row>
    <row r="86" spans="2:8" s="806" customFormat="1" ht="19.5" customHeight="1">
      <c r="B86" s="834" t="str">
        <f>IF(ISBLANK(DONNEES_RDT!B91),"",TEXT(FinExN,"jj mmmm aaaa"))</f>
        <v/>
      </c>
      <c r="C86" s="820" t="str">
        <f>IF(ISBLANK(DONNEES_RDT!B91),"",DONNEES_RDT!B91)</f>
        <v/>
      </c>
      <c r="D86" s="821" t="str">
        <f>IF(ISBLANK(DONNEES_RDT!B91),"",DONNEES_RDT!C91)</f>
        <v/>
      </c>
      <c r="E86" s="822" t="str">
        <f>IF(ISBLANK(DONNEES_RDT!B91),"",DONNEES_RDT!C91/SUM(DONNEES_RDT!C$11:C$120))</f>
        <v/>
      </c>
      <c r="F86" s="823" t="str">
        <f>IF(ISBLANK(DONNEES_RDT!D91),"",IF(DONNEES_RDT!F91="TNE",DONNEES_RDT!D91/DONNEES_RDT!C91,IF(DONNEES_RDT!F91="DTN",(DONNEES_RDT!D91*0.1)/DONNEES_RDT!C91,IF(DONNEES_RDT!F91="KGM",(DONNEES_RDT!D91*0.001)/DONNEES_RDT!C91))))</f>
        <v/>
      </c>
      <c r="G86" s="823" t="str">
        <f>IF(ISBLANK(DONNEES_RDT!D91),"",IF(DONNEES_RDT!F91="TNE",DONNEES_RDT!E91/DONNEES_RDT!D91,IF(DONNEES_RDT!F91="DTN",DONNEES_RDT!E91/(DONNEES_RDT!D91*0.1),IF(DONNEES_RDT!F91="KGM",(DONNEES_RDT!E91/(DONNEES_RDT!D91*0.001))))))</f>
        <v/>
      </c>
      <c r="H86" s="823" t="str">
        <f>IF(ISBLANK(DONNEES_RDT!D91),"",DONNEES_RDT!E91/DONNEES_RDT!C91)</f>
        <v/>
      </c>
    </row>
    <row r="87" spans="2:8" s="806" customFormat="1" ht="19.5" customHeight="1">
      <c r="B87" s="834" t="str">
        <f>IF(ISBLANK(DONNEES_RDT!B92),"",TEXT(FinExN,"jj mmmm aaaa"))</f>
        <v/>
      </c>
      <c r="C87" s="820" t="str">
        <f>IF(ISBLANK(DONNEES_RDT!B92),"",DONNEES_RDT!B92)</f>
        <v/>
      </c>
      <c r="D87" s="821" t="str">
        <f>IF(ISBLANK(DONNEES_RDT!B92),"",DONNEES_RDT!C92)</f>
        <v/>
      </c>
      <c r="E87" s="822" t="str">
        <f>IF(ISBLANK(DONNEES_RDT!B92),"",DONNEES_RDT!C92/SUM(DONNEES_RDT!C$11:C$120))</f>
        <v/>
      </c>
      <c r="F87" s="823" t="str">
        <f>IF(ISBLANK(DONNEES_RDT!D92),"",IF(DONNEES_RDT!F92="TNE",DONNEES_RDT!D92/DONNEES_RDT!C92,IF(DONNEES_RDT!F92="DTN",(DONNEES_RDT!D92*0.1)/DONNEES_RDT!C92,IF(DONNEES_RDT!F92="KGM",(DONNEES_RDT!D92*0.001)/DONNEES_RDT!C92))))</f>
        <v/>
      </c>
      <c r="G87" s="823" t="str">
        <f>IF(ISBLANK(DONNEES_RDT!D92),"",IF(DONNEES_RDT!F92="TNE",DONNEES_RDT!E92/DONNEES_RDT!D92,IF(DONNEES_RDT!F92="DTN",DONNEES_RDT!E92/(DONNEES_RDT!D92*0.1),IF(DONNEES_RDT!F92="KGM",(DONNEES_RDT!E92/(DONNEES_RDT!D92*0.001))))))</f>
        <v/>
      </c>
      <c r="H87" s="823" t="str">
        <f>IF(ISBLANK(DONNEES_RDT!D92),"",DONNEES_RDT!E92/DONNEES_RDT!C92)</f>
        <v/>
      </c>
    </row>
    <row r="88" spans="2:8" s="806" customFormat="1" ht="19.5" customHeight="1">
      <c r="B88" s="834" t="str">
        <f>IF(ISBLANK(DONNEES_RDT!B93),"",TEXT(FinExN,"jj mmmm aaaa"))</f>
        <v/>
      </c>
      <c r="C88" s="820" t="str">
        <f>IF(ISBLANK(DONNEES_RDT!B93),"",DONNEES_RDT!B93)</f>
        <v/>
      </c>
      <c r="D88" s="821" t="str">
        <f>IF(ISBLANK(DONNEES_RDT!B93),"",DONNEES_RDT!C93)</f>
        <v/>
      </c>
      <c r="E88" s="822" t="str">
        <f>IF(ISBLANK(DONNEES_RDT!B93),"",DONNEES_RDT!C93/SUM(DONNEES_RDT!C$11:C$120))</f>
        <v/>
      </c>
      <c r="F88" s="823" t="str">
        <f>IF(ISBLANK(DONNEES_RDT!D93),"",IF(DONNEES_RDT!F93="TNE",DONNEES_RDT!D93/DONNEES_RDT!C93,IF(DONNEES_RDT!F93="DTN",(DONNEES_RDT!D93*0.1)/DONNEES_RDT!C93,IF(DONNEES_RDT!F93="KGM",(DONNEES_RDT!D93*0.001)/DONNEES_RDT!C93))))</f>
        <v/>
      </c>
      <c r="G88" s="823" t="str">
        <f>IF(ISBLANK(DONNEES_RDT!D93),"",IF(DONNEES_RDT!F93="TNE",DONNEES_RDT!E93/DONNEES_RDT!D93,IF(DONNEES_RDT!F93="DTN",DONNEES_RDT!E93/(DONNEES_RDT!D93*0.1),IF(DONNEES_RDT!F93="KGM",(DONNEES_RDT!E93/(DONNEES_RDT!D93*0.001))))))</f>
        <v/>
      </c>
      <c r="H88" s="823" t="str">
        <f>IF(ISBLANK(DONNEES_RDT!D93),"",DONNEES_RDT!E93/DONNEES_RDT!C93)</f>
        <v/>
      </c>
    </row>
    <row r="89" spans="2:8" s="806" customFormat="1" ht="19.5" customHeight="1">
      <c r="B89" s="834" t="str">
        <f>IF(ISBLANK(DONNEES_RDT!B94),"",TEXT(FinExN,"jj mmmm aaaa"))</f>
        <v/>
      </c>
      <c r="C89" s="820" t="str">
        <f>IF(ISBLANK(DONNEES_RDT!B94),"",DONNEES_RDT!B94)</f>
        <v/>
      </c>
      <c r="D89" s="821" t="str">
        <f>IF(ISBLANK(DONNEES_RDT!B94),"",DONNEES_RDT!C94)</f>
        <v/>
      </c>
      <c r="E89" s="822" t="str">
        <f>IF(ISBLANK(DONNEES_RDT!B94),"",DONNEES_RDT!C94/SUM(DONNEES_RDT!C$11:C$120))</f>
        <v/>
      </c>
      <c r="F89" s="823" t="str">
        <f>IF(ISBLANK(DONNEES_RDT!D94),"",IF(DONNEES_RDT!F94="TNE",DONNEES_RDT!D94/DONNEES_RDT!C94,IF(DONNEES_RDT!F94="DTN",(DONNEES_RDT!D94*0.1)/DONNEES_RDT!C94,IF(DONNEES_RDT!F94="KGM",(DONNEES_RDT!D94*0.001)/DONNEES_RDT!C94))))</f>
        <v/>
      </c>
      <c r="G89" s="823" t="str">
        <f>IF(ISBLANK(DONNEES_RDT!D94),"",IF(DONNEES_RDT!F94="TNE",DONNEES_RDT!E94/DONNEES_RDT!D94,IF(DONNEES_RDT!F94="DTN",DONNEES_RDT!E94/(DONNEES_RDT!D94*0.1),IF(DONNEES_RDT!F94="KGM",(DONNEES_RDT!E94/(DONNEES_RDT!D94*0.001))))))</f>
        <v/>
      </c>
      <c r="H89" s="823" t="str">
        <f>IF(ISBLANK(DONNEES_RDT!D94),"",DONNEES_RDT!E94/DONNEES_RDT!C94)</f>
        <v/>
      </c>
    </row>
    <row r="90" spans="2:8" s="806" customFormat="1" ht="19.5" customHeight="1">
      <c r="B90" s="834" t="str">
        <f>IF(ISBLANK(DONNEES_RDT!B95),"",TEXT(FinExN,"jj mmmm aaaa"))</f>
        <v/>
      </c>
      <c r="C90" s="820" t="str">
        <f>IF(ISBLANK(DONNEES_RDT!B95),"",DONNEES_RDT!B95)</f>
        <v/>
      </c>
      <c r="D90" s="821" t="str">
        <f>IF(ISBLANK(DONNEES_RDT!B95),"",DONNEES_RDT!C95)</f>
        <v/>
      </c>
      <c r="E90" s="822" t="str">
        <f>IF(ISBLANK(DONNEES_RDT!B95),"",DONNEES_RDT!C95/SUM(DONNEES_RDT!C$11:C$120))</f>
        <v/>
      </c>
      <c r="F90" s="823" t="str">
        <f>IF(ISBLANK(DONNEES_RDT!D95),"",IF(DONNEES_RDT!F95="TNE",DONNEES_RDT!D95/DONNEES_RDT!C95,IF(DONNEES_RDT!F95="DTN",(DONNEES_RDT!D95*0.1)/DONNEES_RDT!C95,IF(DONNEES_RDT!F95="KGM",(DONNEES_RDT!D95*0.001)/DONNEES_RDT!C95))))</f>
        <v/>
      </c>
      <c r="G90" s="823" t="str">
        <f>IF(ISBLANK(DONNEES_RDT!D95),"",IF(DONNEES_RDT!F95="TNE",DONNEES_RDT!E95/DONNEES_RDT!D95,IF(DONNEES_RDT!F95="DTN",DONNEES_RDT!E95/(DONNEES_RDT!D95*0.1),IF(DONNEES_RDT!F95="KGM",(DONNEES_RDT!E95/(DONNEES_RDT!D95*0.001))))))</f>
        <v/>
      </c>
      <c r="H90" s="823" t="str">
        <f>IF(ISBLANK(DONNEES_RDT!D95),"",DONNEES_RDT!E95/DONNEES_RDT!C95)</f>
        <v/>
      </c>
    </row>
    <row r="91" spans="2:8" s="806" customFormat="1" ht="19.5" customHeight="1">
      <c r="B91" s="834" t="str">
        <f>IF(ISBLANK(DONNEES_RDT!B96),"",TEXT(FinExN,"jj mmmm aaaa"))</f>
        <v/>
      </c>
      <c r="C91" s="820" t="str">
        <f>IF(ISBLANK(DONNEES_RDT!B96),"",DONNEES_RDT!B96)</f>
        <v/>
      </c>
      <c r="D91" s="821" t="str">
        <f>IF(ISBLANK(DONNEES_RDT!B96),"",DONNEES_RDT!C96)</f>
        <v/>
      </c>
      <c r="E91" s="822" t="str">
        <f>IF(ISBLANK(DONNEES_RDT!B96),"",DONNEES_RDT!C96/SUM(DONNEES_RDT!C$11:C$120))</f>
        <v/>
      </c>
      <c r="F91" s="823" t="str">
        <f>IF(ISBLANK(DONNEES_RDT!D96),"",IF(DONNEES_RDT!F96="TNE",DONNEES_RDT!D96/DONNEES_RDT!C96,IF(DONNEES_RDT!F96="DTN",(DONNEES_RDT!D96*0.1)/DONNEES_RDT!C96,IF(DONNEES_RDT!F96="KGM",(DONNEES_RDT!D96*0.001)/DONNEES_RDT!C96))))</f>
        <v/>
      </c>
      <c r="G91" s="823" t="str">
        <f>IF(ISBLANK(DONNEES_RDT!D96),"",IF(DONNEES_RDT!F96="TNE",DONNEES_RDT!E96/DONNEES_RDT!D96,IF(DONNEES_RDT!F96="DTN",DONNEES_RDT!E96/(DONNEES_RDT!D96*0.1),IF(DONNEES_RDT!F96="KGM",(DONNEES_RDT!E96/(DONNEES_RDT!D96*0.001))))))</f>
        <v/>
      </c>
      <c r="H91" s="823" t="str">
        <f>IF(ISBLANK(DONNEES_RDT!D96),"",DONNEES_RDT!E96/DONNEES_RDT!C96)</f>
        <v/>
      </c>
    </row>
    <row r="92" spans="2:8" s="806" customFormat="1" ht="19.5" customHeight="1">
      <c r="B92" s="834" t="str">
        <f>IF(ISBLANK(DONNEES_RDT!B97),"",TEXT(FinExN,"jj mmmm aaaa"))</f>
        <v/>
      </c>
      <c r="C92" s="820" t="str">
        <f>IF(ISBLANK(DONNEES_RDT!B97),"",DONNEES_RDT!B97)</f>
        <v/>
      </c>
      <c r="D92" s="821" t="str">
        <f>IF(ISBLANK(DONNEES_RDT!B97),"",DONNEES_RDT!C97)</f>
        <v/>
      </c>
      <c r="E92" s="822" t="str">
        <f>IF(ISBLANK(DONNEES_RDT!B97),"",DONNEES_RDT!C97/SUM(DONNEES_RDT!C$11:C$120))</f>
        <v/>
      </c>
      <c r="F92" s="823" t="str">
        <f>IF(ISBLANK(DONNEES_RDT!D97),"",IF(DONNEES_RDT!F97="TNE",DONNEES_RDT!D97/DONNEES_RDT!C97,IF(DONNEES_RDT!F97="DTN",(DONNEES_RDT!D97*0.1)/DONNEES_RDT!C97,IF(DONNEES_RDT!F97="KGM",(DONNEES_RDT!D97*0.001)/DONNEES_RDT!C97))))</f>
        <v/>
      </c>
      <c r="G92" s="823" t="str">
        <f>IF(ISBLANK(DONNEES_RDT!D97),"",IF(DONNEES_RDT!F97="TNE",DONNEES_RDT!E97/DONNEES_RDT!D97,IF(DONNEES_RDT!F97="DTN",DONNEES_RDT!E97/(DONNEES_RDT!D97*0.1),IF(DONNEES_RDT!F97="KGM",(DONNEES_RDT!E97/(DONNEES_RDT!D97*0.001))))))</f>
        <v/>
      </c>
      <c r="H92" s="823" t="str">
        <f>IF(ISBLANK(DONNEES_RDT!D97),"",DONNEES_RDT!E97/DONNEES_RDT!C97)</f>
        <v/>
      </c>
    </row>
    <row r="93" spans="2:8" s="806" customFormat="1" ht="19.5" customHeight="1">
      <c r="B93" s="834" t="str">
        <f>IF(ISBLANK(DONNEES_RDT!B98),"",TEXT(FinExN,"jj mmmm aaaa"))</f>
        <v/>
      </c>
      <c r="C93" s="820" t="str">
        <f>IF(ISBLANK(DONNEES_RDT!B98),"",DONNEES_RDT!B98)</f>
        <v/>
      </c>
      <c r="D93" s="821" t="str">
        <f>IF(ISBLANK(DONNEES_RDT!B98),"",DONNEES_RDT!C98)</f>
        <v/>
      </c>
      <c r="E93" s="822" t="str">
        <f>IF(ISBLANK(DONNEES_RDT!B98),"",DONNEES_RDT!C98/SUM(DONNEES_RDT!C$11:C$120))</f>
        <v/>
      </c>
      <c r="F93" s="823" t="str">
        <f>IF(ISBLANK(DONNEES_RDT!D98),"",IF(DONNEES_RDT!F98="TNE",DONNEES_RDT!D98/DONNEES_RDT!C98,IF(DONNEES_RDT!F98="DTN",(DONNEES_RDT!D98*0.1)/DONNEES_RDT!C98,IF(DONNEES_RDT!F98="KGM",(DONNEES_RDT!D98*0.001)/DONNEES_RDT!C98))))</f>
        <v/>
      </c>
      <c r="G93" s="823" t="str">
        <f>IF(ISBLANK(DONNEES_RDT!D98),"",IF(DONNEES_RDT!F98="TNE",DONNEES_RDT!E98/DONNEES_RDT!D98,IF(DONNEES_RDT!F98="DTN",DONNEES_RDT!E98/(DONNEES_RDT!D98*0.1),IF(DONNEES_RDT!F98="KGM",(DONNEES_RDT!E98/(DONNEES_RDT!D98*0.001))))))</f>
        <v/>
      </c>
      <c r="H93" s="823" t="str">
        <f>IF(ISBLANK(DONNEES_RDT!D98),"",DONNEES_RDT!E98/DONNEES_RDT!C98)</f>
        <v/>
      </c>
    </row>
    <row r="94" spans="2:8" s="806" customFormat="1" ht="19.5" customHeight="1">
      <c r="B94" s="834" t="str">
        <f>IF(ISBLANK(DONNEES_RDT!B99),"",TEXT(FinExN,"jj mmmm aaaa"))</f>
        <v/>
      </c>
      <c r="C94" s="820" t="str">
        <f>IF(ISBLANK(DONNEES_RDT!B99),"",DONNEES_RDT!B99)</f>
        <v/>
      </c>
      <c r="D94" s="821" t="str">
        <f>IF(ISBLANK(DONNEES_RDT!B99),"",DONNEES_RDT!C99)</f>
        <v/>
      </c>
      <c r="E94" s="822" t="str">
        <f>IF(ISBLANK(DONNEES_RDT!B99),"",DONNEES_RDT!C99/SUM(DONNEES_RDT!C$11:C$120))</f>
        <v/>
      </c>
      <c r="F94" s="823" t="str">
        <f>IF(ISBLANK(DONNEES_RDT!D99),"",IF(DONNEES_RDT!F99="TNE",DONNEES_RDT!D99/DONNEES_RDT!C99,IF(DONNEES_RDT!F99="DTN",(DONNEES_RDT!D99*0.1)/DONNEES_RDT!C99,IF(DONNEES_RDT!F99="KGM",(DONNEES_RDT!D99*0.001)/DONNEES_RDT!C99))))</f>
        <v/>
      </c>
      <c r="G94" s="823" t="str">
        <f>IF(ISBLANK(DONNEES_RDT!D99),"",IF(DONNEES_RDT!F99="TNE",DONNEES_RDT!E99/DONNEES_RDT!D99,IF(DONNEES_RDT!F99="DTN",DONNEES_RDT!E99/(DONNEES_RDT!D99*0.1),IF(DONNEES_RDT!F99="KGM",(DONNEES_RDT!E99/(DONNEES_RDT!D99*0.001))))))</f>
        <v/>
      </c>
      <c r="H94" s="823" t="str">
        <f>IF(ISBLANK(DONNEES_RDT!D99),"",DONNEES_RDT!E99/DONNEES_RDT!C99)</f>
        <v/>
      </c>
    </row>
    <row r="95" spans="2:8" s="806" customFormat="1" ht="19.5" customHeight="1">
      <c r="B95" s="834" t="str">
        <f>IF(ISBLANK(DONNEES_RDT!B100),"",TEXT(FinExN,"jj mmmm aaaa"))</f>
        <v/>
      </c>
      <c r="C95" s="820" t="str">
        <f>IF(ISBLANK(DONNEES_RDT!B100),"",DONNEES_RDT!B100)</f>
        <v/>
      </c>
      <c r="D95" s="821" t="str">
        <f>IF(ISBLANK(DONNEES_RDT!B100),"",DONNEES_RDT!C100)</f>
        <v/>
      </c>
      <c r="E95" s="822" t="str">
        <f>IF(ISBLANK(DONNEES_RDT!B100),"",DONNEES_RDT!C100/SUM(DONNEES_RDT!C$11:C$120))</f>
        <v/>
      </c>
      <c r="F95" s="823" t="str">
        <f>IF(ISBLANK(DONNEES_RDT!D100),"",IF(DONNEES_RDT!F100="TNE",DONNEES_RDT!D100/DONNEES_RDT!C100,IF(DONNEES_RDT!F100="DTN",(DONNEES_RDT!D100*0.1)/DONNEES_RDT!C100,IF(DONNEES_RDT!F100="KGM",(DONNEES_RDT!D100*0.001)/DONNEES_RDT!C100))))</f>
        <v/>
      </c>
      <c r="G95" s="823" t="str">
        <f>IF(ISBLANK(DONNEES_RDT!D100),"",IF(DONNEES_RDT!F100="TNE",DONNEES_RDT!E100/DONNEES_RDT!D100,IF(DONNEES_RDT!F100="DTN",DONNEES_RDT!E100/(DONNEES_RDT!D100*0.1),IF(DONNEES_RDT!F100="KGM",(DONNEES_RDT!E100/(DONNEES_RDT!D100*0.001))))))</f>
        <v/>
      </c>
      <c r="H95" s="823" t="str">
        <f>IF(ISBLANK(DONNEES_RDT!D100),"",DONNEES_RDT!E100/DONNEES_RDT!C100)</f>
        <v/>
      </c>
    </row>
    <row r="96" spans="2:8" s="806" customFormat="1" ht="19.5" customHeight="1">
      <c r="B96" s="834" t="str">
        <f>IF(ISBLANK(DONNEES_RDT!B12),"",TEXT(FinExN,"jj mmmm aaaa"))</f>
        <v>30 juin 2017</v>
      </c>
      <c r="C96" s="820" t="str">
        <f>IF(ISBLANK(DONNEES_RDT!B12),"",DONNEES_RDT!B12)</f>
        <v>Blé</v>
      </c>
      <c r="D96" s="821">
        <f>IF(ISBLANK(DONNEES_RDT!B12),"",DONNEES_RDT!C12)</f>
        <v>58.23</v>
      </c>
      <c r="E96" s="822">
        <f>IF(ISBLANK(DONNEES_RDT!B12),"",DONNEES_RDT!C12/SUM(DONNEES_RDT!C$11:C$120))</f>
        <v>0.40934973637961336</v>
      </c>
      <c r="F96" s="823">
        <f>IF(ISBLANK(DONNEES_RDT!D12),"",IF(DONNEES_RDT!F12="TNE",DONNEES_RDT!D12/DONNEES_RDT!C12,IF(DONNEES_RDT!F12="DTN",(DONNEES_RDT!D12*0.1)/DONNEES_RDT!C12,IF(DONNEES_RDT!F12="KGM",(DONNEES_RDT!D12*0.001)/DONNEES_RDT!C12))))</f>
        <v>5.0650695517774347</v>
      </c>
      <c r="G96" s="823">
        <f>IF(ISBLANK(DONNEES_RDT!D12),"",IF(DONNEES_RDT!F12="TNE",DONNEES_RDT!E12/DONNEES_RDT!D12,IF(DONNEES_RDT!F12="DTN",DONNEES_RDT!E12/(DONNEES_RDT!D12*0.1),IF(DONNEES_RDT!F12="KGM",(DONNEES_RDT!E12/(DONNEES_RDT!D12*0.001))))))</f>
        <v>130.07818565872941</v>
      </c>
      <c r="H96" s="823">
        <f>IF(ISBLANK(DONNEES_RDT!D12),"",DONNEES_RDT!E12/DONNEES_RDT!C12)</f>
        <v>658.85505753048255</v>
      </c>
    </row>
    <row r="97" spans="2:8" s="806" customFormat="1" ht="19.5" customHeight="1">
      <c r="B97" s="834" t="str">
        <f>IF(ISBLANK(DONNEES_RDT!B17),"",TEXT(FinExN,"jj mmmm aaaa"))</f>
        <v>30 juin 2017</v>
      </c>
      <c r="C97" s="820" t="str">
        <f>IF(ISBLANK(DONNEES_RDT!B17),"",DONNEES_RDT!B17)</f>
        <v>Colza</v>
      </c>
      <c r="D97" s="821">
        <f>IF(ISBLANK(DONNEES_RDT!B17),"",DONNEES_RDT!C17)</f>
        <v>43.29</v>
      </c>
      <c r="E97" s="822">
        <f>IF(ISBLANK(DONNEES_RDT!B17),"",DONNEES_RDT!C17/SUM(DONNEES_RDT!C$11:C$120))</f>
        <v>0.30432337434094903</v>
      </c>
      <c r="F97" s="823">
        <f>IF(ISBLANK(DONNEES_RDT!D17),"",IF(DONNEES_RDT!F17="TNE",DONNEES_RDT!D17/DONNEES_RDT!C17,IF(DONNEES_RDT!F17="DTN",(DONNEES_RDT!D17*0.1)/DONNEES_RDT!C17,IF(DONNEES_RDT!F17="KGM",(DONNEES_RDT!D17*0.001)/DONNEES_RDT!C17))))</f>
        <v>3.2331254331254331</v>
      </c>
      <c r="G97" s="823">
        <f>IF(ISBLANK(DONNEES_RDT!D17),"",IF(DONNEES_RDT!F17="TNE",DONNEES_RDT!E17/DONNEES_RDT!D17,IF(DONNEES_RDT!F17="DTN",DONNEES_RDT!E17/(DONNEES_RDT!D17*0.1),IF(DONNEES_RDT!F17="KGM",(DONNEES_RDT!E17/(DONNEES_RDT!D17*0.001))))))</f>
        <v>364.7392863777311</v>
      </c>
      <c r="H97" s="823">
        <f>IF(ISBLANK(DONNEES_RDT!D17),"",DONNEES_RDT!E17/DONNEES_RDT!C17)</f>
        <v>1179.2478632478633</v>
      </c>
    </row>
    <row r="98" spans="2:8" s="806" customFormat="1" ht="19.5" customHeight="1">
      <c r="B98" s="834" t="str">
        <f>IF(ISBLANK(DONNEES_RDT!B42),"",TEXT(FinExN,"jj mmmm aaaa"))</f>
        <v>30 juin 2017</v>
      </c>
      <c r="C98" s="820" t="str">
        <f>IF(ISBLANK(DONNEES_RDT!B42),"",DONNEES_RDT!B42)</f>
        <v>Orge d'hiver (Escourgeon)</v>
      </c>
      <c r="D98" s="821">
        <f>IF(ISBLANK(DONNEES_RDT!B42),"",DONNEES_RDT!C42)</f>
        <v>22.62</v>
      </c>
      <c r="E98" s="822">
        <f>IF(ISBLANK(DONNEES_RDT!B42),"",DONNEES_RDT!C42/SUM(DONNEES_RDT!C$11:C$120))</f>
        <v>0.1590158172231986</v>
      </c>
      <c r="F98" s="823">
        <f>IF(ISBLANK(DONNEES_RDT!D42),"",IF(DONNEES_RDT!F42="TNE",DONNEES_RDT!D42/DONNEES_RDT!C42,IF(DONNEES_RDT!F42="DTN",(DONNEES_RDT!D42*0.1)/DONNEES_RDT!C42,IF(DONNEES_RDT!F42="KGM",(DONNEES_RDT!D42*0.001)/DONNEES_RDT!C42))))</f>
        <v>5.5826702033598581</v>
      </c>
      <c r="G98" s="823">
        <f>IF(ISBLANK(DONNEES_RDT!D42),"",IF(DONNEES_RDT!F42="TNE",DONNEES_RDT!E42/DONNEES_RDT!D42,IF(DONNEES_RDT!F42="DTN",DONNEES_RDT!E42/(DONNEES_RDT!D42*0.1),IF(DONNEES_RDT!F42="KGM",(DONNEES_RDT!E42/(DONNEES_RDT!D42*0.001))))))</f>
        <v>101.2760532150776</v>
      </c>
      <c r="H98" s="823">
        <f>IF(ISBLANK(DONNEES_RDT!D42),"",DONNEES_RDT!E42/DONNEES_RDT!C42)</f>
        <v>565.39080459770105</v>
      </c>
    </row>
    <row r="99" spans="2:8" s="806" customFormat="1" ht="19.5" customHeight="1">
      <c r="B99" s="834" t="str">
        <f>IF(ISBLANK(DONNEES_RDT!B16),"",TEXT(FinExN,"jj mmmm aaaa"))</f>
        <v>30 juin 2017</v>
      </c>
      <c r="C99" s="820" t="str">
        <f>IF(ISBLANK(DONNEES_RDT!B16),"",DONNEES_RDT!B16)</f>
        <v>Pois protéagineux</v>
      </c>
      <c r="D99" s="821">
        <f>IF(ISBLANK(DONNEES_RDT!B16),"",DONNEES_RDT!C16)</f>
        <v>14.56</v>
      </c>
      <c r="E99" s="822">
        <f>IF(ISBLANK(DONNEES_RDT!B16),"",DONNEES_RDT!C16/SUM(DONNEES_RDT!C$11:C$120))</f>
        <v>0.10235500878734623</v>
      </c>
      <c r="F99" s="823">
        <f>IF(ISBLANK(DONNEES_RDT!D16),"",IF(DONNEES_RDT!F16="TNE",DONNEES_RDT!D16/DONNEES_RDT!C16,IF(DONNEES_RDT!F16="DTN",(DONNEES_RDT!D16*0.1)/DONNEES_RDT!C16,IF(DONNEES_RDT!F16="KGM",(DONNEES_RDT!D16*0.001)/DONNEES_RDT!C16))))</f>
        <v>3.0056318681318679</v>
      </c>
      <c r="G99" s="823">
        <f>IF(ISBLANK(DONNEES_RDT!D16),"",IF(DONNEES_RDT!F16="TNE",DONNEES_RDT!E16/DONNEES_RDT!D16,IF(DONNEES_RDT!F16="DTN",DONNEES_RDT!E16/(DONNEES_RDT!D16*0.1),IF(DONNEES_RDT!F16="KGM",(DONNEES_RDT!E16/(DONNEES_RDT!D16*0.001))))))</f>
        <v>221.87217220419541</v>
      </c>
      <c r="H99" s="823">
        <f>IF(ISBLANK(DONNEES_RDT!D16),"",DONNEES_RDT!E16/DONNEES_RDT!C16)</f>
        <v>666.86607142857133</v>
      </c>
    </row>
    <row r="100" spans="2:8" s="806" customFormat="1" ht="19.5" customHeight="1">
      <c r="B100" s="835" t="str">
        <f>IF(ISBLANK(DONNEES_RDT!B57),"",TEXT(FinExN,"jj mmmm aaaa"))</f>
        <v>30 juin 2017</v>
      </c>
      <c r="C100" s="828" t="str">
        <f>IF(ISBLANK(DONNEES_RDT!B57),"",DONNEES_RDT!B57)</f>
        <v>JACHERES</v>
      </c>
      <c r="D100" s="821">
        <f>IF(ISBLANK(DONNEES_RDT!B57),"",DONNEES_RDT!C57)</f>
        <v>3.55</v>
      </c>
      <c r="E100" s="822">
        <f>IF(ISBLANK(DONNEES_RDT!B57),"",DONNEES_RDT!C57/SUM(DONNEES_RDT!C$11:C$120))</f>
        <v>2.4956063268892794E-2</v>
      </c>
      <c r="F100" s="823" t="str">
        <f>IF(ISBLANK(DONNEES_RDT!D57),"",IF(DONNEES_RDT!F57="TNE",DONNEES_RDT!D57/DONNEES_RDT!C57,IF(DONNEES_RDT!F57="DTN",(DONNEES_RDT!D57*0.1)/DONNEES_RDT!C57,IF(DONNEES_RDT!F57="KGM",(DONNEES_RDT!D57*0.001)/DONNEES_RDT!C57))))</f>
        <v/>
      </c>
      <c r="G100" s="823" t="str">
        <f>IF(ISBLANK(DONNEES_RDT!D57),"",IF(DONNEES_RDT!F57="TNE",DONNEES_RDT!E57/DONNEES_RDT!D57,IF(DONNEES_RDT!F57="DTN",DONNEES_RDT!E57/(DONNEES_RDT!D57*0.1),IF(DONNEES_RDT!F57="KGM",(DONNEES_RDT!E57/(DONNEES_RDT!D57*0.001))))))</f>
        <v/>
      </c>
      <c r="H100" s="823" t="str">
        <f>IF(ISBLANK(DONNEES_RDT!D57),"",DONNEES_RDT!E57/DONNEES_RDT!C57)</f>
        <v/>
      </c>
    </row>
    <row r="101" spans="2:8" s="806" customFormat="1" ht="19.5" customHeight="1">
      <c r="B101" s="829"/>
      <c r="C101" s="830" t="s">
        <v>80</v>
      </c>
      <c r="D101" s="832" t="str">
        <f>SUM(D11:D100)&amp;"  ha"</f>
        <v>142,25  ha</v>
      </c>
      <c r="E101" s="833">
        <f>SUM(E11:E100)</f>
        <v>1</v>
      </c>
    </row>
    <row r="102" spans="2:8" s="806" customFormat="1" ht="19.5" customHeight="1"/>
  </sheetData>
  <sortState ref="B11:H100">
    <sortCondition descending="1" ref="D9:D100"/>
  </sortState>
  <mergeCells count="1">
    <mergeCell ref="B4:H4"/>
  </mergeCells>
  <printOptions horizontalCentered="1"/>
  <pageMargins left="0.25" right="0.25" top="0.75" bottom="0.75" header="0.3" footer="0.3"/>
  <pageSetup paperSize="9" orientation="portrait" r:id="rId1"/>
  <headerFooter alignWithMargins="0">
    <oddFooter>Page &amp;P</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9:N69"/>
  <sheetViews>
    <sheetView topLeftCell="A10" zoomScaleNormal="100" workbookViewId="0">
      <selection activeCell="B46" sqref="B46"/>
    </sheetView>
  </sheetViews>
  <sheetFormatPr baseColWidth="10" defaultRowHeight="12.75" outlineLevelRow="1" outlineLevelCol="1"/>
  <cols>
    <col min="1" max="1" width="2.7109375" style="42" customWidth="1"/>
    <col min="2" max="9" width="11.42578125" style="42"/>
    <col min="10" max="13" width="0" hidden="1" customWidth="1" outlineLevel="1"/>
    <col min="14" max="14" width="11.42578125" collapsed="1"/>
  </cols>
  <sheetData>
    <row r="9" spans="2:4" ht="14.25">
      <c r="B9" s="140" t="s">
        <v>321</v>
      </c>
    </row>
    <row r="10" spans="2:4" ht="14.25">
      <c r="B10" s="140" t="s">
        <v>265</v>
      </c>
    </row>
    <row r="11" spans="2:4" ht="14.25">
      <c r="B11" s="140"/>
    </row>
    <row r="12" spans="2:4" ht="14.25">
      <c r="B12" s="140" t="s">
        <v>266</v>
      </c>
    </row>
    <row r="13" spans="2:4" ht="14.25">
      <c r="B13" s="140" t="s">
        <v>267</v>
      </c>
    </row>
    <row r="15" spans="2:4" ht="15">
      <c r="D15" s="188" t="s">
        <v>224</v>
      </c>
    </row>
    <row r="17" spans="2:12" ht="14.25">
      <c r="B17" s="140" t="s">
        <v>269</v>
      </c>
    </row>
    <row r="18" spans="2:12" ht="14.25">
      <c r="B18" s="189" t="s">
        <v>268</v>
      </c>
    </row>
    <row r="19" spans="2:12" ht="14.25">
      <c r="B19" s="190" t="str">
        <f>"La vôtre est de "&amp;FIXED(D_37022,0)&amp;" "&amp;C62&amp;" / ha."</f>
        <v>La vôtre est de 290 €uros / ha.</v>
      </c>
    </row>
    <row r="20" spans="2:12" ht="14.25">
      <c r="B20" s="190"/>
    </row>
    <row r="21" spans="2:12" ht="14.25">
      <c r="B21" s="140"/>
    </row>
    <row r="22" spans="2:12" ht="14.25">
      <c r="B22" s="191" t="s">
        <v>225</v>
      </c>
    </row>
    <row r="24" spans="2:12" ht="14.25">
      <c r="C24" s="140" t="s">
        <v>227</v>
      </c>
      <c r="D24" s="140"/>
    </row>
    <row r="25" spans="2:12" ht="14.25">
      <c r="C25" s="140" t="s">
        <v>226</v>
      </c>
      <c r="D25" s="140"/>
    </row>
    <row r="26" spans="2:12" ht="14.25">
      <c r="C26" s="140" t="s">
        <v>228</v>
      </c>
      <c r="D26" s="140"/>
    </row>
    <row r="27" spans="2:12" ht="14.25">
      <c r="C27" s="140" t="s">
        <v>229</v>
      </c>
      <c r="D27" s="140"/>
    </row>
    <row r="29" spans="2:12" ht="15">
      <c r="D29" s="188" t="s">
        <v>230</v>
      </c>
    </row>
    <row r="31" spans="2:12" ht="14.25">
      <c r="B31" s="190"/>
      <c r="J31">
        <f>D_37183</f>
        <v>1408.72</v>
      </c>
      <c r="K31">
        <f>D_37183_1</f>
        <v>1530.71</v>
      </c>
      <c r="L31" s="79">
        <f>+(J31-K31)/K31*100</f>
        <v>-7.9695043476556631</v>
      </c>
    </row>
    <row r="34" spans="2:4" ht="14.25">
      <c r="B34" s="140" t="s">
        <v>270</v>
      </c>
    </row>
    <row r="35" spans="2:4" ht="14.25">
      <c r="B35" s="140" t="s">
        <v>271</v>
      </c>
    </row>
    <row r="37" spans="2:4" ht="15">
      <c r="D37" s="188" t="s">
        <v>97</v>
      </c>
    </row>
    <row r="39" spans="2:4" ht="14.25">
      <c r="B39" s="140" t="s">
        <v>272</v>
      </c>
    </row>
    <row r="40" spans="2:4" ht="14.25">
      <c r="B40" s="140" t="s">
        <v>273</v>
      </c>
    </row>
    <row r="41" spans="2:4" ht="14.25">
      <c r="B41" s="140" t="s">
        <v>274</v>
      </c>
    </row>
    <row r="42" spans="2:4" ht="14.25">
      <c r="B42" s="140" t="s">
        <v>275</v>
      </c>
    </row>
    <row r="43" spans="2:4" ht="14.25">
      <c r="B43" s="140" t="s">
        <v>281</v>
      </c>
    </row>
    <row r="44" spans="2:4" ht="14.25">
      <c r="B44" s="140" t="s">
        <v>231</v>
      </c>
    </row>
    <row r="45" spans="2:4" ht="14.25">
      <c r="B45" s="140"/>
    </row>
    <row r="46" spans="2:4" ht="14.25">
      <c r="B46" s="190" t="str">
        <f>"Votre excédent brut d'exploitation s'élève au titre du dernier exercice à "&amp;FIXED(D_37011,0)&amp;" "&amp;C62&amp;","</f>
        <v>Votre excédent brut d'exploitation s'élève au titre du dernier exercice à -48 104 €uros,</v>
      </c>
    </row>
    <row r="47" spans="2:4" ht="14.25">
      <c r="B47" s="190" t="str">
        <f>"soit "&amp;FIXED(D_37026,0)&amp;" "&amp;C62&amp;" "&amp;"/ ha."</f>
        <v>soit -334 €uros / ha.</v>
      </c>
    </row>
    <row r="48" spans="2:4" ht="14.25">
      <c r="B48" s="190"/>
    </row>
    <row r="49" spans="2:9" ht="14.25">
      <c r="B49" s="190"/>
    </row>
    <row r="51" spans="2:9">
      <c r="B51" s="155"/>
      <c r="I51" s="134"/>
    </row>
    <row r="52" spans="2:9">
      <c r="B52" s="155" t="str">
        <f>TRIM(CivilAdht&amp; " " &amp; NomAdht)</f>
        <v/>
      </c>
      <c r="I52" s="134"/>
    </row>
    <row r="53" spans="2:9">
      <c r="B53" s="155"/>
      <c r="I53" s="134"/>
    </row>
    <row r="56" spans="2:9">
      <c r="B56" s="155"/>
      <c r="I56" s="155"/>
    </row>
    <row r="57" spans="2:9" hidden="1" outlineLevel="1"/>
    <row r="58" spans="2:9" hidden="1" outlineLevel="1"/>
    <row r="59" spans="2:9" hidden="1" outlineLevel="1"/>
    <row r="60" spans="2:9" hidden="1" outlineLevel="1"/>
    <row r="61" spans="2:9" hidden="1" outlineLevel="1"/>
    <row r="62" spans="2:9" hidden="1" outlineLevel="1">
      <c r="B62" s="42" t="s">
        <v>298</v>
      </c>
      <c r="C62" s="42" t="str">
        <f>IF(MonnaieDG = "Euro","€uros","Francs")</f>
        <v>€uros</v>
      </c>
    </row>
    <row r="63" spans="2:9" hidden="1" outlineLevel="1"/>
    <row r="64" spans="2:9" hidden="1" outlineLevel="1"/>
    <row r="65" hidden="1" outlineLevel="1"/>
    <row r="66" hidden="1" outlineLevel="1"/>
    <row r="67" hidden="1" outlineLevel="1"/>
    <row r="68" hidden="1" outlineLevel="1"/>
    <row r="69" collapsed="1"/>
  </sheetData>
  <phoneticPr fontId="16" type="noConversion"/>
  <printOptions horizontalCentered="1" verticalCentered="1"/>
  <pageMargins left="0.59055118110236227" right="0.39370078740157483" top="0.59055118110236227" bottom="0.59055118110236227" header="0.51181102362204722" footer="0.51181102362204722"/>
  <pageSetup paperSize="9" orientation="portrait" r:id="rId1"/>
  <headerFooter alignWithMargins="0">
    <oddFooter>Page &amp;P</oddFooter>
  </headerFooter>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N68"/>
  <sheetViews>
    <sheetView zoomScaleNormal="100" workbookViewId="0">
      <selection activeCell="K41" sqref="K41:K42"/>
    </sheetView>
  </sheetViews>
  <sheetFormatPr baseColWidth="10" defaultRowHeight="12.75" outlineLevelRow="1" outlineLevelCol="1"/>
  <cols>
    <col min="1" max="1" width="2.7109375" style="42" customWidth="1"/>
    <col min="2" max="9" width="11.42578125" style="42"/>
    <col min="10" max="13" width="0" hidden="1" customWidth="1" outlineLevel="1"/>
    <col min="14" max="14" width="11.42578125" collapsed="1"/>
  </cols>
  <sheetData>
    <row r="1" spans="2:4" ht="9.75" customHeight="1"/>
    <row r="7" spans="2:4" ht="9.75" customHeight="1"/>
    <row r="9" spans="2:4" ht="15" customHeight="1">
      <c r="B9" s="140" t="s">
        <v>308</v>
      </c>
    </row>
    <row r="10" spans="2:4" ht="15" customHeight="1">
      <c r="B10" s="140" t="s">
        <v>265</v>
      </c>
    </row>
    <row r="11" spans="2:4" ht="15" customHeight="1">
      <c r="B11" s="140"/>
    </row>
    <row r="12" spans="2:4" ht="15" customHeight="1">
      <c r="B12" s="140" t="s">
        <v>266</v>
      </c>
    </row>
    <row r="13" spans="2:4" ht="15" customHeight="1">
      <c r="B13" s="140" t="s">
        <v>267</v>
      </c>
    </row>
    <row r="14" spans="2:4" ht="15" customHeight="1"/>
    <row r="15" spans="2:4" ht="15" customHeight="1">
      <c r="D15" s="188" t="s">
        <v>224</v>
      </c>
    </row>
    <row r="16" spans="2:4" ht="15" customHeight="1"/>
    <row r="17" spans="2:12" ht="15" customHeight="1">
      <c r="B17" s="140" t="s">
        <v>269</v>
      </c>
    </row>
    <row r="18" spans="2:12" ht="15" customHeight="1">
      <c r="B18" s="189" t="s">
        <v>268</v>
      </c>
    </row>
    <row r="19" spans="2:12" ht="15" customHeight="1">
      <c r="B19" s="190" t="str">
        <f>"La vôtre passe de "&amp;FIXED(D_37022_1,0)&amp;" "&amp;C62&amp;" / ha à "&amp;FIXED(D_37022,0)&amp;" "&amp;C62&amp;" / ha, soit une variation de " &amp;D_37143&amp;" %."</f>
        <v>La vôtre passe de 981 €uros / ha à 290 €uros / ha, soit une variation de -70,43 %.</v>
      </c>
    </row>
    <row r="20" spans="2:12" ht="15" customHeight="1">
      <c r="B20" s="190"/>
    </row>
    <row r="21" spans="2:12" ht="15" customHeight="1">
      <c r="B21" s="140"/>
    </row>
    <row r="22" spans="2:12" ht="15" customHeight="1">
      <c r="B22" s="191" t="s">
        <v>225</v>
      </c>
    </row>
    <row r="23" spans="2:12" ht="15" customHeight="1"/>
    <row r="24" spans="2:12" ht="15" customHeight="1">
      <c r="C24" s="140" t="s">
        <v>227</v>
      </c>
      <c r="D24" s="140"/>
    </row>
    <row r="25" spans="2:12" ht="15" customHeight="1">
      <c r="C25" s="140" t="s">
        <v>226</v>
      </c>
      <c r="D25" s="140"/>
    </row>
    <row r="26" spans="2:12" ht="15" customHeight="1">
      <c r="C26" s="140" t="s">
        <v>228</v>
      </c>
      <c r="D26" s="140"/>
    </row>
    <row r="27" spans="2:12" ht="15" customHeight="1">
      <c r="C27" s="140" t="s">
        <v>229</v>
      </c>
      <c r="D27" s="140"/>
    </row>
    <row r="28" spans="2:12" ht="15" customHeight="1"/>
    <row r="29" spans="2:12" ht="15" customHeight="1">
      <c r="D29" s="188" t="s">
        <v>230</v>
      </c>
    </row>
    <row r="30" spans="2:12" ht="15" customHeight="1"/>
    <row r="31" spans="2:12" ht="15" customHeight="1">
      <c r="B31" s="190" t="str">
        <f>IF($K$31&gt;$J$31,"Par rapport à la récolte précédente, vos charges de structure ont diminué de "&amp;FIXED($L$31)&amp;" "&amp;"%","Par rapport à la récolte précédente, vos charges de structure ont augmenté de "&amp;FIXED($L$31)&amp;" "&amp;"%.")</f>
        <v>Par rapport à la récolte précédente, vos charges de structure ont diminué de -7,97 %</v>
      </c>
      <c r="J31">
        <f>D_37183</f>
        <v>1408.72</v>
      </c>
      <c r="K31">
        <f>D_37183_1</f>
        <v>1530.71</v>
      </c>
      <c r="L31" s="79">
        <f>+(J31-K31)/K31*100</f>
        <v>-7.9695043476556631</v>
      </c>
    </row>
    <row r="32" spans="2:12" ht="6" customHeight="1"/>
    <row r="33" spans="2:4" ht="15" customHeight="1"/>
    <row r="34" spans="2:4" ht="15" customHeight="1">
      <c r="B34" s="140" t="s">
        <v>270</v>
      </c>
    </row>
    <row r="35" spans="2:4" ht="15" customHeight="1">
      <c r="B35" s="140" t="s">
        <v>271</v>
      </c>
    </row>
    <row r="36" spans="2:4" ht="15" customHeight="1"/>
    <row r="37" spans="2:4" ht="15" customHeight="1">
      <c r="D37" s="188" t="s">
        <v>97</v>
      </c>
    </row>
    <row r="38" spans="2:4" ht="15" customHeight="1"/>
    <row r="39" spans="2:4" ht="15" customHeight="1">
      <c r="B39" s="140" t="s">
        <v>272</v>
      </c>
    </row>
    <row r="40" spans="2:4" ht="15" customHeight="1">
      <c r="B40" s="140" t="s">
        <v>273</v>
      </c>
    </row>
    <row r="41" spans="2:4" ht="15" customHeight="1">
      <c r="B41" s="140" t="s">
        <v>274</v>
      </c>
    </row>
    <row r="42" spans="2:4" ht="15" customHeight="1">
      <c r="B42" s="140" t="s">
        <v>275</v>
      </c>
    </row>
    <row r="43" spans="2:4" ht="15" customHeight="1">
      <c r="B43" s="140" t="s">
        <v>281</v>
      </c>
    </row>
    <row r="44" spans="2:4" ht="15" customHeight="1">
      <c r="B44" s="140" t="s">
        <v>231</v>
      </c>
    </row>
    <row r="45" spans="2:4" ht="15" customHeight="1">
      <c r="B45" s="140"/>
    </row>
    <row r="46" spans="2:4" ht="15" customHeight="1">
      <c r="B46" s="190" t="str">
        <f>"Votre excédent brut d'exploitation s'élève au titre du dernier exercice à "&amp;FIXED(D_37011,0)&amp;" "&amp;C62&amp;","</f>
        <v>Votre excédent brut d'exploitation s'élève au titre du dernier exercice à -48 104 €uros,</v>
      </c>
    </row>
    <row r="47" spans="2:4" ht="15" customHeight="1">
      <c r="B47" s="190" t="str">
        <f>"soit "&amp;FIXED(D_37026,0)&amp;" "&amp;C62&amp;" "&amp;"/ ha."</f>
        <v>soit -334 €uros / ha.</v>
      </c>
    </row>
    <row r="48" spans="2:4" ht="15" customHeight="1">
      <c r="B48" s="190"/>
    </row>
    <row r="49" spans="2:9" ht="15" customHeight="1">
      <c r="B49" s="190" t="str">
        <f>"Sur l'exercice précédent, il était de "&amp;FIXED(D_37011_1,0)&amp;" "&amp;C62&amp; " soit "&amp;FIXED(D_37026_1,0)&amp;  " "&amp;C62&amp; " / ha."</f>
        <v>Sur l'exercice précédent, il était de 31 433 €uros soit 219 €uros / ha.</v>
      </c>
    </row>
    <row r="50" spans="2:9" ht="5.25" customHeight="1"/>
    <row r="51" spans="2:9">
      <c r="B51" s="155" t="str">
        <f>TRIM(CivilAdht&amp; " " &amp; NomAdht)</f>
        <v/>
      </c>
      <c r="I51" s="134"/>
    </row>
    <row r="54" spans="2:9" hidden="1" outlineLevel="1"/>
    <row r="55" spans="2:9" hidden="1" outlineLevel="1"/>
    <row r="56" spans="2:9" hidden="1" outlineLevel="1">
      <c r="B56" s="155"/>
      <c r="I56" s="155"/>
    </row>
    <row r="57" spans="2:9" hidden="1" outlineLevel="1"/>
    <row r="58" spans="2:9" hidden="1" outlineLevel="1"/>
    <row r="59" spans="2:9" hidden="1" outlineLevel="1"/>
    <row r="60" spans="2:9" hidden="1" outlineLevel="1"/>
    <row r="61" spans="2:9" hidden="1" outlineLevel="1"/>
    <row r="62" spans="2:9" hidden="1" outlineLevel="1">
      <c r="B62" s="42" t="s">
        <v>298</v>
      </c>
      <c r="C62" s="42" t="str">
        <f>IF(MonnaieDG = "Euro","€uros","Francs")</f>
        <v>€uros</v>
      </c>
    </row>
    <row r="63" spans="2:9" hidden="1" outlineLevel="1"/>
    <row r="64" spans="2:9" hidden="1" outlineLevel="1"/>
    <row r="65" hidden="1" outlineLevel="1"/>
    <row r="66" hidden="1" outlineLevel="1"/>
    <row r="67" hidden="1" outlineLevel="1"/>
    <row r="68" collapsed="1"/>
  </sheetData>
  <phoneticPr fontId="16" type="noConversion"/>
  <printOptions horizontalCentered="1" verticalCentered="1"/>
  <pageMargins left="0.59055118110236227" right="0.39370078740157483" top="0.59055118110236227" bottom="0.39370078740157483" header="0.51181102362204722" footer="0.51181102362204722"/>
  <pageSetup paperSize="9" orientation="portrait" r:id="rId1"/>
  <headerFooter alignWithMargins="0">
    <oddFooter>Page &amp;P</oddFooter>
  </headerFooter>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9:M74"/>
  <sheetViews>
    <sheetView topLeftCell="A36" zoomScaleNormal="100" workbookViewId="0">
      <selection activeCell="K41" sqref="K41:K42"/>
    </sheetView>
  </sheetViews>
  <sheetFormatPr baseColWidth="10" defaultRowHeight="12.75" outlineLevelRow="1" outlineLevelCol="1"/>
  <cols>
    <col min="1" max="1" width="2.7109375" style="42" customWidth="1"/>
    <col min="2" max="5" width="11.42578125" style="42"/>
    <col min="6" max="6" width="16.140625" style="42" customWidth="1"/>
    <col min="7" max="8" width="11.42578125" style="42"/>
    <col min="9" max="9" width="18" hidden="1" customWidth="1" outlineLevel="1"/>
    <col min="10" max="11" width="0" hidden="1" customWidth="1" outlineLevel="1"/>
    <col min="12" max="12" width="11.42578125" collapsed="1"/>
  </cols>
  <sheetData>
    <row r="9" spans="2:10" ht="14.25">
      <c r="B9" s="140" t="s">
        <v>276</v>
      </c>
    </row>
    <row r="10" spans="2:10" ht="14.25">
      <c r="B10" s="140" t="s">
        <v>277</v>
      </c>
    </row>
    <row r="11" spans="2:10" ht="14.25">
      <c r="B11" s="140" t="s">
        <v>311</v>
      </c>
    </row>
    <row r="13" spans="2:10" ht="15">
      <c r="D13" s="188" t="s">
        <v>232</v>
      </c>
    </row>
    <row r="15" spans="2:10" ht="14.25">
      <c r="B15" s="192" t="str">
        <f>IF(R_722=0," ","Vos frais financiers s'élèvent à "&amp;FIXED(R_722,0)&amp;" "&amp;C62&amp; ", soit "&amp;FIXED(D_30525,0)&amp;" "&amp;C62&amp; " / ha.")</f>
        <v>Vos frais financiers s'élèvent à 3 722 €uros, soit 26 €uros / ha.</v>
      </c>
    </row>
    <row r="16" spans="2:10" ht="14.25">
      <c r="B16" s="192" t="str">
        <f>IF(R_722=0," ","Ils sont compensés en partie par les produits financiers pour un montant de "&amp;FIXED(R_702,0)&amp;" "&amp;C62&amp;",")</f>
        <v>Ils sont compensés en partie par les produits financiers pour un montant de 132 €uros,</v>
      </c>
      <c r="I16" t="s">
        <v>297</v>
      </c>
      <c r="J16" t="s">
        <v>282</v>
      </c>
    </row>
    <row r="17" spans="2:13" ht="14.25">
      <c r="B17" s="192" t="str">
        <f>IF(R_722=0," ","soit "&amp;FIXED(D_30526,0)&amp;" "&amp;C62&amp; " / ha.")</f>
        <v>soit 1 €uros / ha.</v>
      </c>
      <c r="I17">
        <f>D_30525-D_30526</f>
        <v>24.93</v>
      </c>
      <c r="J17">
        <f>IF(MonnaieDG = "Franc",400,400/6.55957)</f>
        <v>60.979606894964149</v>
      </c>
    </row>
    <row r="18" spans="2:13" ht="14.25">
      <c r="B18" s="192" t="str">
        <f>IF(D_30525=0," ",IF($I$17&lt;$J$17,"Votre charge financière nette est inférieure à la moyenne la plus souvent constatée.","Votre charge financière nette est supérieure à la moyenne la plus souvent constatée."))</f>
        <v>Votre charge financière nette est inférieure à la moyenne la plus souvent constatée.</v>
      </c>
    </row>
    <row r="19" spans="2:13" ht="14.25">
      <c r="B19" s="192"/>
    </row>
    <row r="20" spans="2:13" ht="15">
      <c r="D20" s="736" t="str">
        <f>IF(OR(B72="06",B72="05"),"LA CAPACITE D'AUTOFINANCEMENT *", "LA CAPACITE D'AUTOFINANCEMENT")</f>
        <v>LA CAPACITE D'AUTOFINANCEMENT *</v>
      </c>
      <c r="M20" s="42"/>
    </row>
    <row r="22" spans="2:13" ht="14.25">
      <c r="B22" s="140" t="s">
        <v>322</v>
      </c>
    </row>
    <row r="23" spans="2:13" ht="14.25">
      <c r="B23" s="140"/>
    </row>
    <row r="24" spans="2:13" ht="14.25">
      <c r="B24" s="140" t="s">
        <v>233</v>
      </c>
    </row>
    <row r="25" spans="2:13" ht="14.25">
      <c r="B25" s="140"/>
    </row>
    <row r="26" spans="2:13" ht="14.25">
      <c r="B26" s="140" t="s">
        <v>234</v>
      </c>
    </row>
    <row r="28" spans="2:13" ht="14.25">
      <c r="E28" s="140" t="s">
        <v>235</v>
      </c>
    </row>
    <row r="30" spans="2:13" ht="14.25">
      <c r="C30" s="193" t="s">
        <v>317</v>
      </c>
      <c r="F30" s="190"/>
      <c r="G30" s="190" t="str">
        <f>IF(D_37106=0," "," soit "&amp;FIXED(D_37106,0)&amp;" "&amp;C62&amp; ".")</f>
        <v xml:space="preserve"> soit 19 537 €uros.</v>
      </c>
    </row>
    <row r="31" spans="2:13" ht="14.25">
      <c r="C31" s="193" t="s">
        <v>291</v>
      </c>
      <c r="G31" s="190" t="str">
        <f>IF(R_1658=0," "," soit "&amp;FIXED(R_1658,0)&amp;" "&amp;C62&amp; ".")</f>
        <v xml:space="preserve"> </v>
      </c>
    </row>
    <row r="32" spans="2:13" ht="14.25">
      <c r="C32" s="193" t="s">
        <v>250</v>
      </c>
    </row>
    <row r="33" spans="2:13" ht="14.25">
      <c r="C33" s="140" t="s">
        <v>292</v>
      </c>
      <c r="E33" s="190"/>
      <c r="G33" s="190" t="str">
        <f>IF(D_37176=0," "," soit "&amp;FIXED(D_37176,0)&amp;" "&amp;C62&amp; ".")</f>
        <v xml:space="preserve"> </v>
      </c>
    </row>
    <row r="35" spans="2:13" ht="14.25">
      <c r="E35" s="140" t="s">
        <v>249</v>
      </c>
      <c r="G35" s="190" t="str">
        <f>IF(R_1670=0," "," soit "&amp;FIXED(R_1670,0)&amp;" "&amp;C62&amp; " .")</f>
        <v xml:space="preserve"> </v>
      </c>
    </row>
    <row r="37" spans="2:13" ht="14.25">
      <c r="B37" s="140" t="s">
        <v>236</v>
      </c>
      <c r="C37" s="140"/>
    </row>
    <row r="38" spans="2:13" ht="14.25">
      <c r="B38" s="140"/>
      <c r="C38" s="140"/>
    </row>
    <row r="39" spans="2:13" ht="14.25">
      <c r="B39" s="140"/>
      <c r="C39" s="193" t="s">
        <v>237</v>
      </c>
    </row>
    <row r="40" spans="2:13" ht="14.25">
      <c r="B40" s="140"/>
      <c r="C40" s="193" t="s">
        <v>253</v>
      </c>
    </row>
    <row r="41" spans="2:13" ht="14.25">
      <c r="B41" s="140"/>
      <c r="C41" s="140" t="s">
        <v>254</v>
      </c>
    </row>
    <row r="42" spans="2:13" ht="14.25">
      <c r="B42" s="140"/>
      <c r="C42" s="193" t="s">
        <v>251</v>
      </c>
    </row>
    <row r="43" spans="2:13" ht="14.25">
      <c r="B43" s="140"/>
      <c r="C43" s="140" t="s">
        <v>252</v>
      </c>
    </row>
    <row r="45" spans="2:13" ht="14.25">
      <c r="B45" s="195" t="str">
        <f>IF(OR(B72="06",B72="05"), "votre capacité d'autofinancement *", "Votre capacité d'autofinancement")</f>
        <v>votre capacité d'autofinancement *</v>
      </c>
      <c r="E45" s="190" t="str">
        <f>"est de "&amp;FIXED(D_37189,0)&amp;" "&amp;F62&amp;"."</f>
        <v>est de -8 085 .</v>
      </c>
      <c r="J45" s="68" t="s">
        <v>293</v>
      </c>
      <c r="K45" s="68"/>
      <c r="M45" s="42"/>
    </row>
    <row r="46" spans="2:13">
      <c r="J46" s="68" t="s">
        <v>294</v>
      </c>
      <c r="K46" s="94" t="str">
        <f>FIXED(D_37128,0)</f>
        <v>24 821</v>
      </c>
    </row>
    <row r="47" spans="2:13" ht="14.25">
      <c r="B47" s="194" t="str">
        <f>IF($K$7&lt;$K$46,"Après prélèvements personnels pour "&amp;FIXED(K48,0)&amp;" "&amp;C62&amp;", la capacité nette d'autofinancement*,","Après apports personnels pour "&amp;FIXED(K48,0)&amp;" "&amp;C62&amp;", la capacité nette d'autofinancement*,")</f>
        <v>Après prélèvements personnels pour -24 821 €uros, la capacité nette d'autofinancement*,</v>
      </c>
      <c r="J47" s="68" t="s">
        <v>295</v>
      </c>
      <c r="K47" s="94" t="str">
        <f>FIXED(D_37127,0)</f>
        <v>0</v>
      </c>
    </row>
    <row r="48" spans="2:13" ht="14.25">
      <c r="B48" s="190" t="str">
        <f>"s'établit à "&amp;FIXED(D_37190,0)&amp;" "&amp;C62&amp;" ."</f>
        <v>s'établit à -32 906 €uros .</v>
      </c>
      <c r="J48" s="68"/>
      <c r="K48" s="95" t="str">
        <f>FIXED($K$47-$K$46)</f>
        <v>-24 821,00</v>
      </c>
    </row>
    <row r="50" spans="2:9">
      <c r="B50" s="42" t="str">
        <f>IF(OR(B72="06",B72="05"), "*Influencé par la présence d'une créance DPU de la récolte suivante", " ")</f>
        <v>*Influencé par la présence d'une créance DPU de la récolte suivante</v>
      </c>
      <c r="C50" s="155"/>
      <c r="H50" s="155"/>
      <c r="I50" s="63"/>
    </row>
    <row r="53" spans="2:9">
      <c r="B53" s="155" t="str">
        <f>TRIM(CivilAdht&amp; " " &amp; NomAdht)</f>
        <v/>
      </c>
      <c r="C53" s="155"/>
      <c r="H53" s="155"/>
    </row>
    <row r="56" spans="2:9" hidden="1" outlineLevel="1"/>
    <row r="57" spans="2:9" hidden="1" outlineLevel="1"/>
    <row r="58" spans="2:9" hidden="1" outlineLevel="1"/>
    <row r="59" spans="2:9" hidden="1" outlineLevel="1"/>
    <row r="60" spans="2:9" hidden="1" outlineLevel="1"/>
    <row r="61" spans="2:9" hidden="1" outlineLevel="1"/>
    <row r="62" spans="2:9" hidden="1" outlineLevel="1">
      <c r="B62" s="42" t="s">
        <v>298</v>
      </c>
      <c r="C62" s="42" t="str">
        <f>IF(MonnaieDG = "Euro","€uros","Francs")</f>
        <v>€uros</v>
      </c>
    </row>
    <row r="63" spans="2:9" hidden="1" outlineLevel="1"/>
    <row r="64" spans="2:9" hidden="1" outlineLevel="1"/>
    <row r="65" spans="2:2" hidden="1" outlineLevel="1"/>
    <row r="66" spans="2:2" hidden="1" outlineLevel="1"/>
    <row r="67" spans="2:2" hidden="1" outlineLevel="1"/>
    <row r="68" spans="2:2" hidden="1" outlineLevel="1"/>
    <row r="69" spans="2:2" hidden="1" outlineLevel="1"/>
    <row r="70" spans="2:2" hidden="1" outlineLevel="1">
      <c r="B70" s="42" t="str">
        <f>FinExN</f>
        <v>30/06/2017</v>
      </c>
    </row>
    <row r="71" spans="2:2" hidden="1" outlineLevel="1">
      <c r="B71" s="42" t="str">
        <f>LEFT(B70,5)</f>
        <v>30/06</v>
      </c>
    </row>
    <row r="72" spans="2:2" hidden="1" outlineLevel="1">
      <c r="B72" s="42" t="str">
        <f>RIGHT(B71,2)</f>
        <v>06</v>
      </c>
    </row>
    <row r="73" spans="2:2" hidden="1" outlineLevel="1">
      <c r="B73" s="42" t="str">
        <f>IF(OR(B72="06",B72="05"), "*Influencé par la présence d'une créance DPU de la récolte suivante", " ")</f>
        <v>*Influencé par la présence d'une créance DPU de la récolte suivante</v>
      </c>
    </row>
    <row r="74" spans="2:2" collapsed="1"/>
  </sheetData>
  <phoneticPr fontId="16" type="noConversion"/>
  <printOptions horizontalCentered="1" verticalCentered="1"/>
  <pageMargins left="0.59055118110236227" right="0.39370078740157483" top="0.59055118110236227" bottom="0.39370078740157483" header="0.51181102362204722" footer="0.51181102362204722"/>
  <pageSetup paperSize="9" orientation="portrait" r:id="rId1"/>
  <headerFooter alignWithMargins="0">
    <oddFooter>Page &amp;P</oddFooter>
  </headerFooter>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9:L72"/>
  <sheetViews>
    <sheetView topLeftCell="A37" zoomScaleNormal="100" workbookViewId="0">
      <selection activeCell="K41" sqref="K41:K42"/>
    </sheetView>
  </sheetViews>
  <sheetFormatPr baseColWidth="10" defaultRowHeight="12.75" outlineLevelRow="1" outlineLevelCol="1"/>
  <cols>
    <col min="1" max="1" width="2.7109375" style="42" customWidth="1"/>
    <col min="2" max="5" width="11.42578125" style="42"/>
    <col min="6" max="6" width="16.140625" style="42" customWidth="1"/>
    <col min="7" max="8" width="11.42578125" style="42"/>
    <col min="9" max="9" width="18" hidden="1" customWidth="1" outlineLevel="1"/>
    <col min="10" max="11" width="0" hidden="1" customWidth="1" outlineLevel="1"/>
    <col min="12" max="12" width="11.42578125" collapsed="1"/>
  </cols>
  <sheetData>
    <row r="9" spans="2:10" ht="15" customHeight="1">
      <c r="B9" s="140" t="s">
        <v>276</v>
      </c>
    </row>
    <row r="10" spans="2:10" ht="15" customHeight="1">
      <c r="B10" s="140" t="s">
        <v>277</v>
      </c>
    </row>
    <row r="11" spans="2:10" ht="15" customHeight="1">
      <c r="B11" s="140" t="s">
        <v>311</v>
      </c>
    </row>
    <row r="12" spans="2:10" ht="15" customHeight="1"/>
    <row r="13" spans="2:10" ht="15" customHeight="1">
      <c r="D13" s="188" t="s">
        <v>232</v>
      </c>
    </row>
    <row r="14" spans="2:10" ht="15" customHeight="1"/>
    <row r="15" spans="2:10" ht="15" customHeight="1">
      <c r="B15" s="192" t="str">
        <f>IF(R_722=0," ","Vos frais financiers s'élèvent à "&amp;FIXED(R_722,0)&amp;" "&amp;C63&amp; ", soit "&amp;FIXED(D_30525,0)&amp;" "&amp;C63&amp; " / ha.")</f>
        <v>Vos frais financiers s'élèvent à 3 722 €uros, soit 26 €uros / ha.</v>
      </c>
    </row>
    <row r="16" spans="2:10" ht="15" customHeight="1">
      <c r="B16" s="192" t="str">
        <f>IF(R_722=0," ","Ils sont compensés en partie par les produits financiers pour un montant de "&amp;FIXED(R_702,0)&amp;" "&amp;C63&amp;",")</f>
        <v>Ils sont compensés en partie par les produits financiers pour un montant de 132 €uros,</v>
      </c>
      <c r="I16" t="s">
        <v>297</v>
      </c>
      <c r="J16" t="s">
        <v>282</v>
      </c>
    </row>
    <row r="17" spans="2:10" ht="15" customHeight="1">
      <c r="B17" s="192" t="str">
        <f>IF(R_722=0," ","soit "&amp;FIXED(D_30526,0)&amp;" "&amp;C63&amp; " / ha.")</f>
        <v>soit 1 €uros / ha.</v>
      </c>
      <c r="I17">
        <f>D_30525-D_30526</f>
        <v>24.93</v>
      </c>
      <c r="J17">
        <f>IF(MonnaieDG = "Franc",400,400/6.55957)</f>
        <v>60.979606894964149</v>
      </c>
    </row>
    <row r="18" spans="2:10" ht="15" customHeight="1">
      <c r="B18" s="192" t="str">
        <f>IF(D_30525=0," ",IF($I$17&lt;$J$17,"Votre charge financière nette est inférieure à la moyenne la plus souvent constatée.","Votre charge financière nette est supérieure à la moyenne la plus souvent constatée."))</f>
        <v>Votre charge financière nette est inférieure à la moyenne la plus souvent constatée.</v>
      </c>
    </row>
    <row r="19" spans="2:10" ht="15" customHeight="1">
      <c r="B19" s="192"/>
    </row>
    <row r="20" spans="2:10" ht="15" customHeight="1">
      <c r="D20" s="188" t="str">
        <f>IF(OR(B70="06",B70="05"),"LA CAPACITE D'AUTOFINANCEMENT *", "LA CAPACITE D'AUTOFINANCEMENT")</f>
        <v>LA CAPACITE D'AUTOFINANCEMENT *</v>
      </c>
    </row>
    <row r="21" spans="2:10" ht="15" customHeight="1"/>
    <row r="22" spans="2:10" ht="15" customHeight="1">
      <c r="B22" s="140" t="s">
        <v>309</v>
      </c>
    </row>
    <row r="23" spans="2:10" ht="15" customHeight="1">
      <c r="B23" s="140"/>
    </row>
    <row r="24" spans="2:10" ht="15" customHeight="1">
      <c r="B24" s="140" t="s">
        <v>233</v>
      </c>
    </row>
    <row r="25" spans="2:10" ht="15" customHeight="1">
      <c r="B25" s="140"/>
    </row>
    <row r="26" spans="2:10" ht="15" customHeight="1">
      <c r="B26" s="140" t="s">
        <v>234</v>
      </c>
    </row>
    <row r="27" spans="2:10" ht="15" customHeight="1"/>
    <row r="28" spans="2:10" ht="15" customHeight="1">
      <c r="E28" s="140" t="s">
        <v>235</v>
      </c>
    </row>
    <row r="29" spans="2:10" ht="15" customHeight="1"/>
    <row r="30" spans="2:10" ht="15" customHeight="1">
      <c r="C30" s="193" t="s">
        <v>317</v>
      </c>
      <c r="F30" s="190"/>
      <c r="G30" s="190" t="str">
        <f>IF(D_37106=0," "," soit "&amp;FIXED(D_37106,0)&amp;" "&amp;C63&amp; ".")</f>
        <v xml:space="preserve"> soit 19 537 €uros.</v>
      </c>
    </row>
    <row r="31" spans="2:10" ht="15" customHeight="1">
      <c r="C31" s="193" t="s">
        <v>291</v>
      </c>
      <c r="G31" s="190" t="str">
        <f>IF(R_1658=0," "," soit "&amp;FIXED(R_1658,0)&amp;" "&amp;C63&amp; ".")</f>
        <v xml:space="preserve"> </v>
      </c>
    </row>
    <row r="32" spans="2:10" ht="15" customHeight="1">
      <c r="C32" s="193" t="s">
        <v>250</v>
      </c>
    </row>
    <row r="33" spans="2:11" ht="15" customHeight="1">
      <c r="C33" s="140" t="s">
        <v>292</v>
      </c>
      <c r="E33" s="190"/>
      <c r="G33" s="190" t="str">
        <f>IF(D_37176=0," "," soit "&amp;FIXED(D_37176,0)&amp;" "&amp;C63&amp; ".")</f>
        <v xml:space="preserve"> </v>
      </c>
    </row>
    <row r="34" spans="2:11" ht="15" customHeight="1"/>
    <row r="35" spans="2:11" ht="15" customHeight="1">
      <c r="E35" s="140" t="s">
        <v>249</v>
      </c>
      <c r="G35" s="190" t="str">
        <f>IF(R_1670=0," "," soit "&amp;FIXED(R_1670,0)&amp;" "&amp;C63&amp; " .")</f>
        <v xml:space="preserve"> </v>
      </c>
    </row>
    <row r="36" spans="2:11" ht="15" customHeight="1"/>
    <row r="37" spans="2:11" ht="15" customHeight="1">
      <c r="B37" s="140" t="s">
        <v>236</v>
      </c>
      <c r="C37" s="140"/>
    </row>
    <row r="38" spans="2:11" ht="15" customHeight="1">
      <c r="B38" s="140"/>
      <c r="C38" s="140"/>
    </row>
    <row r="39" spans="2:11" ht="15" customHeight="1">
      <c r="B39" s="140"/>
      <c r="C39" s="193" t="s">
        <v>237</v>
      </c>
    </row>
    <row r="40" spans="2:11" ht="15" customHeight="1">
      <c r="B40" s="140"/>
      <c r="C40" s="193" t="s">
        <v>253</v>
      </c>
    </row>
    <row r="41" spans="2:11" ht="15" customHeight="1">
      <c r="B41" s="140"/>
      <c r="C41" s="140" t="s">
        <v>254</v>
      </c>
    </row>
    <row r="42" spans="2:11" ht="15" customHeight="1">
      <c r="B42" s="140"/>
      <c r="C42" s="193" t="s">
        <v>251</v>
      </c>
    </row>
    <row r="43" spans="2:11" ht="15" customHeight="1">
      <c r="B43" s="140"/>
      <c r="C43" s="140" t="s">
        <v>252</v>
      </c>
    </row>
    <row r="44" spans="2:11" ht="9.75" customHeight="1"/>
    <row r="45" spans="2:11" ht="15" customHeight="1">
      <c r="B45" s="195" t="str">
        <f>IF(OR(B70="06",B70="05"), "votre capacité d'autofinancement *", "Votre capacité d'autofinancement")</f>
        <v>votre capacité d'autofinancement *</v>
      </c>
      <c r="E45" s="190" t="str">
        <f>"passe de "&amp;FIXED(D_37189_1,0)&amp;" "&amp;F63&amp;" à "&amp;FIXED(D_37189,0)&amp;" "&amp;F63&amp;"."</f>
        <v>passe de 73 850  à -8 085 .</v>
      </c>
      <c r="J45" s="68" t="s">
        <v>293</v>
      </c>
      <c r="K45" s="68"/>
    </row>
    <row r="46" spans="2:11" ht="15" customHeight="1">
      <c r="J46" s="68" t="s">
        <v>294</v>
      </c>
      <c r="K46" s="94" t="str">
        <f>FIXED(D_37128,0)</f>
        <v>24 821</v>
      </c>
    </row>
    <row r="47" spans="2:11" ht="15" customHeight="1">
      <c r="B47" s="194" t="str">
        <f>IF($K$47&lt;$K$46,"Après prélèvements personnels pour "&amp;FIXED(K48,0)&amp;" "&amp;C63&amp;", la capacité nette d'autofinancement*,","Après apports personnels pour "&amp;FIXED(K48,0)&amp;" "&amp;C63&amp;", la capacité nette d'autofinancement*,")</f>
        <v>Après prélèvements personnels pour -24 821 €uros, la capacité nette d'autofinancement*,</v>
      </c>
      <c r="J47" s="68" t="s">
        <v>295</v>
      </c>
      <c r="K47" s="94" t="str">
        <f>FIXED(D_37127,0)</f>
        <v>0</v>
      </c>
    </row>
    <row r="48" spans="2:11" ht="15" customHeight="1">
      <c r="B48" s="190" t="str">
        <f>"s'établit à "&amp;FIXED(D_37190,0)&amp;" "&amp;C63&amp;" ."</f>
        <v>s'établit à -32 906 €uros .</v>
      </c>
      <c r="J48" s="68"/>
      <c r="K48" s="95" t="str">
        <f>FIXED($K$47-$K$46)</f>
        <v>-24 821,00</v>
      </c>
    </row>
    <row r="49" spans="2:11" ht="15" customHeight="1">
      <c r="B49" s="190"/>
      <c r="J49" s="68"/>
      <c r="K49" s="519"/>
    </row>
    <row r="50" spans="2:11" ht="12.75" customHeight="1">
      <c r="B50" s="42" t="str">
        <f>IF(OR(B70="06",B70="05"), "*Influencé par la présence d'une créance DPU de la récolte suivante", " ")</f>
        <v>*Influencé par la présence d'une créance DPU de la récolte suivante</v>
      </c>
    </row>
    <row r="51" spans="2:11" ht="15" customHeight="1">
      <c r="B51" s="155" t="str">
        <f>TRIM(CivilAdht&amp; " " &amp; NomAdht)</f>
        <v/>
      </c>
      <c r="C51" s="155"/>
      <c r="H51" s="155"/>
      <c r="I51" s="63"/>
    </row>
    <row r="52" spans="2:11" ht="15" customHeight="1"/>
    <row r="53" spans="2:11" ht="15" hidden="1" customHeight="1" outlineLevel="1"/>
    <row r="54" spans="2:11" ht="15" hidden="1" customHeight="1" outlineLevel="1"/>
    <row r="55" spans="2:11" ht="15" hidden="1" customHeight="1" outlineLevel="1"/>
    <row r="56" spans="2:11" ht="15" hidden="1" customHeight="1" outlineLevel="1"/>
    <row r="57" spans="2:11" hidden="1" outlineLevel="1"/>
    <row r="58" spans="2:11" hidden="1" outlineLevel="1"/>
    <row r="59" spans="2:11" hidden="1" outlineLevel="1"/>
    <row r="60" spans="2:11" hidden="1" outlineLevel="1"/>
    <row r="61" spans="2:11" hidden="1" outlineLevel="1"/>
    <row r="62" spans="2:11" hidden="1" outlineLevel="1"/>
    <row r="63" spans="2:11" hidden="1" outlineLevel="1">
      <c r="B63" s="42" t="s">
        <v>298</v>
      </c>
      <c r="C63" s="42" t="str">
        <f>IF(MonnaieDG = "Euro","€uros","Francs")</f>
        <v>€uros</v>
      </c>
    </row>
    <row r="64" spans="2:11" hidden="1" outlineLevel="1"/>
    <row r="65" spans="2:2" hidden="1" outlineLevel="1"/>
    <row r="66" spans="2:2" hidden="1" outlineLevel="1"/>
    <row r="67" spans="2:2" hidden="1" outlineLevel="1"/>
    <row r="68" spans="2:2" hidden="1" outlineLevel="1" collapsed="1">
      <c r="B68" s="42" t="str">
        <f>FinExN</f>
        <v>30/06/2017</v>
      </c>
    </row>
    <row r="69" spans="2:2" hidden="1" outlineLevel="1">
      <c r="B69" s="42" t="str">
        <f>LEFT(B68,5)</f>
        <v>30/06</v>
      </c>
    </row>
    <row r="70" spans="2:2" hidden="1" outlineLevel="1">
      <c r="B70" s="42" t="str">
        <f>RIGHT(B69,2)</f>
        <v>06</v>
      </c>
    </row>
    <row r="71" spans="2:2" hidden="1" outlineLevel="1">
      <c r="B71" s="42" t="str">
        <f>IF(OR(B70="06",B70="05"), "*Influencé par la présence d'une créance DPU de la récolte suivante", " ")</f>
        <v>*Influencé par la présence d'une créance DPU de la récolte suivante</v>
      </c>
    </row>
    <row r="72" spans="2:2" collapsed="1"/>
  </sheetData>
  <phoneticPr fontId="16" type="noConversion"/>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oddFooter>Page &amp;P</oddFooter>
  </headerFooter>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dimension ref="A8:N83"/>
  <sheetViews>
    <sheetView topLeftCell="A39" zoomScaleNormal="100" workbookViewId="0">
      <selection activeCell="K41" sqref="K41:K42"/>
    </sheetView>
  </sheetViews>
  <sheetFormatPr baseColWidth="10" defaultRowHeight="12.75" outlineLevelRow="1" outlineLevelCol="1"/>
  <cols>
    <col min="1" max="1" width="2.7109375" style="42" customWidth="1"/>
    <col min="2" max="5" width="11.42578125" style="42"/>
    <col min="6" max="6" width="19" style="42" customWidth="1"/>
    <col min="7" max="8" width="11.42578125" style="42"/>
    <col min="9" max="12" width="0" hidden="1" customWidth="1" outlineLevel="1"/>
    <col min="13" max="13" width="11.42578125" collapsed="1"/>
  </cols>
  <sheetData>
    <row r="8" spans="2:10" ht="15" customHeight="1"/>
    <row r="9" spans="2:10" ht="15" customHeight="1">
      <c r="D9" s="188" t="s">
        <v>238</v>
      </c>
    </row>
    <row r="10" spans="2:10" ht="15" customHeight="1"/>
    <row r="11" spans="2:10" ht="15" customHeight="1">
      <c r="B11" s="140" t="s">
        <v>278</v>
      </c>
    </row>
    <row r="12" spans="2:10" ht="15" customHeight="1">
      <c r="B12" s="140" t="s">
        <v>279</v>
      </c>
    </row>
    <row r="13" spans="2:10" ht="15" customHeight="1"/>
    <row r="14" spans="2:10" ht="15" customHeight="1">
      <c r="D14" s="47" t="s">
        <v>242</v>
      </c>
      <c r="E14" s="128"/>
      <c r="F14" s="128"/>
      <c r="G14" s="190" t="str">
        <f>IF($J$14=0," "," soit "&amp;FIXED(J14,0)&amp;" "&amp;C62&amp; ".")</f>
        <v xml:space="preserve"> </v>
      </c>
      <c r="J14" s="109">
        <f>R_1670 + R_1172 + R_1173 + R_1174 + R_1166 + R_1167</f>
        <v>0</v>
      </c>
    </row>
    <row r="15" spans="2:10" ht="15" customHeight="1">
      <c r="D15" s="47" t="s">
        <v>239</v>
      </c>
      <c r="E15" s="128"/>
      <c r="F15" s="128"/>
      <c r="G15" s="190" t="str">
        <f>IF(R_11035=0," "," soit "&amp;FIXED(R_11035,0)&amp;" "&amp;C62&amp; ".")</f>
        <v xml:space="preserve"> </v>
      </c>
    </row>
    <row r="16" spans="2:10" ht="15" customHeight="1">
      <c r="D16" s="47" t="s">
        <v>240</v>
      </c>
      <c r="E16" s="128"/>
      <c r="F16" s="128"/>
      <c r="G16" s="190" t="str">
        <f>IF(D_37127=0," "," soit "&amp;FIXED(D_37127,0)&amp;" "&amp;C62&amp; ".")</f>
        <v xml:space="preserve"> </v>
      </c>
    </row>
    <row r="17" spans="2:7" ht="15" customHeight="1">
      <c r="D17" s="47" t="s">
        <v>241</v>
      </c>
      <c r="E17" s="128"/>
      <c r="F17" s="128"/>
      <c r="G17" s="190" t="str">
        <f>IF(R_1372=0," "," soit "&amp;FIXED(R_1372,0)&amp;" "&amp;C62&amp; ".")</f>
        <v xml:space="preserve"> </v>
      </c>
    </row>
    <row r="18" spans="2:7" ht="15" customHeight="1"/>
    <row r="19" spans="2:7" ht="15" customHeight="1"/>
    <row r="20" spans="2:7" ht="15" customHeight="1">
      <c r="D20" s="188" t="s">
        <v>243</v>
      </c>
    </row>
    <row r="21" spans="2:7" ht="15" customHeight="1"/>
    <row r="22" spans="2:7" ht="15" customHeight="1">
      <c r="B22" s="140" t="s">
        <v>244</v>
      </c>
    </row>
    <row r="23" spans="2:7" ht="15" customHeight="1"/>
    <row r="24" spans="2:7" ht="15" customHeight="1">
      <c r="D24" s="47" t="s">
        <v>245</v>
      </c>
      <c r="G24" s="190" t="str">
        <f>IF(D_37122=0," "," soit "&amp;FIXED(D_37122,0)&amp;" "&amp;C62&amp; ".")</f>
        <v xml:space="preserve"> </v>
      </c>
    </row>
    <row r="25" spans="2:7" ht="15" customHeight="1">
      <c r="D25" s="47" t="s">
        <v>246</v>
      </c>
      <c r="G25" s="190" t="str">
        <f>IF(R_1373=0," "," soit "&amp;FIXED(R_1373,0)&amp;" "&amp;C62&amp; ".")</f>
        <v xml:space="preserve"> soit 26 230 €uros.</v>
      </c>
    </row>
    <row r="26" spans="2:7" ht="15" customHeight="1"/>
    <row r="27" spans="2:7" ht="15" customHeight="1">
      <c r="B27" s="195" t="str">
        <f>IF(D_37103&gt;D_37191,"Les ressources sont supérieures aux emplois, la différence est venue conforter le fonds de","Les emplois sont supérieurs aux ressources, la différence est venue dégrader le fonds de")</f>
        <v>Les emplois sont supérieurs aux ressources, la différence est venue dégrader le fonds de</v>
      </c>
    </row>
    <row r="28" spans="2:7" ht="15" customHeight="1">
      <c r="B28" s="196" t="str">
        <f>IF(D_37191&lt;&gt; 0,"roulement pour "&amp;FIXED(D_37192,0)&amp;" "&amp;C62&amp;".")</f>
        <v>roulement pour -58 897 €uros.</v>
      </c>
    </row>
    <row r="29" spans="2:7" ht="15" customHeight="1">
      <c r="B29" s="195"/>
    </row>
    <row r="30" spans="2:7" ht="15" customHeight="1">
      <c r="B30" s="196" t="str">
        <f>IF(D_37181&lt; 0,"Votre fonds de roulement négatif est de "&amp;FIXED(D_37181,0)&amp;" "&amp;C62&amp;" ce qui signifie que l'actif immobilisé"," ")</f>
        <v xml:space="preserve"> </v>
      </c>
    </row>
    <row r="31" spans="2:7" ht="15" customHeight="1">
      <c r="B31" s="195" t="str">
        <f>IF(D_37181&lt;0,"est financé à due concurrence par le cycle d'exploitation (fournisseurs - courts termes - etc…)"," ")</f>
        <v xml:space="preserve"> </v>
      </c>
    </row>
    <row r="32" spans="2:7" ht="15" customHeight="1"/>
    <row r="33" spans="2:14" ht="15" customHeight="1"/>
    <row r="34" spans="2:14" ht="15" customHeight="1">
      <c r="D34" s="188" t="s">
        <v>247</v>
      </c>
    </row>
    <row r="35" spans="2:14" ht="15" customHeight="1"/>
    <row r="36" spans="2:14" ht="15" customHeight="1">
      <c r="B36" s="140" t="s">
        <v>316</v>
      </c>
    </row>
    <row r="37" spans="2:14" ht="15" customHeight="1">
      <c r="B37" s="190" t="str">
        <f>IF(OR(B81="06",B81="05"),"Le vôtre forme un total de "&amp;FIXED(D_37058,0)&amp;" "&amp;C62&amp;"*.","Le vôtre forme un total de "&amp;FIXED(D_37058,0)&amp;" "&amp;C62&amp;".")</f>
        <v>Le vôtre forme un total de 346 596 €uros*.</v>
      </c>
      <c r="D37" s="190"/>
      <c r="E37" s="190"/>
      <c r="N37" s="190"/>
    </row>
    <row r="38" spans="2:14" ht="15" customHeight="1">
      <c r="B38" s="140"/>
    </row>
    <row r="39" spans="2:14" ht="15" customHeight="1">
      <c r="B39" s="140" t="s">
        <v>345</v>
      </c>
    </row>
    <row r="40" spans="2:14" ht="15" customHeight="1">
      <c r="B40" s="140" t="s">
        <v>346</v>
      </c>
    </row>
    <row r="41" spans="2:14" ht="15" customHeight="1">
      <c r="B41" s="140" t="s">
        <v>248</v>
      </c>
    </row>
    <row r="42" spans="2:14" ht="15" customHeight="1">
      <c r="B42" s="190" t="str">
        <f>IF(D_37056&lt;&gt;0,"montant de "&amp;FIXED(D_37049,0)&amp;" "&amp;C62&amp;" et les dettes pour un montant de "&amp;FIXED(D_37204,0)&amp;" "&amp;C62,"montant de "&amp;FIXED(D_37049,0)&amp;" "&amp;C62&amp;".")</f>
        <v>montant de 85 086 €uros et les dettes pour un montant de 261 511 €uros</v>
      </c>
    </row>
    <row r="43" spans="2:14" ht="15" customHeight="1">
      <c r="B43" s="140"/>
    </row>
    <row r="44" spans="2:14" ht="15" customHeight="1">
      <c r="B44" s="140" t="s">
        <v>310</v>
      </c>
    </row>
    <row r="45" spans="2:14" ht="15" customHeight="1">
      <c r="B45" s="140" t="s">
        <v>280</v>
      </c>
    </row>
    <row r="46" spans="2:14" ht="15" customHeight="1"/>
    <row r="47" spans="2:14" ht="15" customHeight="1">
      <c r="B47" s="42" t="str">
        <f>IF(OR(B81="06",B81="05"), "*Influencé par la présence d'une créance DPU de la récolte suivante", " ")</f>
        <v>*Influencé par la présence d'une créance DPU de la récolte suivante</v>
      </c>
    </row>
    <row r="48" spans="2:14" ht="15" customHeight="1"/>
    <row r="49" spans="2:8" ht="15" customHeight="1">
      <c r="B49" s="155" t="str">
        <f>TRIM(CivilAdht&amp; " " &amp; NomAdht)</f>
        <v/>
      </c>
      <c r="H49" s="155"/>
    </row>
    <row r="50" spans="2:8" ht="15" customHeight="1">
      <c r="B50" s="155"/>
      <c r="H50" s="155"/>
    </row>
    <row r="51" spans="2:8" ht="15" customHeight="1"/>
    <row r="52" spans="2:8" ht="15" hidden="1" customHeight="1" outlineLevel="1"/>
    <row r="53" spans="2:8" ht="15" hidden="1" customHeight="1" outlineLevel="1"/>
    <row r="54" spans="2:8" ht="15" hidden="1" customHeight="1" outlineLevel="1"/>
    <row r="55" spans="2:8" hidden="1" outlineLevel="1"/>
    <row r="56" spans="2:8" hidden="1" outlineLevel="1"/>
    <row r="57" spans="2:8" hidden="1" outlineLevel="1"/>
    <row r="58" spans="2:8" hidden="1" outlineLevel="1"/>
    <row r="59" spans="2:8" hidden="1" outlineLevel="1"/>
    <row r="60" spans="2:8" hidden="1" outlineLevel="1"/>
    <row r="61" spans="2:8" hidden="1" outlineLevel="1"/>
    <row r="62" spans="2:8" hidden="1" outlineLevel="1">
      <c r="B62" s="42" t="s">
        <v>298</v>
      </c>
      <c r="C62" s="42" t="str">
        <f>IF(MonnaieDG = "Euro","€uros","Francs")</f>
        <v>€uros</v>
      </c>
    </row>
    <row r="63" spans="2:8" hidden="1" outlineLevel="1"/>
    <row r="64" spans="2:8" hidden="1" outlineLevel="1"/>
    <row r="65" spans="2:2" hidden="1" outlineLevel="1"/>
    <row r="66" spans="2:2" hidden="1" outlineLevel="1"/>
    <row r="67" spans="2:2" hidden="1" outlineLevel="1"/>
    <row r="68" spans="2:2" hidden="1" outlineLevel="1"/>
    <row r="69" spans="2:2" hidden="1" outlineLevel="1"/>
    <row r="70" spans="2:2" hidden="1" outlineLevel="1"/>
    <row r="71" spans="2:2" hidden="1" outlineLevel="1"/>
    <row r="72" spans="2:2" hidden="1" outlineLevel="1"/>
    <row r="73" spans="2:2" hidden="1" outlineLevel="1"/>
    <row r="74" spans="2:2" hidden="1" outlineLevel="1"/>
    <row r="75" spans="2:2" hidden="1" outlineLevel="1"/>
    <row r="76" spans="2:2" hidden="1" outlineLevel="1"/>
    <row r="77" spans="2:2" hidden="1" outlineLevel="1"/>
    <row r="78" spans="2:2" hidden="1" outlineLevel="1"/>
    <row r="79" spans="2:2" hidden="1" outlineLevel="1">
      <c r="B79" s="42" t="str">
        <f>FinExN</f>
        <v>30/06/2017</v>
      </c>
    </row>
    <row r="80" spans="2:2" hidden="1" outlineLevel="1">
      <c r="B80" s="42" t="str">
        <f>LEFT(B79,5)</f>
        <v>30/06</v>
      </c>
    </row>
    <row r="81" spans="2:2" hidden="1" outlineLevel="1">
      <c r="B81" s="42" t="str">
        <f>RIGHT(B80,2)</f>
        <v>06</v>
      </c>
    </row>
    <row r="82" spans="2:2" hidden="1" outlineLevel="1">
      <c r="B82" s="42" t="str">
        <f>IF(OR(B81="06",B81="05"), "*Influencé par la présence d'une créance DPU de la récolte suivante", " ")</f>
        <v>*Influencé par la présence d'une créance DPU de la récolte suivante</v>
      </c>
    </row>
    <row r="83" spans="2:2" collapsed="1"/>
  </sheetData>
  <phoneticPr fontId="16" type="noConversion"/>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oddFooter>Page &amp;P</oddFooter>
  </headerFooter>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dimension ref="A1:P83"/>
  <sheetViews>
    <sheetView topLeftCell="A31" zoomScaleNormal="100" workbookViewId="0">
      <selection activeCell="K41" sqref="K41:K42"/>
    </sheetView>
  </sheetViews>
  <sheetFormatPr baseColWidth="10" defaultRowHeight="12.75" outlineLevelRow="1" outlineLevelCol="1"/>
  <cols>
    <col min="1" max="1" width="2.7109375" style="42" customWidth="1"/>
    <col min="2" max="8" width="11.42578125" style="42"/>
    <col min="9" max="9" width="4.7109375" customWidth="1"/>
    <col min="10" max="15" width="0" hidden="1" customWidth="1" outlineLevel="1"/>
    <col min="16" max="16" width="11.42578125" collapsed="1"/>
  </cols>
  <sheetData>
    <row r="1" spans="2:16" ht="10.5" customHeight="1"/>
    <row r="2" spans="2:16" ht="9.75" customHeight="1"/>
    <row r="5" spans="2:16" ht="8.25" customHeight="1"/>
    <row r="7" spans="2:16" ht="3" customHeight="1"/>
    <row r="8" spans="2:16" ht="15" customHeight="1">
      <c r="D8" s="188" t="s">
        <v>255</v>
      </c>
    </row>
    <row r="9" spans="2:16" ht="3.75" customHeight="1"/>
    <row r="10" spans="2:16" ht="15" customHeight="1">
      <c r="B10" s="140" t="s">
        <v>256</v>
      </c>
    </row>
    <row r="11" spans="2:16" ht="5.25" customHeight="1">
      <c r="B11" s="140"/>
    </row>
    <row r="12" spans="2:16" ht="15" customHeight="1">
      <c r="B12" s="140" t="s">
        <v>257</v>
      </c>
    </row>
    <row r="13" spans="2:16" ht="6" customHeight="1"/>
    <row r="14" spans="2:16" ht="15" customHeight="1">
      <c r="E14" s="48" t="str">
        <f>IF(OR(B81="06",B81="05"), "Le ratio de solvabilité à court terme *", "Le ratio de solvabilité à court terme")</f>
        <v>Le ratio de solvabilité à court terme *</v>
      </c>
      <c r="P14" s="42"/>
    </row>
    <row r="15" spans="2:16" ht="3.75" customHeight="1"/>
    <row r="16" spans="2:16" ht="15" customHeight="1">
      <c r="B16" s="140" t="s">
        <v>258</v>
      </c>
    </row>
    <row r="17" spans="2:16" ht="15" customHeight="1">
      <c r="B17" s="140" t="s">
        <v>259</v>
      </c>
    </row>
    <row r="18" spans="2:16" ht="15" customHeight="1">
      <c r="B18" s="190" t="str">
        <f>"Le vôtre ressort à "&amp;FIXED(D_37187/100)&amp;" ."</f>
        <v>Le vôtre ressort à 0,37 .</v>
      </c>
    </row>
    <row r="19" spans="2:16" ht="5.25" customHeight="1"/>
    <row r="20" spans="2:16" ht="15" customHeight="1">
      <c r="E20" s="48" t="str">
        <f>IF(OR(B81="06",B81="05"), "Le ratio d'autonomie financière *", "Le ratio d'autonomie financière ")</f>
        <v>Le ratio d'autonomie financière *</v>
      </c>
      <c r="P20" s="42"/>
    </row>
    <row r="21" spans="2:16" ht="3.75" customHeight="1"/>
    <row r="22" spans="2:16" ht="15" customHeight="1">
      <c r="B22" s="140" t="s">
        <v>260</v>
      </c>
    </row>
    <row r="23" spans="2:16" ht="15" customHeight="1">
      <c r="B23" s="140" t="s">
        <v>313</v>
      </c>
    </row>
    <row r="24" spans="2:16" ht="15" customHeight="1">
      <c r="B24" s="190" t="str">
        <f>"Le vôtre ressort à "&amp;FIXED(D_37185/100)&amp;"."</f>
        <v>Le vôtre ressort à 0,25.</v>
      </c>
    </row>
    <row r="25" spans="2:16" ht="4.5" customHeight="1"/>
    <row r="26" spans="2:16" ht="15" customHeight="1">
      <c r="E26" s="48" t="str">
        <f>IF(OR(B81="06",B81="05"), "Le ratio d'endettement *", "Le ratio d'endettement ")</f>
        <v>Le ratio d'endettement *</v>
      </c>
      <c r="P26" s="42"/>
    </row>
    <row r="27" spans="2:16" ht="4.5" customHeight="1"/>
    <row r="28" spans="2:16" ht="15" customHeight="1">
      <c r="B28" s="140" t="s">
        <v>261</v>
      </c>
    </row>
    <row r="29" spans="2:16" ht="15" customHeight="1">
      <c r="B29" s="190" t="str">
        <f>"Le vôtre ressort à "&amp;FIXED(D_37188/100)&amp;" ."</f>
        <v>Le vôtre ressort à 0,70 .</v>
      </c>
    </row>
    <row r="30" spans="2:16" ht="3.75" customHeight="1"/>
    <row r="31" spans="2:16" ht="15" customHeight="1">
      <c r="E31" s="197" t="s">
        <v>262</v>
      </c>
    </row>
    <row r="32" spans="2:16" ht="3.75" customHeight="1"/>
    <row r="33" spans="2:16" ht="15" customHeight="1">
      <c r="B33" s="190" t="str">
        <f>"Votre ratio ressort à "&amp;FIXED(D_37186/100)&amp;" ."</f>
        <v>Votre ratio ressort à 0,95 .</v>
      </c>
    </row>
    <row r="34" spans="2:16" ht="15" customHeight="1">
      <c r="B34" s="189" t="str">
        <f>IF(D_37186&lt;0.5,"Votre stratégie repose sur un renouvellement intensif de vos équipements.","On peut dire que le vieillissement de vos équipements appelle une attention particulière.")</f>
        <v>On peut dire que le vieillissement de vos équipements appelle une attention particulière.</v>
      </c>
    </row>
    <row r="35" spans="2:16" ht="9" customHeight="1"/>
    <row r="36" spans="2:16" ht="15" customHeight="1">
      <c r="E36" s="48" t="str">
        <f>IF(OR(B81="06",B81="05"), "Le ratio de fonds de roulement *", "Le ratio de fonds de roulement ")</f>
        <v>Le ratio de fonds de roulement *</v>
      </c>
      <c r="P36" s="42"/>
    </row>
    <row r="37" spans="2:16" ht="4.5" customHeight="1"/>
    <row r="38" spans="2:16" ht="15" customHeight="1">
      <c r="B38" s="140" t="s">
        <v>263</v>
      </c>
    </row>
    <row r="39" spans="2:16" ht="15" customHeight="1">
      <c r="B39" s="190" t="str">
        <f>"Votre ratio ressort à "&amp;FIXED(D_37182,0)&amp;" "&amp;C70&amp;" / ha."</f>
        <v>Votre ratio ressort à 394 €uros / ha.</v>
      </c>
    </row>
    <row r="40" spans="2:16" ht="4.5" customHeight="1"/>
    <row r="41" spans="2:16" ht="15" customHeight="1">
      <c r="D41" s="188" t="s">
        <v>264</v>
      </c>
    </row>
    <row r="42" spans="2:16" ht="5.25" customHeight="1"/>
    <row r="43" spans="2:16" ht="15" customHeight="1">
      <c r="B43" s="189" t="str">
        <f>IF('Points forts faibles NEX'!$M$6&lt;0,"Votre produit brut est en réduction sous l'influence de votre environnement.",IF('Points forts faibles NEX'!$M$6&gt;3,"Malgré l'environnement, votre produit brut est en augmentation.","Votre adaptation à l'environnement vous permet de maintenir votre produit brut."))</f>
        <v>Votre produit brut est en réduction sous l'influence de votre environnement.</v>
      </c>
      <c r="J43" t="s">
        <v>361</v>
      </c>
    </row>
    <row r="44" spans="2:16" ht="5.25" customHeight="1"/>
    <row r="45" spans="2:16" ht="15" customHeight="1">
      <c r="B45" s="189" t="str">
        <f>IF('Points forts faibles NEX'!$M$13&lt;0,"La réduction du coût des intrants vous permet de dégager une marge brute qui varie ",IF('Points forts faibles NEX'!$M$13&gt;3,"L'augmentation du coût des intrants influe également sur la marge brute qui varie ","Le coût des intrants est stable."))</f>
        <v xml:space="preserve">L'augmentation du coût des intrants influe également sur la marge brute qui varie </v>
      </c>
      <c r="J45" t="s">
        <v>362</v>
      </c>
    </row>
    <row r="46" spans="2:16" ht="15" customHeight="1">
      <c r="B46" s="189" t="str">
        <f>IF('Points forts faibles NEX'!$M$13&lt;0,"de "&amp;FIXED(D_37022_1,0)&amp;" "&amp;C70&amp;" / ha à "&amp;FIXED(D_37022,0)&amp;" "&amp;C70&amp;" / ha, soit une variation de "&amp;D_37143&amp;" %.",IF('Points forts faibles NEX'!$M$13&gt;3,"de "&amp;FIXED(D_37022_1,0)&amp;" "&amp;C70&amp;" / ha à "&amp;FIXED(D_37022,0)&amp;" "&amp;C70&amp;" / ha,soit une variation de "&amp;D_37143&amp;" %."," "))</f>
        <v>de 981 €uros / ha à 290 €uros / ha,soit une variation de -70,43 %.</v>
      </c>
      <c r="J46" t="s">
        <v>363</v>
      </c>
    </row>
    <row r="47" spans="2:16" ht="15" customHeight="1">
      <c r="B47" s="189"/>
      <c r="J47" t="s">
        <v>360</v>
      </c>
    </row>
    <row r="48" spans="2:16" ht="5.25" customHeight="1"/>
    <row r="49" spans="2:9" ht="15" customHeight="1">
      <c r="B49" s="189"/>
    </row>
    <row r="50" spans="2:9" ht="6" customHeight="1"/>
    <row r="51" spans="2:9" ht="14.25">
      <c r="B51" s="189" t="str">
        <f>"Ces opérations conduisent à un excédent brut d'exploitation variant de " &amp;FIXED(D_37011_1,0)&amp;" "&amp;C70</f>
        <v>Ces opérations conduisent à un excédent brut d'exploitation variant de 31 433 €uros</v>
      </c>
    </row>
    <row r="52" spans="2:9" ht="13.5" customHeight="1">
      <c r="B52" s="189" t="str">
        <f>" à " &amp;FIXED(D_37011,0)&amp;" "&amp;C70&amp; "."</f>
        <v xml:space="preserve"> à -48 104 €uros.</v>
      </c>
    </row>
    <row r="53" spans="2:9" ht="6" customHeight="1">
      <c r="B53" s="189"/>
    </row>
    <row r="54" spans="2:9" ht="14.25">
      <c r="B54" s="189" t="str">
        <f>IF(AND(R_722 &gt; R_723,R_1372&gt;0),"L'augmentation des charges financières est consécutive à la réalisation d'un nouvel "," ")</f>
        <v xml:space="preserve"> </v>
      </c>
      <c r="I54" s="63"/>
    </row>
    <row r="55" spans="2:9" ht="14.25">
      <c r="B55" s="189" t="str">
        <f>IF(AND(R_722 &gt; R_723,R_1372&gt;0),"emprunt."," ")</f>
        <v xml:space="preserve"> </v>
      </c>
      <c r="I55" s="63"/>
    </row>
    <row r="56" spans="2:9" ht="4.5" customHeight="1"/>
    <row r="57" spans="2:9" ht="14.25">
      <c r="B57" s="189" t="str">
        <f>"Le résultat courant de l'exercice s'inscrit pour " &amp;FIXED(D_37014,0)&amp;" "&amp;C70&amp;" contre " &amp;FIXED(D_37014_1,0)&amp;" "&amp;C70&amp; "."</f>
        <v>Le résultat courant de l'exercice s'inscrit pour -27 622 €uros contre 49 204 €uros.</v>
      </c>
    </row>
    <row r="58" spans="2:9" ht="6" customHeight="1"/>
    <row r="59" spans="2:9" ht="14.25">
      <c r="B59" s="189" t="str">
        <f>"Le résultat net de l'exercice s'inscrit pour " &amp;FIXED(D_37015,0)&amp;" "&amp;C70&amp;" contre " &amp;FIXED(D_37015_1,0)&amp;" "&amp;C70&amp; "."</f>
        <v>Le résultat net de l'exercice s'inscrit pour -27 622 €uros contre 49 204 €uros.</v>
      </c>
    </row>
    <row r="60" spans="2:9" ht="14.25" customHeight="1">
      <c r="B60" s="140" t="s">
        <v>347</v>
      </c>
    </row>
    <row r="61" spans="2:9" ht="6" customHeight="1"/>
    <row r="62" spans="2:9" ht="14.25">
      <c r="B62" s="189" t="str">
        <f>IF(D_37192&gt;0,"Le niveau acceptable des prélèvements privés permet de maintenir dans l'entreprise","Le niveau des prélèvements personnels absorbe la totalité des ressources et prive")</f>
        <v>Le niveau des prélèvements personnels absorbe la totalité des ressources et prive</v>
      </c>
    </row>
    <row r="63" spans="2:9" ht="12.75" customHeight="1">
      <c r="B63" s="189" t="str">
        <f>IF(D_37192&gt;0,"les ressources nécessaires au remboursement des emprunts et des investissements.","l'entreprise de sa capacité à rembourser ses emprunts et à investir.")</f>
        <v>l'entreprise de sa capacité à rembourser ses emprunts et à investir.</v>
      </c>
    </row>
    <row r="64" spans="2:9" ht="12.75" customHeight="1">
      <c r="B64" s="189"/>
    </row>
    <row r="65" spans="1:9" ht="13.5" customHeight="1">
      <c r="B65" s="198"/>
      <c r="C65" s="42" t="str">
        <f>IF(OR(B81="06",B81="05"), "*Influencé par la présence d'une créance DPU de la récolte suivante", " ")</f>
        <v>*Influencé par la présence d'une créance DPU de la récolte suivante</v>
      </c>
      <c r="I65" s="63"/>
    </row>
    <row r="66" spans="1:9" ht="13.5" customHeight="1">
      <c r="B66" s="198"/>
      <c r="C66" s="198"/>
      <c r="I66" s="63"/>
    </row>
    <row r="67" spans="1:9" s="28" customFormat="1">
      <c r="A67" s="199"/>
      <c r="B67" s="200" t="str">
        <f>TRIM(CivilAdht&amp; " " &amp; NomAdht)</f>
        <v/>
      </c>
      <c r="C67" s="199"/>
      <c r="D67" s="199"/>
      <c r="E67" s="199"/>
      <c r="F67" s="199"/>
      <c r="G67" s="199"/>
      <c r="H67" s="201"/>
      <c r="I67" s="77"/>
    </row>
    <row r="68" spans="1:9">
      <c r="B68" s="200"/>
      <c r="C68" s="199"/>
      <c r="D68" s="199"/>
      <c r="E68" s="199"/>
      <c r="F68" s="199"/>
      <c r="G68" s="199"/>
      <c r="H68" s="201"/>
    </row>
    <row r="70" spans="1:9" hidden="1" outlineLevel="1">
      <c r="B70" s="42" t="s">
        <v>298</v>
      </c>
      <c r="C70" s="42" t="str">
        <f>IF(MonnaieDG = "Euro","€uros","Francs")</f>
        <v>€uros</v>
      </c>
    </row>
    <row r="71" spans="1:9" hidden="1" outlineLevel="1"/>
    <row r="72" spans="1:9" hidden="1" outlineLevel="1"/>
    <row r="73" spans="1:9" hidden="1" outlineLevel="1"/>
    <row r="74" spans="1:9" hidden="1" outlineLevel="1"/>
    <row r="75" spans="1:9" hidden="1" outlineLevel="1"/>
    <row r="76" spans="1:9" hidden="1" outlineLevel="1"/>
    <row r="77" spans="1:9" hidden="1" outlineLevel="1"/>
    <row r="78" spans="1:9" hidden="1" outlineLevel="1"/>
    <row r="79" spans="1:9" hidden="1" outlineLevel="1">
      <c r="B79" s="42" t="str">
        <f>FinExN</f>
        <v>30/06/2017</v>
      </c>
    </row>
    <row r="80" spans="1:9" hidden="1" outlineLevel="1">
      <c r="B80" s="42" t="str">
        <f>LEFT(B79,5)</f>
        <v>30/06</v>
      </c>
    </row>
    <row r="81" spans="2:2" hidden="1" outlineLevel="1">
      <c r="B81" s="42" t="str">
        <f>RIGHT(B80,2)</f>
        <v>06</v>
      </c>
    </row>
    <row r="82" spans="2:2" hidden="1" outlineLevel="1">
      <c r="B82" s="42" t="str">
        <f>IF(OR(B81="06",B81="05"), "*Influencé par la présence d'une créance DPU de la récolte suivante", " ")</f>
        <v>*Influencé par la présence d'une créance DPU de la récolte suivante</v>
      </c>
    </row>
    <row r="83" spans="2:2" collapsed="1"/>
  </sheetData>
  <phoneticPr fontId="16" type="noConversion"/>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oddFooter>Page &amp;P</oddFooter>
  </headerFooter>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dimension ref="A9:H50"/>
  <sheetViews>
    <sheetView showZeros="0" topLeftCell="A35" zoomScaleNormal="100" workbookViewId="0">
      <selection activeCell="K41" sqref="K41:K42"/>
    </sheetView>
  </sheetViews>
  <sheetFormatPr baseColWidth="10" defaultRowHeight="12.75"/>
  <cols>
    <col min="1" max="1" width="1.42578125" style="42" customWidth="1"/>
    <col min="2" max="2" width="40" style="42" customWidth="1"/>
    <col min="3" max="3" width="11" style="42" customWidth="1"/>
    <col min="4" max="4" width="7.85546875" style="202" customWidth="1"/>
    <col min="5" max="5" width="11" style="42" customWidth="1"/>
    <col min="6" max="6" width="7.85546875" style="202" customWidth="1"/>
    <col min="7" max="7" width="10.140625" style="203" customWidth="1"/>
    <col min="8" max="8" width="2.7109375" style="42" customWidth="1"/>
  </cols>
  <sheetData>
    <row r="9" spans="1:8" ht="9.75" customHeight="1"/>
    <row r="10" spans="1:8" ht="9" customHeight="1"/>
    <row r="11" spans="1:8" ht="7.5" customHeight="1"/>
    <row r="12" spans="1:8" ht="14.25" customHeight="1" thickBot="1"/>
    <row r="13" spans="1:8" ht="18" customHeight="1">
      <c r="B13" s="204"/>
      <c r="C13" s="439" t="str">
        <f>" du "&amp;TEXT(DebutExN,"jj mm aa")</f>
        <v xml:space="preserve"> du 01 07 16</v>
      </c>
      <c r="D13" s="439"/>
      <c r="E13" s="439" t="str">
        <f>" du "&amp;TEXT(DebutExN1,"jj mm aa")</f>
        <v xml:space="preserve"> du 01 07 15</v>
      </c>
      <c r="F13" s="439"/>
      <c r="G13" s="440"/>
      <c r="H13" s="205"/>
    </row>
    <row r="14" spans="1:8" ht="18" customHeight="1">
      <c r="B14" s="206"/>
      <c r="C14" s="441" t="str">
        <f>" au "&amp;TEXT(FinExN,"jj mm aa")</f>
        <v xml:space="preserve"> au 30 06 17</v>
      </c>
      <c r="D14" s="441"/>
      <c r="E14" s="441" t="str">
        <f>" au "&amp;TEXT(FinExN1,"jj mm aa")</f>
        <v xml:space="preserve"> au 30 06 16</v>
      </c>
      <c r="F14" s="441"/>
      <c r="G14" s="442" t="s">
        <v>138</v>
      </c>
      <c r="H14" s="205"/>
    </row>
    <row r="15" spans="1:8" ht="20.100000000000001" customHeight="1">
      <c r="B15" s="206"/>
      <c r="C15" s="441" t="s">
        <v>113</v>
      </c>
      <c r="D15" s="441" t="s">
        <v>114</v>
      </c>
      <c r="E15" s="441" t="s">
        <v>115</v>
      </c>
      <c r="F15" s="441" t="s">
        <v>114</v>
      </c>
      <c r="G15" s="442" t="s">
        <v>139</v>
      </c>
      <c r="H15" s="205"/>
    </row>
    <row r="16" spans="1:8" s="53" customFormat="1" ht="23.1" customHeight="1">
      <c r="A16" s="207"/>
      <c r="B16" s="432" t="s">
        <v>116</v>
      </c>
      <c r="C16" s="443">
        <f>D_37060</f>
        <v>93183</v>
      </c>
      <c r="D16" s="444">
        <f>D_37082</f>
        <v>647.1</v>
      </c>
      <c r="E16" s="443">
        <f>D_37060_1</f>
        <v>85661</v>
      </c>
      <c r="F16" s="444">
        <f>D_37082_1</f>
        <v>595.45000000000005</v>
      </c>
      <c r="G16" s="445">
        <f t="shared" ref="G16:G21" si="0">IF(F16=0,"NS",((D16-F16)/F16*100))</f>
        <v>8.6741120161222547</v>
      </c>
      <c r="H16" s="208"/>
    </row>
    <row r="17" spans="1:8" ht="16.5" customHeight="1">
      <c r="B17" s="206" t="s">
        <v>120</v>
      </c>
      <c r="C17" s="209">
        <f>D_37061</f>
        <v>33816</v>
      </c>
      <c r="D17" s="210">
        <f>D_37083</f>
        <v>234.83</v>
      </c>
      <c r="E17" s="209">
        <f>D_37061_1</f>
        <v>39322</v>
      </c>
      <c r="F17" s="210">
        <f>D_37083_1</f>
        <v>273.33999999999997</v>
      </c>
      <c r="G17" s="211">
        <f t="shared" si="0"/>
        <v>-14.088680763883795</v>
      </c>
      <c r="H17" s="125"/>
    </row>
    <row r="18" spans="1:8" ht="16.5" customHeight="1">
      <c r="B18" s="206" t="s">
        <v>119</v>
      </c>
      <c r="C18" s="209">
        <f>D_37062</f>
        <v>23562</v>
      </c>
      <c r="D18" s="210">
        <f>D_37084</f>
        <v>163.63</v>
      </c>
      <c r="E18" s="209">
        <f>D_37062_1</f>
        <v>15824</v>
      </c>
      <c r="F18" s="210">
        <f>D_37084_1</f>
        <v>110</v>
      </c>
      <c r="G18" s="211">
        <f t="shared" si="0"/>
        <v>48.75454545454545</v>
      </c>
      <c r="H18" s="125"/>
    </row>
    <row r="19" spans="1:8" ht="16.5" customHeight="1">
      <c r="B19" s="206" t="s">
        <v>117</v>
      </c>
      <c r="C19" s="209">
        <f>D_37063</f>
        <v>35791</v>
      </c>
      <c r="D19" s="210">
        <f>D_37085</f>
        <v>248.55</v>
      </c>
      <c r="E19" s="209">
        <f>D_37063_1</f>
        <v>30505</v>
      </c>
      <c r="F19" s="210">
        <f>D_37085_1</f>
        <v>212.05</v>
      </c>
      <c r="G19" s="211">
        <f t="shared" si="0"/>
        <v>17.212921480782832</v>
      </c>
      <c r="H19" s="125"/>
    </row>
    <row r="20" spans="1:8" ht="16.5" customHeight="1">
      <c r="B20" s="206" t="s">
        <v>118</v>
      </c>
      <c r="C20" s="209">
        <f>D_37064</f>
        <v>14</v>
      </c>
      <c r="D20" s="210">
        <f>D_37086</f>
        <v>0.1</v>
      </c>
      <c r="E20" s="209">
        <f>D_37064_1</f>
        <v>10</v>
      </c>
      <c r="F20" s="210">
        <f>D_37086_1</f>
        <v>7.0000000000000007E-2</v>
      </c>
      <c r="G20" s="211">
        <f t="shared" si="0"/>
        <v>42.857142857142847</v>
      </c>
      <c r="H20" s="125"/>
    </row>
    <row r="21" spans="1:8" ht="16.5" customHeight="1">
      <c r="B21" s="206" t="s">
        <v>140</v>
      </c>
      <c r="C21" s="209">
        <f>D_37065</f>
        <v>0</v>
      </c>
      <c r="D21" s="210">
        <f>D_37087</f>
        <v>0</v>
      </c>
      <c r="E21" s="209">
        <f>D_37065_1</f>
        <v>0</v>
      </c>
      <c r="F21" s="210">
        <f>D_37087_1</f>
        <v>0</v>
      </c>
      <c r="G21" s="211" t="str">
        <f t="shared" si="0"/>
        <v>NS</v>
      </c>
      <c r="H21" s="125"/>
    </row>
    <row r="22" spans="1:8" ht="7.5" customHeight="1">
      <c r="B22" s="206"/>
      <c r="C22" s="209"/>
      <c r="D22" s="210"/>
      <c r="E22" s="209"/>
      <c r="F22" s="210"/>
      <c r="G22" s="211"/>
      <c r="H22" s="125"/>
    </row>
    <row r="23" spans="1:8" s="53" customFormat="1" ht="23.1" customHeight="1">
      <c r="A23" s="207"/>
      <c r="B23" s="432" t="s">
        <v>123</v>
      </c>
      <c r="C23" s="443">
        <f>D_37066</f>
        <v>0</v>
      </c>
      <c r="D23" s="444">
        <f>D_37088</f>
        <v>0</v>
      </c>
      <c r="E23" s="443">
        <f>D_37066_1</f>
        <v>0</v>
      </c>
      <c r="F23" s="444">
        <f>D_37088_1</f>
        <v>0</v>
      </c>
      <c r="G23" s="445" t="str">
        <f>IF(F23=0,"NS",((D23-F23)/F23*100))</f>
        <v>NS</v>
      </c>
      <c r="H23" s="208"/>
    </row>
    <row r="24" spans="1:8" ht="16.5" customHeight="1">
      <c r="B24" s="206" t="s">
        <v>121</v>
      </c>
      <c r="C24" s="209">
        <f>D_37067</f>
        <v>0</v>
      </c>
      <c r="D24" s="210">
        <f>D_37089</f>
        <v>0</v>
      </c>
      <c r="E24" s="209">
        <f>D_37067_1</f>
        <v>0</v>
      </c>
      <c r="F24" s="210">
        <f>D_37089_1</f>
        <v>0</v>
      </c>
      <c r="G24" s="211" t="str">
        <f>IF(F24=0,"NS",((D24-F24)/F24*100))</f>
        <v>NS</v>
      </c>
      <c r="H24" s="212"/>
    </row>
    <row r="25" spans="1:8" ht="16.5" customHeight="1">
      <c r="B25" s="206" t="s">
        <v>122</v>
      </c>
      <c r="C25" s="209">
        <f>D_37068</f>
        <v>0</v>
      </c>
      <c r="D25" s="210">
        <f>D_37090</f>
        <v>0</v>
      </c>
      <c r="E25" s="209">
        <f>D_37068_1</f>
        <v>0</v>
      </c>
      <c r="F25" s="210">
        <f>D_37090_1</f>
        <v>0</v>
      </c>
      <c r="G25" s="211" t="str">
        <f>IF(F25=0,"NS",((D25-F25)/F25*100))</f>
        <v>NS</v>
      </c>
      <c r="H25" s="212"/>
    </row>
    <row r="26" spans="1:8" ht="7.5" customHeight="1">
      <c r="B26" s="206"/>
      <c r="C26" s="209"/>
      <c r="D26" s="210"/>
      <c r="E26" s="209"/>
      <c r="F26" s="210"/>
      <c r="G26" s="211"/>
      <c r="H26" s="212"/>
    </row>
    <row r="27" spans="1:8" s="53" customFormat="1" ht="23.1" customHeight="1">
      <c r="A27" s="207"/>
      <c r="B27" s="432" t="s">
        <v>124</v>
      </c>
      <c r="C27" s="443">
        <f>D_37007 + D_37072</f>
        <v>38154</v>
      </c>
      <c r="D27" s="444">
        <f>D_37023 + D_37094</f>
        <v>264.96000000000004</v>
      </c>
      <c r="E27" s="443">
        <f>D_37007_1+ D_37072_1</f>
        <v>44815</v>
      </c>
      <c r="F27" s="444">
        <f>D_37023_1+ D_37094_1</f>
        <v>311.52</v>
      </c>
      <c r="G27" s="445">
        <f t="shared" ref="G27:G32" si="1">IF(F27=0,"NS",((D27-F27)/F27*100))</f>
        <v>-14.94607087827425</v>
      </c>
      <c r="H27" s="208"/>
    </row>
    <row r="28" spans="1:8" ht="16.5" customHeight="1">
      <c r="B28" s="206" t="s">
        <v>125</v>
      </c>
      <c r="C28" s="209">
        <f>D_37069</f>
        <v>6046</v>
      </c>
      <c r="D28" s="210">
        <f>D_37091</f>
        <v>41.99</v>
      </c>
      <c r="E28" s="209">
        <f>D_37069_1</f>
        <v>5604</v>
      </c>
      <c r="F28" s="210">
        <f>D_37091_1</f>
        <v>38.950000000000003</v>
      </c>
      <c r="G28" s="211">
        <f t="shared" si="1"/>
        <v>7.804878048780485</v>
      </c>
      <c r="H28" s="212"/>
    </row>
    <row r="29" spans="1:8" ht="16.5" customHeight="1">
      <c r="B29" s="206" t="s">
        <v>126</v>
      </c>
      <c r="C29" s="209">
        <f>D_37070</f>
        <v>14629</v>
      </c>
      <c r="D29" s="210">
        <f>D_37092</f>
        <v>101.59</v>
      </c>
      <c r="E29" s="209">
        <f>D_37070_1</f>
        <v>16624</v>
      </c>
      <c r="F29" s="210">
        <f>D_37092_1</f>
        <v>115.56</v>
      </c>
      <c r="G29" s="211">
        <f t="shared" si="1"/>
        <v>-12.088958116995499</v>
      </c>
      <c r="H29" s="212"/>
    </row>
    <row r="30" spans="1:8" ht="16.5" customHeight="1">
      <c r="B30" s="206" t="s">
        <v>127</v>
      </c>
      <c r="C30" s="209">
        <f>D_37071</f>
        <v>0</v>
      </c>
      <c r="D30" s="210">
        <f>D_37093</f>
        <v>0</v>
      </c>
      <c r="E30" s="209">
        <f>D_37071_1</f>
        <v>0</v>
      </c>
      <c r="F30" s="210">
        <f>D_37093_1</f>
        <v>0</v>
      </c>
      <c r="G30" s="211" t="str">
        <f t="shared" si="1"/>
        <v>NS</v>
      </c>
      <c r="H30" s="212"/>
    </row>
    <row r="31" spans="1:8" ht="16.5" customHeight="1">
      <c r="B31" s="206" t="s">
        <v>344</v>
      </c>
      <c r="C31" s="209">
        <f>D_37072</f>
        <v>17479</v>
      </c>
      <c r="D31" s="210">
        <f>D_37094</f>
        <v>121.38</v>
      </c>
      <c r="E31" s="209">
        <f>D_37072_1</f>
        <v>22587</v>
      </c>
      <c r="F31" s="210">
        <f>D_37094_1</f>
        <v>157.01</v>
      </c>
      <c r="G31" s="211">
        <f t="shared" si="1"/>
        <v>-22.692822113241192</v>
      </c>
      <c r="H31" s="212"/>
    </row>
    <row r="32" spans="1:8" ht="16.5" customHeight="1">
      <c r="B32" s="206" t="s">
        <v>128</v>
      </c>
      <c r="C32" s="209">
        <f>D_37074</f>
        <v>0</v>
      </c>
      <c r="D32" s="210">
        <f>D_37095</f>
        <v>0</v>
      </c>
      <c r="E32" s="209">
        <f>D_37074_1</f>
        <v>0</v>
      </c>
      <c r="F32" s="210">
        <f>D_37095_1</f>
        <v>0</v>
      </c>
      <c r="G32" s="211" t="str">
        <f t="shared" si="1"/>
        <v>NS</v>
      </c>
      <c r="H32" s="212"/>
    </row>
    <row r="33" spans="1:8" ht="6.75" customHeight="1">
      <c r="B33" s="206"/>
      <c r="C33" s="209"/>
      <c r="D33" s="210"/>
      <c r="E33" s="209"/>
      <c r="F33" s="210"/>
      <c r="G33" s="211"/>
      <c r="H33" s="212"/>
    </row>
    <row r="34" spans="1:8" s="53" customFormat="1" ht="23.1" customHeight="1">
      <c r="A34" s="207"/>
      <c r="B34" s="432" t="s">
        <v>129</v>
      </c>
      <c r="C34" s="443">
        <f>D_30470</f>
        <v>12397</v>
      </c>
      <c r="D34" s="444">
        <f>D_31047</f>
        <v>86.09</v>
      </c>
      <c r="E34" s="443">
        <f>D_30470_1</f>
        <v>13446</v>
      </c>
      <c r="F34" s="444">
        <f>D_31047_1</f>
        <v>93.47</v>
      </c>
      <c r="G34" s="445">
        <f>IF(F34=0,"NS",((D34-F34)/F34*100))</f>
        <v>-7.8955814699903666</v>
      </c>
      <c r="H34" s="208"/>
    </row>
    <row r="35" spans="1:8" s="53" customFormat="1" ht="11.25" customHeight="1">
      <c r="A35" s="207"/>
      <c r="B35" s="213"/>
      <c r="C35" s="214"/>
      <c r="D35" s="215"/>
      <c r="E35" s="216"/>
      <c r="F35" s="217"/>
      <c r="G35" s="218"/>
      <c r="H35" s="208"/>
    </row>
    <row r="36" spans="1:8" s="38" customFormat="1" ht="16.5" customHeight="1">
      <c r="A36" s="110"/>
      <c r="B36" s="502" t="s">
        <v>130</v>
      </c>
      <c r="C36" s="443">
        <f>D_37075 - D_30470</f>
        <v>44718</v>
      </c>
      <c r="D36" s="444">
        <f>D_37096 - D_31047</f>
        <v>310.53999999999996</v>
      </c>
      <c r="E36" s="443">
        <f>D_37075_1 - D_30470_1</f>
        <v>47702</v>
      </c>
      <c r="F36" s="444">
        <f>D_37096_1 - D_31047_1</f>
        <v>331.58000000000004</v>
      </c>
      <c r="G36" s="444">
        <f>IF(F36=0,"NS",((D36-F36)/F36*100))</f>
        <v>-6.3453766813438905</v>
      </c>
      <c r="H36" s="219"/>
    </row>
    <row r="37" spans="1:8" ht="16.5" customHeight="1">
      <c r="B37" s="206" t="s">
        <v>131</v>
      </c>
      <c r="C37" s="209">
        <f>D_37076</f>
        <v>7501</v>
      </c>
      <c r="D37" s="210">
        <f>D_37097</f>
        <v>52.09</v>
      </c>
      <c r="E37" s="209">
        <f>D_37076_1</f>
        <v>6994</v>
      </c>
      <c r="F37" s="210">
        <f>D_37097_1</f>
        <v>48.62</v>
      </c>
      <c r="G37" s="211">
        <f>IF(F37=0,"NS",((D37-F37)/F37*100))</f>
        <v>7.1369806663924438</v>
      </c>
      <c r="H37" s="125"/>
    </row>
    <row r="38" spans="1:8" ht="16.5" customHeight="1">
      <c r="B38" s="206" t="s">
        <v>132</v>
      </c>
      <c r="C38" s="209">
        <f>D_37077</f>
        <v>0</v>
      </c>
      <c r="D38" s="210">
        <f>D_37098</f>
        <v>0</v>
      </c>
      <c r="E38" s="209">
        <f>D_37077_1</f>
        <v>0</v>
      </c>
      <c r="F38" s="210">
        <f>D_37098_1</f>
        <v>0</v>
      </c>
      <c r="G38" s="211" t="str">
        <f>IF(F38=0,"NS",((D38-F38)/F38*100))</f>
        <v>NS</v>
      </c>
      <c r="H38" s="125"/>
    </row>
    <row r="39" spans="1:8" ht="16.5" customHeight="1">
      <c r="B39" s="206" t="s">
        <v>133</v>
      </c>
      <c r="C39" s="209">
        <f>D_37078</f>
        <v>9586</v>
      </c>
      <c r="D39" s="210">
        <f>D_37099</f>
        <v>66.569999999999993</v>
      </c>
      <c r="E39" s="209">
        <f>D_37078_1</f>
        <v>8720</v>
      </c>
      <c r="F39" s="210">
        <f>D_37099_1</f>
        <v>60.61</v>
      </c>
      <c r="G39" s="211">
        <f>IF(F39=0,"NS",((D39-F39)/F39*100))</f>
        <v>9.8333608315459404</v>
      </c>
      <c r="H39" s="125"/>
    </row>
    <row r="40" spans="1:8" ht="16.5" customHeight="1">
      <c r="B40" s="206" t="s">
        <v>134</v>
      </c>
      <c r="C40" s="209">
        <f>D_37079 - D_30470</f>
        <v>27631</v>
      </c>
      <c r="D40" s="210">
        <f>D_37100 - D_31047</f>
        <v>191.88000000000002</v>
      </c>
      <c r="E40" s="209">
        <f>D_37079_1 - D_30470_1</f>
        <v>31988</v>
      </c>
      <c r="F40" s="210">
        <f>D_37100_1 - D_31047_1</f>
        <v>222.35</v>
      </c>
      <c r="G40" s="211">
        <f>IF(F40=0,"NS",((D40-F40)/F40*100))</f>
        <v>-13.703620418259488</v>
      </c>
      <c r="H40" s="125"/>
    </row>
    <row r="41" spans="1:8" ht="6.75" customHeight="1">
      <c r="B41" s="206"/>
      <c r="C41" s="209"/>
      <c r="D41" s="210"/>
      <c r="E41" s="209"/>
      <c r="F41" s="210"/>
      <c r="G41" s="211"/>
      <c r="H41" s="125"/>
    </row>
    <row r="42" spans="1:8" s="509" customFormat="1" ht="16.5" customHeight="1">
      <c r="A42" s="507"/>
      <c r="B42" s="503" t="s">
        <v>135</v>
      </c>
      <c r="C42" s="443">
        <f>R_640</f>
        <v>1302</v>
      </c>
      <c r="D42" s="444">
        <f>D_31051</f>
        <v>9.0399999999999991</v>
      </c>
      <c r="E42" s="443">
        <f>R_640_1</f>
        <v>3174</v>
      </c>
      <c r="F42" s="444">
        <f>D_31051_1</f>
        <v>22.06</v>
      </c>
      <c r="G42" s="445">
        <f>IF(F42=0,"NS",((D42-F42)/F42*100))</f>
        <v>-59.020852221214867</v>
      </c>
      <c r="H42" s="508"/>
    </row>
    <row r="43" spans="1:8" s="509" customFormat="1" ht="16.5" customHeight="1">
      <c r="A43" s="507"/>
      <c r="B43" s="432" t="s">
        <v>136</v>
      </c>
      <c r="C43" s="443">
        <f>D_30500</f>
        <v>10766</v>
      </c>
      <c r="D43" s="444">
        <f>D_31050</f>
        <v>74.760000000000005</v>
      </c>
      <c r="E43" s="443">
        <f>D_30500_1</f>
        <v>23096</v>
      </c>
      <c r="F43" s="444">
        <f>D_31050_1</f>
        <v>160.54</v>
      </c>
      <c r="G43" s="445">
        <f>IF(F43=0,"NS",((D43-F43)/F43*100))</f>
        <v>-53.432166438270833</v>
      </c>
      <c r="H43" s="508"/>
    </row>
    <row r="44" spans="1:8" s="509" customFormat="1" ht="16.5" customHeight="1">
      <c r="A44" s="507"/>
      <c r="B44" s="504" t="s">
        <v>137</v>
      </c>
      <c r="C44" s="443">
        <f>D_37080</f>
        <v>-3590</v>
      </c>
      <c r="D44" s="444">
        <f>D_37101</f>
        <v>-24.93</v>
      </c>
      <c r="E44" s="443">
        <f>D_37080_1</f>
        <v>-3409</v>
      </c>
      <c r="F44" s="444">
        <f>D_37101_1</f>
        <v>-23.7</v>
      </c>
      <c r="G44" s="445">
        <f>IF(F44=0,"NS",((D44-F44)/F44*100))</f>
        <v>5.1898734177215209</v>
      </c>
      <c r="H44" s="508"/>
    </row>
    <row r="45" spans="1:8" s="509" customFormat="1" ht="16.5" customHeight="1" thickBot="1">
      <c r="A45" s="507"/>
      <c r="B45" s="430" t="s">
        <v>318</v>
      </c>
      <c r="C45" s="431">
        <f>D_37081</f>
        <v>41551</v>
      </c>
      <c r="D45" s="446">
        <f>D_37102</f>
        <v>288.55</v>
      </c>
      <c r="E45" s="431">
        <f>D_37081_1</f>
        <v>43767</v>
      </c>
      <c r="F45" s="446">
        <f>D_37102_1</f>
        <v>304.23</v>
      </c>
      <c r="G45" s="510">
        <f>IF(F45=0,"NS",((D45-F45)/F45*100))</f>
        <v>-5.1539953324787193</v>
      </c>
      <c r="H45" s="508"/>
    </row>
    <row r="46" spans="1:8" s="509" customFormat="1" ht="16.5" customHeight="1" thickBot="1">
      <c r="A46" s="507"/>
      <c r="B46" s="505"/>
      <c r="C46" s="494"/>
      <c r="D46" s="506"/>
      <c r="E46" s="494"/>
      <c r="F46" s="506"/>
      <c r="G46" s="506"/>
      <c r="H46" s="508"/>
    </row>
    <row r="47" spans="1:8" s="53" customFormat="1" ht="15" customHeight="1" thickBot="1">
      <c r="A47" s="207"/>
      <c r="B47" s="511" t="s">
        <v>21</v>
      </c>
      <c r="C47" s="512">
        <f>D_37014</f>
        <v>-27622</v>
      </c>
      <c r="D47" s="513">
        <f>D_37029</f>
        <v>-191.82</v>
      </c>
      <c r="E47" s="512">
        <f>D_37014_1</f>
        <v>49204</v>
      </c>
      <c r="F47" s="513">
        <f>D_37029_1</f>
        <v>342.03</v>
      </c>
      <c r="G47" s="514">
        <f>IF(F47=0,"NS",((D47-F47)/F47*100))</f>
        <v>-156.08279975440749</v>
      </c>
      <c r="H47" s="208"/>
    </row>
    <row r="48" spans="1:8">
      <c r="B48" s="220" t="s">
        <v>208</v>
      </c>
    </row>
    <row r="49" spans="2:8" ht="7.5" customHeight="1">
      <c r="B49" s="155"/>
      <c r="C49" s="135"/>
      <c r="D49" s="136"/>
      <c r="G49" s="221"/>
      <c r="H49" s="222"/>
    </row>
    <row r="50" spans="2:8">
      <c r="B50" s="155" t="str">
        <f>TRIM(CivilAdht&amp; " " &amp; NomAdht)</f>
        <v/>
      </c>
      <c r="C50" s="135"/>
      <c r="D50" s="136"/>
      <c r="G50" s="221"/>
    </row>
  </sheetData>
  <phoneticPr fontId="16" type="noConversion"/>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oddFooter>Page &amp;P</oddFooter>
  </headerFooter>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M94"/>
  <sheetViews>
    <sheetView showZeros="0" topLeftCell="A19" zoomScaleNormal="100" workbookViewId="0">
      <selection activeCell="K41" sqref="K41:K42"/>
    </sheetView>
  </sheetViews>
  <sheetFormatPr baseColWidth="10" defaultRowHeight="12.75" outlineLevelCol="1"/>
  <cols>
    <col min="1" max="1" width="2.7109375" style="42" customWidth="1"/>
    <col min="2" max="2" width="15.7109375" style="42" customWidth="1"/>
    <col min="3" max="3" width="30.7109375" style="42" customWidth="1"/>
    <col min="4" max="4" width="5.7109375" style="42" customWidth="1"/>
    <col min="5" max="5" width="15.7109375" style="42" customWidth="1"/>
    <col min="6" max="6" width="18.7109375" style="42" customWidth="1"/>
    <col min="7" max="7" width="2.7109375" style="42" customWidth="1"/>
    <col min="8" max="8" width="11.42578125" hidden="1" customWidth="1" outlineLevel="1"/>
    <col min="9" max="9" width="25.42578125" hidden="1" customWidth="1" outlineLevel="1"/>
    <col min="10" max="12" width="11.42578125" hidden="1" customWidth="1" outlineLevel="1"/>
    <col min="13" max="13" width="11.42578125" collapsed="1"/>
  </cols>
  <sheetData>
    <row r="1" spans="1:11" ht="12.75" customHeight="1">
      <c r="A1" s="125"/>
      <c r="B1" s="125"/>
      <c r="C1" s="125"/>
      <c r="D1" s="125"/>
      <c r="E1" s="125"/>
      <c r="F1" s="125"/>
      <c r="G1" s="125"/>
      <c r="H1" s="3"/>
      <c r="I1" s="4"/>
    </row>
    <row r="2" spans="1:11">
      <c r="A2" s="125"/>
      <c r="B2" s="125"/>
      <c r="C2" s="125"/>
      <c r="D2" s="125"/>
      <c r="E2" s="125"/>
      <c r="F2" s="125"/>
      <c r="G2" s="125"/>
    </row>
    <row r="3" spans="1:11" ht="20.100000000000001" customHeight="1">
      <c r="A3" s="125"/>
      <c r="B3" s="223"/>
      <c r="C3" s="125"/>
      <c r="D3" s="125"/>
      <c r="E3" s="125"/>
      <c r="F3" s="125"/>
      <c r="G3" s="125"/>
      <c r="H3" s="4"/>
      <c r="I3" s="4"/>
    </row>
    <row r="4" spans="1:11" ht="21.75" customHeight="1">
      <c r="A4" s="125"/>
      <c r="B4" s="224"/>
      <c r="C4" s="225"/>
      <c r="D4" s="225"/>
      <c r="E4" s="225"/>
      <c r="F4" s="225"/>
      <c r="G4" s="226"/>
      <c r="H4" s="1"/>
      <c r="I4" s="4"/>
    </row>
    <row r="5" spans="1:11" ht="13.5" customHeight="1">
      <c r="A5" s="125"/>
      <c r="B5" s="125"/>
      <c r="C5" s="125"/>
      <c r="D5" s="125"/>
      <c r="E5" s="125"/>
      <c r="F5" s="125"/>
      <c r="G5" s="125"/>
      <c r="H5" s="4"/>
      <c r="I5" s="4"/>
    </row>
    <row r="6" spans="1:11">
      <c r="A6" s="125"/>
      <c r="B6" s="125"/>
      <c r="C6" s="125"/>
      <c r="D6" s="125"/>
      <c r="E6" s="125"/>
      <c r="F6" s="125"/>
      <c r="G6" s="125"/>
      <c r="I6" s="12"/>
      <c r="J6" s="20" t="str">
        <f>TEXT(FinExN,"jj/mm/aaaa")</f>
        <v>30/06/2017</v>
      </c>
      <c r="K6" s="20" t="str">
        <f>TEXT(FinExN1,"jj/mm/aaaa")</f>
        <v>30/06/2016</v>
      </c>
    </row>
    <row r="7" spans="1:11">
      <c r="A7" s="125"/>
      <c r="B7" s="125"/>
      <c r="C7" s="125"/>
      <c r="D7" s="125"/>
      <c r="E7" s="125"/>
      <c r="F7" s="125"/>
      <c r="G7" s="125"/>
      <c r="I7" s="12" t="s">
        <v>209</v>
      </c>
      <c r="J7" s="12">
        <f>D_37060</f>
        <v>93183</v>
      </c>
      <c r="K7" s="12">
        <f>D_37060_1</f>
        <v>85661</v>
      </c>
    </row>
    <row r="8" spans="1:11">
      <c r="A8" s="125"/>
      <c r="B8" s="125"/>
      <c r="C8" s="125"/>
      <c r="D8" s="125"/>
      <c r="E8" s="125"/>
      <c r="F8" s="125"/>
      <c r="G8" s="125"/>
      <c r="I8" s="12" t="s">
        <v>210</v>
      </c>
      <c r="J8" s="12">
        <f>D_37066</f>
        <v>0</v>
      </c>
      <c r="K8" s="12">
        <f>D_37066_1</f>
        <v>0</v>
      </c>
    </row>
    <row r="9" spans="1:11">
      <c r="A9" s="125"/>
      <c r="B9" s="125"/>
      <c r="C9" s="125"/>
      <c r="D9" s="125"/>
      <c r="E9" s="125"/>
      <c r="F9" s="125"/>
      <c r="G9" s="125"/>
      <c r="I9" s="12" t="s">
        <v>211</v>
      </c>
      <c r="J9" s="21">
        <f>+D_37007 +D_37072</f>
        <v>38154</v>
      </c>
      <c r="K9" s="21">
        <f>+D_37007_1 + D_37072_1</f>
        <v>44815</v>
      </c>
    </row>
    <row r="10" spans="1:11">
      <c r="A10" s="125"/>
      <c r="B10" s="125"/>
      <c r="C10" s="125"/>
      <c r="D10" s="125"/>
      <c r="E10" s="125"/>
      <c r="F10" s="125"/>
      <c r="G10" s="125"/>
      <c r="I10" s="12" t="s">
        <v>212</v>
      </c>
      <c r="J10" s="12">
        <f>D_30470</f>
        <v>12397</v>
      </c>
      <c r="K10" s="12">
        <f>D_30470_1</f>
        <v>13446</v>
      </c>
    </row>
    <row r="11" spans="1:11">
      <c r="A11" s="125"/>
      <c r="B11" s="125"/>
      <c r="C11" s="125"/>
      <c r="D11" s="125"/>
      <c r="E11" s="125"/>
      <c r="F11" s="125"/>
      <c r="G11" s="125"/>
      <c r="I11" s="12" t="s">
        <v>213</v>
      </c>
      <c r="J11" s="12">
        <f>R_646</f>
        <v>10766</v>
      </c>
      <c r="K11" s="12">
        <f>R_646_1</f>
        <v>23096</v>
      </c>
    </row>
    <row r="12" spans="1:11">
      <c r="A12" s="125"/>
      <c r="B12" s="125"/>
      <c r="C12" s="125"/>
      <c r="D12" s="125"/>
      <c r="E12" s="125"/>
      <c r="F12" s="125"/>
      <c r="G12" s="125"/>
      <c r="I12" s="64" t="s">
        <v>23</v>
      </c>
      <c r="J12" s="65">
        <f>R_722</f>
        <v>3722</v>
      </c>
      <c r="K12" s="65">
        <f>R_722_1</f>
        <v>3511</v>
      </c>
    </row>
    <row r="13" spans="1:11">
      <c r="A13" s="125"/>
      <c r="B13" s="125"/>
      <c r="C13" s="125"/>
      <c r="D13" s="125"/>
      <c r="E13" s="125"/>
      <c r="F13" s="125"/>
      <c r="G13" s="125"/>
    </row>
    <row r="14" spans="1:11">
      <c r="A14" s="125"/>
      <c r="B14" s="125"/>
      <c r="C14" s="125"/>
      <c r="D14" s="125"/>
      <c r="E14" s="125"/>
      <c r="F14" s="125"/>
      <c r="G14" s="125"/>
    </row>
    <row r="15" spans="1:11">
      <c r="A15" s="125"/>
      <c r="B15" s="125"/>
      <c r="C15" s="125"/>
      <c r="D15" s="125"/>
      <c r="E15" s="125"/>
      <c r="F15" s="125"/>
      <c r="G15" s="125"/>
    </row>
    <row r="16" spans="1:11">
      <c r="A16" s="125"/>
      <c r="B16" s="125"/>
      <c r="C16" s="125"/>
      <c r="D16" s="125"/>
      <c r="E16" s="125"/>
      <c r="F16" s="125"/>
      <c r="G16" s="125"/>
    </row>
    <row r="17" spans="1:7">
      <c r="A17" s="125"/>
      <c r="B17" s="125"/>
      <c r="C17" s="125"/>
      <c r="D17" s="125"/>
      <c r="E17" s="125"/>
      <c r="F17" s="125"/>
      <c r="G17" s="125"/>
    </row>
    <row r="18" spans="1:7">
      <c r="A18" s="125"/>
      <c r="B18" s="125"/>
      <c r="C18" s="125"/>
      <c r="D18" s="125"/>
      <c r="E18" s="125"/>
      <c r="F18" s="125"/>
      <c r="G18" s="125"/>
    </row>
    <row r="19" spans="1:7">
      <c r="A19" s="125"/>
      <c r="B19" s="125"/>
      <c r="C19" s="125"/>
      <c r="D19" s="125"/>
      <c r="E19" s="125"/>
      <c r="F19" s="125"/>
      <c r="G19" s="125"/>
    </row>
    <row r="20" spans="1:7">
      <c r="A20" s="125"/>
      <c r="B20" s="125"/>
      <c r="C20" s="125"/>
      <c r="D20" s="125"/>
      <c r="E20" s="125"/>
      <c r="F20" s="125"/>
      <c r="G20" s="125"/>
    </row>
    <row r="21" spans="1:7">
      <c r="A21" s="125"/>
      <c r="B21" s="125"/>
      <c r="C21" s="125"/>
      <c r="D21" s="125"/>
      <c r="E21" s="125"/>
      <c r="F21" s="125"/>
      <c r="G21" s="125"/>
    </row>
    <row r="22" spans="1:7">
      <c r="A22" s="125"/>
      <c r="B22" s="125"/>
      <c r="C22" s="125"/>
      <c r="D22" s="125"/>
      <c r="E22" s="125"/>
      <c r="F22" s="125"/>
      <c r="G22" s="125"/>
    </row>
    <row r="23" spans="1:7">
      <c r="A23" s="125"/>
      <c r="B23" s="125"/>
      <c r="C23" s="125"/>
      <c r="D23" s="125"/>
      <c r="E23" s="125"/>
      <c r="F23" s="125"/>
      <c r="G23" s="125"/>
    </row>
    <row r="24" spans="1:7">
      <c r="A24" s="125"/>
      <c r="B24" s="125"/>
      <c r="C24" s="125"/>
      <c r="D24" s="125"/>
      <c r="E24" s="125"/>
      <c r="F24" s="125"/>
      <c r="G24" s="125"/>
    </row>
    <row r="25" spans="1:7">
      <c r="A25" s="125"/>
      <c r="B25" s="125"/>
      <c r="C25" s="125"/>
      <c r="D25" s="125"/>
      <c r="E25" s="125"/>
      <c r="F25" s="125"/>
      <c r="G25" s="125"/>
    </row>
    <row r="26" spans="1:7">
      <c r="A26" s="125"/>
      <c r="B26" s="125"/>
      <c r="C26" s="125"/>
      <c r="D26" s="125"/>
      <c r="E26" s="125"/>
      <c r="F26" s="125"/>
      <c r="G26" s="125"/>
    </row>
    <row r="27" spans="1:7">
      <c r="A27" s="125"/>
      <c r="B27" s="125"/>
      <c r="C27" s="125"/>
      <c r="D27" s="125"/>
      <c r="E27" s="125"/>
      <c r="F27" s="125"/>
      <c r="G27" s="125"/>
    </row>
    <row r="28" spans="1:7">
      <c r="A28" s="125"/>
      <c r="B28" s="125"/>
      <c r="C28" s="125"/>
      <c r="D28" s="125"/>
      <c r="E28" s="125"/>
      <c r="F28" s="125"/>
      <c r="G28" s="125"/>
    </row>
    <row r="29" spans="1:7">
      <c r="A29" s="125"/>
      <c r="B29" s="125"/>
      <c r="C29" s="125"/>
      <c r="D29" s="125"/>
      <c r="E29" s="125"/>
      <c r="F29" s="125"/>
      <c r="G29" s="125"/>
    </row>
    <row r="30" spans="1:7">
      <c r="A30" s="125"/>
      <c r="B30" s="125"/>
      <c r="C30" s="125"/>
      <c r="D30" s="125"/>
      <c r="E30" s="125"/>
      <c r="F30" s="125"/>
      <c r="G30" s="125"/>
    </row>
    <row r="31" spans="1:7">
      <c r="A31" s="125"/>
      <c r="B31" s="125"/>
      <c r="C31" s="125"/>
      <c r="D31" s="125"/>
      <c r="E31" s="125"/>
      <c r="F31" s="125"/>
      <c r="G31" s="125"/>
    </row>
    <row r="32" spans="1:7">
      <c r="A32" s="125"/>
      <c r="B32" s="125"/>
      <c r="C32" s="125"/>
      <c r="D32" s="125"/>
      <c r="E32" s="125"/>
      <c r="F32" s="125"/>
      <c r="G32" s="125"/>
    </row>
    <row r="33" spans="1:11">
      <c r="A33" s="125"/>
      <c r="B33" s="125"/>
      <c r="C33" s="125"/>
      <c r="D33" s="125"/>
      <c r="E33" s="125"/>
      <c r="F33" s="125"/>
      <c r="G33" s="125"/>
    </row>
    <row r="34" spans="1:11">
      <c r="A34" s="125"/>
      <c r="B34" s="125"/>
      <c r="C34" s="125"/>
      <c r="D34" s="125"/>
      <c r="E34" s="125"/>
      <c r="F34" s="125"/>
      <c r="G34" s="125"/>
      <c r="I34" s="12"/>
      <c r="J34" s="20" t="str">
        <f>TEXT(FinExN,"jj/mm/aaaa")</f>
        <v>30/06/2017</v>
      </c>
      <c r="K34" s="20"/>
    </row>
    <row r="35" spans="1:11">
      <c r="A35" s="125"/>
      <c r="B35" s="125"/>
      <c r="C35" s="125"/>
      <c r="D35" s="125"/>
      <c r="E35" s="125"/>
      <c r="F35" s="125"/>
      <c r="G35" s="125"/>
      <c r="I35" s="12" t="s">
        <v>209</v>
      </c>
      <c r="J35" s="12">
        <f>D_37060</f>
        <v>93183</v>
      </c>
      <c r="K35" s="12"/>
    </row>
    <row r="36" spans="1:11">
      <c r="A36" s="125"/>
      <c r="B36" s="125"/>
      <c r="C36" s="125"/>
      <c r="D36" s="125"/>
      <c r="E36" s="125"/>
      <c r="F36" s="125"/>
      <c r="G36" s="125"/>
      <c r="I36" s="12" t="s">
        <v>210</v>
      </c>
      <c r="J36" s="12">
        <f>D_37066</f>
        <v>0</v>
      </c>
      <c r="K36" s="12"/>
    </row>
    <row r="37" spans="1:11">
      <c r="A37" s="125"/>
      <c r="B37" s="125"/>
      <c r="C37" s="125"/>
      <c r="D37" s="125"/>
      <c r="E37" s="125"/>
      <c r="F37" s="125"/>
      <c r="G37" s="125"/>
      <c r="I37" s="12" t="s">
        <v>211</v>
      </c>
      <c r="J37" s="12">
        <f>(+D_37007 + D_37072)</f>
        <v>38154</v>
      </c>
      <c r="K37" s="12"/>
    </row>
    <row r="38" spans="1:11">
      <c r="A38" s="125"/>
      <c r="B38" s="125"/>
      <c r="C38" s="125"/>
      <c r="D38" s="125"/>
      <c r="E38" s="125"/>
      <c r="F38" s="125"/>
      <c r="G38" s="125"/>
      <c r="I38" s="12" t="s">
        <v>212</v>
      </c>
      <c r="J38" s="12">
        <f>D_30470</f>
        <v>12397</v>
      </c>
      <c r="K38" s="12"/>
    </row>
    <row r="39" spans="1:11">
      <c r="A39" s="125"/>
      <c r="B39" s="125"/>
      <c r="C39" s="125"/>
      <c r="D39" s="125"/>
      <c r="E39" s="125"/>
      <c r="F39" s="125"/>
      <c r="G39" s="125"/>
      <c r="I39" s="12" t="s">
        <v>214</v>
      </c>
      <c r="J39" s="12">
        <f>D_37075 + R_640 + D_30500 - D_37080 - D_37081 - D_30470</f>
        <v>18825</v>
      </c>
      <c r="K39" s="12"/>
    </row>
    <row r="40" spans="1:11">
      <c r="A40" s="125"/>
      <c r="B40" s="125"/>
      <c r="C40" s="125"/>
      <c r="D40" s="125"/>
      <c r="E40" s="125"/>
      <c r="F40" s="125"/>
      <c r="G40" s="125"/>
      <c r="I40" s="64" t="s">
        <v>215</v>
      </c>
      <c r="J40" s="12">
        <f>D_37014</f>
        <v>-27622</v>
      </c>
      <c r="K40" s="12"/>
    </row>
    <row r="41" spans="1:11">
      <c r="A41" s="125"/>
      <c r="B41" s="125"/>
      <c r="C41" s="125"/>
      <c r="D41" s="125"/>
      <c r="E41" s="125"/>
      <c r="F41" s="125"/>
      <c r="G41" s="125"/>
    </row>
    <row r="42" spans="1:11">
      <c r="A42" s="125"/>
      <c r="B42" s="125"/>
      <c r="C42" s="125"/>
      <c r="D42" s="125"/>
      <c r="E42" s="125"/>
      <c r="F42" s="125"/>
      <c r="G42" s="125"/>
      <c r="J42" s="4"/>
    </row>
    <row r="43" spans="1:11">
      <c r="A43" s="125"/>
      <c r="B43" s="125"/>
      <c r="C43" s="125"/>
      <c r="D43" s="125"/>
      <c r="E43" s="125"/>
      <c r="F43" s="125"/>
      <c r="G43" s="125"/>
      <c r="J43" s="4"/>
    </row>
    <row r="44" spans="1:11">
      <c r="A44" s="125"/>
      <c r="B44" s="125"/>
      <c r="C44" s="125"/>
      <c r="D44" s="125"/>
      <c r="E44" s="125"/>
      <c r="F44" s="125"/>
      <c r="G44" s="125"/>
      <c r="J44" s="4"/>
    </row>
    <row r="45" spans="1:11">
      <c r="A45" s="125"/>
      <c r="B45" s="125"/>
      <c r="C45" s="125"/>
      <c r="D45" s="125"/>
      <c r="E45" s="125"/>
      <c r="F45" s="125"/>
      <c r="G45" s="125"/>
      <c r="J45" s="4"/>
    </row>
    <row r="46" spans="1:11">
      <c r="A46" s="125"/>
      <c r="B46" s="125"/>
      <c r="C46" s="125"/>
      <c r="D46" s="125"/>
      <c r="E46" s="125"/>
      <c r="F46" s="125"/>
      <c r="G46" s="125"/>
      <c r="J46" s="4"/>
    </row>
    <row r="47" spans="1:11">
      <c r="A47" s="125"/>
      <c r="B47" s="125"/>
      <c r="C47" s="125"/>
      <c r="D47" s="125"/>
      <c r="E47" s="125"/>
      <c r="F47" s="125"/>
      <c r="G47" s="125"/>
      <c r="J47" s="4"/>
    </row>
    <row r="48" spans="1:11">
      <c r="A48" s="125"/>
      <c r="B48" s="125"/>
      <c r="C48" s="125"/>
      <c r="D48" s="125"/>
      <c r="E48" s="125"/>
      <c r="F48" s="125"/>
      <c r="G48" s="125"/>
    </row>
    <row r="49" spans="1:13">
      <c r="A49" s="125"/>
      <c r="B49" s="125"/>
      <c r="C49" s="125"/>
      <c r="D49" s="125"/>
      <c r="E49" s="125"/>
      <c r="F49" s="125"/>
      <c r="G49" s="125"/>
    </row>
    <row r="50" spans="1:13">
      <c r="A50" s="125"/>
      <c r="B50" s="125"/>
      <c r="C50" s="125"/>
      <c r="D50" s="125"/>
      <c r="E50" s="125"/>
      <c r="F50" s="125"/>
      <c r="G50" s="125"/>
    </row>
    <row r="51" spans="1:13">
      <c r="A51" s="125"/>
      <c r="B51" s="125"/>
      <c r="C51" s="125"/>
      <c r="D51" s="125"/>
      <c r="E51" s="125"/>
      <c r="F51" s="125"/>
      <c r="G51" s="125"/>
    </row>
    <row r="52" spans="1:13">
      <c r="A52" s="125"/>
      <c r="B52" s="125"/>
      <c r="C52" s="125"/>
      <c r="D52" s="125"/>
      <c r="E52" s="125"/>
      <c r="F52" s="125"/>
      <c r="G52" s="125"/>
    </row>
    <row r="53" spans="1:13">
      <c r="A53" s="125"/>
      <c r="B53" s="125"/>
      <c r="C53" s="125"/>
      <c r="D53" s="125"/>
      <c r="E53" s="125"/>
      <c r="F53" s="125"/>
      <c r="G53" s="125"/>
    </row>
    <row r="54" spans="1:13">
      <c r="A54" s="125"/>
      <c r="B54" s="125"/>
      <c r="C54" s="125"/>
      <c r="D54" s="125"/>
      <c r="E54" s="125"/>
      <c r="F54" s="125"/>
      <c r="G54" s="125"/>
    </row>
    <row r="55" spans="1:13">
      <c r="A55" s="125"/>
      <c r="B55" s="155" t="str">
        <f>TRIM(CivilAdht&amp; " " &amp; NomAdht)</f>
        <v/>
      </c>
      <c r="C55" s="135"/>
      <c r="D55" s="135"/>
      <c r="F55" s="227"/>
      <c r="I55" s="4"/>
    </row>
    <row r="56" spans="1:13">
      <c r="A56" s="125"/>
      <c r="B56" s="125"/>
      <c r="C56" s="125"/>
      <c r="D56" s="125"/>
      <c r="E56" s="125"/>
      <c r="F56" s="125"/>
      <c r="G56" s="125"/>
    </row>
    <row r="57" spans="1:13">
      <c r="A57" s="125"/>
      <c r="B57" s="125"/>
      <c r="C57" s="125"/>
      <c r="D57" s="125"/>
      <c r="E57" s="125"/>
      <c r="F57" s="125"/>
      <c r="G57" s="125"/>
    </row>
    <row r="58" spans="1:13">
      <c r="A58" s="125"/>
      <c r="B58" s="125"/>
      <c r="C58" s="125"/>
      <c r="D58" s="125"/>
      <c r="E58" s="125"/>
      <c r="F58" s="125"/>
      <c r="G58" s="125"/>
      <c r="H58" s="4"/>
      <c r="I58" s="4"/>
      <c r="J58" s="4"/>
      <c r="K58" s="4"/>
      <c r="L58" s="4"/>
      <c r="M58" s="4"/>
    </row>
    <row r="59" spans="1:13" ht="15">
      <c r="A59" s="125"/>
      <c r="B59" s="230"/>
      <c r="C59" s="125"/>
      <c r="D59" s="125"/>
      <c r="E59" s="125"/>
      <c r="F59" s="125"/>
      <c r="G59" s="125"/>
      <c r="H59" s="4"/>
      <c r="I59" s="4"/>
      <c r="J59" s="4"/>
      <c r="K59" s="4"/>
      <c r="L59" s="4"/>
      <c r="M59" s="4"/>
    </row>
    <row r="60" spans="1:13">
      <c r="A60" s="125"/>
      <c r="B60" s="125"/>
      <c r="C60" s="125"/>
      <c r="D60" s="125"/>
      <c r="E60" s="125"/>
      <c r="F60" s="125"/>
      <c r="G60" s="125"/>
      <c r="H60" s="4"/>
      <c r="I60" s="4"/>
      <c r="J60" s="4"/>
      <c r="K60" s="4"/>
      <c r="L60" s="4"/>
      <c r="M60" s="4"/>
    </row>
    <row r="61" spans="1:13" ht="15">
      <c r="A61" s="125"/>
      <c r="B61" s="125"/>
      <c r="C61" s="49"/>
      <c r="D61" s="231"/>
      <c r="E61" s="232"/>
      <c r="F61" s="125"/>
      <c r="G61" s="125"/>
      <c r="H61" s="4"/>
      <c r="I61" s="4"/>
      <c r="J61" s="4"/>
      <c r="K61" s="4"/>
      <c r="L61" s="4"/>
      <c r="M61" s="4"/>
    </row>
    <row r="62" spans="1:13" ht="5.0999999999999996" customHeight="1">
      <c r="A62" s="125"/>
      <c r="B62" s="125"/>
      <c r="C62" s="49"/>
      <c r="D62" s="49"/>
      <c r="E62" s="232"/>
      <c r="F62" s="125"/>
      <c r="G62" s="125"/>
      <c r="H62" s="4"/>
      <c r="I62" s="4"/>
      <c r="J62" s="4"/>
      <c r="K62" s="4"/>
      <c r="L62" s="4"/>
      <c r="M62" s="4"/>
    </row>
    <row r="63" spans="1:13" ht="15">
      <c r="A63" s="125"/>
      <c r="B63" s="125"/>
      <c r="C63" s="49"/>
      <c r="D63" s="49"/>
      <c r="E63" s="232"/>
      <c r="F63" s="125"/>
      <c r="G63" s="125"/>
      <c r="H63" s="4"/>
      <c r="I63" s="4"/>
      <c r="J63" s="4"/>
      <c r="K63" s="4"/>
      <c r="L63" s="4"/>
      <c r="M63" s="4"/>
    </row>
    <row r="64" spans="1:13" ht="5.0999999999999996" customHeight="1">
      <c r="A64" s="125"/>
      <c r="B64" s="125"/>
      <c r="C64" s="49"/>
      <c r="D64" s="49"/>
      <c r="E64" s="232"/>
      <c r="F64" s="125"/>
      <c r="G64" s="125"/>
      <c r="H64" s="4"/>
      <c r="I64" s="4"/>
      <c r="J64" s="4"/>
      <c r="K64" s="4"/>
      <c r="L64" s="4"/>
      <c r="M64" s="4"/>
    </row>
    <row r="65" spans="1:13" ht="15">
      <c r="A65" s="125"/>
      <c r="B65" s="125"/>
      <c r="C65" s="49"/>
      <c r="D65" s="49"/>
      <c r="E65" s="232"/>
      <c r="F65" s="125"/>
      <c r="G65" s="125"/>
      <c r="H65" s="4"/>
      <c r="I65" s="4"/>
      <c r="J65" s="4"/>
      <c r="K65" s="4"/>
      <c r="L65" s="4"/>
      <c r="M65" s="4"/>
    </row>
    <row r="66" spans="1:13" ht="5.0999999999999996" customHeight="1">
      <c r="A66" s="125"/>
      <c r="B66" s="125"/>
      <c r="C66" s="49"/>
      <c r="D66" s="49"/>
      <c r="E66" s="232"/>
      <c r="F66" s="125"/>
      <c r="G66" s="125"/>
      <c r="H66" s="4"/>
      <c r="I66" s="4"/>
      <c r="J66" s="4"/>
      <c r="K66" s="4"/>
      <c r="L66" s="4"/>
      <c r="M66" s="4"/>
    </row>
    <row r="67" spans="1:13" ht="15">
      <c r="A67" s="125"/>
      <c r="B67" s="125"/>
      <c r="C67" s="49"/>
      <c r="D67" s="49"/>
      <c r="E67" s="232"/>
      <c r="F67" s="125"/>
      <c r="G67" s="125"/>
      <c r="H67" s="4"/>
      <c r="I67" s="4"/>
      <c r="J67" s="4"/>
      <c r="K67" s="4"/>
      <c r="L67" s="4"/>
      <c r="M67" s="4"/>
    </row>
    <row r="68" spans="1:13" ht="5.0999999999999996" customHeight="1">
      <c r="A68" s="125"/>
      <c r="B68" s="125"/>
      <c r="C68" s="49"/>
      <c r="D68" s="49"/>
      <c r="E68" s="232"/>
      <c r="F68" s="125"/>
      <c r="G68" s="125"/>
      <c r="H68" s="4"/>
      <c r="I68" s="4"/>
      <c r="J68" s="4"/>
      <c r="K68" s="4"/>
      <c r="L68" s="4"/>
      <c r="M68" s="4"/>
    </row>
    <row r="69" spans="1:13" ht="15">
      <c r="A69" s="125"/>
      <c r="B69" s="125"/>
      <c r="C69" s="49"/>
      <c r="D69" s="49"/>
      <c r="E69" s="232"/>
      <c r="F69" s="125"/>
      <c r="G69" s="125"/>
      <c r="H69" s="4"/>
      <c r="I69" s="4"/>
      <c r="J69" s="4"/>
      <c r="K69" s="4"/>
      <c r="L69" s="4"/>
      <c r="M69" s="4"/>
    </row>
    <row r="70" spans="1:13">
      <c r="A70" s="125"/>
      <c r="B70" s="125"/>
      <c r="C70" s="125"/>
      <c r="D70" s="125"/>
      <c r="E70" s="125"/>
      <c r="F70" s="125"/>
      <c r="G70" s="125"/>
      <c r="H70" s="4"/>
      <c r="I70" s="4"/>
      <c r="J70" s="4"/>
      <c r="K70" s="4"/>
      <c r="L70" s="4"/>
      <c r="M70" s="4"/>
    </row>
    <row r="71" spans="1:13">
      <c r="A71" s="125"/>
      <c r="B71" s="125"/>
      <c r="C71" s="125"/>
      <c r="D71" s="125"/>
      <c r="E71" s="125"/>
      <c r="F71" s="125"/>
      <c r="G71" s="125"/>
      <c r="H71" s="4"/>
      <c r="I71" s="4"/>
      <c r="J71" s="4"/>
      <c r="K71" s="4"/>
      <c r="L71" s="4"/>
      <c r="M71" s="4"/>
    </row>
    <row r="72" spans="1:13" ht="15">
      <c r="A72" s="125"/>
      <c r="B72" s="230"/>
      <c r="C72" s="125"/>
      <c r="D72" s="125"/>
      <c r="E72" s="125"/>
      <c r="F72" s="125"/>
      <c r="G72" s="125"/>
      <c r="H72" s="4"/>
      <c r="I72" s="4"/>
      <c r="J72" s="4"/>
      <c r="K72" s="4"/>
      <c r="L72" s="4"/>
      <c r="M72" s="4"/>
    </row>
    <row r="73" spans="1:13">
      <c r="A73" s="125"/>
      <c r="B73" s="125"/>
      <c r="C73" s="125"/>
      <c r="D73" s="125"/>
      <c r="E73" s="125"/>
      <c r="F73" s="125"/>
      <c r="G73" s="125"/>
      <c r="H73" s="4"/>
      <c r="I73" s="4"/>
      <c r="J73" s="4"/>
      <c r="K73" s="4"/>
      <c r="L73" s="4"/>
      <c r="M73" s="4"/>
    </row>
    <row r="74" spans="1:13">
      <c r="A74" s="125"/>
      <c r="B74" s="125"/>
      <c r="C74" s="125"/>
      <c r="D74" s="125"/>
      <c r="E74" s="125"/>
      <c r="F74" s="125"/>
      <c r="G74" s="125"/>
      <c r="H74" s="4"/>
      <c r="I74" s="4"/>
      <c r="J74" s="4"/>
      <c r="K74" s="4"/>
      <c r="L74" s="4"/>
      <c r="M74" s="4"/>
    </row>
    <row r="75" spans="1:13">
      <c r="A75" s="125"/>
      <c r="B75" s="125"/>
      <c r="C75" s="125"/>
      <c r="D75" s="125"/>
      <c r="E75" s="125"/>
      <c r="F75" s="125"/>
      <c r="G75" s="125"/>
      <c r="H75" s="4"/>
      <c r="I75" s="4"/>
      <c r="J75" s="4"/>
      <c r="K75" s="4"/>
      <c r="L75" s="4"/>
      <c r="M75" s="4"/>
    </row>
    <row r="76" spans="1:13">
      <c r="A76" s="125"/>
      <c r="B76" s="125"/>
      <c r="C76" s="125"/>
      <c r="D76" s="125"/>
      <c r="E76" s="125"/>
      <c r="F76" s="125"/>
      <c r="G76" s="125"/>
      <c r="H76" s="4"/>
      <c r="I76" s="4"/>
      <c r="J76" s="4"/>
      <c r="K76" s="4"/>
      <c r="L76" s="4"/>
      <c r="M76" s="4"/>
    </row>
    <row r="77" spans="1:13">
      <c r="A77" s="125"/>
      <c r="B77" s="125"/>
      <c r="C77" s="125"/>
      <c r="D77" s="125"/>
      <c r="E77" s="125"/>
      <c r="F77" s="125"/>
      <c r="G77" s="125"/>
      <c r="H77" s="4"/>
      <c r="I77" s="4"/>
      <c r="J77" s="4"/>
      <c r="K77" s="4"/>
      <c r="L77" s="4"/>
      <c r="M77" s="4"/>
    </row>
    <row r="78" spans="1:13">
      <c r="A78" s="125"/>
      <c r="B78" s="125"/>
      <c r="C78" s="125"/>
      <c r="D78" s="125"/>
      <c r="E78" s="125"/>
      <c r="F78" s="125"/>
      <c r="G78" s="125"/>
      <c r="H78" s="4"/>
      <c r="I78" s="4"/>
      <c r="J78" s="4"/>
      <c r="K78" s="4"/>
      <c r="L78" s="4"/>
      <c r="M78" s="4"/>
    </row>
    <row r="79" spans="1:13">
      <c r="A79" s="125"/>
      <c r="B79" s="125"/>
      <c r="C79" s="125"/>
      <c r="D79" s="125"/>
      <c r="E79" s="125"/>
      <c r="F79" s="125"/>
      <c r="G79" s="125"/>
      <c r="H79" s="4"/>
      <c r="I79" s="4"/>
      <c r="J79" s="4"/>
      <c r="K79" s="4"/>
      <c r="L79" s="4"/>
      <c r="M79" s="4"/>
    </row>
    <row r="80" spans="1:13">
      <c r="A80" s="125"/>
      <c r="B80" s="125"/>
      <c r="C80" s="125"/>
      <c r="D80" s="125"/>
      <c r="E80" s="125"/>
      <c r="F80" s="125"/>
      <c r="G80" s="125"/>
      <c r="H80" s="4"/>
      <c r="I80" s="4"/>
      <c r="J80" s="4"/>
      <c r="K80" s="4"/>
      <c r="L80" s="4"/>
      <c r="M80" s="4"/>
    </row>
    <row r="81" spans="1:13">
      <c r="A81" s="125"/>
      <c r="B81" s="125"/>
      <c r="C81" s="125"/>
      <c r="D81" s="125"/>
      <c r="E81" s="125"/>
      <c r="F81" s="125"/>
      <c r="G81" s="125"/>
      <c r="H81" s="4"/>
      <c r="I81" s="4"/>
      <c r="J81" s="4"/>
      <c r="K81" s="4"/>
      <c r="L81" s="4"/>
      <c r="M81" s="4"/>
    </row>
    <row r="82" spans="1:13">
      <c r="A82" s="125"/>
      <c r="B82" s="125"/>
      <c r="C82" s="125"/>
      <c r="D82" s="125"/>
      <c r="E82" s="125"/>
      <c r="F82" s="125"/>
      <c r="G82" s="125"/>
      <c r="H82" s="4"/>
      <c r="I82" s="4"/>
      <c r="J82" s="4"/>
      <c r="K82" s="4"/>
      <c r="L82" s="4"/>
      <c r="M82" s="4"/>
    </row>
    <row r="83" spans="1:13">
      <c r="A83" s="125"/>
      <c r="B83" s="125"/>
      <c r="C83" s="125"/>
      <c r="D83" s="125"/>
      <c r="E83" s="125"/>
      <c r="F83" s="125"/>
      <c r="G83" s="125"/>
      <c r="H83" s="4"/>
      <c r="I83" s="4"/>
      <c r="J83" s="4"/>
      <c r="K83" s="4"/>
      <c r="L83" s="4"/>
      <c r="M83" s="4"/>
    </row>
    <row r="84" spans="1:13">
      <c r="A84" s="125"/>
      <c r="B84" s="125"/>
      <c r="C84" s="125"/>
      <c r="D84" s="125"/>
      <c r="E84" s="125"/>
      <c r="F84" s="125"/>
      <c r="G84" s="125"/>
      <c r="H84" s="4"/>
      <c r="I84" s="4"/>
      <c r="J84" s="4"/>
      <c r="K84" s="4"/>
      <c r="L84" s="4"/>
      <c r="M84" s="4"/>
    </row>
    <row r="85" spans="1:13">
      <c r="A85" s="125"/>
      <c r="B85" s="125"/>
      <c r="C85" s="125"/>
      <c r="D85" s="125"/>
      <c r="E85" s="125"/>
      <c r="F85" s="125"/>
      <c r="G85" s="125"/>
      <c r="H85" s="4"/>
      <c r="I85" s="4"/>
      <c r="J85" s="4"/>
      <c r="K85" s="4"/>
      <c r="L85" s="4"/>
      <c r="M85" s="4"/>
    </row>
    <row r="86" spans="1:13">
      <c r="A86" s="125"/>
      <c r="B86" s="125"/>
      <c r="C86" s="125"/>
      <c r="D86" s="125"/>
      <c r="E86" s="125"/>
      <c r="F86" s="125"/>
      <c r="G86" s="125"/>
      <c r="H86" s="4"/>
      <c r="I86" s="4"/>
      <c r="J86" s="4"/>
      <c r="K86" s="4"/>
      <c r="L86" s="4"/>
      <c r="M86" s="4"/>
    </row>
    <row r="87" spans="1:13">
      <c r="A87" s="125"/>
      <c r="B87" s="125"/>
      <c r="C87" s="125"/>
      <c r="D87" s="125"/>
      <c r="E87" s="125"/>
      <c r="F87" s="125"/>
      <c r="G87" s="125"/>
      <c r="H87" s="4"/>
      <c r="I87" s="4"/>
      <c r="J87" s="4"/>
      <c r="K87" s="4"/>
      <c r="L87" s="4"/>
      <c r="M87" s="4"/>
    </row>
    <row r="88" spans="1:13">
      <c r="A88" s="125"/>
      <c r="B88" s="125"/>
      <c r="C88" s="125"/>
      <c r="D88" s="125"/>
      <c r="E88" s="125"/>
      <c r="F88" s="125"/>
      <c r="G88" s="125"/>
      <c r="H88" s="4"/>
      <c r="I88" s="4"/>
      <c r="J88" s="4"/>
      <c r="K88" s="4"/>
      <c r="L88" s="4"/>
      <c r="M88" s="4"/>
    </row>
    <row r="89" spans="1:13">
      <c r="A89" s="125"/>
      <c r="B89" s="125"/>
      <c r="C89" s="125"/>
      <c r="D89" s="125"/>
      <c r="E89" s="125"/>
      <c r="F89" s="125"/>
      <c r="G89" s="125"/>
      <c r="H89" s="4"/>
      <c r="I89" s="4"/>
      <c r="J89" s="4"/>
      <c r="K89" s="4"/>
      <c r="L89" s="4"/>
      <c r="M89" s="4"/>
    </row>
    <row r="90" spans="1:13">
      <c r="A90" s="125"/>
      <c r="B90" s="125"/>
      <c r="C90" s="125"/>
      <c r="D90" s="125"/>
      <c r="E90" s="125"/>
      <c r="F90" s="125"/>
      <c r="G90" s="125"/>
      <c r="H90" s="4"/>
      <c r="I90" s="4"/>
      <c r="J90" s="4"/>
      <c r="K90" s="4"/>
      <c r="L90" s="4"/>
      <c r="M90" s="4"/>
    </row>
    <row r="91" spans="1:13" ht="6.95" customHeight="1">
      <c r="A91" s="125"/>
      <c r="B91" s="125"/>
      <c r="C91" s="125"/>
      <c r="D91" s="125"/>
      <c r="E91" s="125"/>
      <c r="F91" s="125"/>
      <c r="G91" s="125"/>
      <c r="H91" s="4"/>
      <c r="I91" s="4"/>
      <c r="J91" s="4"/>
      <c r="K91" s="4"/>
      <c r="L91" s="4"/>
      <c r="M91" s="4"/>
    </row>
    <row r="92" spans="1:13">
      <c r="A92" s="125"/>
      <c r="B92" s="125"/>
      <c r="C92" s="125"/>
      <c r="D92" s="125"/>
      <c r="E92" s="125"/>
      <c r="F92" s="125"/>
      <c r="G92" s="125"/>
      <c r="H92" s="4"/>
      <c r="I92" s="4"/>
      <c r="J92" s="4"/>
      <c r="K92" s="4"/>
      <c r="L92" s="4"/>
      <c r="M92" s="4"/>
    </row>
    <row r="93" spans="1:13">
      <c r="A93" s="125"/>
      <c r="B93" s="125"/>
      <c r="C93" s="125"/>
      <c r="D93" s="125"/>
      <c r="E93" s="125"/>
      <c r="F93" s="125"/>
      <c r="G93" s="125"/>
      <c r="H93" s="4"/>
      <c r="I93" s="4"/>
      <c r="J93" s="4"/>
      <c r="K93" s="4"/>
      <c r="L93" s="4"/>
      <c r="M93" s="4"/>
    </row>
    <row r="94" spans="1:13">
      <c r="A94" s="125"/>
      <c r="B94" s="125"/>
      <c r="C94" s="125"/>
      <c r="D94" s="125"/>
      <c r="E94" s="125"/>
      <c r="F94" s="125"/>
      <c r="G94" s="125"/>
      <c r="H94" s="4"/>
      <c r="I94" s="4"/>
      <c r="J94" s="4"/>
      <c r="K94" s="4"/>
      <c r="L94" s="4"/>
      <c r="M94" s="4"/>
    </row>
  </sheetData>
  <phoneticPr fontId="16" type="noConversion"/>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oddFooter>Page &amp;P</oddFooter>
  </headerFooter>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F56"/>
  <sheetViews>
    <sheetView showZeros="0" topLeftCell="A15" workbookViewId="0">
      <selection activeCell="K41" sqref="K41:K42"/>
    </sheetView>
  </sheetViews>
  <sheetFormatPr baseColWidth="10" defaultRowHeight="12.75"/>
  <cols>
    <col min="1" max="1" width="2.7109375" style="42" customWidth="1"/>
    <col min="2" max="2" width="50.7109375" style="42" customWidth="1"/>
    <col min="3" max="3" width="21.7109375" style="42" customWidth="1"/>
    <col min="4" max="4" width="11.7109375" style="42" customWidth="1"/>
    <col min="5" max="5" width="2.7109375" style="42" customWidth="1"/>
  </cols>
  <sheetData>
    <row r="1" spans="1:6">
      <c r="A1" s="125"/>
      <c r="B1" s="219"/>
      <c r="C1" s="125"/>
      <c r="D1" s="222"/>
      <c r="E1" s="125"/>
    </row>
    <row r="2" spans="1:6" ht="20.100000000000001" customHeight="1">
      <c r="A2" s="125"/>
      <c r="B2" s="223"/>
      <c r="C2" s="125"/>
      <c r="D2" s="125"/>
      <c r="E2" s="125"/>
    </row>
    <row r="3" spans="1:6" ht="24" customHeight="1">
      <c r="A3" s="125"/>
      <c r="B3" s="224"/>
      <c r="C3" s="225"/>
      <c r="D3" s="225"/>
      <c r="E3" s="125"/>
    </row>
    <row r="4" spans="1:6" ht="20.100000000000001" customHeight="1">
      <c r="A4" s="125"/>
      <c r="B4" s="224"/>
      <c r="C4" s="225"/>
      <c r="D4" s="225"/>
      <c r="E4" s="125"/>
    </row>
    <row r="5" spans="1:6" ht="14.25" customHeight="1">
      <c r="A5" s="125"/>
      <c r="B5" s="224"/>
      <c r="C5" s="224"/>
      <c r="D5" s="224"/>
      <c r="E5" s="125"/>
    </row>
    <row r="6" spans="1:6" ht="13.5" thickBot="1">
      <c r="A6" s="125"/>
      <c r="B6" s="125"/>
      <c r="C6" s="125"/>
      <c r="D6" s="125"/>
      <c r="E6" s="125"/>
    </row>
    <row r="7" spans="1:6" s="2" customFormat="1" ht="15" customHeight="1">
      <c r="A7" s="49"/>
      <c r="B7" s="233"/>
      <c r="C7" s="437" t="str">
        <f>TEXT(FinExN,"jj/mm/aaaa")</f>
        <v>30/06/2017</v>
      </c>
      <c r="D7" s="438"/>
      <c r="E7" s="49"/>
    </row>
    <row r="8" spans="1:6" s="2" customFormat="1" ht="15" customHeight="1">
      <c r="A8" s="49"/>
      <c r="B8" s="234"/>
      <c r="C8" s="235"/>
      <c r="D8" s="236" t="s">
        <v>11</v>
      </c>
      <c r="E8" s="49"/>
    </row>
    <row r="9" spans="1:6" s="23" customFormat="1" ht="15" customHeight="1">
      <c r="A9" s="237"/>
      <c r="B9" s="491" t="s">
        <v>102</v>
      </c>
      <c r="C9" s="492">
        <f>D_37199/100</f>
        <v>144</v>
      </c>
      <c r="D9" s="436"/>
      <c r="E9" s="237"/>
    </row>
    <row r="10" spans="1:6" s="2" customFormat="1" ht="15" customHeight="1">
      <c r="A10" s="49"/>
      <c r="B10" s="234"/>
      <c r="C10" s="238"/>
      <c r="D10" s="239"/>
      <c r="E10" s="49"/>
      <c r="F10" s="48"/>
    </row>
    <row r="11" spans="1:6" s="2" customFormat="1" ht="15" customHeight="1">
      <c r="A11" s="49"/>
      <c r="B11" s="206" t="s">
        <v>12</v>
      </c>
      <c r="C11" s="209">
        <f>D_37000</f>
        <v>111666</v>
      </c>
      <c r="D11" s="211">
        <f>D_37016</f>
        <v>775.46</v>
      </c>
      <c r="E11" s="49"/>
    </row>
    <row r="12" spans="1:6" s="2" customFormat="1" ht="15" customHeight="1">
      <c r="A12" s="49"/>
      <c r="B12" s="206" t="str">
        <f>" +/- variation de stocks"</f>
        <v xml:space="preserve"> +/- variation de stocks</v>
      </c>
      <c r="C12" s="209">
        <f>D_37205</f>
        <v>18711</v>
      </c>
      <c r="D12" s="241">
        <f>D_37207</f>
        <v>129.94</v>
      </c>
      <c r="E12" s="49"/>
      <c r="F12" s="490"/>
    </row>
    <row r="13" spans="1:6" s="2" customFormat="1" ht="15" customHeight="1">
      <c r="A13" s="49"/>
      <c r="B13" s="248" t="s">
        <v>334</v>
      </c>
      <c r="C13" s="249">
        <f>R_11066</f>
        <v>0</v>
      </c>
      <c r="D13" s="251">
        <f>D_37301</f>
        <v>0</v>
      </c>
      <c r="E13" s="49"/>
      <c r="F13" s="490"/>
    </row>
    <row r="14" spans="1:6" s="2" customFormat="1" ht="15" customHeight="1">
      <c r="A14" s="49"/>
      <c r="B14" s="248" t="s">
        <v>342</v>
      </c>
      <c r="C14" s="249">
        <f>R_11067</f>
        <v>0</v>
      </c>
      <c r="D14" s="251">
        <f>D_37302</f>
        <v>0</v>
      </c>
      <c r="E14" s="49"/>
    </row>
    <row r="15" spans="1:6" s="2" customFormat="1" ht="15" customHeight="1">
      <c r="A15" s="49"/>
      <c r="B15" s="434" t="s">
        <v>13</v>
      </c>
      <c r="C15" s="435">
        <f>D_37001</f>
        <v>130377</v>
      </c>
      <c r="D15" s="455">
        <f>D_37017</f>
        <v>905.4</v>
      </c>
      <c r="E15" s="49"/>
    </row>
    <row r="16" spans="1:6" s="2" customFormat="1" ht="6.95" customHeight="1">
      <c r="A16" s="49"/>
      <c r="B16" s="206"/>
      <c r="C16" s="209"/>
      <c r="D16" s="211"/>
      <c r="E16" s="49"/>
    </row>
    <row r="17" spans="1:5" s="2" customFormat="1" ht="15" customHeight="1">
      <c r="A17" s="49"/>
      <c r="B17" s="206" t="s">
        <v>14</v>
      </c>
      <c r="C17" s="209">
        <f>D_37002</f>
        <v>0</v>
      </c>
      <c r="D17" s="211">
        <f>D_37018</f>
        <v>0</v>
      </c>
      <c r="E17" s="49"/>
    </row>
    <row r="18" spans="1:5" s="2" customFormat="1" ht="15" customHeight="1">
      <c r="A18" s="49"/>
      <c r="B18" s="206" t="str">
        <f>" +/- variation de stocks"</f>
        <v xml:space="preserve"> +/- variation de stocks</v>
      </c>
      <c r="C18" s="209">
        <f xml:space="preserve"> D_37206</f>
        <v>0</v>
      </c>
      <c r="D18" s="456">
        <f xml:space="preserve"> D_37208</f>
        <v>0</v>
      </c>
      <c r="E18" s="49"/>
    </row>
    <row r="19" spans="1:5" s="2" customFormat="1" ht="15" customHeight="1">
      <c r="A19" s="49"/>
      <c r="B19" s="206" t="str">
        <f>" + primes"</f>
        <v xml:space="preserve"> + primes</v>
      </c>
      <c r="C19" s="209">
        <f>R_11022</f>
        <v>0</v>
      </c>
      <c r="D19" s="211">
        <f>D_37194</f>
        <v>0</v>
      </c>
      <c r="E19" s="49"/>
    </row>
    <row r="20" spans="1:5" s="2" customFormat="1" ht="15" customHeight="1">
      <c r="A20" s="49"/>
      <c r="B20" s="434" t="s">
        <v>15</v>
      </c>
      <c r="C20" s="435">
        <f>D_37003</f>
        <v>0</v>
      </c>
      <c r="D20" s="455">
        <f>D_37019</f>
        <v>0</v>
      </c>
      <c r="E20" s="49"/>
    </row>
    <row r="21" spans="1:5" s="2" customFormat="1" ht="15" customHeight="1">
      <c r="A21" s="49"/>
      <c r="B21" s="206" t="s">
        <v>103</v>
      </c>
      <c r="C21" s="209">
        <f>D_37004</f>
        <v>4839</v>
      </c>
      <c r="D21" s="211">
        <f>D_37020</f>
        <v>33.6</v>
      </c>
      <c r="E21" s="49"/>
    </row>
    <row r="22" spans="1:5" s="2" customFormat="1" ht="6.95" customHeight="1">
      <c r="A22" s="49"/>
      <c r="B22" s="242"/>
      <c r="C22" s="209"/>
      <c r="D22" s="211"/>
      <c r="E22" s="49"/>
    </row>
    <row r="23" spans="1:5" s="386" customFormat="1" ht="20.100000000000001" customHeight="1">
      <c r="A23" s="385"/>
      <c r="B23" s="432" t="s">
        <v>104</v>
      </c>
      <c r="C23" s="433">
        <f>D_37005</f>
        <v>135216</v>
      </c>
      <c r="D23" s="457">
        <f>D_37021</f>
        <v>939</v>
      </c>
      <c r="E23" s="385"/>
    </row>
    <row r="24" spans="1:5" s="2" customFormat="1" ht="6.95" customHeight="1">
      <c r="A24" s="49"/>
      <c r="B24" s="243"/>
      <c r="C24" s="244"/>
      <c r="D24" s="458"/>
      <c r="E24" s="49"/>
    </row>
    <row r="25" spans="1:5" s="2" customFormat="1" ht="15" customHeight="1">
      <c r="A25" s="49"/>
      <c r="B25" s="206" t="str">
        <f>" - charges d'approvisionnements"</f>
        <v xml:space="preserve"> - charges d'approvisionnements</v>
      </c>
      <c r="C25" s="209">
        <f>D_37197</f>
        <v>93462</v>
      </c>
      <c r="D25" s="211">
        <f>D_37198</f>
        <v>649.04</v>
      </c>
      <c r="E25" s="49"/>
    </row>
    <row r="26" spans="1:5" s="2" customFormat="1" ht="15" customHeight="1">
      <c r="A26" s="49"/>
      <c r="B26" s="206" t="str">
        <f>" - achats animaux"</f>
        <v xml:space="preserve"> - achats animaux</v>
      </c>
      <c r="C26" s="209">
        <f>R_612</f>
        <v>0</v>
      </c>
      <c r="D26" s="211">
        <f>D_30426</f>
        <v>0</v>
      </c>
      <c r="E26" s="49"/>
    </row>
    <row r="27" spans="1:5" s="2" customFormat="1" ht="6.95" customHeight="1">
      <c r="A27" s="49"/>
      <c r="B27" s="206"/>
      <c r="C27" s="209"/>
      <c r="D27" s="211"/>
      <c r="E27" s="49"/>
    </row>
    <row r="28" spans="1:5" s="386" customFormat="1" ht="20.100000000000001" customHeight="1">
      <c r="A28" s="385"/>
      <c r="B28" s="432" t="s">
        <v>16</v>
      </c>
      <c r="C28" s="433">
        <f>D_37006</f>
        <v>41754</v>
      </c>
      <c r="D28" s="457">
        <f>D_37022</f>
        <v>289.95999999999998</v>
      </c>
      <c r="E28" s="385"/>
    </row>
    <row r="29" spans="1:5" s="2" customFormat="1" ht="9" customHeight="1">
      <c r="A29" s="49"/>
      <c r="B29" s="206"/>
      <c r="C29" s="209"/>
      <c r="D29" s="211"/>
      <c r="E29" s="49"/>
    </row>
    <row r="30" spans="1:5" s="2" customFormat="1" ht="15" customHeight="1">
      <c r="A30" s="49"/>
      <c r="B30" s="206" t="str">
        <f>" - Autres services &amp; approvisionnements dont"</f>
        <v xml:space="preserve"> - Autres services &amp; approvisionnements dont</v>
      </c>
      <c r="C30" s="209"/>
      <c r="D30" s="211"/>
      <c r="E30" s="49"/>
    </row>
    <row r="31" spans="1:5" s="2" customFormat="1" ht="15" customHeight="1">
      <c r="A31" s="49"/>
      <c r="B31" s="206" t="s">
        <v>105</v>
      </c>
      <c r="C31" s="209">
        <f>D_37007</f>
        <v>20675</v>
      </c>
      <c r="D31" s="211">
        <f>D_37023</f>
        <v>143.58000000000001</v>
      </c>
      <c r="E31" s="49"/>
    </row>
    <row r="32" spans="1:5" s="2" customFormat="1" ht="15" customHeight="1">
      <c r="A32" s="49"/>
      <c r="B32" s="206" t="s">
        <v>106</v>
      </c>
      <c r="C32" s="209">
        <f>D_30470</f>
        <v>12397</v>
      </c>
      <c r="D32" s="211">
        <f>D_31047</f>
        <v>86.09</v>
      </c>
      <c r="E32" s="49"/>
    </row>
    <row r="33" spans="1:5" s="2" customFormat="1" ht="15" customHeight="1">
      <c r="A33" s="49"/>
      <c r="B33" s="206" t="s">
        <v>17</v>
      </c>
      <c r="C33" s="209">
        <f>D_37008</f>
        <v>44718</v>
      </c>
      <c r="D33" s="211">
        <f>D_37024</f>
        <v>310.54000000000002</v>
      </c>
      <c r="E33" s="49"/>
    </row>
    <row r="34" spans="1:5" s="2" customFormat="1" ht="6.95" customHeight="1">
      <c r="A34" s="49"/>
      <c r="B34" s="206"/>
      <c r="C34" s="209"/>
      <c r="D34" s="211"/>
      <c r="E34" s="49"/>
    </row>
    <row r="35" spans="1:5" s="386" customFormat="1" ht="20.100000000000001" customHeight="1">
      <c r="A35" s="385"/>
      <c r="B35" s="432" t="s">
        <v>18</v>
      </c>
      <c r="C35" s="433">
        <f>D_37009</f>
        <v>-36036</v>
      </c>
      <c r="D35" s="459">
        <f>D_37025</f>
        <v>-250.25</v>
      </c>
      <c r="E35" s="385"/>
    </row>
    <row r="36" spans="1:5" s="2" customFormat="1" ht="15" customHeight="1">
      <c r="A36" s="49"/>
      <c r="B36" s="206" t="str">
        <f>" - frais de personnel"</f>
        <v xml:space="preserve"> - frais de personnel</v>
      </c>
      <c r="C36" s="209">
        <f>D_37012</f>
        <v>0</v>
      </c>
      <c r="D36" s="211">
        <f>D_37027</f>
        <v>0</v>
      </c>
      <c r="E36" s="49"/>
    </row>
    <row r="37" spans="1:5" s="2" customFormat="1" ht="15" customHeight="1">
      <c r="A37" s="49"/>
      <c r="B37" s="206" t="str">
        <f>" - cotisations sociales de l'exploitant"</f>
        <v xml:space="preserve"> - cotisations sociales de l'exploitant</v>
      </c>
      <c r="C37" s="209">
        <f>R_646</f>
        <v>10766</v>
      </c>
      <c r="D37" s="211">
        <f>D_31050</f>
        <v>74.760000000000005</v>
      </c>
      <c r="E37" s="49"/>
    </row>
    <row r="38" spans="1:5" s="2" customFormat="1" ht="15" customHeight="1">
      <c r="A38" s="49"/>
      <c r="B38" s="206" t="str">
        <f>" - impôts et taxes"</f>
        <v xml:space="preserve"> - impôts et taxes</v>
      </c>
      <c r="C38" s="209">
        <f>R_640</f>
        <v>1302</v>
      </c>
      <c r="D38" s="211">
        <f>C38/C9</f>
        <v>9.0416666666666661</v>
      </c>
      <c r="E38" s="49"/>
    </row>
    <row r="39" spans="1:5" s="2" customFormat="1" ht="6.95" customHeight="1">
      <c r="A39" s="49"/>
      <c r="B39" s="206"/>
      <c r="C39" s="209"/>
      <c r="D39" s="211"/>
      <c r="E39" s="49"/>
    </row>
    <row r="40" spans="1:5" s="386" customFormat="1" ht="20.100000000000001" customHeight="1">
      <c r="A40" s="385"/>
      <c r="B40" s="432" t="s">
        <v>19</v>
      </c>
      <c r="C40" s="433">
        <f>D_37011</f>
        <v>-48104</v>
      </c>
      <c r="D40" s="457">
        <f>D_37026</f>
        <v>-334.06</v>
      </c>
      <c r="E40" s="385"/>
    </row>
    <row r="41" spans="1:5" s="2" customFormat="1" ht="15" customHeight="1">
      <c r="A41" s="49"/>
      <c r="B41" s="206" t="str">
        <f>" - frais financiers"</f>
        <v xml:space="preserve"> - frais financiers</v>
      </c>
      <c r="C41" s="209">
        <f>R_722</f>
        <v>3722</v>
      </c>
      <c r="D41" s="211">
        <f>D_30525</f>
        <v>25.85</v>
      </c>
      <c r="E41" s="49"/>
    </row>
    <row r="42" spans="1:5" s="2" customFormat="1" ht="15" customHeight="1">
      <c r="A42" s="49"/>
      <c r="B42" s="206" t="str">
        <f>" - amortissements et provisions"</f>
        <v xml:space="preserve"> - amortissements et provisions</v>
      </c>
      <c r="C42" s="209">
        <f>R_652 + R_658 + R_664 + R_668</f>
        <v>19537</v>
      </c>
      <c r="D42" s="211">
        <f>D_31053</f>
        <v>135.66999999999999</v>
      </c>
      <c r="E42" s="49"/>
    </row>
    <row r="43" spans="1:5" s="2" customFormat="1" ht="15" customHeight="1">
      <c r="A43" s="49" t="s">
        <v>20</v>
      </c>
      <c r="B43" s="206" t="str">
        <f>" + produits financiers"</f>
        <v xml:space="preserve"> + produits financiers</v>
      </c>
      <c r="C43" s="209">
        <f>R_702</f>
        <v>132</v>
      </c>
      <c r="D43" s="211">
        <f>D_30526</f>
        <v>0.92</v>
      </c>
      <c r="E43" s="49"/>
    </row>
    <row r="44" spans="1:5" s="2" customFormat="1" ht="15" customHeight="1">
      <c r="A44" s="49"/>
      <c r="B44" s="206" t="str">
        <f>" - autres charges"</f>
        <v xml:space="preserve"> - autres charges</v>
      </c>
      <c r="C44" s="209">
        <f>R_672</f>
        <v>-1</v>
      </c>
      <c r="D44" s="211">
        <f>D_31054</f>
        <v>-0.01</v>
      </c>
      <c r="E44" s="49"/>
    </row>
    <row r="45" spans="1:5" s="2" customFormat="1" ht="15" customHeight="1">
      <c r="A45" s="49"/>
      <c r="B45" s="206" t="s">
        <v>337</v>
      </c>
      <c r="C45" s="209">
        <f>D_37013</f>
        <v>43608</v>
      </c>
      <c r="D45" s="211">
        <f>D_37028</f>
        <v>302.83</v>
      </c>
      <c r="E45" s="49"/>
    </row>
    <row r="46" spans="1:5" s="2" customFormat="1" ht="6.95" customHeight="1">
      <c r="A46" s="49"/>
      <c r="B46" s="206"/>
      <c r="C46" s="209"/>
      <c r="D46" s="211"/>
      <c r="E46" s="49"/>
    </row>
    <row r="47" spans="1:5" s="386" customFormat="1" ht="20.100000000000001" customHeight="1">
      <c r="A47" s="385"/>
      <c r="B47" s="432" t="s">
        <v>21</v>
      </c>
      <c r="C47" s="433">
        <f>D_37014</f>
        <v>-27622</v>
      </c>
      <c r="D47" s="457">
        <f>D_37029</f>
        <v>-191.82</v>
      </c>
      <c r="E47" s="385"/>
    </row>
    <row r="48" spans="1:5" s="2" customFormat="1" ht="15" customHeight="1">
      <c r="A48" s="49"/>
      <c r="B48" s="740" t="s">
        <v>467</v>
      </c>
      <c r="C48" s="209">
        <f>D_30550</f>
        <v>0</v>
      </c>
      <c r="D48" s="211">
        <f>D_31055</f>
        <v>0</v>
      </c>
      <c r="E48" s="49"/>
    </row>
    <row r="49" spans="1:5" s="2" customFormat="1" ht="15" customHeight="1">
      <c r="A49" s="49"/>
      <c r="B49" s="206" t="s">
        <v>338</v>
      </c>
      <c r="C49" s="209">
        <f>D_30560</f>
        <v>0</v>
      </c>
      <c r="D49" s="211">
        <f>D_31056</f>
        <v>0</v>
      </c>
      <c r="E49" s="49"/>
    </row>
    <row r="50" spans="1:5" s="2" customFormat="1" ht="6.95" customHeight="1">
      <c r="A50" s="49"/>
      <c r="B50" s="206"/>
      <c r="C50" s="209"/>
      <c r="D50" s="211"/>
      <c r="E50" s="49"/>
    </row>
    <row r="51" spans="1:5" s="386" customFormat="1" ht="20.100000000000001" customHeight="1" thickBot="1">
      <c r="A51" s="385"/>
      <c r="B51" s="430" t="s">
        <v>22</v>
      </c>
      <c r="C51" s="431">
        <f>D_37015</f>
        <v>-27622</v>
      </c>
      <c r="D51" s="460">
        <f>D_37030</f>
        <v>-191.82</v>
      </c>
      <c r="E51" s="385"/>
    </row>
    <row r="52" spans="1:5" s="2" customFormat="1" ht="16.5" customHeight="1">
      <c r="A52" s="49"/>
      <c r="B52" s="733"/>
      <c r="C52" s="501">
        <f>R_11068+ R_11069</f>
        <v>0</v>
      </c>
      <c r="D52" s="125"/>
      <c r="E52" s="49"/>
    </row>
    <row r="53" spans="1:5" s="2" customFormat="1" ht="3.75" customHeight="1">
      <c r="A53" s="49"/>
      <c r="B53" s="155"/>
      <c r="C53" s="135"/>
      <c r="D53" s="155"/>
      <c r="E53" s="42"/>
    </row>
    <row r="54" spans="1:5" s="2" customFormat="1" ht="6" customHeight="1">
      <c r="A54" s="43"/>
      <c r="B54" s="43"/>
      <c r="C54" s="43"/>
      <c r="D54" s="43"/>
      <c r="E54" s="43"/>
    </row>
    <row r="55" spans="1:5" s="2" customFormat="1" ht="15" customHeight="1">
      <c r="A55" s="43"/>
      <c r="B55" s="155"/>
      <c r="C55" s="135"/>
      <c r="D55" s="155"/>
      <c r="E55" s="43"/>
    </row>
    <row r="56" spans="1:5" s="2" customFormat="1" ht="15" customHeight="1">
      <c r="A56" s="43"/>
      <c r="B56" s="42"/>
      <c r="C56" s="42"/>
      <c r="D56" s="42"/>
      <c r="E56" s="43"/>
    </row>
  </sheetData>
  <phoneticPr fontId="16" type="noConversion"/>
  <printOptions horizontalCentered="1" verticalCentered="1"/>
  <pageMargins left="0.59055118110236227" right="0.59055118110236227" top="0.39370078740157483" bottom="0.19685039370078741" header="0.51181102362204722" footer="0.51181102362204722"/>
  <pageSetup paperSize="9" orientation="portrait" r:id="rId1"/>
  <headerFooter alignWithMargins="0">
    <oddFooter>Page &amp;P</oddFooter>
  </headerFooter>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dimension ref="A1:H76"/>
  <sheetViews>
    <sheetView showZeros="0" workbookViewId="0">
      <selection activeCell="K41" sqref="K41:K42"/>
    </sheetView>
  </sheetViews>
  <sheetFormatPr baseColWidth="10" defaultRowHeight="12.75" outlineLevelRow="1"/>
  <cols>
    <col min="1" max="1" width="2.7109375" style="42" customWidth="1"/>
    <col min="2" max="2" width="34.7109375" style="42" customWidth="1"/>
    <col min="3" max="3" width="16.7109375" style="42" customWidth="1"/>
    <col min="4" max="4" width="8.7109375" style="473" customWidth="1"/>
    <col min="5" max="5" width="16.7109375" style="42" customWidth="1"/>
    <col min="6" max="6" width="8.7109375" style="473" customWidth="1"/>
    <col min="7" max="7" width="2.7109375" style="42" customWidth="1"/>
    <col min="8" max="8" width="11.42578125" style="42"/>
  </cols>
  <sheetData>
    <row r="1" spans="1:7" ht="12.75" customHeight="1">
      <c r="A1" s="125"/>
      <c r="B1" s="223"/>
      <c r="C1" s="125"/>
      <c r="D1" s="461"/>
      <c r="E1" s="125"/>
      <c r="F1" s="461"/>
      <c r="G1" s="125"/>
    </row>
    <row r="2" spans="1:7" ht="24" customHeight="1">
      <c r="A2" s="125"/>
      <c r="B2" s="224"/>
      <c r="C2" s="225"/>
      <c r="D2" s="462"/>
      <c r="E2" s="225"/>
      <c r="F2" s="462"/>
      <c r="G2" s="125"/>
    </row>
    <row r="3" spans="1:7" ht="20.100000000000001" customHeight="1">
      <c r="A3" s="125"/>
      <c r="B3" s="224"/>
      <c r="C3" s="225"/>
      <c r="D3" s="462"/>
      <c r="E3" s="225"/>
      <c r="F3" s="462"/>
      <c r="G3" s="125"/>
    </row>
    <row r="4" spans="1:7" ht="20.100000000000001" customHeight="1">
      <c r="A4" s="125"/>
      <c r="B4" s="224"/>
      <c r="C4" s="224"/>
      <c r="D4" s="463"/>
      <c r="E4" s="224"/>
      <c r="F4" s="463"/>
      <c r="G4" s="125"/>
    </row>
    <row r="5" spans="1:7" ht="6" customHeight="1" thickBot="1">
      <c r="A5" s="125"/>
      <c r="B5" s="125"/>
      <c r="C5" s="125"/>
      <c r="D5" s="461"/>
      <c r="E5" s="125"/>
      <c r="F5" s="461"/>
      <c r="G5" s="125"/>
    </row>
    <row r="6" spans="1:7" s="43" customFormat="1" ht="15" customHeight="1">
      <c r="A6" s="49"/>
      <c r="B6" s="245"/>
      <c r="C6" s="412" t="str">
        <f>TEXT(FinExN,"jj/mm/aaaa")</f>
        <v>30/06/2017</v>
      </c>
      <c r="D6" s="464"/>
      <c r="E6" s="412" t="str">
        <f>TEXT(FinExN1,"jj/mm/aaaa")</f>
        <v>30/06/2016</v>
      </c>
      <c r="F6" s="474"/>
      <c r="G6" s="49"/>
    </row>
    <row r="7" spans="1:7" s="43" customFormat="1" ht="15" customHeight="1">
      <c r="A7" s="49"/>
      <c r="B7" s="246"/>
      <c r="C7" s="247"/>
      <c r="D7" s="465" t="s">
        <v>11</v>
      </c>
      <c r="E7" s="247"/>
      <c r="F7" s="262" t="s">
        <v>11</v>
      </c>
      <c r="G7" s="49"/>
    </row>
    <row r="8" spans="1:7" s="43" customFormat="1" ht="15" customHeight="1">
      <c r="A8" s="49"/>
      <c r="B8" s="489" t="s">
        <v>102</v>
      </c>
      <c r="C8" s="488">
        <f>D_37199/100</f>
        <v>144</v>
      </c>
      <c r="D8" s="486"/>
      <c r="E8" s="488">
        <f>D_37199_1/100</f>
        <v>143.86000000000001</v>
      </c>
      <c r="F8" s="475"/>
      <c r="G8" s="49"/>
    </row>
    <row r="9" spans="1:7" s="43" customFormat="1" ht="15" customHeight="1">
      <c r="A9" s="49"/>
      <c r="B9" s="248" t="s">
        <v>12</v>
      </c>
      <c r="C9" s="249">
        <f>D_37000</f>
        <v>111666</v>
      </c>
      <c r="D9" s="466">
        <f>D_37016</f>
        <v>775.46</v>
      </c>
      <c r="E9" s="249">
        <f>D_37000_1</f>
        <v>228392</v>
      </c>
      <c r="F9" s="250">
        <f>D_37016_1</f>
        <v>1587.6</v>
      </c>
      <c r="G9" s="49"/>
    </row>
    <row r="10" spans="1:7" s="43" customFormat="1" ht="15" customHeight="1">
      <c r="A10" s="49"/>
      <c r="B10" s="248" t="str">
        <f>" +/- variation de stocks"</f>
        <v xml:space="preserve"> +/- variation de stocks</v>
      </c>
      <c r="C10" s="249">
        <f>D_37205</f>
        <v>18711</v>
      </c>
      <c r="D10" s="466">
        <f>D_37207</f>
        <v>129.94</v>
      </c>
      <c r="E10" s="249">
        <f>D_37205_1</f>
        <v>-11221</v>
      </c>
      <c r="F10" s="251">
        <f>D_37207_1</f>
        <v>-78</v>
      </c>
      <c r="G10" s="49"/>
    </row>
    <row r="11" spans="1:7" s="43" customFormat="1" ht="15" customHeight="1">
      <c r="A11" s="49"/>
      <c r="B11" s="248" t="s">
        <v>334</v>
      </c>
      <c r="C11" s="249">
        <f>R_11066</f>
        <v>0</v>
      </c>
      <c r="D11" s="466">
        <f>D_37301</f>
        <v>0</v>
      </c>
      <c r="E11" s="255">
        <f>R_11066_1</f>
        <v>0</v>
      </c>
      <c r="F11" s="610">
        <f>D_37301_1</f>
        <v>0</v>
      </c>
      <c r="G11" s="49"/>
    </row>
    <row r="12" spans="1:7" s="43" customFormat="1" ht="15" customHeight="1">
      <c r="A12" s="49"/>
      <c r="B12" s="248" t="s">
        <v>342</v>
      </c>
      <c r="C12" s="249">
        <f>R_11067</f>
        <v>0</v>
      </c>
      <c r="D12" s="466">
        <f>D_37302</f>
        <v>0</v>
      </c>
      <c r="E12" s="255">
        <f>R_11067_1</f>
        <v>0</v>
      </c>
      <c r="F12" s="610">
        <f>D_37302_1</f>
        <v>0</v>
      </c>
      <c r="G12" s="49"/>
    </row>
    <row r="13" spans="1:7" s="43" customFormat="1" ht="15" customHeight="1">
      <c r="A13" s="49"/>
      <c r="B13" s="416" t="s">
        <v>13</v>
      </c>
      <c r="C13" s="418">
        <f>D_37001</f>
        <v>130377</v>
      </c>
      <c r="D13" s="467">
        <f>D_37017</f>
        <v>905.4</v>
      </c>
      <c r="E13" s="418">
        <f>D_37001_1</f>
        <v>217171</v>
      </c>
      <c r="F13" s="427">
        <f>D_37017_1</f>
        <v>1509.6</v>
      </c>
      <c r="G13" s="49"/>
    </row>
    <row r="14" spans="1:7" s="43" customFormat="1" ht="6.95" customHeight="1">
      <c r="A14" s="49"/>
      <c r="B14" s="248"/>
      <c r="C14" s="249"/>
      <c r="D14" s="466"/>
      <c r="E14" s="249"/>
      <c r="F14" s="250"/>
      <c r="G14" s="49"/>
    </row>
    <row r="15" spans="1:7" s="43" customFormat="1" ht="15" customHeight="1">
      <c r="A15" s="49"/>
      <c r="B15" s="248" t="s">
        <v>14</v>
      </c>
      <c r="C15" s="249">
        <f>D_37002</f>
        <v>0</v>
      </c>
      <c r="D15" s="466">
        <f>D_37018</f>
        <v>0</v>
      </c>
      <c r="E15" s="249">
        <f>D_37002_1</f>
        <v>0</v>
      </c>
      <c r="F15" s="250">
        <f>D_37018_1</f>
        <v>0</v>
      </c>
      <c r="G15" s="49"/>
    </row>
    <row r="16" spans="1:7" s="43" customFormat="1" ht="15" customHeight="1">
      <c r="A16" s="49"/>
      <c r="B16" s="248" t="str">
        <f>" +/- variation de stocks"</f>
        <v xml:space="preserve"> +/- variation de stocks</v>
      </c>
      <c r="C16" s="249">
        <f xml:space="preserve"> D_37206</f>
        <v>0</v>
      </c>
      <c r="D16" s="468">
        <f xml:space="preserve"> D_37208</f>
        <v>0</v>
      </c>
      <c r="E16" s="249">
        <f xml:space="preserve"> D_37206_1</f>
        <v>0</v>
      </c>
      <c r="F16" s="252">
        <f xml:space="preserve"> D_37208_1</f>
        <v>0</v>
      </c>
      <c r="G16" s="49"/>
    </row>
    <row r="17" spans="1:7" s="43" customFormat="1" ht="15" customHeight="1">
      <c r="A17" s="49"/>
      <c r="B17" s="248" t="str">
        <f>" + primes"</f>
        <v xml:space="preserve"> + primes</v>
      </c>
      <c r="C17" s="249">
        <f>R_11022</f>
        <v>0</v>
      </c>
      <c r="D17" s="466">
        <f>D_37194</f>
        <v>0</v>
      </c>
      <c r="E17" s="249">
        <f>R_11022_1</f>
        <v>0</v>
      </c>
      <c r="F17" s="250">
        <f>D_37194_1</f>
        <v>0</v>
      </c>
      <c r="G17" s="49"/>
    </row>
    <row r="18" spans="1:7" s="43" customFormat="1" ht="15" customHeight="1">
      <c r="A18" s="49"/>
      <c r="B18" s="416" t="s">
        <v>15</v>
      </c>
      <c r="C18" s="418">
        <f>D_37003</f>
        <v>0</v>
      </c>
      <c r="D18" s="467">
        <f>D_37019</f>
        <v>0</v>
      </c>
      <c r="E18" s="418">
        <f>D_37003_1</f>
        <v>0</v>
      </c>
      <c r="F18" s="427">
        <f>D_37019_1</f>
        <v>0</v>
      </c>
      <c r="G18" s="49"/>
    </row>
    <row r="19" spans="1:7" s="43" customFormat="1" ht="15" customHeight="1">
      <c r="A19" s="49"/>
      <c r="B19" s="248" t="s">
        <v>103</v>
      </c>
      <c r="C19" s="249">
        <f>D_37004</f>
        <v>4839</v>
      </c>
      <c r="D19" s="466">
        <f>D_37020</f>
        <v>33.6</v>
      </c>
      <c r="E19" s="249">
        <f>D_37004_1</f>
        <v>9823</v>
      </c>
      <c r="F19" s="250">
        <f>D_37020_1</f>
        <v>68.28</v>
      </c>
      <c r="G19" s="49"/>
    </row>
    <row r="20" spans="1:7" s="43" customFormat="1" ht="5.25" customHeight="1">
      <c r="A20" s="49"/>
      <c r="B20" s="248"/>
      <c r="C20" s="249"/>
      <c r="D20" s="466"/>
      <c r="E20" s="249"/>
      <c r="F20" s="250"/>
      <c r="G20" s="49"/>
    </row>
    <row r="21" spans="1:7" s="43" customFormat="1" ht="6.95" customHeight="1">
      <c r="A21" s="49"/>
      <c r="B21" s="253"/>
      <c r="C21" s="249"/>
      <c r="D21" s="466"/>
      <c r="E21" s="249"/>
      <c r="F21" s="250"/>
      <c r="G21" s="49"/>
    </row>
    <row r="22" spans="1:7" s="132" customFormat="1" ht="20.100000000000001" customHeight="1">
      <c r="A22" s="385"/>
      <c r="B22" s="420" t="s">
        <v>104</v>
      </c>
      <c r="C22" s="422">
        <f>D_37005</f>
        <v>135216</v>
      </c>
      <c r="D22" s="469">
        <f>D_37021</f>
        <v>939</v>
      </c>
      <c r="E22" s="422">
        <f>D_37005_1</f>
        <v>226994</v>
      </c>
      <c r="F22" s="428">
        <f>D_37021_1</f>
        <v>1577.88</v>
      </c>
      <c r="G22" s="385"/>
    </row>
    <row r="23" spans="1:7" s="43" customFormat="1" ht="6.95" customHeight="1">
      <c r="A23" s="49"/>
      <c r="B23" s="254"/>
      <c r="C23" s="255"/>
      <c r="D23" s="470"/>
      <c r="E23" s="255"/>
      <c r="F23" s="256"/>
      <c r="G23" s="49"/>
    </row>
    <row r="24" spans="1:7" s="43" customFormat="1" ht="15" customHeight="1">
      <c r="A24" s="49"/>
      <c r="B24" s="248" t="str">
        <f>" - charges d'approvisionnements"</f>
        <v xml:space="preserve"> - charges d'approvisionnements</v>
      </c>
      <c r="C24" s="249">
        <f>D_37197</f>
        <v>93462</v>
      </c>
      <c r="D24" s="466">
        <f>D_37198</f>
        <v>649.04</v>
      </c>
      <c r="E24" s="249">
        <f>D_37197_1</f>
        <v>85915</v>
      </c>
      <c r="F24" s="250">
        <f>D_37198_1</f>
        <v>597.21</v>
      </c>
      <c r="G24" s="49"/>
    </row>
    <row r="25" spans="1:7" s="43" customFormat="1" ht="15" customHeight="1">
      <c r="A25" s="49"/>
      <c r="B25" s="248" t="str">
        <f>" - achats animaux"</f>
        <v xml:space="preserve"> - achats animaux</v>
      </c>
      <c r="C25" s="249">
        <f>R_612</f>
        <v>0</v>
      </c>
      <c r="D25" s="466">
        <f>D_30426</f>
        <v>0</v>
      </c>
      <c r="E25" s="249">
        <f>R_612_1</f>
        <v>0</v>
      </c>
      <c r="F25" s="250">
        <f>D_30426_1</f>
        <v>0</v>
      </c>
      <c r="G25" s="49"/>
    </row>
    <row r="26" spans="1:7" s="43" customFormat="1" ht="6.95" customHeight="1">
      <c r="A26" s="49"/>
      <c r="B26" s="248"/>
      <c r="C26" s="249"/>
      <c r="D26" s="466"/>
      <c r="E26" s="249"/>
      <c r="F26" s="250"/>
      <c r="G26" s="49"/>
    </row>
    <row r="27" spans="1:7" s="132" customFormat="1" ht="20.100000000000001" customHeight="1">
      <c r="A27" s="385"/>
      <c r="B27" s="420" t="s">
        <v>16</v>
      </c>
      <c r="C27" s="422">
        <f>D_37006</f>
        <v>41754</v>
      </c>
      <c r="D27" s="469">
        <f>D_37022</f>
        <v>289.95999999999998</v>
      </c>
      <c r="E27" s="422">
        <f>D_37006_1</f>
        <v>141079</v>
      </c>
      <c r="F27" s="428">
        <f>D_37022_1</f>
        <v>980.67</v>
      </c>
      <c r="G27" s="385"/>
    </row>
    <row r="28" spans="1:7" s="43" customFormat="1" ht="6.75" customHeight="1">
      <c r="A28" s="49"/>
      <c r="B28" s="248"/>
      <c r="C28" s="249"/>
      <c r="D28" s="466"/>
      <c r="E28" s="249"/>
      <c r="F28" s="250"/>
      <c r="G28" s="49"/>
    </row>
    <row r="29" spans="1:7" s="43" customFormat="1" ht="15" customHeight="1">
      <c r="A29" s="49"/>
      <c r="B29" s="248" t="str">
        <f>" - Autres services &amp; approvisionnements"</f>
        <v xml:space="preserve"> - Autres services &amp; approvisionnements</v>
      </c>
      <c r="C29" s="249"/>
      <c r="D29" s="466"/>
      <c r="E29" s="249"/>
      <c r="F29" s="250"/>
      <c r="G29" s="49"/>
    </row>
    <row r="30" spans="1:7" s="43" customFormat="1" ht="15" customHeight="1">
      <c r="A30" s="49"/>
      <c r="B30" s="248" t="s">
        <v>326</v>
      </c>
      <c r="C30" s="249">
        <f>D_37007</f>
        <v>20675</v>
      </c>
      <c r="D30" s="466">
        <f>D_37023</f>
        <v>143.58000000000001</v>
      </c>
      <c r="E30" s="249">
        <f>D_37007_1</f>
        <v>22228</v>
      </c>
      <c r="F30" s="250">
        <f>D_37023_1</f>
        <v>154.51</v>
      </c>
      <c r="G30" s="49"/>
    </row>
    <row r="31" spans="1:7" s="43" customFormat="1" ht="3" customHeight="1">
      <c r="A31" s="49"/>
      <c r="B31" s="248"/>
      <c r="C31" s="249"/>
      <c r="D31" s="466"/>
      <c r="E31" s="249"/>
      <c r="F31" s="250"/>
      <c r="G31" s="49"/>
    </row>
    <row r="32" spans="1:7" s="43" customFormat="1" ht="15" customHeight="1">
      <c r="A32" s="49"/>
      <c r="B32" s="248" t="s">
        <v>106</v>
      </c>
      <c r="C32" s="249">
        <f>D_30470</f>
        <v>12397</v>
      </c>
      <c r="D32" s="466">
        <f>D_31047</f>
        <v>86.09</v>
      </c>
      <c r="E32" s="249">
        <f>D_30470_1</f>
        <v>13446</v>
      </c>
      <c r="F32" s="250">
        <f>D_31047_1</f>
        <v>93.47</v>
      </c>
      <c r="G32" s="49"/>
    </row>
    <row r="33" spans="1:7" s="43" customFormat="1" ht="15" customHeight="1">
      <c r="A33" s="49"/>
      <c r="B33" s="248" t="s">
        <v>17</v>
      </c>
      <c r="C33" s="249">
        <f>D_37008</f>
        <v>44718</v>
      </c>
      <c r="D33" s="466">
        <f>D_37024</f>
        <v>310.54000000000002</v>
      </c>
      <c r="E33" s="249">
        <f>D_37008_1</f>
        <v>47702</v>
      </c>
      <c r="F33" s="250">
        <f>D_37024_1</f>
        <v>331.59</v>
      </c>
      <c r="G33" s="49"/>
    </row>
    <row r="34" spans="1:7" s="43" customFormat="1" ht="6.95" customHeight="1">
      <c r="A34" s="49"/>
      <c r="B34" s="248"/>
      <c r="C34" s="249"/>
      <c r="D34" s="466"/>
      <c r="E34" s="249"/>
      <c r="F34" s="250"/>
      <c r="G34" s="49"/>
    </row>
    <row r="35" spans="1:7" s="132" customFormat="1" ht="20.100000000000001" customHeight="1">
      <c r="A35" s="385"/>
      <c r="B35" s="420" t="s">
        <v>18</v>
      </c>
      <c r="C35" s="422">
        <f>D_37009</f>
        <v>-36036</v>
      </c>
      <c r="D35" s="469">
        <f>D_37025</f>
        <v>-250.25</v>
      </c>
      <c r="E35" s="422">
        <f>D_37009_1</f>
        <v>57703</v>
      </c>
      <c r="F35" s="428">
        <f>D_37025_1</f>
        <v>401.11</v>
      </c>
      <c r="G35" s="385"/>
    </row>
    <row r="36" spans="1:7" s="43" customFormat="1" ht="15" customHeight="1">
      <c r="A36" s="49"/>
      <c r="B36" s="248" t="str">
        <f>" - frais de personnel"</f>
        <v xml:space="preserve"> - frais de personnel</v>
      </c>
      <c r="C36" s="249">
        <f>D_37012</f>
        <v>0</v>
      </c>
      <c r="D36" s="466">
        <f>D_37027</f>
        <v>0</v>
      </c>
      <c r="E36" s="249">
        <f>D_37012_1</f>
        <v>0</v>
      </c>
      <c r="F36" s="250">
        <f>D_37027_1</f>
        <v>0</v>
      </c>
      <c r="G36" s="49"/>
    </row>
    <row r="37" spans="1:7" s="43" customFormat="1" ht="15" customHeight="1">
      <c r="A37" s="49"/>
      <c r="B37" s="248" t="str">
        <f>" - cotisations sociales de l'exploitant"</f>
        <v xml:space="preserve"> - cotisations sociales de l'exploitant</v>
      </c>
      <c r="C37" s="249">
        <f>R_646</f>
        <v>10766</v>
      </c>
      <c r="D37" s="466">
        <f>D_31050</f>
        <v>74.760000000000005</v>
      </c>
      <c r="E37" s="249">
        <f>R_646_1</f>
        <v>23096</v>
      </c>
      <c r="F37" s="250">
        <f>D_31050_1</f>
        <v>160.54</v>
      </c>
      <c r="G37" s="49"/>
    </row>
    <row r="38" spans="1:7" s="43" customFormat="1" ht="15" customHeight="1">
      <c r="A38" s="49"/>
      <c r="B38" s="248" t="str">
        <f>" - impôts et taxes"</f>
        <v xml:space="preserve"> - impôts et taxes</v>
      </c>
      <c r="C38" s="249">
        <f>R_640</f>
        <v>1302</v>
      </c>
      <c r="D38" s="466">
        <f>C38/C8</f>
        <v>9.0416666666666661</v>
      </c>
      <c r="E38" s="249">
        <f>R_640_1</f>
        <v>3174</v>
      </c>
      <c r="F38" s="250">
        <f>E38/E8</f>
        <v>22.063116919227024</v>
      </c>
      <c r="G38" s="49"/>
    </row>
    <row r="39" spans="1:7" s="43" customFormat="1" ht="6.95" customHeight="1">
      <c r="A39" s="49"/>
      <c r="B39" s="248"/>
      <c r="C39" s="249"/>
      <c r="D39" s="466"/>
      <c r="E39" s="249"/>
      <c r="F39" s="250"/>
      <c r="G39" s="49"/>
    </row>
    <row r="40" spans="1:7" s="132" customFormat="1" ht="20.100000000000001" customHeight="1">
      <c r="A40" s="385"/>
      <c r="B40" s="420" t="s">
        <v>19</v>
      </c>
      <c r="C40" s="422">
        <f>D_37011</f>
        <v>-48104</v>
      </c>
      <c r="D40" s="469">
        <f>D_37026</f>
        <v>-334.06</v>
      </c>
      <c r="E40" s="422">
        <f>D_37011_1</f>
        <v>31433</v>
      </c>
      <c r="F40" s="428">
        <f>D_37026_1</f>
        <v>218.5</v>
      </c>
      <c r="G40" s="385"/>
    </row>
    <row r="41" spans="1:7" s="43" customFormat="1" ht="6" customHeight="1">
      <c r="A41" s="49"/>
      <c r="B41" s="248"/>
      <c r="C41" s="249"/>
      <c r="D41" s="466"/>
      <c r="E41" s="249"/>
      <c r="F41" s="250"/>
      <c r="G41" s="49"/>
    </row>
    <row r="42" spans="1:7" s="43" customFormat="1" ht="15" customHeight="1">
      <c r="A42" s="49"/>
      <c r="B42" s="248" t="str">
        <f>" - frais financiers"</f>
        <v xml:space="preserve"> - frais financiers</v>
      </c>
      <c r="C42" s="249">
        <f>R_722</f>
        <v>3722</v>
      </c>
      <c r="D42" s="466">
        <f>D_30525</f>
        <v>25.85</v>
      </c>
      <c r="E42" s="249">
        <f>R_722_1</f>
        <v>3511</v>
      </c>
      <c r="F42" s="250">
        <f>D_30525_1</f>
        <v>24.41</v>
      </c>
      <c r="G42" s="49"/>
    </row>
    <row r="43" spans="1:7" s="43" customFormat="1" ht="15" customHeight="1">
      <c r="A43" s="49"/>
      <c r="B43" s="248" t="str">
        <f>" - amortissements et provisions"</f>
        <v xml:space="preserve"> - amortissements et provisions</v>
      </c>
      <c r="C43" s="249">
        <f>R_652 + R_658 + R_664 + R_668</f>
        <v>19537</v>
      </c>
      <c r="D43" s="466">
        <f>D_31053</f>
        <v>135.66999999999999</v>
      </c>
      <c r="E43" s="249">
        <f>R_652_1 + R_658_1 + R_664_1 + R_668_1</f>
        <v>24646</v>
      </c>
      <c r="F43" s="250">
        <f>D_31053_1</f>
        <v>171.32</v>
      </c>
      <c r="G43" s="49"/>
    </row>
    <row r="44" spans="1:7" s="43" customFormat="1" ht="15" customHeight="1">
      <c r="A44" s="49" t="s">
        <v>20</v>
      </c>
      <c r="B44" s="248" t="str">
        <f>" + produits financiers"</f>
        <v xml:space="preserve"> + produits financiers</v>
      </c>
      <c r="C44" s="249">
        <f>R_702</f>
        <v>132</v>
      </c>
      <c r="D44" s="466">
        <f>D_30526</f>
        <v>0.92</v>
      </c>
      <c r="E44" s="249">
        <f>R_702_1</f>
        <v>102</v>
      </c>
      <c r="F44" s="250">
        <f>D_30526_1</f>
        <v>0.71</v>
      </c>
      <c r="G44" s="49"/>
    </row>
    <row r="45" spans="1:7" s="43" customFormat="1" ht="15" customHeight="1">
      <c r="A45" s="49"/>
      <c r="B45" s="248" t="str">
        <f>" - autres charges"</f>
        <v xml:space="preserve"> - autres charges</v>
      </c>
      <c r="C45" s="249">
        <f>R_672</f>
        <v>-1</v>
      </c>
      <c r="D45" s="466">
        <f>D_31054</f>
        <v>-0.01</v>
      </c>
      <c r="E45" s="249">
        <f>R_672_1</f>
        <v>1</v>
      </c>
      <c r="F45" s="250">
        <f>D_31054_1</f>
        <v>0.01</v>
      </c>
      <c r="G45" s="49"/>
    </row>
    <row r="46" spans="1:7" s="43" customFormat="1" ht="15" customHeight="1">
      <c r="A46" s="49"/>
      <c r="B46" s="248" t="s">
        <v>337</v>
      </c>
      <c r="C46" s="249">
        <f>D_37013</f>
        <v>43608</v>
      </c>
      <c r="D46" s="466">
        <f>D_37028</f>
        <v>302.83</v>
      </c>
      <c r="E46" s="249">
        <f>D_37013_1</f>
        <v>45827</v>
      </c>
      <c r="F46" s="250">
        <f>D_37028_1</f>
        <v>318.55</v>
      </c>
      <c r="G46" s="49"/>
    </row>
    <row r="47" spans="1:7" s="43" customFormat="1" ht="6.95" customHeight="1">
      <c r="A47" s="49"/>
      <c r="B47" s="248"/>
      <c r="C47" s="249"/>
      <c r="D47" s="466"/>
      <c r="E47" s="249"/>
      <c r="F47" s="250"/>
      <c r="G47" s="49"/>
    </row>
    <row r="48" spans="1:7" s="132" customFormat="1" ht="20.100000000000001" customHeight="1">
      <c r="A48" s="385"/>
      <c r="B48" s="420" t="s">
        <v>21</v>
      </c>
      <c r="C48" s="422">
        <f>D_37014</f>
        <v>-27622</v>
      </c>
      <c r="D48" s="469">
        <f>D_37029</f>
        <v>-191.82</v>
      </c>
      <c r="E48" s="422">
        <f>D_37014_1</f>
        <v>49204</v>
      </c>
      <c r="F48" s="428">
        <f>D_37029_1</f>
        <v>342.03</v>
      </c>
      <c r="G48" s="385"/>
    </row>
    <row r="49" spans="1:8" s="43" customFormat="1" ht="15" customHeight="1">
      <c r="A49" s="49"/>
      <c r="B49" s="737" t="str">
        <f>IF(OR(B63="06",B63="05")," + produits exceptionnels *", " + produits exceptionnels")</f>
        <v xml:space="preserve"> + produits exceptionnels *</v>
      </c>
      <c r="C49" s="209">
        <f>D_30550</f>
        <v>0</v>
      </c>
      <c r="D49" s="466">
        <f>D_31055</f>
        <v>0</v>
      </c>
      <c r="E49" s="249">
        <f>D_30550_1</f>
        <v>0</v>
      </c>
      <c r="F49" s="250">
        <f>D_31055_1</f>
        <v>0</v>
      </c>
      <c r="G49" s="49"/>
      <c r="H49" s="42"/>
    </row>
    <row r="50" spans="1:8" s="43" customFormat="1" ht="15" customHeight="1">
      <c r="A50" s="49"/>
      <c r="B50" s="248" t="str">
        <f>" - charges exceptionnelles"</f>
        <v xml:space="preserve"> - charges exceptionnelles</v>
      </c>
      <c r="C50" s="249">
        <f>D_30560</f>
        <v>0</v>
      </c>
      <c r="D50" s="466">
        <f>D_31056</f>
        <v>0</v>
      </c>
      <c r="E50" s="249">
        <f>D_30560_1</f>
        <v>0</v>
      </c>
      <c r="F50" s="250">
        <f>D_31056_1</f>
        <v>0</v>
      </c>
      <c r="G50" s="49"/>
    </row>
    <row r="51" spans="1:8" s="43" customFormat="1" ht="6.95" customHeight="1">
      <c r="A51" s="49"/>
      <c r="B51" s="248"/>
      <c r="C51" s="249"/>
      <c r="D51" s="466"/>
      <c r="E51" s="249"/>
      <c r="F51" s="250"/>
      <c r="G51" s="49"/>
    </row>
    <row r="52" spans="1:8" s="132" customFormat="1" ht="20.100000000000001" customHeight="1" thickBot="1">
      <c r="A52" s="385"/>
      <c r="B52" s="424" t="s">
        <v>22</v>
      </c>
      <c r="C52" s="425">
        <f>D_37015</f>
        <v>-27622</v>
      </c>
      <c r="D52" s="471">
        <f>D_37030</f>
        <v>-191.82</v>
      </c>
      <c r="E52" s="425">
        <f>D_37015_1</f>
        <v>49204</v>
      </c>
      <c r="F52" s="429">
        <f>D_37030_1</f>
        <v>342.03</v>
      </c>
      <c r="G52" s="385"/>
    </row>
    <row r="53" spans="1:8" s="132" customFormat="1" ht="20.100000000000001" customHeight="1">
      <c r="A53" s="385"/>
      <c r="B53" s="733" t="str">
        <f>IF(OR(B63="06",B63="05"), "*dont aide découplée N+1", " ")</f>
        <v>*dont aide découplée N+1</v>
      </c>
      <c r="C53" s="501">
        <f>R_11068+ R_11069</f>
        <v>0</v>
      </c>
      <c r="D53" s="499"/>
      <c r="E53" s="501">
        <f>R_11068_1 + R_11069_1</f>
        <v>0</v>
      </c>
      <c r="F53" s="499"/>
      <c r="G53" s="385"/>
    </row>
    <row r="54" spans="1:8" s="43" customFormat="1" ht="10.5" customHeight="1">
      <c r="A54" s="49"/>
      <c r="B54" s="155"/>
      <c r="C54" s="135"/>
      <c r="D54" s="472"/>
      <c r="E54" s="257"/>
      <c r="F54" s="476"/>
      <c r="G54" s="49"/>
    </row>
    <row r="55" spans="1:8" s="43" customFormat="1" ht="15" customHeight="1">
      <c r="A55" s="49"/>
      <c r="B55" s="155" t="str">
        <f>TRIM(CivilAdht&amp; " " &amp; NomAdht)</f>
        <v/>
      </c>
      <c r="C55" s="135"/>
      <c r="D55" s="472"/>
      <c r="E55" s="257"/>
      <c r="F55" s="472"/>
      <c r="G55" s="49"/>
    </row>
    <row r="56" spans="1:8">
      <c r="A56" s="125"/>
      <c r="G56" s="125"/>
    </row>
    <row r="57" spans="1:8" s="43" customFormat="1" ht="15" customHeight="1">
      <c r="B57" s="42"/>
      <c r="C57" s="42"/>
      <c r="D57" s="473"/>
      <c r="E57" s="42"/>
      <c r="F57" s="473"/>
    </row>
    <row r="58" spans="1:8" s="43" customFormat="1" ht="15" customHeight="1">
      <c r="B58" s="42"/>
      <c r="C58" s="42"/>
      <c r="D58" s="473"/>
      <c r="E58" s="42"/>
      <c r="F58" s="473"/>
    </row>
    <row r="59" spans="1:8" s="43" customFormat="1" ht="15" customHeight="1">
      <c r="B59" s="42"/>
      <c r="C59" s="42"/>
      <c r="D59" s="473"/>
      <c r="E59" s="42"/>
      <c r="F59" s="473"/>
    </row>
    <row r="60" spans="1:8" s="43" customFormat="1" ht="15" customHeight="1">
      <c r="B60" s="42"/>
      <c r="C60" s="42"/>
      <c r="D60" s="473"/>
      <c r="E60" s="42"/>
      <c r="F60" s="473"/>
    </row>
    <row r="61" spans="1:8" s="43" customFormat="1" ht="15" hidden="1" customHeight="1" outlineLevel="1">
      <c r="B61" s="42" t="str">
        <f>FinExN</f>
        <v>30/06/2017</v>
      </c>
      <c r="D61" s="472"/>
      <c r="F61" s="472"/>
    </row>
    <row r="62" spans="1:8" s="43" customFormat="1" ht="15" hidden="1" customHeight="1" outlineLevel="1">
      <c r="B62" s="42" t="str">
        <f>LEFT(B61,5)</f>
        <v>30/06</v>
      </c>
      <c r="D62" s="472"/>
      <c r="F62" s="472"/>
    </row>
    <row r="63" spans="1:8" s="43" customFormat="1" ht="15" hidden="1" customHeight="1" outlineLevel="1">
      <c r="B63" s="42" t="str">
        <f>RIGHT(B62,2)</f>
        <v>06</v>
      </c>
      <c r="D63" s="472"/>
      <c r="F63" s="472"/>
    </row>
    <row r="64" spans="1:8" s="43" customFormat="1" ht="15" customHeight="1" collapsed="1">
      <c r="B64" s="42" t="str">
        <f>IF(OR(B63="06",B63="05"), "*dont aide découplée N+1", " ")</f>
        <v>*dont aide découplée N+1</v>
      </c>
      <c r="D64" s="472"/>
      <c r="F64" s="472"/>
    </row>
    <row r="65" spans="1:8" s="43" customFormat="1" ht="15" customHeight="1">
      <c r="B65" s="42"/>
      <c r="D65" s="472"/>
      <c r="F65" s="472"/>
    </row>
    <row r="66" spans="1:8" s="43" customFormat="1" ht="15" customHeight="1">
      <c r="B66" s="42"/>
      <c r="D66" s="472"/>
      <c r="F66" s="472"/>
    </row>
    <row r="67" spans="1:8" s="43" customFormat="1" ht="15" customHeight="1">
      <c r="B67" s="42"/>
      <c r="D67" s="472"/>
      <c r="F67" s="472"/>
    </row>
    <row r="68" spans="1:8" s="43" customFormat="1" ht="15" customHeight="1">
      <c r="B68" s="42"/>
      <c r="D68" s="472"/>
      <c r="F68" s="472"/>
    </row>
    <row r="69" spans="1:8" s="43" customFormat="1" ht="15" customHeight="1">
      <c r="B69" s="42"/>
      <c r="D69" s="472"/>
      <c r="F69" s="472"/>
    </row>
    <row r="70" spans="1:8" s="43" customFormat="1" ht="15" customHeight="1">
      <c r="B70" s="42"/>
      <c r="D70" s="472"/>
      <c r="F70" s="472"/>
    </row>
    <row r="71" spans="1:8" s="43" customFormat="1" ht="15" customHeight="1">
      <c r="B71" s="42"/>
      <c r="D71" s="472"/>
      <c r="F71" s="472"/>
    </row>
    <row r="72" spans="1:8" s="2" customFormat="1" ht="15" customHeight="1">
      <c r="A72" s="43"/>
      <c r="B72" s="42"/>
      <c r="C72" s="43"/>
      <c r="D72" s="472"/>
      <c r="E72" s="43"/>
      <c r="F72" s="472"/>
      <c r="G72" s="43"/>
      <c r="H72" s="43"/>
    </row>
    <row r="73" spans="1:8" s="2" customFormat="1" ht="15" customHeight="1">
      <c r="A73" s="43"/>
      <c r="B73" s="42"/>
      <c r="C73" s="43"/>
      <c r="D73" s="472"/>
      <c r="E73" s="43"/>
      <c r="F73" s="472"/>
      <c r="G73" s="43"/>
      <c r="H73" s="43"/>
    </row>
    <row r="74" spans="1:8" s="2" customFormat="1" ht="15" customHeight="1">
      <c r="A74" s="43"/>
      <c r="B74" s="42"/>
      <c r="C74" s="43"/>
      <c r="D74" s="472"/>
      <c r="E74" s="43"/>
      <c r="F74" s="472"/>
      <c r="G74" s="43"/>
      <c r="H74" s="43"/>
    </row>
    <row r="75" spans="1:8" s="2" customFormat="1" ht="15" customHeight="1">
      <c r="A75" s="43"/>
      <c r="B75" s="42"/>
      <c r="C75" s="43"/>
      <c r="D75" s="472"/>
      <c r="E75" s="43"/>
      <c r="F75" s="472"/>
      <c r="G75" s="43"/>
      <c r="H75" s="43"/>
    </row>
    <row r="76" spans="1:8" s="2" customFormat="1" ht="15" customHeight="1">
      <c r="A76" s="43"/>
      <c r="B76" s="42"/>
      <c r="C76" s="43"/>
      <c r="D76" s="472"/>
      <c r="E76" s="43"/>
      <c r="F76" s="472"/>
      <c r="G76" s="43"/>
      <c r="H76" s="43"/>
    </row>
  </sheetData>
  <phoneticPr fontId="16" type="noConversion"/>
  <printOptions horizontalCentered="1" verticalCentered="1"/>
  <pageMargins left="0.59055118110236227" right="0.59055118110236227" top="0.39370078740157483" bottom="0.19685039370078741" header="0.51181102362204722" footer="0.51181102362204722"/>
  <pageSetup paperSize="9" orientation="portrait" r:id="rId1"/>
  <headerFooter alignWithMargins="0">
    <oddFooter>Page &amp;P</oddFooter>
  </headerFooter>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dimension ref="A1:J79"/>
  <sheetViews>
    <sheetView showZeros="0" topLeftCell="A43" workbookViewId="0">
      <selection activeCell="K41" sqref="K41:K42"/>
    </sheetView>
  </sheetViews>
  <sheetFormatPr baseColWidth="10" defaultRowHeight="12.75" outlineLevelRow="1"/>
  <cols>
    <col min="1" max="1" width="1.85546875" style="42" customWidth="1"/>
    <col min="2" max="2" width="34.7109375" style="42" customWidth="1"/>
    <col min="3" max="3" width="10.7109375" style="42" customWidth="1"/>
    <col min="4" max="4" width="6.7109375" style="266" customWidth="1"/>
    <col min="5" max="5" width="10.7109375" style="42" customWidth="1"/>
    <col min="6" max="6" width="6.7109375" style="266" customWidth="1"/>
    <col min="7" max="7" width="10.7109375" style="42" customWidth="1"/>
    <col min="8" max="8" width="6.7109375" style="265" customWidth="1"/>
    <col min="9" max="9" width="2.7109375" style="42" customWidth="1"/>
  </cols>
  <sheetData>
    <row r="1" spans="1:9" ht="8.25" customHeight="1">
      <c r="A1" s="125"/>
      <c r="B1" s="125"/>
      <c r="C1" s="125"/>
      <c r="D1" s="183"/>
      <c r="E1" s="125"/>
      <c r="F1" s="183"/>
      <c r="G1" s="125"/>
      <c r="H1" s="258"/>
      <c r="I1" s="125"/>
    </row>
    <row r="2" spans="1:9" ht="20.100000000000001" customHeight="1">
      <c r="A2" s="125"/>
      <c r="B2" s="223"/>
      <c r="C2" s="125"/>
      <c r="D2" s="183"/>
      <c r="E2" s="125"/>
      <c r="F2" s="183"/>
      <c r="G2" s="125"/>
      <c r="H2" s="258"/>
      <c r="I2" s="125"/>
    </row>
    <row r="3" spans="1:9" ht="24" customHeight="1">
      <c r="A3" s="125"/>
      <c r="B3" s="224"/>
      <c r="C3" s="225"/>
      <c r="D3" s="183"/>
      <c r="E3" s="225"/>
      <c r="F3" s="183"/>
      <c r="G3" s="225"/>
      <c r="H3" s="258"/>
      <c r="I3" s="125"/>
    </row>
    <row r="4" spans="1:9" ht="20.100000000000001" customHeight="1">
      <c r="A4" s="125"/>
      <c r="B4" s="224"/>
      <c r="C4" s="225"/>
      <c r="D4" s="183"/>
      <c r="E4" s="225"/>
      <c r="F4" s="183"/>
      <c r="G4" s="225"/>
      <c r="H4" s="258"/>
      <c r="I4" s="125"/>
    </row>
    <row r="5" spans="1:9" ht="7.5" customHeight="1">
      <c r="A5" s="125"/>
      <c r="B5" s="224"/>
      <c r="C5" s="224"/>
      <c r="D5" s="259"/>
      <c r="E5" s="224"/>
      <c r="F5" s="259"/>
      <c r="G5" s="224"/>
      <c r="H5" s="260"/>
      <c r="I5" s="125"/>
    </row>
    <row r="6" spans="1:9" ht="13.5" thickBot="1">
      <c r="A6" s="125"/>
      <c r="B6" s="125"/>
      <c r="C6" s="125"/>
      <c r="D6" s="183"/>
      <c r="E6" s="125"/>
      <c r="F6" s="183"/>
      <c r="G6" s="125"/>
      <c r="H6" s="258"/>
      <c r="I6" s="125"/>
    </row>
    <row r="7" spans="1:9" s="2" customFormat="1" ht="15" customHeight="1">
      <c r="A7" s="49"/>
      <c r="B7" s="245"/>
      <c r="C7" s="412" t="str">
        <f>TEXT(FinExN,"jj/mm/aaaa")</f>
        <v>30/06/2017</v>
      </c>
      <c r="D7" s="413"/>
      <c r="E7" s="412" t="str">
        <f>TEXT(FinExN1,"jj/mm/aaaa")</f>
        <v>30/06/2016</v>
      </c>
      <c r="F7" s="413"/>
      <c r="G7" s="412" t="str">
        <f>TEXT(FinExN2,"jj/mm/aaaa")</f>
        <v>30/06/2015</v>
      </c>
      <c r="H7" s="414"/>
      <c r="I7" s="49"/>
    </row>
    <row r="8" spans="1:9" s="2" customFormat="1" ht="15" customHeight="1">
      <c r="A8" s="49"/>
      <c r="B8" s="246"/>
      <c r="C8" s="247"/>
      <c r="D8" s="247" t="s">
        <v>11</v>
      </c>
      <c r="E8" s="247"/>
      <c r="F8" s="247" t="s">
        <v>11</v>
      </c>
      <c r="G8" s="261"/>
      <c r="H8" s="262" t="s">
        <v>11</v>
      </c>
      <c r="I8" s="49"/>
    </row>
    <row r="9" spans="1:9" s="23" customFormat="1" ht="15" customHeight="1">
      <c r="A9" s="237"/>
      <c r="B9" s="485" t="s">
        <v>107</v>
      </c>
      <c r="C9" s="486">
        <f>D_37199/100</f>
        <v>144</v>
      </c>
      <c r="D9" s="487"/>
      <c r="E9" s="488">
        <f>D_37199_1/100</f>
        <v>143.86000000000001</v>
      </c>
      <c r="F9" s="487"/>
      <c r="G9" s="488">
        <f>D_37199_2/100</f>
        <v>143.86000000000001</v>
      </c>
      <c r="H9" s="415"/>
      <c r="I9" s="237"/>
    </row>
    <row r="10" spans="1:9" s="2" customFormat="1" ht="15" customHeight="1">
      <c r="A10" s="49"/>
      <c r="B10" s="248" t="s">
        <v>12</v>
      </c>
      <c r="C10" s="249">
        <f>D_37000</f>
        <v>111666</v>
      </c>
      <c r="D10" s="451">
        <f>D_37016</f>
        <v>775.46</v>
      </c>
      <c r="E10" s="249">
        <f>D_37000_1</f>
        <v>228392</v>
      </c>
      <c r="F10" s="451">
        <f>D_37016_1</f>
        <v>1587.6</v>
      </c>
      <c r="G10" s="249">
        <f>D_37000_2</f>
        <v>196436</v>
      </c>
      <c r="H10" s="263">
        <f>D_37016_2</f>
        <v>1365.47</v>
      </c>
      <c r="I10" s="49"/>
    </row>
    <row r="11" spans="1:9" s="2" customFormat="1" ht="15" customHeight="1">
      <c r="A11" s="49"/>
      <c r="B11" s="248" t="str">
        <f>" +/- variation de stocks"</f>
        <v xml:space="preserve"> +/- variation de stocks</v>
      </c>
      <c r="C11" s="249">
        <f>D_37205</f>
        <v>18711</v>
      </c>
      <c r="D11" s="451">
        <f>D_37207</f>
        <v>129.94</v>
      </c>
      <c r="E11" s="249">
        <f>D_37205_1</f>
        <v>-11221</v>
      </c>
      <c r="F11" s="451">
        <f>D_37207_1</f>
        <v>-78</v>
      </c>
      <c r="G11" s="249">
        <f>D_37205_2</f>
        <v>19248</v>
      </c>
      <c r="H11" s="263">
        <f>D_37207_2</f>
        <v>133.80000000000001</v>
      </c>
      <c r="I11" s="49"/>
    </row>
    <row r="12" spans="1:9" s="2" customFormat="1" ht="15" hidden="1" customHeight="1">
      <c r="A12" s="49"/>
      <c r="B12" s="248" t="str">
        <f>" + aides compensatoires"</f>
        <v xml:space="preserve"> + aides compensatoires</v>
      </c>
      <c r="C12" s="497" t="e">
        <f>R_11023</f>
        <v>#NAME?</v>
      </c>
      <c r="D12" s="498">
        <f>D_37193</f>
        <v>0</v>
      </c>
      <c r="E12" s="497" t="e">
        <f>R_11023_1</f>
        <v>#NAME?</v>
      </c>
      <c r="F12" s="498">
        <f>D_37193_1</f>
        <v>0</v>
      </c>
      <c r="G12" s="497" t="e">
        <f>R_11023_2</f>
        <v>#NAME?</v>
      </c>
      <c r="H12" s="722">
        <f>D_37193_2</f>
        <v>0</v>
      </c>
      <c r="I12" s="49"/>
    </row>
    <row r="13" spans="1:9" s="2" customFormat="1" ht="15" customHeight="1">
      <c r="A13" s="49"/>
      <c r="B13" s="248" t="s">
        <v>334</v>
      </c>
      <c r="C13" s="249">
        <f>R_11066</f>
        <v>0</v>
      </c>
      <c r="D13" s="451">
        <f>D_37301</f>
        <v>0</v>
      </c>
      <c r="E13" s="255">
        <f>R_11066_1</f>
        <v>0</v>
      </c>
      <c r="F13" s="453">
        <f>D_37301_1</f>
        <v>0</v>
      </c>
      <c r="G13" s="255">
        <f>R_11066_2</f>
        <v>0</v>
      </c>
      <c r="H13" s="721">
        <f>D_37301_2</f>
        <v>0</v>
      </c>
      <c r="I13" s="49"/>
    </row>
    <row r="14" spans="1:9" s="2" customFormat="1" ht="15" customHeight="1">
      <c r="A14" s="49"/>
      <c r="B14" s="248" t="s">
        <v>342</v>
      </c>
      <c r="C14" s="249">
        <f>R_11067</f>
        <v>0</v>
      </c>
      <c r="D14" s="451">
        <f>D_37302</f>
        <v>0</v>
      </c>
      <c r="E14" s="255">
        <f>R_11067_1</f>
        <v>0</v>
      </c>
      <c r="F14" s="453">
        <f>D_37302_1</f>
        <v>0</v>
      </c>
      <c r="G14" s="255">
        <f>R_11067_2</f>
        <v>44007</v>
      </c>
      <c r="H14" s="721">
        <f>D_37302_2</f>
        <v>305.89999999999998</v>
      </c>
      <c r="I14" s="49"/>
    </row>
    <row r="15" spans="1:9" s="2" customFormat="1" ht="15" customHeight="1">
      <c r="A15" s="49"/>
      <c r="B15" s="416" t="s">
        <v>13</v>
      </c>
      <c r="C15" s="417">
        <f>D_37001</f>
        <v>130377</v>
      </c>
      <c r="D15" s="447">
        <f>D_37017</f>
        <v>905.4</v>
      </c>
      <c r="E15" s="418">
        <f>D_37001_1</f>
        <v>217171</v>
      </c>
      <c r="F15" s="447">
        <f>D_37017_1</f>
        <v>1509.6</v>
      </c>
      <c r="G15" s="418">
        <f>D_37001_2</f>
        <v>259691</v>
      </c>
      <c r="H15" s="419">
        <f>D_37017_2</f>
        <v>1805.16</v>
      </c>
      <c r="I15" s="49"/>
    </row>
    <row r="16" spans="1:9" s="2" customFormat="1" ht="6.95" customHeight="1">
      <c r="A16" s="49"/>
      <c r="B16" s="248"/>
      <c r="C16" s="249"/>
      <c r="D16" s="451"/>
      <c r="E16" s="249"/>
      <c r="F16" s="451"/>
      <c r="G16" s="249"/>
      <c r="H16" s="263"/>
      <c r="I16" s="49"/>
    </row>
    <row r="17" spans="1:10" s="2" customFormat="1" ht="15" customHeight="1">
      <c r="A17" s="49"/>
      <c r="B17" s="248" t="s">
        <v>14</v>
      </c>
      <c r="C17" s="249">
        <f>D_37002</f>
        <v>0</v>
      </c>
      <c r="D17" s="451">
        <f>D_37018</f>
        <v>0</v>
      </c>
      <c r="E17" s="249">
        <f>D_37002_1</f>
        <v>0</v>
      </c>
      <c r="F17" s="451">
        <f>D_37018_1</f>
        <v>0</v>
      </c>
      <c r="G17" s="249">
        <f>D_37002_2</f>
        <v>0</v>
      </c>
      <c r="H17" s="263">
        <f>D_37018_2</f>
        <v>0</v>
      </c>
      <c r="I17" s="49"/>
    </row>
    <row r="18" spans="1:10" s="2" customFormat="1" ht="15" customHeight="1">
      <c r="A18" s="49"/>
      <c r="B18" s="248" t="str">
        <f>" +/- variation de stocks"</f>
        <v xml:space="preserve"> +/- variation de stocks</v>
      </c>
      <c r="C18" s="249">
        <f xml:space="preserve"> D_37206</f>
        <v>0</v>
      </c>
      <c r="D18" s="451">
        <f xml:space="preserve"> D_37208</f>
        <v>0</v>
      </c>
      <c r="E18" s="249">
        <f xml:space="preserve"> D_37206_1</f>
        <v>0</v>
      </c>
      <c r="F18" s="451">
        <f xml:space="preserve"> D_37208_1</f>
        <v>0</v>
      </c>
      <c r="G18" s="249">
        <f xml:space="preserve"> D_37206_2</f>
        <v>0</v>
      </c>
      <c r="H18" s="263">
        <f>D_37208_2</f>
        <v>0</v>
      </c>
      <c r="I18" s="49"/>
    </row>
    <row r="19" spans="1:10" s="2" customFormat="1" ht="15" customHeight="1">
      <c r="A19" s="49"/>
      <c r="B19" s="248" t="str">
        <f>" + primes"</f>
        <v xml:space="preserve"> + primes</v>
      </c>
      <c r="C19" s="249">
        <f>R_11022</f>
        <v>0</v>
      </c>
      <c r="D19" s="451">
        <f>D_37194</f>
        <v>0</v>
      </c>
      <c r="E19" s="249">
        <f>R_11022_1</f>
        <v>0</v>
      </c>
      <c r="F19" s="451">
        <f>D_37194_1</f>
        <v>0</v>
      </c>
      <c r="G19" s="249">
        <f>R_11022_2</f>
        <v>0</v>
      </c>
      <c r="H19" s="263">
        <f>D_37194_2</f>
        <v>0</v>
      </c>
      <c r="I19" s="49"/>
    </row>
    <row r="20" spans="1:10" s="2" customFormat="1" ht="15" customHeight="1">
      <c r="A20" s="49"/>
      <c r="B20" s="416" t="s">
        <v>15</v>
      </c>
      <c r="C20" s="417">
        <f>D_37003</f>
        <v>0</v>
      </c>
      <c r="D20" s="447">
        <f>D_37019</f>
        <v>0</v>
      </c>
      <c r="E20" s="418">
        <f>D_37003_1</f>
        <v>0</v>
      </c>
      <c r="F20" s="447">
        <f>D_37019_1</f>
        <v>0</v>
      </c>
      <c r="G20" s="418">
        <f>D_37003_2</f>
        <v>0</v>
      </c>
      <c r="H20" s="419">
        <f>D_37019_2</f>
        <v>0</v>
      </c>
      <c r="I20" s="49"/>
    </row>
    <row r="21" spans="1:10" s="2" customFormat="1" ht="15" customHeight="1">
      <c r="A21" s="49"/>
      <c r="B21" s="248" t="s">
        <v>103</v>
      </c>
      <c r="C21" s="249">
        <f>D_37004</f>
        <v>4839</v>
      </c>
      <c r="D21" s="451">
        <f>D_37020</f>
        <v>33.6</v>
      </c>
      <c r="E21" s="249">
        <f>D_37004_1</f>
        <v>9823</v>
      </c>
      <c r="F21" s="451">
        <f>D_37020_1</f>
        <v>68.28</v>
      </c>
      <c r="G21" s="249">
        <f>D_37004_2</f>
        <v>4153</v>
      </c>
      <c r="H21" s="263">
        <f>D_37020_2</f>
        <v>28.87</v>
      </c>
      <c r="I21" s="49"/>
    </row>
    <row r="22" spans="1:10" s="2" customFormat="1" ht="4.5" customHeight="1">
      <c r="A22" s="49"/>
      <c r="B22" s="248"/>
      <c r="C22" s="249"/>
      <c r="D22" s="451"/>
      <c r="E22" s="249"/>
      <c r="F22" s="451"/>
      <c r="G22" s="249"/>
      <c r="H22" s="263"/>
      <c r="I22" s="49"/>
    </row>
    <row r="23" spans="1:10" s="2" customFormat="1" ht="6.95" customHeight="1">
      <c r="A23" s="49"/>
      <c r="B23" s="253"/>
      <c r="C23" s="249"/>
      <c r="D23" s="451"/>
      <c r="E23" s="249"/>
      <c r="F23" s="451"/>
      <c r="G23" s="249"/>
      <c r="H23" s="263"/>
      <c r="I23" s="49"/>
    </row>
    <row r="24" spans="1:10" s="386" customFormat="1" ht="20.100000000000001" customHeight="1">
      <c r="A24" s="385"/>
      <c r="B24" s="420" t="s">
        <v>104</v>
      </c>
      <c r="C24" s="421">
        <f>D_37005</f>
        <v>135216</v>
      </c>
      <c r="D24" s="452">
        <f>D_37021</f>
        <v>939</v>
      </c>
      <c r="E24" s="422">
        <f>D_37005_1</f>
        <v>226994</v>
      </c>
      <c r="F24" s="452">
        <f>D_37021_1</f>
        <v>1577.88</v>
      </c>
      <c r="G24" s="422">
        <f>D_37005_2</f>
        <v>263844</v>
      </c>
      <c r="H24" s="423">
        <f>D_37021_2</f>
        <v>1834.03</v>
      </c>
      <c r="I24" s="385"/>
      <c r="J24" s="494"/>
    </row>
    <row r="25" spans="1:10" s="2" customFormat="1" ht="6.95" customHeight="1">
      <c r="A25" s="49"/>
      <c r="B25" s="254"/>
      <c r="C25" s="255"/>
      <c r="D25" s="453"/>
      <c r="E25" s="255"/>
      <c r="F25" s="453"/>
      <c r="G25" s="255"/>
      <c r="H25" s="264"/>
      <c r="I25" s="49"/>
      <c r="J25" s="495"/>
    </row>
    <row r="26" spans="1:10" s="2" customFormat="1" ht="15" customHeight="1">
      <c r="A26" s="49"/>
      <c r="B26" s="248" t="str">
        <f>" - charges d'approvisionnements"</f>
        <v xml:space="preserve"> - charges d'approvisionnements</v>
      </c>
      <c r="C26" s="249">
        <f>D_37197</f>
        <v>93462</v>
      </c>
      <c r="D26" s="451">
        <f>D_37198</f>
        <v>649.04</v>
      </c>
      <c r="E26" s="249">
        <f>D_37197_1</f>
        <v>85915</v>
      </c>
      <c r="F26" s="451">
        <f>D_37198_1</f>
        <v>597.21</v>
      </c>
      <c r="G26" s="249">
        <f>D_37197_2</f>
        <v>94724</v>
      </c>
      <c r="H26" s="263">
        <f>D_37198_2</f>
        <v>658.45</v>
      </c>
      <c r="I26" s="49"/>
      <c r="J26" s="496"/>
    </row>
    <row r="27" spans="1:10" s="2" customFormat="1" ht="15" customHeight="1">
      <c r="A27" s="49"/>
      <c r="B27" s="248" t="str">
        <f>" - achats animaux"</f>
        <v xml:space="preserve"> - achats animaux</v>
      </c>
      <c r="C27" s="249">
        <f>R_612</f>
        <v>0</v>
      </c>
      <c r="D27" s="451">
        <f>D_30426</f>
        <v>0</v>
      </c>
      <c r="E27" s="249">
        <f>R_612_1</f>
        <v>0</v>
      </c>
      <c r="F27" s="451">
        <f>D_30426_1</f>
        <v>0</v>
      </c>
      <c r="G27" s="249">
        <f>R_612_2</f>
        <v>0</v>
      </c>
      <c r="H27" s="263">
        <f>D_30426_2</f>
        <v>0</v>
      </c>
      <c r="I27" s="49"/>
      <c r="J27" s="496"/>
    </row>
    <row r="28" spans="1:10" s="2" customFormat="1" ht="6.95" customHeight="1">
      <c r="A28" s="49"/>
      <c r="B28" s="248"/>
      <c r="C28" s="249"/>
      <c r="D28" s="451"/>
      <c r="E28" s="249"/>
      <c r="F28" s="451"/>
      <c r="G28" s="249"/>
      <c r="H28" s="263"/>
      <c r="I28" s="49"/>
      <c r="J28" s="495"/>
    </row>
    <row r="29" spans="1:10" s="386" customFormat="1" ht="20.100000000000001" customHeight="1">
      <c r="A29" s="385"/>
      <c r="B29" s="420" t="s">
        <v>16</v>
      </c>
      <c r="C29" s="421">
        <f>D_37006</f>
        <v>41754</v>
      </c>
      <c r="D29" s="452">
        <f>D_37022</f>
        <v>289.95999999999998</v>
      </c>
      <c r="E29" s="422">
        <f>D_37006_1</f>
        <v>141079</v>
      </c>
      <c r="F29" s="452">
        <f>D_37022_1</f>
        <v>980.67</v>
      </c>
      <c r="G29" s="422">
        <f>D_37006_2</f>
        <v>169120</v>
      </c>
      <c r="H29" s="423">
        <f>D_37022_2</f>
        <v>1175.5899999999999</v>
      </c>
      <c r="I29" s="385"/>
      <c r="J29" s="494"/>
    </row>
    <row r="30" spans="1:10" s="2" customFormat="1" ht="5.25" customHeight="1">
      <c r="A30" s="49"/>
      <c r="B30" s="248"/>
      <c r="C30" s="249"/>
      <c r="D30" s="451"/>
      <c r="E30" s="249"/>
      <c r="F30" s="451"/>
      <c r="G30" s="249"/>
      <c r="H30" s="263"/>
      <c r="I30" s="49"/>
      <c r="J30" s="494"/>
    </row>
    <row r="31" spans="1:10" s="2" customFormat="1" ht="15" customHeight="1">
      <c r="A31" s="49"/>
      <c r="B31" s="248" t="str">
        <f>" - Autres services &amp; approvisionnements"</f>
        <v xml:space="preserve"> - Autres services &amp; approvisionnements</v>
      </c>
      <c r="C31" s="249"/>
      <c r="D31" s="451"/>
      <c r="E31" s="249"/>
      <c r="F31" s="451"/>
      <c r="G31" s="249"/>
      <c r="H31" s="263"/>
      <c r="I31" s="49"/>
      <c r="J31" s="494"/>
    </row>
    <row r="32" spans="1:10" s="2" customFormat="1" ht="15" customHeight="1">
      <c r="A32" s="49"/>
      <c r="B32" s="248" t="s">
        <v>108</v>
      </c>
      <c r="C32" s="249">
        <f>D_37007</f>
        <v>20675</v>
      </c>
      <c r="D32" s="451">
        <f>D_37023</f>
        <v>143.58000000000001</v>
      </c>
      <c r="E32" s="249">
        <f>D_37007_1</f>
        <v>22228</v>
      </c>
      <c r="F32" s="451">
        <f>D_37023_1</f>
        <v>154.51</v>
      </c>
      <c r="G32" s="249">
        <f>D_37007_2</f>
        <v>24932</v>
      </c>
      <c r="H32" s="263">
        <f>D_37023_2</f>
        <v>173.31</v>
      </c>
      <c r="I32" s="49"/>
    </row>
    <row r="33" spans="1:9" s="2" customFormat="1" ht="3.75" customHeight="1">
      <c r="A33" s="49"/>
      <c r="B33" s="248"/>
      <c r="C33" s="249"/>
      <c r="D33" s="451"/>
      <c r="E33" s="249"/>
      <c r="F33" s="451"/>
      <c r="G33" s="249"/>
      <c r="H33" s="263"/>
      <c r="I33" s="49"/>
    </row>
    <row r="34" spans="1:9" s="2" customFormat="1" ht="12.75" customHeight="1">
      <c r="A34" s="49"/>
      <c r="B34" s="248" t="s">
        <v>106</v>
      </c>
      <c r="C34" s="249">
        <f>D_30470</f>
        <v>12397</v>
      </c>
      <c r="D34" s="451">
        <f>D_31047</f>
        <v>86.09</v>
      </c>
      <c r="E34" s="249">
        <f>D_30470_1</f>
        <v>13446</v>
      </c>
      <c r="F34" s="451">
        <f>D_31047_1</f>
        <v>93.47</v>
      </c>
      <c r="G34" s="249">
        <f>D_30470_2</f>
        <v>13330</v>
      </c>
      <c r="H34" s="263">
        <f>D_31047_2</f>
        <v>92.66</v>
      </c>
      <c r="I34" s="49"/>
    </row>
    <row r="35" spans="1:9" s="2" customFormat="1" ht="15" customHeight="1">
      <c r="A35" s="49"/>
      <c r="B35" s="248" t="s">
        <v>17</v>
      </c>
      <c r="C35" s="249">
        <f>D_37008</f>
        <v>44718</v>
      </c>
      <c r="D35" s="451">
        <f>D_37024</f>
        <v>310.54000000000002</v>
      </c>
      <c r="E35" s="249">
        <f>D_37008_1</f>
        <v>47702</v>
      </c>
      <c r="F35" s="451">
        <f>D_37024_1</f>
        <v>331.59</v>
      </c>
      <c r="G35" s="249">
        <f>D_37008_2</f>
        <v>35314</v>
      </c>
      <c r="H35" s="263">
        <f>D_37024_2</f>
        <v>245.47</v>
      </c>
      <c r="I35" s="49"/>
    </row>
    <row r="36" spans="1:9" s="2" customFormat="1" ht="6.95" customHeight="1">
      <c r="A36" s="49"/>
      <c r="B36" s="248"/>
      <c r="C36" s="249"/>
      <c r="D36" s="451"/>
      <c r="E36" s="249"/>
      <c r="F36" s="451"/>
      <c r="G36" s="249"/>
      <c r="H36" s="263"/>
      <c r="I36" s="49"/>
    </row>
    <row r="37" spans="1:9" s="386" customFormat="1" ht="20.100000000000001" customHeight="1">
      <c r="A37" s="385"/>
      <c r="B37" s="420" t="s">
        <v>18</v>
      </c>
      <c r="C37" s="421">
        <f>D_37009</f>
        <v>-36036</v>
      </c>
      <c r="D37" s="452">
        <f>D_37025</f>
        <v>-250.25</v>
      </c>
      <c r="E37" s="422">
        <f>D_37009_1</f>
        <v>57703</v>
      </c>
      <c r="F37" s="452">
        <f>D_37025_1</f>
        <v>401.11</v>
      </c>
      <c r="G37" s="422">
        <f>D_37009_2</f>
        <v>95544</v>
      </c>
      <c r="H37" s="423">
        <f>D_37025_2</f>
        <v>664.15</v>
      </c>
      <c r="I37" s="385"/>
    </row>
    <row r="38" spans="1:9" s="2" customFormat="1" ht="15" customHeight="1">
      <c r="A38" s="49"/>
      <c r="B38" s="248" t="str">
        <f>" - frais de personnel"</f>
        <v xml:space="preserve"> - frais de personnel</v>
      </c>
      <c r="C38" s="249">
        <f>D_37012</f>
        <v>0</v>
      </c>
      <c r="D38" s="451">
        <f>D_37027</f>
        <v>0</v>
      </c>
      <c r="E38" s="249">
        <f>D_37012_1</f>
        <v>0</v>
      </c>
      <c r="F38" s="451">
        <f>D_37027_1</f>
        <v>0</v>
      </c>
      <c r="G38" s="249">
        <f>D_37012_2</f>
        <v>0</v>
      </c>
      <c r="H38" s="263">
        <f>D_37027_2</f>
        <v>0</v>
      </c>
      <c r="I38" s="49"/>
    </row>
    <row r="39" spans="1:9" s="2" customFormat="1" ht="15" customHeight="1">
      <c r="A39" s="49"/>
      <c r="B39" s="248" t="str">
        <f>" - cotisations sociales de l'exploitant"</f>
        <v xml:space="preserve"> - cotisations sociales de l'exploitant</v>
      </c>
      <c r="C39" s="249">
        <f>R_646</f>
        <v>10766</v>
      </c>
      <c r="D39" s="451">
        <f>D_31050</f>
        <v>74.760000000000005</v>
      </c>
      <c r="E39" s="249">
        <f>R_646_1</f>
        <v>23096</v>
      </c>
      <c r="F39" s="451">
        <f>D_31050_1</f>
        <v>160.54</v>
      </c>
      <c r="G39" s="249">
        <f>R_646_2</f>
        <v>31508</v>
      </c>
      <c r="H39" s="263">
        <f>D_31050_2</f>
        <v>219.02</v>
      </c>
      <c r="I39" s="49"/>
    </row>
    <row r="40" spans="1:9" s="2" customFormat="1" ht="15" customHeight="1">
      <c r="A40" s="49"/>
      <c r="B40" s="248" t="str">
        <f>" - impôts et taxes"</f>
        <v xml:space="preserve"> - impôts et taxes</v>
      </c>
      <c r="C40" s="249">
        <f>R_640</f>
        <v>1302</v>
      </c>
      <c r="D40" s="451">
        <f>C40/C9</f>
        <v>9.0416666666666661</v>
      </c>
      <c r="E40" s="249">
        <f>R_640_1</f>
        <v>3174</v>
      </c>
      <c r="F40" s="451">
        <f>E40/E9</f>
        <v>22.063116919227024</v>
      </c>
      <c r="G40" s="249">
        <f>R_640_2</f>
        <v>1887</v>
      </c>
      <c r="H40" s="263">
        <f>G40/G9</f>
        <v>13.116919227026274</v>
      </c>
      <c r="I40" s="49"/>
    </row>
    <row r="41" spans="1:9" s="2" customFormat="1" ht="6.95" customHeight="1">
      <c r="A41" s="49"/>
      <c r="B41" s="248"/>
      <c r="C41" s="249"/>
      <c r="D41" s="451"/>
      <c r="E41" s="249"/>
      <c r="F41" s="451"/>
      <c r="G41" s="249"/>
      <c r="H41" s="263"/>
      <c r="I41" s="49"/>
    </row>
    <row r="42" spans="1:9" s="386" customFormat="1" ht="20.100000000000001" customHeight="1">
      <c r="A42" s="385"/>
      <c r="B42" s="420" t="s">
        <v>19</v>
      </c>
      <c r="C42" s="421">
        <f>D_37011</f>
        <v>-48104</v>
      </c>
      <c r="D42" s="452">
        <f>D_37026</f>
        <v>-334.06</v>
      </c>
      <c r="E42" s="422">
        <f>D_37011_1</f>
        <v>31433</v>
      </c>
      <c r="F42" s="452">
        <f>D_37026_1</f>
        <v>218.5</v>
      </c>
      <c r="G42" s="422">
        <f>D_37011_2</f>
        <v>62149</v>
      </c>
      <c r="H42" s="423">
        <f>D_37026_2</f>
        <v>432.01</v>
      </c>
      <c r="I42" s="385"/>
    </row>
    <row r="43" spans="1:9" s="2" customFormat="1" ht="6" customHeight="1">
      <c r="A43" s="49"/>
      <c r="B43" s="248"/>
      <c r="C43" s="249"/>
      <c r="D43" s="451"/>
      <c r="E43" s="249"/>
      <c r="F43" s="451"/>
      <c r="G43" s="249"/>
      <c r="H43" s="263"/>
      <c r="I43" s="49"/>
    </row>
    <row r="44" spans="1:9" s="2" customFormat="1" ht="15" customHeight="1">
      <c r="A44" s="49"/>
      <c r="B44" s="248" t="str">
        <f>" - frais financiers"</f>
        <v xml:space="preserve"> - frais financiers</v>
      </c>
      <c r="C44" s="249">
        <f>R_722</f>
        <v>3722</v>
      </c>
      <c r="D44" s="451">
        <f>D_30525</f>
        <v>25.85</v>
      </c>
      <c r="E44" s="249">
        <f>R_722_1</f>
        <v>3511</v>
      </c>
      <c r="F44" s="451">
        <f>D_30525_1</f>
        <v>24.41</v>
      </c>
      <c r="G44" s="249">
        <f>R_722_2</f>
        <v>4343</v>
      </c>
      <c r="H44" s="263">
        <f>D_30525_2</f>
        <v>30.19</v>
      </c>
      <c r="I44" s="49"/>
    </row>
    <row r="45" spans="1:9" s="2" customFormat="1" ht="15" customHeight="1">
      <c r="A45" s="49"/>
      <c r="B45" s="248" t="str">
        <f>" - amortissements et provisions"</f>
        <v xml:space="preserve"> - amortissements et provisions</v>
      </c>
      <c r="C45" s="249">
        <f>R_652 + R_658 + R_664 + R_668</f>
        <v>19537</v>
      </c>
      <c r="D45" s="451">
        <f>D_31053</f>
        <v>135.66999999999999</v>
      </c>
      <c r="E45" s="249">
        <f>R_652_1 + R_658_1 + R_664_1 + R_668_1</f>
        <v>24646</v>
      </c>
      <c r="F45" s="451">
        <f>D_31053_1</f>
        <v>171.32</v>
      </c>
      <c r="G45" s="249">
        <f>R_652_2 + R_658_2 + R_664_2 + R_668_2</f>
        <v>42105</v>
      </c>
      <c r="H45" s="263">
        <f>D_31053_2</f>
        <v>292.68</v>
      </c>
      <c r="I45" s="49"/>
    </row>
    <row r="46" spans="1:9" s="2" customFormat="1" ht="15" customHeight="1">
      <c r="A46" s="49" t="s">
        <v>20</v>
      </c>
      <c r="B46" s="248" t="str">
        <f>" + produits financiers"</f>
        <v xml:space="preserve"> + produits financiers</v>
      </c>
      <c r="C46" s="249">
        <f>R_702</f>
        <v>132</v>
      </c>
      <c r="D46" s="451">
        <f>D_30526</f>
        <v>0.92</v>
      </c>
      <c r="E46" s="249">
        <f>R_702_1</f>
        <v>102</v>
      </c>
      <c r="F46" s="451">
        <f>D_30526_1</f>
        <v>0.71</v>
      </c>
      <c r="G46" s="249">
        <f>R_702_2</f>
        <v>163</v>
      </c>
      <c r="H46" s="263">
        <f>D_30526_2</f>
        <v>1.1299999999999999</v>
      </c>
      <c r="I46" s="49"/>
    </row>
    <row r="47" spans="1:9" s="2" customFormat="1" ht="15" customHeight="1">
      <c r="A47" s="49"/>
      <c r="B47" s="248" t="str">
        <f>" - autres charges"</f>
        <v xml:space="preserve"> - autres charges</v>
      </c>
      <c r="C47" s="249">
        <f>R_672</f>
        <v>-1</v>
      </c>
      <c r="D47" s="451">
        <f>D_31054</f>
        <v>-0.01</v>
      </c>
      <c r="E47" s="249">
        <f>R_672_1</f>
        <v>1</v>
      </c>
      <c r="F47" s="451">
        <f>D_31054_1</f>
        <v>0.01</v>
      </c>
      <c r="G47" s="249">
        <f>R_672_2</f>
        <v>2</v>
      </c>
      <c r="H47" s="263">
        <f>D_31054_2</f>
        <v>0.01</v>
      </c>
      <c r="I47" s="49"/>
    </row>
    <row r="48" spans="1:9" s="2" customFormat="1" ht="15" customHeight="1">
      <c r="A48" s="49"/>
      <c r="B48" s="248" t="s">
        <v>337</v>
      </c>
      <c r="C48" s="249">
        <f>D_37013</f>
        <v>43608</v>
      </c>
      <c r="D48" s="451">
        <f>D_37028</f>
        <v>302.83</v>
      </c>
      <c r="E48" s="249">
        <f>D_37013_1</f>
        <v>45827</v>
      </c>
      <c r="F48" s="451">
        <f>D_37028_1</f>
        <v>318.55</v>
      </c>
      <c r="G48" s="249">
        <f>D_37013_2</f>
        <v>2120</v>
      </c>
      <c r="H48" s="263">
        <f>D_37028_2</f>
        <v>14.74</v>
      </c>
      <c r="I48" s="49"/>
    </row>
    <row r="49" spans="1:9" s="2" customFormat="1" ht="6.95" customHeight="1">
      <c r="A49" s="49"/>
      <c r="B49" s="248"/>
      <c r="C49" s="249"/>
      <c r="D49" s="451"/>
      <c r="E49" s="249"/>
      <c r="F49" s="451"/>
      <c r="G49" s="249"/>
      <c r="H49" s="263"/>
      <c r="I49" s="49"/>
    </row>
    <row r="50" spans="1:9" s="386" customFormat="1" ht="20.100000000000001" customHeight="1">
      <c r="A50" s="385"/>
      <c r="B50" s="420" t="s">
        <v>21</v>
      </c>
      <c r="C50" s="421">
        <f>D_37014</f>
        <v>-27622</v>
      </c>
      <c r="D50" s="452">
        <f>D_37029</f>
        <v>-191.82</v>
      </c>
      <c r="E50" s="422">
        <f>D_37014_1</f>
        <v>49204</v>
      </c>
      <c r="F50" s="452">
        <f>D_37029_1</f>
        <v>342.03</v>
      </c>
      <c r="G50" s="422">
        <f>D_37014_2</f>
        <v>17982</v>
      </c>
      <c r="H50" s="423">
        <f>D_37029_2</f>
        <v>125</v>
      </c>
      <c r="I50" s="385"/>
    </row>
    <row r="51" spans="1:9" s="2" customFormat="1" ht="15" customHeight="1">
      <c r="A51" s="49"/>
      <c r="B51" s="737" t="str">
        <f>IF(OR(B63="06",B63="05"), " + produits exceptionnels *", " + produits exceptionnels")</f>
        <v xml:space="preserve"> + produits exceptionnels *</v>
      </c>
      <c r="C51" s="209">
        <f>D_30550</f>
        <v>0</v>
      </c>
      <c r="D51" s="451">
        <f>D_31055</f>
        <v>0</v>
      </c>
      <c r="E51" s="249">
        <f>D_30550_1</f>
        <v>0</v>
      </c>
      <c r="F51" s="451">
        <f>D_31055_1</f>
        <v>0</v>
      </c>
      <c r="G51" s="249">
        <f>D_30550_2</f>
        <v>42494</v>
      </c>
      <c r="H51" s="263">
        <f>D_31055_2</f>
        <v>295.38</v>
      </c>
      <c r="I51" s="49"/>
    </row>
    <row r="52" spans="1:9" s="2" customFormat="1" ht="15" customHeight="1">
      <c r="A52" s="49"/>
      <c r="B52" s="248" t="str">
        <f>" - charges exceptionnelles"</f>
        <v xml:space="preserve"> - charges exceptionnelles</v>
      </c>
      <c r="C52" s="249">
        <f>D_30560</f>
        <v>0</v>
      </c>
      <c r="D52" s="451">
        <f>D_31056</f>
        <v>0</v>
      </c>
      <c r="E52" s="249">
        <f>D_30560_1</f>
        <v>0</v>
      </c>
      <c r="F52" s="451">
        <f>D_31056_1</f>
        <v>0</v>
      </c>
      <c r="G52" s="249">
        <f>D_30560_2</f>
        <v>44007</v>
      </c>
      <c r="H52" s="263">
        <f>D_31056_2</f>
        <v>305.89999999999998</v>
      </c>
      <c r="I52" s="49"/>
    </row>
    <row r="53" spans="1:9" s="2" customFormat="1" ht="6.95" customHeight="1">
      <c r="A53" s="49"/>
      <c r="B53" s="248"/>
      <c r="C53" s="249"/>
      <c r="D53" s="451"/>
      <c r="E53" s="249"/>
      <c r="F53" s="451"/>
      <c r="G53" s="249"/>
      <c r="H53" s="263"/>
      <c r="I53" s="49"/>
    </row>
    <row r="54" spans="1:9" s="386" customFormat="1" ht="20.100000000000001" customHeight="1" thickBot="1">
      <c r="A54" s="385"/>
      <c r="B54" s="424" t="s">
        <v>22</v>
      </c>
      <c r="C54" s="425">
        <f>D_37015</f>
        <v>-27622</v>
      </c>
      <c r="D54" s="454">
        <f>D_37030</f>
        <v>-191.82</v>
      </c>
      <c r="E54" s="425">
        <f>D_37015_1</f>
        <v>49204</v>
      </c>
      <c r="F54" s="454">
        <f>D_37030_1</f>
        <v>342.03</v>
      </c>
      <c r="G54" s="425">
        <f>D_37015_2</f>
        <v>16469</v>
      </c>
      <c r="H54" s="426">
        <f>D_37030_2</f>
        <v>114.48</v>
      </c>
      <c r="I54" s="385"/>
    </row>
    <row r="55" spans="1:9" s="386" customFormat="1" ht="20.100000000000001" customHeight="1">
      <c r="A55" s="385"/>
      <c r="B55" s="733" t="str">
        <f>IF(OR(B63="06",B63="05"), "*dont aide découplée N+1", " ")</f>
        <v>*dont aide découplée N+1</v>
      </c>
      <c r="C55" s="723">
        <f>R_11068+ R_11069</f>
        <v>0</v>
      </c>
      <c r="D55" s="500"/>
      <c r="E55" s="723">
        <f>R_11068_1 + R_11069_1</f>
        <v>0</v>
      </c>
      <c r="F55" s="500"/>
      <c r="G55" s="723">
        <f>R_11068_2 + R_11069_2</f>
        <v>41100</v>
      </c>
      <c r="H55" s="500"/>
      <c r="I55" s="385"/>
    </row>
    <row r="56" spans="1:9" s="2" customFormat="1" ht="17.25" customHeight="1">
      <c r="A56" s="49"/>
      <c r="B56" s="125"/>
      <c r="C56" s="125"/>
      <c r="D56" s="183"/>
      <c r="E56" s="125"/>
      <c r="F56" s="183"/>
      <c r="G56" s="125"/>
      <c r="H56" s="258"/>
      <c r="I56" s="49"/>
    </row>
    <row r="57" spans="1:9" s="2" customFormat="1" ht="18.75" customHeight="1">
      <c r="A57" s="49"/>
      <c r="B57" s="155" t="str">
        <f>TRIM(CivilAdht&amp; " " &amp; NomAdht)</f>
        <v/>
      </c>
      <c r="C57" s="135"/>
      <c r="D57" s="96"/>
      <c r="E57" s="42"/>
      <c r="F57" s="96"/>
      <c r="G57" s="257"/>
      <c r="H57" s="265"/>
      <c r="I57" s="49"/>
    </row>
    <row r="58" spans="1:9">
      <c r="A58" s="125"/>
      <c r="I58" s="125"/>
    </row>
    <row r="59" spans="1:9" s="2" customFormat="1" ht="9" customHeight="1">
      <c r="A59" s="43"/>
      <c r="B59" s="42"/>
      <c r="C59" s="42"/>
      <c r="D59" s="266"/>
      <c r="E59" s="42"/>
      <c r="F59" s="266"/>
      <c r="G59" s="42"/>
      <c r="H59" s="265"/>
      <c r="I59" s="43"/>
    </row>
    <row r="60" spans="1:9" s="2" customFormat="1" ht="4.5" customHeight="1">
      <c r="A60" s="43"/>
      <c r="B60" s="42"/>
      <c r="C60" s="42"/>
      <c r="D60" s="266"/>
      <c r="E60" s="42"/>
      <c r="F60" s="266"/>
      <c r="G60" s="42"/>
      <c r="H60" s="265"/>
      <c r="I60" s="43"/>
    </row>
    <row r="61" spans="1:9" s="2" customFormat="1" ht="15" hidden="1" customHeight="1" outlineLevel="1">
      <c r="A61" s="43"/>
      <c r="B61" s="42" t="str">
        <f>FinExN</f>
        <v>30/06/2017</v>
      </c>
      <c r="C61" s="42"/>
      <c r="D61" s="266"/>
      <c r="E61" s="42"/>
      <c r="F61" s="266"/>
      <c r="G61" s="42"/>
      <c r="H61" s="265"/>
      <c r="I61" s="43"/>
    </row>
    <row r="62" spans="1:9" s="2" customFormat="1" ht="15" hidden="1" customHeight="1" outlineLevel="1">
      <c r="A62" s="43"/>
      <c r="B62" s="42" t="str">
        <f>LEFT(B61,5)</f>
        <v>30/06</v>
      </c>
      <c r="C62" s="42"/>
      <c r="D62" s="266"/>
      <c r="E62" s="42"/>
      <c r="F62" s="266"/>
      <c r="G62" s="42"/>
      <c r="H62" s="265"/>
      <c r="I62" s="43"/>
    </row>
    <row r="63" spans="1:9" s="2" customFormat="1" ht="15" hidden="1" customHeight="1" outlineLevel="1">
      <c r="A63" s="43"/>
      <c r="B63" s="42" t="str">
        <f>RIGHT(B62,2)</f>
        <v>06</v>
      </c>
      <c r="C63" s="42"/>
      <c r="D63" s="266"/>
      <c r="E63" s="42"/>
      <c r="F63" s="266"/>
      <c r="G63" s="42"/>
      <c r="H63" s="265"/>
      <c r="I63" s="43"/>
    </row>
    <row r="64" spans="1:9" s="2" customFormat="1" ht="15" hidden="1" customHeight="1" outlineLevel="1">
      <c r="A64" s="43"/>
      <c r="B64" s="42" t="str">
        <f>IF(OR(B63="06",B63="05"), "*dont aide découplée N+1", " ")</f>
        <v>*dont aide découplée N+1</v>
      </c>
      <c r="C64" s="43"/>
      <c r="D64" s="96"/>
      <c r="E64" s="43"/>
      <c r="F64" s="96"/>
      <c r="G64" s="43"/>
      <c r="H64" s="267"/>
      <c r="I64" s="43"/>
    </row>
    <row r="65" spans="1:9" s="2" customFormat="1" ht="15" customHeight="1" collapsed="1">
      <c r="A65" s="43"/>
      <c r="B65" s="42"/>
      <c r="C65" s="43"/>
      <c r="D65" s="96"/>
      <c r="E65" s="43"/>
      <c r="F65" s="96"/>
      <c r="G65" s="43"/>
      <c r="H65" s="267"/>
      <c r="I65" s="43"/>
    </row>
    <row r="66" spans="1:9" s="2" customFormat="1" ht="15" customHeight="1">
      <c r="A66" s="43"/>
      <c r="B66" s="42"/>
      <c r="C66" s="43"/>
      <c r="D66" s="96"/>
      <c r="E66" s="43"/>
      <c r="F66" s="96"/>
      <c r="G66" s="43"/>
      <c r="H66" s="267"/>
      <c r="I66" s="43"/>
    </row>
    <row r="67" spans="1:9" s="2" customFormat="1" ht="15" customHeight="1">
      <c r="A67" s="43"/>
      <c r="B67" s="42"/>
      <c r="C67" s="43"/>
      <c r="D67" s="96"/>
      <c r="E67" s="43"/>
      <c r="F67" s="96"/>
      <c r="G67" s="43"/>
      <c r="H67" s="267"/>
      <c r="I67" s="43"/>
    </row>
    <row r="68" spans="1:9" s="2" customFormat="1" ht="15" customHeight="1">
      <c r="A68" s="43"/>
      <c r="B68" s="42"/>
      <c r="C68" s="43"/>
      <c r="D68" s="96"/>
      <c r="E68" s="43"/>
      <c r="F68" s="96"/>
      <c r="G68" s="43"/>
      <c r="H68" s="267"/>
      <c r="I68" s="43"/>
    </row>
    <row r="69" spans="1:9" s="2" customFormat="1" ht="15" customHeight="1">
      <c r="A69" s="43"/>
      <c r="B69" s="42"/>
      <c r="C69" s="43"/>
      <c r="D69" s="96"/>
      <c r="E69" s="43"/>
      <c r="F69" s="96"/>
      <c r="G69" s="43"/>
      <c r="H69" s="267"/>
      <c r="I69" s="43"/>
    </row>
    <row r="70" spans="1:9" s="2" customFormat="1" ht="15" customHeight="1">
      <c r="A70" s="43"/>
      <c r="B70" s="42"/>
      <c r="C70" s="43"/>
      <c r="D70" s="96"/>
      <c r="E70" s="43"/>
      <c r="F70" s="96"/>
      <c r="G70" s="43"/>
      <c r="H70" s="267"/>
      <c r="I70" s="43"/>
    </row>
    <row r="71" spans="1:9" s="2" customFormat="1" ht="15" customHeight="1">
      <c r="A71" s="43"/>
      <c r="B71" s="42"/>
      <c r="C71" s="43"/>
      <c r="D71" s="96"/>
      <c r="E71" s="43"/>
      <c r="F71" s="96"/>
      <c r="G71" s="43"/>
      <c r="H71" s="267"/>
      <c r="I71" s="43"/>
    </row>
    <row r="72" spans="1:9" s="2" customFormat="1" ht="15" customHeight="1">
      <c r="A72" s="43"/>
      <c r="B72" s="42"/>
      <c r="C72" s="43"/>
      <c r="D72" s="96"/>
      <c r="E72" s="43"/>
      <c r="F72" s="96"/>
      <c r="G72" s="43"/>
      <c r="H72" s="267"/>
      <c r="I72" s="43"/>
    </row>
    <row r="73" spans="1:9" s="2" customFormat="1" ht="15" customHeight="1">
      <c r="A73" s="43"/>
      <c r="B73" s="42"/>
      <c r="C73" s="43"/>
      <c r="D73" s="96"/>
      <c r="E73" s="43"/>
      <c r="F73" s="96"/>
      <c r="G73" s="43"/>
      <c r="H73" s="267"/>
      <c r="I73" s="43"/>
    </row>
    <row r="74" spans="1:9" s="2" customFormat="1" ht="15" customHeight="1">
      <c r="A74" s="43"/>
      <c r="B74" s="42"/>
      <c r="C74" s="43"/>
      <c r="D74" s="96"/>
      <c r="E74" s="43"/>
      <c r="F74" s="96"/>
      <c r="G74" s="43"/>
      <c r="H74" s="267"/>
      <c r="I74" s="43"/>
    </row>
    <row r="75" spans="1:9" s="2" customFormat="1" ht="15" customHeight="1">
      <c r="A75" s="43"/>
      <c r="B75" s="42"/>
      <c r="C75" s="43"/>
      <c r="D75" s="96"/>
      <c r="E75" s="43"/>
      <c r="F75" s="96"/>
      <c r="G75" s="43"/>
      <c r="H75" s="267"/>
      <c r="I75" s="43"/>
    </row>
    <row r="76" spans="1:9" s="2" customFormat="1" ht="15" customHeight="1">
      <c r="A76" s="43"/>
      <c r="B76" s="42"/>
      <c r="C76" s="43"/>
      <c r="D76" s="96"/>
      <c r="E76" s="43"/>
      <c r="F76" s="96"/>
      <c r="G76" s="43"/>
      <c r="H76" s="267"/>
      <c r="I76" s="43"/>
    </row>
    <row r="77" spans="1:9" s="2" customFormat="1" ht="15" customHeight="1">
      <c r="A77" s="43"/>
      <c r="B77" s="42"/>
      <c r="C77" s="43"/>
      <c r="D77" s="96"/>
      <c r="E77" s="43"/>
      <c r="F77" s="96"/>
      <c r="G77" s="43"/>
      <c r="H77" s="267"/>
      <c r="I77" s="43"/>
    </row>
    <row r="78" spans="1:9" s="2" customFormat="1" ht="15" customHeight="1">
      <c r="A78" s="43"/>
      <c r="B78" s="42"/>
      <c r="C78" s="43"/>
      <c r="D78" s="96"/>
      <c r="E78" s="43"/>
      <c r="F78" s="96"/>
      <c r="G78" s="43"/>
      <c r="H78" s="267"/>
      <c r="I78" s="43"/>
    </row>
    <row r="79" spans="1:9" s="2" customFormat="1" ht="15" customHeight="1">
      <c r="A79" s="43"/>
      <c r="B79" s="42"/>
      <c r="C79" s="43"/>
      <c r="D79" s="96"/>
      <c r="E79" s="43"/>
      <c r="F79" s="96"/>
      <c r="G79" s="43"/>
      <c r="H79" s="267"/>
      <c r="I79" s="43"/>
    </row>
  </sheetData>
  <phoneticPr fontId="16" type="noConversion"/>
  <printOptions horizontalCentered="1" verticalCentered="1"/>
  <pageMargins left="0.59055118110236227" right="0.59055118110236227" top="0.39370078740157483" bottom="0.19685039370078741" header="0.51181102362204722" footer="0.51181102362204722"/>
  <pageSetup paperSize="9" orientation="portrait" r:id="rId1"/>
  <headerFooter alignWithMargins="0">
    <oddFooter>Page &amp;P</oddFooter>
  </headerFooter>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dimension ref="A1:J74"/>
  <sheetViews>
    <sheetView showZeros="0" topLeftCell="A25" zoomScaleNormal="100" workbookViewId="0">
      <selection activeCell="K41" sqref="K41:K42"/>
    </sheetView>
  </sheetViews>
  <sheetFormatPr baseColWidth="10" defaultRowHeight="12.75" outlineLevelRow="1"/>
  <cols>
    <col min="1" max="1" width="5" style="42" customWidth="1"/>
    <col min="2" max="2" width="11.42578125" style="42"/>
    <col min="3" max="3" width="41.140625" style="42" customWidth="1"/>
    <col min="4" max="4" width="16.140625" style="86" customWidth="1"/>
    <col min="5" max="5" width="5.85546875" style="42" customWidth="1"/>
    <col min="6" max="6" width="3.85546875" style="42" customWidth="1"/>
    <col min="7" max="7" width="5" style="42" customWidth="1"/>
    <col min="8" max="8" width="3.28515625" style="42" customWidth="1"/>
  </cols>
  <sheetData>
    <row r="1" spans="1:8" ht="9.75" customHeight="1"/>
    <row r="11" spans="1:8" ht="7.5" customHeight="1"/>
    <row r="13" spans="1:8" ht="13.5" customHeight="1" thickBot="1"/>
    <row r="14" spans="1:8" s="57" customFormat="1" ht="17.100000000000001" customHeight="1" thickTop="1" thickBot="1">
      <c r="A14" s="268"/>
      <c r="B14" s="268"/>
      <c r="C14" s="269" t="s">
        <v>167</v>
      </c>
      <c r="D14" s="270">
        <f>D_37103_1</f>
        <v>-25018</v>
      </c>
      <c r="E14" s="268"/>
      <c r="F14" s="268"/>
      <c r="G14" s="268"/>
      <c r="H14" s="268"/>
    </row>
    <row r="15" spans="1:8" s="57" customFormat="1" ht="6.75" customHeight="1" thickTop="1">
      <c r="A15" s="268"/>
      <c r="B15" s="268"/>
      <c r="C15" s="387"/>
      <c r="D15" s="388"/>
      <c r="E15" s="268"/>
      <c r="F15" s="268"/>
      <c r="G15" s="268"/>
      <c r="H15" s="268"/>
    </row>
    <row r="16" spans="1:8">
      <c r="B16" s="271" t="s">
        <v>168</v>
      </c>
    </row>
    <row r="17" spans="2:10">
      <c r="C17" s="125" t="str">
        <f>IF(OR(B72="06",B72="05"), "- résultat net hors plus ou moins values *", "- résultat net hors plus ou moins values")</f>
        <v>- résultat net hors plus ou moins values *</v>
      </c>
      <c r="D17" s="86">
        <f>D_37104</f>
        <v>0</v>
      </c>
      <c r="J17" s="125"/>
    </row>
    <row r="18" spans="2:10">
      <c r="C18" s="272" t="s">
        <v>169</v>
      </c>
      <c r="D18" s="86">
        <f>D_37106</f>
        <v>19537</v>
      </c>
    </row>
    <row r="19" spans="2:10">
      <c r="C19" s="272" t="s">
        <v>170</v>
      </c>
      <c r="D19" s="86">
        <f>D_37108</f>
        <v>0</v>
      </c>
    </row>
    <row r="20" spans="2:10">
      <c r="C20" s="272" t="s">
        <v>370</v>
      </c>
      <c r="D20" s="86">
        <f>D_37110</f>
        <v>0</v>
      </c>
    </row>
    <row r="21" spans="2:10">
      <c r="C21" s="272" t="s">
        <v>171</v>
      </c>
      <c r="D21" s="86">
        <f>D_37112</f>
        <v>21889</v>
      </c>
    </row>
    <row r="22" spans="2:10">
      <c r="C22" s="125" t="str">
        <f>IF(OR(B72="06",B72="05"),"- diminution des créances* fiscales et sociales", "- diminution des créances fiscales et sociales")</f>
        <v>- diminution des créances* fiscales et sociales</v>
      </c>
      <c r="D22" s="86">
        <f>D_37114</f>
        <v>1430</v>
      </c>
      <c r="J22" s="125"/>
    </row>
    <row r="23" spans="2:10">
      <c r="C23" s="272" t="s">
        <v>172</v>
      </c>
      <c r="D23" s="86">
        <f>D_37116</f>
        <v>13032</v>
      </c>
    </row>
    <row r="24" spans="2:10">
      <c r="C24" s="272" t="s">
        <v>173</v>
      </c>
      <c r="D24" s="86">
        <f>D_37118</f>
        <v>0</v>
      </c>
    </row>
    <row r="25" spans="2:10">
      <c r="C25" s="272" t="s">
        <v>174</v>
      </c>
      <c r="D25" s="86">
        <f>D_37120</f>
        <v>0</v>
      </c>
    </row>
    <row r="26" spans="2:10" ht="3" customHeight="1">
      <c r="C26" s="272"/>
    </row>
    <row r="27" spans="2:10">
      <c r="B27" s="271" t="s">
        <v>175</v>
      </c>
    </row>
    <row r="28" spans="2:10">
      <c r="C28" s="272" t="s">
        <v>176</v>
      </c>
      <c r="D28" s="86">
        <f>R_1670 + R_1172 + R_1173 + R_1174 + R_1166 + R_1167-Données!ZR_9903</f>
        <v>0</v>
      </c>
    </row>
    <row r="29" spans="2:10">
      <c r="C29" s="272" t="s">
        <v>177</v>
      </c>
      <c r="D29" s="86">
        <f>D_37124</f>
        <v>0</v>
      </c>
    </row>
    <row r="30" spans="2:10">
      <c r="C30" s="272" t="s">
        <v>178</v>
      </c>
      <c r="D30" s="86">
        <f>D_37125</f>
        <v>0</v>
      </c>
    </row>
    <row r="31" spans="2:10" ht="6" customHeight="1">
      <c r="C31" s="272"/>
    </row>
    <row r="32" spans="2:10">
      <c r="B32" s="271" t="s">
        <v>179</v>
      </c>
    </row>
    <row r="33" spans="2:10">
      <c r="C33" s="272" t="s">
        <v>180</v>
      </c>
      <c r="D33" s="86">
        <f>D_37127</f>
        <v>0</v>
      </c>
    </row>
    <row r="34" spans="2:10" ht="6.75" customHeight="1">
      <c r="C34" s="272"/>
    </row>
    <row r="35" spans="2:10" ht="15">
      <c r="C35" s="738" t="str">
        <f>IF(OR(B72="06",B72="05"), "TOTAL DES RESSOURCES *", "TOTAL DES RESSOURCES ")</f>
        <v>TOTAL DES RESSOURCES *</v>
      </c>
      <c r="D35" s="273">
        <f>D_37129-Données!ZR_9903</f>
        <v>55888</v>
      </c>
      <c r="J35" s="125"/>
    </row>
    <row r="36" spans="2:10" ht="8.25" customHeight="1">
      <c r="J36" s="4"/>
    </row>
    <row r="37" spans="2:10" ht="9.75" customHeight="1">
      <c r="J37" s="4"/>
    </row>
    <row r="38" spans="2:10">
      <c r="J38" s="4"/>
    </row>
    <row r="39" spans="2:10" ht="9" customHeight="1">
      <c r="J39" s="4"/>
    </row>
    <row r="40" spans="2:10">
      <c r="B40" s="271" t="s">
        <v>168</v>
      </c>
      <c r="J40" s="4"/>
    </row>
    <row r="41" spans="2:10">
      <c r="C41" s="272" t="s">
        <v>314</v>
      </c>
      <c r="D41" s="86">
        <f>D_37105</f>
        <v>27622</v>
      </c>
      <c r="J41" s="4"/>
    </row>
    <row r="42" spans="2:10">
      <c r="C42" s="272" t="s">
        <v>181</v>
      </c>
      <c r="D42" s="86">
        <f>D_37107 + D_37176</f>
        <v>0</v>
      </c>
      <c r="J42" s="4"/>
    </row>
    <row r="43" spans="2:10">
      <c r="C43" s="272" t="s">
        <v>182</v>
      </c>
      <c r="D43" s="86">
        <f>D_37109</f>
        <v>17737</v>
      </c>
      <c r="J43" s="4"/>
    </row>
    <row r="44" spans="2:10">
      <c r="C44" s="272" t="s">
        <v>371</v>
      </c>
      <c r="D44" s="86">
        <f>D_37111</f>
        <v>5420</v>
      </c>
      <c r="J44" s="4"/>
    </row>
    <row r="45" spans="2:10">
      <c r="C45" s="272" t="s">
        <v>183</v>
      </c>
      <c r="D45" s="86">
        <f>D_37113</f>
        <v>0</v>
      </c>
      <c r="J45" s="4"/>
    </row>
    <row r="46" spans="2:10">
      <c r="C46" s="125" t="str">
        <f>IF(OR(B72="06",B72="05"),"- augmentation des créances* fiscales et sociales", "- augmentation des créances fiscales et sociales")</f>
        <v>- augmentation des créances* fiscales et sociales</v>
      </c>
      <c r="D46" s="86">
        <f>D_37115</f>
        <v>0</v>
      </c>
      <c r="J46" s="125"/>
    </row>
    <row r="47" spans="2:10">
      <c r="C47" s="272" t="s">
        <v>184</v>
      </c>
      <c r="D47" s="86">
        <f>D_37117</f>
        <v>0</v>
      </c>
      <c r="J47" s="4"/>
    </row>
    <row r="48" spans="2:10">
      <c r="C48" s="272" t="s">
        <v>185</v>
      </c>
      <c r="D48" s="86">
        <f>D_37119</f>
        <v>0</v>
      </c>
      <c r="J48" s="4"/>
    </row>
    <row r="49" spans="1:10">
      <c r="C49" s="272" t="s">
        <v>186</v>
      </c>
      <c r="D49" s="86">
        <f>D_37121</f>
        <v>715</v>
      </c>
      <c r="J49" s="4"/>
    </row>
    <row r="50" spans="1:10" ht="6" customHeight="1">
      <c r="J50" s="4"/>
    </row>
    <row r="51" spans="1:10">
      <c r="B51" s="271" t="s">
        <v>175</v>
      </c>
      <c r="J51" s="4"/>
    </row>
    <row r="52" spans="1:10">
      <c r="C52" s="272" t="s">
        <v>187</v>
      </c>
      <c r="D52" s="86">
        <f>D_37122</f>
        <v>0</v>
      </c>
      <c r="J52" s="4"/>
    </row>
    <row r="53" spans="1:10">
      <c r="C53" s="272" t="s">
        <v>188</v>
      </c>
      <c r="D53" s="86">
        <f>D_37123</f>
        <v>25991</v>
      </c>
      <c r="J53" s="4"/>
    </row>
    <row r="54" spans="1:10">
      <c r="C54" s="272" t="s">
        <v>189</v>
      </c>
      <c r="D54" s="86">
        <f>D_37126</f>
        <v>0</v>
      </c>
      <c r="J54" s="4"/>
    </row>
    <row r="55" spans="1:10" ht="6" customHeight="1">
      <c r="J55" s="4"/>
    </row>
    <row r="56" spans="1:10">
      <c r="B56" s="271" t="s">
        <v>179</v>
      </c>
      <c r="J56" s="4"/>
    </row>
    <row r="57" spans="1:10">
      <c r="C57" s="272" t="s">
        <v>190</v>
      </c>
      <c r="D57" s="86">
        <f>D_37128</f>
        <v>24821</v>
      </c>
      <c r="J57" s="4"/>
    </row>
    <row r="58" spans="1:10" ht="15">
      <c r="C58" s="738" t="str">
        <f>IF(OR(B72="06",B72="05"), " TOTAL DES EMPLOIS *", "TOTAL DES EMPLOIS ")</f>
        <v xml:space="preserve"> TOTAL DES EMPLOIS *</v>
      </c>
      <c r="D58" s="273">
        <f>D_37130</f>
        <v>102306</v>
      </c>
      <c r="J58" s="125"/>
    </row>
    <row r="59" spans="1:10" ht="14.25" customHeight="1" thickBot="1">
      <c r="J59" s="4"/>
    </row>
    <row r="60" spans="1:10" s="9" customFormat="1" ht="15.75" thickTop="1" thickBot="1">
      <c r="A60" s="128"/>
      <c r="B60" s="128"/>
      <c r="C60" s="269" t="s">
        <v>191</v>
      </c>
      <c r="D60" s="270">
        <f>D_37103</f>
        <v>-31346</v>
      </c>
      <c r="E60" s="128"/>
      <c r="F60" s="128"/>
      <c r="G60" s="128"/>
      <c r="H60" s="128"/>
    </row>
    <row r="61" spans="1:10" ht="6" customHeight="1" thickTop="1"/>
    <row r="62" spans="1:10" ht="5.25" customHeight="1">
      <c r="B62" s="155"/>
      <c r="C62" s="135"/>
      <c r="D62" s="85"/>
      <c r="F62" s="155"/>
      <c r="G62" s="125"/>
    </row>
    <row r="63" spans="1:10" ht="13.5" customHeight="1">
      <c r="B63" s="42" t="str">
        <f>IF(OR(B72="06",B72="05"), "*Influencé par la présence d'une créance DPU de la récolte suivante", " ")</f>
        <v>*Influencé par la présence d'une créance DPU de la récolte suivante</v>
      </c>
      <c r="C63" s="135"/>
      <c r="D63" s="85"/>
      <c r="F63" s="155"/>
      <c r="G63" s="125"/>
    </row>
    <row r="64" spans="1:10" ht="6" customHeight="1"/>
    <row r="65" spans="2:6" ht="12" customHeight="1">
      <c r="B65" s="155" t="str">
        <f>TRIM(CivilAdht&amp; " " &amp; NomAdht)</f>
        <v/>
      </c>
      <c r="C65" s="135"/>
      <c r="D65" s="85"/>
      <c r="F65" s="155"/>
    </row>
    <row r="67" spans="2:6" hidden="1" outlineLevel="1"/>
    <row r="68" spans="2:6" hidden="1" outlineLevel="1"/>
    <row r="69" spans="2:6" hidden="1" outlineLevel="1"/>
    <row r="70" spans="2:6" hidden="1" outlineLevel="1">
      <c r="B70" s="42" t="str">
        <f>FinExN</f>
        <v>30/06/2017</v>
      </c>
    </row>
    <row r="71" spans="2:6" hidden="1" outlineLevel="1">
      <c r="B71" s="42" t="str">
        <f>LEFT(B70,5)</f>
        <v>30/06</v>
      </c>
    </row>
    <row r="72" spans="2:6" hidden="1" outlineLevel="1">
      <c r="B72" s="42" t="str">
        <f>RIGHT(B71,2)</f>
        <v>06</v>
      </c>
    </row>
    <row r="73" spans="2:6" hidden="1" outlineLevel="1">
      <c r="B73" s="42" t="str">
        <f>IF(OR(B72="06",B72="05"), "*Influencé par la présence d'une créance DPU de la récolte suivante", " ")</f>
        <v>*Influencé par la présence d'une créance DPU de la récolte suivante</v>
      </c>
    </row>
    <row r="74" spans="2:6" collapsed="1"/>
  </sheetData>
  <phoneticPr fontId="16" type="noConversion"/>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oddFooter>Page &amp;P</oddFooter>
  </headerFooter>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dimension ref="A1:J75"/>
  <sheetViews>
    <sheetView showZeros="0" topLeftCell="A10" zoomScaleNormal="100" workbookViewId="0">
      <selection activeCell="K41" sqref="K41:K42"/>
    </sheetView>
  </sheetViews>
  <sheetFormatPr baseColWidth="10" defaultRowHeight="12.75" outlineLevelRow="1"/>
  <cols>
    <col min="1" max="1" width="2.7109375" style="42" customWidth="1"/>
    <col min="2" max="2" width="39.7109375" style="42" customWidth="1"/>
    <col min="3" max="6" width="10.7109375" style="86" customWidth="1"/>
    <col min="7" max="7" width="2.7109375" style="42" customWidth="1"/>
    <col min="9" max="9" width="2.7109375" customWidth="1"/>
  </cols>
  <sheetData>
    <row r="1" spans="1:10" ht="15" customHeight="1"/>
    <row r="5" spans="1:10" ht="12.75" customHeight="1"/>
    <row r="6" spans="1:10" s="9" customFormat="1" ht="24.95" customHeight="1">
      <c r="A6" s="128"/>
      <c r="B6" s="128"/>
      <c r="C6" s="396" t="str">
        <f>TEXT(FinExN1,"jj/mm/aaaa")</f>
        <v>30/06/2016</v>
      </c>
      <c r="D6" s="411" t="str">
        <f>TEXT(FinExN,"jj/mm/aaaa")</f>
        <v>30/06/2017</v>
      </c>
      <c r="E6" s="274"/>
      <c r="F6" s="274"/>
      <c r="G6" s="128"/>
    </row>
    <row r="7" spans="1:10" s="9" customFormat="1" ht="20.25" customHeight="1">
      <c r="A7" s="128"/>
      <c r="B7" s="275" t="str">
        <f>IF(OR(B73="06",B73="05"), " Résultat net *", " Résultat net")</f>
        <v xml:space="preserve"> Résultat net *</v>
      </c>
      <c r="C7" s="276">
        <f>D_37015_1</f>
        <v>49204</v>
      </c>
      <c r="D7" s="277">
        <f>D_37015</f>
        <v>-27622</v>
      </c>
      <c r="E7" s="274"/>
      <c r="F7" s="274"/>
      <c r="G7" s="128"/>
      <c r="J7" s="125"/>
    </row>
    <row r="8" spans="1:10" ht="6.75" customHeight="1">
      <c r="B8" s="228"/>
      <c r="C8" s="209"/>
      <c r="D8" s="249"/>
    </row>
    <row r="9" spans="1:10">
      <c r="B9" s="278" t="s">
        <v>343</v>
      </c>
      <c r="C9" s="209">
        <f>D_30530_1+ R_709_1</f>
        <v>24646</v>
      </c>
      <c r="D9" s="249">
        <f>D_30530 + R_709</f>
        <v>19537</v>
      </c>
    </row>
    <row r="10" spans="1:10" ht="6" customHeight="1">
      <c r="B10" s="278"/>
      <c r="C10" s="209"/>
      <c r="D10" s="249"/>
    </row>
    <row r="11" spans="1:10">
      <c r="B11" s="278" t="s">
        <v>192</v>
      </c>
      <c r="C11" s="209">
        <f>R_1324_1</f>
        <v>0</v>
      </c>
      <c r="D11" s="249">
        <f>R_1324</f>
        <v>0</v>
      </c>
    </row>
    <row r="12" spans="1:10" ht="6" customHeight="1">
      <c r="B12" s="228"/>
      <c r="C12" s="209"/>
      <c r="D12" s="249"/>
    </row>
    <row r="13" spans="1:10">
      <c r="B13" s="278" t="s">
        <v>193</v>
      </c>
      <c r="C13" s="209">
        <f>D_37175_1-Données!ZR_9903_1</f>
        <v>0</v>
      </c>
      <c r="D13" s="249">
        <f>D_37175-Données!ZR_9903</f>
        <v>0</v>
      </c>
    </row>
    <row r="14" spans="1:10" ht="6" customHeight="1">
      <c r="B14" s="228"/>
      <c r="C14" s="209"/>
      <c r="D14" s="249"/>
    </row>
    <row r="15" spans="1:10">
      <c r="B15" s="278" t="s">
        <v>194</v>
      </c>
      <c r="C15" s="209">
        <f>R_1670_1-Données!ZR_9903_1</f>
        <v>0</v>
      </c>
      <c r="D15" s="249">
        <f>R_1670-Données!ZR_9903-Données!B823</f>
        <v>0</v>
      </c>
    </row>
    <row r="16" spans="1:10" ht="6" customHeight="1">
      <c r="B16" s="228"/>
      <c r="C16" s="209"/>
      <c r="D16" s="249"/>
    </row>
    <row r="17" spans="1:7">
      <c r="B17" s="278" t="s">
        <v>195</v>
      </c>
      <c r="C17" s="209">
        <f>D_37176_1</f>
        <v>0</v>
      </c>
      <c r="D17" s="249">
        <f>D_37176</f>
        <v>0</v>
      </c>
    </row>
    <row r="18" spans="1:7" ht="6" customHeight="1">
      <c r="B18" s="228"/>
      <c r="C18" s="209"/>
      <c r="D18" s="249"/>
    </row>
    <row r="19" spans="1:7" s="54" customFormat="1" ht="14.25">
      <c r="A19" s="279"/>
      <c r="B19" s="408" t="s">
        <v>38</v>
      </c>
      <c r="C19" s="409">
        <f>D_37189_1</f>
        <v>73850</v>
      </c>
      <c r="D19" s="410">
        <f>D_37189</f>
        <v>-8085</v>
      </c>
      <c r="E19" s="280"/>
      <c r="F19" s="280"/>
      <c r="G19" s="279"/>
    </row>
    <row r="20" spans="1:7" ht="6" customHeight="1">
      <c r="B20" s="228"/>
      <c r="C20" s="209"/>
      <c r="D20" s="249"/>
    </row>
    <row r="21" spans="1:7">
      <c r="B21" s="278" t="s">
        <v>26</v>
      </c>
      <c r="C21" s="209">
        <f>D_37128_1</f>
        <v>38629</v>
      </c>
      <c r="D21" s="249">
        <f>D_37128</f>
        <v>24821</v>
      </c>
    </row>
    <row r="22" spans="1:7" ht="6" customHeight="1">
      <c r="B22" s="228"/>
      <c r="C22" s="209"/>
      <c r="D22" s="249"/>
    </row>
    <row r="23" spans="1:7">
      <c r="B23" s="278" t="s">
        <v>27</v>
      </c>
      <c r="C23" s="209">
        <f>D_37127_1</f>
        <v>0</v>
      </c>
      <c r="D23" s="249">
        <f>D_37127</f>
        <v>0</v>
      </c>
    </row>
    <row r="24" spans="1:7" ht="6" customHeight="1">
      <c r="B24" s="228"/>
      <c r="C24" s="209"/>
      <c r="D24" s="249"/>
    </row>
    <row r="25" spans="1:7" s="54" customFormat="1" ht="14.25">
      <c r="A25" s="279"/>
      <c r="B25" s="408" t="s">
        <v>196</v>
      </c>
      <c r="C25" s="409">
        <f>D_37190_1</f>
        <v>35221</v>
      </c>
      <c r="D25" s="410">
        <f>D_37190</f>
        <v>-32906</v>
      </c>
      <c r="E25" s="280"/>
      <c r="F25" s="280"/>
      <c r="G25" s="279"/>
    </row>
    <row r="26" spans="1:7" ht="6" customHeight="1">
      <c r="B26" s="228"/>
      <c r="C26" s="209"/>
      <c r="D26" s="249"/>
    </row>
    <row r="27" spans="1:7">
      <c r="B27" s="278" t="s">
        <v>197</v>
      </c>
      <c r="C27" s="209">
        <f>D_37125_1</f>
        <v>0</v>
      </c>
      <c r="D27" s="249">
        <f>D_37125</f>
        <v>0</v>
      </c>
    </row>
    <row r="28" spans="1:7" ht="6" customHeight="1">
      <c r="B28" s="228"/>
      <c r="C28" s="209"/>
      <c r="D28" s="249"/>
    </row>
    <row r="29" spans="1:7">
      <c r="B29" s="278" t="s">
        <v>28</v>
      </c>
      <c r="C29" s="209">
        <f>D_37124_1</f>
        <v>60000</v>
      </c>
      <c r="D29" s="249">
        <f>D_37124</f>
        <v>0</v>
      </c>
    </row>
    <row r="30" spans="1:7" ht="6" customHeight="1">
      <c r="B30" s="228"/>
      <c r="C30" s="209"/>
      <c r="D30" s="249"/>
    </row>
    <row r="31" spans="1:7">
      <c r="B31" s="278" t="s">
        <v>198</v>
      </c>
      <c r="C31" s="209">
        <f>D_37123_1</f>
        <v>20227</v>
      </c>
      <c r="D31" s="249">
        <f>D_37123</f>
        <v>25991</v>
      </c>
    </row>
    <row r="32" spans="1:7" ht="6" customHeight="1">
      <c r="B32" s="228"/>
      <c r="C32" s="209"/>
      <c r="D32" s="249"/>
    </row>
    <row r="33" spans="1:7">
      <c r="B33" s="278" t="s">
        <v>199</v>
      </c>
      <c r="C33" s="209">
        <f>R_1670_1+ R_1172_1+ R_1173_1 + R_1174_1 + R_1166_1 + R_1167_1-Données!ZR_9903_1</f>
        <v>0</v>
      </c>
      <c r="D33" s="209">
        <f>R_1670 + R_1172 + R_1173 + R_1174 + R_1166 + R_1167-Données!ZR_9903</f>
        <v>0</v>
      </c>
    </row>
    <row r="34" spans="1:7" ht="6" customHeight="1">
      <c r="B34" s="228"/>
      <c r="C34" s="209"/>
      <c r="D34" s="249"/>
    </row>
    <row r="35" spans="1:7">
      <c r="B35" s="278" t="s">
        <v>29</v>
      </c>
      <c r="C35" s="209">
        <f>D_37122_1</f>
        <v>0</v>
      </c>
      <c r="D35" s="249">
        <f>D_37122</f>
        <v>0</v>
      </c>
    </row>
    <row r="36" spans="1:7" ht="6" customHeight="1">
      <c r="B36" s="228"/>
      <c r="C36" s="209"/>
      <c r="D36" s="249"/>
    </row>
    <row r="37" spans="1:7">
      <c r="B37" s="278" t="s">
        <v>30</v>
      </c>
      <c r="C37" s="209">
        <f>D_37126_1</f>
        <v>0</v>
      </c>
      <c r="D37" s="249">
        <f>D_37126</f>
        <v>0</v>
      </c>
    </row>
    <row r="38" spans="1:7" ht="6" customHeight="1">
      <c r="B38" s="228"/>
      <c r="C38" s="209"/>
      <c r="D38" s="249"/>
    </row>
    <row r="39" spans="1:7" s="59" customFormat="1" ht="18.75" customHeight="1">
      <c r="A39" s="281"/>
      <c r="B39" s="406" t="s">
        <v>200</v>
      </c>
      <c r="C39" s="407">
        <f>D_37192_1-Données!ZR_9903_1</f>
        <v>74994</v>
      </c>
      <c r="D39" s="407">
        <f>D_37192-Données!ZR_9903</f>
        <v>-58897</v>
      </c>
      <c r="E39" s="282"/>
      <c r="F39" s="282"/>
      <c r="G39" s="281"/>
    </row>
    <row r="40" spans="1:7" ht="6.75" customHeight="1"/>
    <row r="41" spans="1:7" ht="6" customHeight="1"/>
    <row r="45" spans="1:7" ht="16.5" customHeight="1"/>
    <row r="46" spans="1:7" s="9" customFormat="1" ht="18" customHeight="1">
      <c r="A46" s="128"/>
      <c r="B46" s="128"/>
      <c r="C46" s="403" t="str">
        <f>TEXT(FinExN1,"jj/mm/aaaa")</f>
        <v>30/06/2016</v>
      </c>
      <c r="D46" s="396" t="str">
        <f>TEXT(FinExN,"jj/mm/aaaa")</f>
        <v>30/06/2017</v>
      </c>
      <c r="E46" s="404" t="s">
        <v>206</v>
      </c>
      <c r="F46" s="405" t="s">
        <v>290</v>
      </c>
      <c r="G46" s="128"/>
    </row>
    <row r="47" spans="1:7" s="9" customFormat="1" ht="17.25" customHeight="1">
      <c r="A47" s="128"/>
      <c r="B47" s="283" t="s">
        <v>301</v>
      </c>
      <c r="C47" s="284">
        <f>D_37039_1</f>
        <v>112255</v>
      </c>
      <c r="D47" s="285">
        <f>D_37039</f>
        <v>129992</v>
      </c>
      <c r="E47" s="286">
        <f>IF(C47&lt;D47,D47-C47,"")</f>
        <v>17737</v>
      </c>
      <c r="F47" s="286" t="str">
        <f>IF(D47&lt;C47,C47-D47,"")</f>
        <v/>
      </c>
      <c r="G47" s="128"/>
    </row>
    <row r="48" spans="1:7" ht="6" customHeight="1">
      <c r="B48" s="228"/>
      <c r="C48" s="287"/>
      <c r="D48" s="209"/>
      <c r="E48" s="249"/>
      <c r="F48" s="249"/>
    </row>
    <row r="49" spans="1:10">
      <c r="B49" s="278" t="s">
        <v>369</v>
      </c>
      <c r="C49" s="287">
        <f>D_37177_1</f>
        <v>2451</v>
      </c>
      <c r="D49" s="209">
        <f>D_37177</f>
        <v>7871</v>
      </c>
      <c r="E49" s="288">
        <f>IF(C49&lt;D49,D49-C49,"")</f>
        <v>5420</v>
      </c>
      <c r="F49" s="277" t="str">
        <f>IF(D49&lt;C49,C49-D49,"")</f>
        <v/>
      </c>
    </row>
    <row r="50" spans="1:10" ht="6" customHeight="1">
      <c r="B50" s="278"/>
      <c r="C50" s="287"/>
      <c r="D50" s="209"/>
      <c r="E50" s="209"/>
      <c r="F50" s="249"/>
    </row>
    <row r="51" spans="1:10">
      <c r="B51" s="278" t="s">
        <v>201</v>
      </c>
      <c r="C51" s="287">
        <f>D_37178_1</f>
        <v>48045</v>
      </c>
      <c r="D51" s="209">
        <f>D_37178</f>
        <v>69219</v>
      </c>
      <c r="E51" s="209" t="str">
        <f>IF(D51&lt;C51,C51-D51,"")</f>
        <v/>
      </c>
      <c r="F51" s="277">
        <f>IF(C51&lt;D51,D51-C51,"")</f>
        <v>21174</v>
      </c>
    </row>
    <row r="52" spans="1:10" ht="6" customHeight="1">
      <c r="B52" s="278"/>
      <c r="C52" s="287"/>
      <c r="D52" s="209"/>
      <c r="E52" s="209"/>
      <c r="F52" s="249"/>
    </row>
    <row r="53" spans="1:10">
      <c r="B53" s="278" t="str">
        <f>IF(OR(B73="06",B73="05"), " + Autres créances *", " + Autres créances")</f>
        <v xml:space="preserve"> + Autres créances *</v>
      </c>
      <c r="C53" s="287">
        <f>D_37179_1</f>
        <v>48095</v>
      </c>
      <c r="D53" s="209">
        <f>D_37179</f>
        <v>46665</v>
      </c>
      <c r="E53" s="276" t="str">
        <f>IF(C53&lt;D53,D53-C53,"")</f>
        <v/>
      </c>
      <c r="F53" s="277">
        <f>IF(D53&lt;C53,C53-D53,"")</f>
        <v>1430</v>
      </c>
      <c r="J53" s="125"/>
    </row>
    <row r="54" spans="1:10" ht="6" customHeight="1">
      <c r="B54" s="278"/>
      <c r="C54" s="287"/>
      <c r="D54" s="209"/>
      <c r="E54" s="209"/>
      <c r="F54" s="249"/>
    </row>
    <row r="55" spans="1:10">
      <c r="B55" s="278" t="s">
        <v>202</v>
      </c>
      <c r="C55" s="287">
        <f>D_37180_1</f>
        <v>14134</v>
      </c>
      <c r="D55" s="209">
        <f>D_37180</f>
        <v>27166</v>
      </c>
      <c r="E55" s="276" t="str">
        <f>IF(D55&lt;C55,C55-D55,"")</f>
        <v/>
      </c>
      <c r="F55" s="277">
        <f>IF(C55&lt;D55,D55-C55,"")</f>
        <v>13032</v>
      </c>
    </row>
    <row r="56" spans="1:10" ht="8.1" customHeight="1">
      <c r="B56" s="278"/>
      <c r="C56" s="287"/>
      <c r="D56" s="209"/>
      <c r="E56" s="249"/>
      <c r="F56" s="249"/>
    </row>
    <row r="57" spans="1:10" s="58" customFormat="1" ht="20.100000000000001" customHeight="1">
      <c r="A57" s="289"/>
      <c r="B57" s="400" t="s">
        <v>203</v>
      </c>
      <c r="C57" s="401">
        <f>D_37191_1</f>
        <v>100622</v>
      </c>
      <c r="D57" s="402">
        <f>D_37191</f>
        <v>88143</v>
      </c>
      <c r="E57" s="1049">
        <f>D57-C57</f>
        <v>-12479</v>
      </c>
      <c r="F57" s="1050"/>
      <c r="G57" s="289"/>
    </row>
    <row r="58" spans="1:10">
      <c r="B58" s="228" t="s">
        <v>302</v>
      </c>
      <c r="C58" s="209">
        <f>D_37103_1</f>
        <v>-25018</v>
      </c>
      <c r="D58" s="209">
        <f>D_37103</f>
        <v>-31346</v>
      </c>
      <c r="E58" s="276" t="str">
        <f>IF(C58&lt;D58,D58-C58," ")</f>
        <v xml:space="preserve"> </v>
      </c>
      <c r="F58" s="277">
        <f>IF(D58&lt;C58,C58-D58," ")</f>
        <v>6328</v>
      </c>
    </row>
    <row r="59" spans="1:10" ht="6" customHeight="1">
      <c r="B59" s="228"/>
      <c r="C59" s="209"/>
      <c r="D59" s="209"/>
      <c r="E59" s="249"/>
      <c r="F59" s="249"/>
    </row>
    <row r="60" spans="1:10">
      <c r="B60" s="278" t="s">
        <v>300</v>
      </c>
      <c r="C60" s="209">
        <f xml:space="preserve"> R_11054_1</f>
        <v>0</v>
      </c>
      <c r="D60" s="209">
        <f xml:space="preserve"> R_11054</f>
        <v>0</v>
      </c>
      <c r="E60" s="276" t="str">
        <f>IF(D60&lt;C60,C60-D60," ")</f>
        <v xml:space="preserve"> </v>
      </c>
      <c r="F60" s="277" t="str">
        <f>IF(C60&lt;D60,D60-C60," ")</f>
        <v xml:space="preserve"> </v>
      </c>
    </row>
    <row r="61" spans="1:10" ht="8.25" customHeight="1">
      <c r="B61" s="290"/>
      <c r="C61" s="291"/>
      <c r="D61" s="292"/>
      <c r="E61" s="293"/>
      <c r="F61" s="293"/>
    </row>
    <row r="62" spans="1:10" s="9" customFormat="1" ht="20.100000000000001" customHeight="1">
      <c r="A62" s="128"/>
      <c r="B62" s="400" t="s">
        <v>204</v>
      </c>
      <c r="C62" s="401">
        <f>C58-C60</f>
        <v>-25018</v>
      </c>
      <c r="D62" s="402">
        <f>D58-D60</f>
        <v>-31346</v>
      </c>
      <c r="E62" s="1049">
        <f>D62-C62</f>
        <v>-6328</v>
      </c>
      <c r="F62" s="1050"/>
      <c r="G62" s="128"/>
    </row>
    <row r="63" spans="1:10" s="9" customFormat="1" ht="19.5" customHeight="1">
      <c r="A63" s="128"/>
      <c r="B63" s="398" t="str">
        <f>IF(OR(B73="06",B73="05")," FONDS DE ROULEMENT*", " FONDS DE ROULEMENT")</f>
        <v xml:space="preserve"> FONDS DE ROULEMENT*</v>
      </c>
      <c r="C63" s="399">
        <f>C57+C62</f>
        <v>75604</v>
      </c>
      <c r="D63" s="399">
        <f>D57+D62</f>
        <v>56797</v>
      </c>
      <c r="E63" s="1051">
        <f>D63-C63</f>
        <v>-18807</v>
      </c>
      <c r="F63" s="1052"/>
      <c r="G63" s="128"/>
      <c r="J63" s="125"/>
    </row>
    <row r="64" spans="1:10" ht="6.75" customHeight="1"/>
    <row r="65" spans="2:6" ht="6.75" customHeight="1"/>
    <row r="66" spans="2:6" ht="15" customHeight="1">
      <c r="B66" s="42" t="str">
        <f>IF(OR(B73="06",B73="05"), "* Variation non significative en présence d'une créance DPU de la récolte suivante", " ")</f>
        <v>* Variation non significative en présence d'une créance DPU de la récolte suivante</v>
      </c>
      <c r="C66" s="294"/>
      <c r="D66" s="85"/>
      <c r="F66" s="295"/>
    </row>
    <row r="67" spans="2:6" ht="4.5" customHeight="1"/>
    <row r="68" spans="2:6" ht="15">
      <c r="B68" s="200" t="str">
        <f>TRIM(CivilAdht&amp; " " &amp; NomAdht)</f>
        <v/>
      </c>
      <c r="C68" s="294"/>
      <c r="D68" s="85"/>
      <c r="F68" s="295"/>
    </row>
    <row r="69" spans="2:6" ht="9" customHeight="1"/>
    <row r="71" spans="2:6" hidden="1" outlineLevel="1">
      <c r="B71" s="42" t="str">
        <f>FinExN</f>
        <v>30/06/2017</v>
      </c>
    </row>
    <row r="72" spans="2:6" hidden="1" outlineLevel="1">
      <c r="B72" s="42" t="str">
        <f>LEFT(B71,5)</f>
        <v>30/06</v>
      </c>
    </row>
    <row r="73" spans="2:6" hidden="1" outlineLevel="1">
      <c r="B73" s="42" t="str">
        <f>RIGHT(B72,2)</f>
        <v>06</v>
      </c>
    </row>
    <row r="74" spans="2:6" hidden="1" outlineLevel="1">
      <c r="B74" s="42" t="str">
        <f>IF(OR(B73="06",B73="05"),"* Variation non significative en présence d'une créance DPU de la récolte suivante", " ")</f>
        <v>* Variation non significative en présence d'une créance DPU de la récolte suivante</v>
      </c>
    </row>
    <row r="75" spans="2:6" collapsed="1"/>
  </sheetData>
  <mergeCells count="3">
    <mergeCell ref="E57:F57"/>
    <mergeCell ref="E62:F62"/>
    <mergeCell ref="E63:F63"/>
  </mergeCells>
  <phoneticPr fontId="16" type="noConversion"/>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oddFooter>Page &amp;P</oddFooter>
  </headerFooter>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dimension ref="A2:G66"/>
  <sheetViews>
    <sheetView showZeros="0" topLeftCell="A43" zoomScaleNormal="100" workbookViewId="0">
      <selection activeCell="K41" sqref="K41:K42"/>
    </sheetView>
  </sheetViews>
  <sheetFormatPr baseColWidth="10" defaultRowHeight="12.75"/>
  <cols>
    <col min="1" max="2" width="7.5703125" style="42" customWidth="1"/>
    <col min="3" max="3" width="38.42578125" style="42" customWidth="1"/>
    <col min="4" max="4" width="21.7109375" style="86" customWidth="1"/>
    <col min="5" max="5" width="6" style="42" customWidth="1"/>
    <col min="6" max="6" width="7.5703125" style="42" customWidth="1"/>
    <col min="7" max="7" width="11.42578125" hidden="1" customWidth="1"/>
  </cols>
  <sheetData>
    <row r="2" spans="1:6" ht="6.75" customHeight="1"/>
    <row r="7" spans="1:6" ht="6" customHeight="1"/>
    <row r="8" spans="1:6" ht="11.25" customHeight="1"/>
    <row r="10" spans="1:6" s="9" customFormat="1" ht="20.100000000000001" customHeight="1">
      <c r="A10" s="128"/>
      <c r="B10" s="128"/>
      <c r="C10" s="296" t="s">
        <v>147</v>
      </c>
      <c r="D10" s="396" t="str">
        <f>TEXT(FinExN,"jj/mm/aaaa")</f>
        <v>30/06/2017</v>
      </c>
      <c r="E10" s="297"/>
      <c r="F10" s="128"/>
    </row>
    <row r="11" spans="1:6">
      <c r="C11" s="229"/>
      <c r="D11" s="209"/>
      <c r="E11" s="125"/>
    </row>
    <row r="12" spans="1:6" s="54" customFormat="1">
      <c r="A12" s="279"/>
      <c r="B12" s="279"/>
      <c r="C12" s="298" t="s">
        <v>148</v>
      </c>
      <c r="D12" s="299">
        <f xml:space="preserve"> D_37038</f>
        <v>161354</v>
      </c>
      <c r="E12" s="300"/>
      <c r="F12" s="279"/>
    </row>
    <row r="13" spans="1:6" ht="12.75" customHeight="1">
      <c r="C13" s="229"/>
      <c r="D13" s="301"/>
      <c r="E13" s="125"/>
    </row>
    <row r="14" spans="1:6">
      <c r="C14" s="229" t="s">
        <v>149</v>
      </c>
      <c r="D14" s="301">
        <f>D_37035</f>
        <v>0</v>
      </c>
      <c r="E14" s="125"/>
    </row>
    <row r="15" spans="1:6" ht="7.5" customHeight="1">
      <c r="C15" s="229"/>
      <c r="D15" s="301"/>
      <c r="E15" s="125"/>
    </row>
    <row r="16" spans="1:6">
      <c r="C16" s="229" t="s">
        <v>150</v>
      </c>
      <c r="D16" s="301">
        <f>D_37036</f>
        <v>156860</v>
      </c>
      <c r="E16" s="125"/>
    </row>
    <row r="17" spans="1:6" ht="7.5" customHeight="1">
      <c r="C17" s="229"/>
      <c r="D17" s="301"/>
      <c r="E17" s="125"/>
    </row>
    <row r="18" spans="1:6">
      <c r="C18" s="229" t="s">
        <v>151</v>
      </c>
      <c r="D18" s="301">
        <f>D_37037</f>
        <v>4494</v>
      </c>
      <c r="E18" s="125"/>
    </row>
    <row r="19" spans="1:6">
      <c r="C19" s="229"/>
      <c r="D19" s="301"/>
      <c r="E19" s="125"/>
    </row>
    <row r="20" spans="1:6" s="54" customFormat="1">
      <c r="A20" s="279"/>
      <c r="B20" s="279"/>
      <c r="C20" s="298" t="s">
        <v>152</v>
      </c>
      <c r="D20" s="299">
        <f>D_37043 - R_257</f>
        <v>185211</v>
      </c>
      <c r="E20" s="300"/>
      <c r="F20" s="279"/>
    </row>
    <row r="21" spans="1:6">
      <c r="C21" s="229"/>
      <c r="D21" s="301"/>
      <c r="E21" s="125"/>
    </row>
    <row r="22" spans="1:6">
      <c r="C22" s="229" t="s">
        <v>153</v>
      </c>
      <c r="D22" s="301">
        <f>D_37039</f>
        <v>129992</v>
      </c>
      <c r="E22" s="125"/>
    </row>
    <row r="23" spans="1:6" ht="7.5" customHeight="1">
      <c r="C23" s="229"/>
      <c r="D23" s="301"/>
      <c r="E23" s="125"/>
    </row>
    <row r="24" spans="1:6">
      <c r="C24" s="229" t="s">
        <v>365</v>
      </c>
      <c r="D24" s="301">
        <f>D_37040</f>
        <v>7871</v>
      </c>
      <c r="E24" s="125"/>
    </row>
    <row r="25" spans="1:6" ht="7.5" customHeight="1">
      <c r="B25" s="607"/>
      <c r="C25" s="229"/>
      <c r="D25" s="301"/>
      <c r="E25" s="125"/>
    </row>
    <row r="26" spans="1:6">
      <c r="B26" s="202"/>
      <c r="C26" s="125" t="s">
        <v>466</v>
      </c>
      <c r="D26" s="301">
        <f>D_37041</f>
        <v>47348</v>
      </c>
      <c r="E26" s="125"/>
    </row>
    <row r="27" spans="1:6" ht="7.5" customHeight="1">
      <c r="C27" s="229"/>
      <c r="D27" s="301"/>
      <c r="E27" s="125"/>
    </row>
    <row r="28" spans="1:6">
      <c r="C28" s="229" t="s">
        <v>31</v>
      </c>
      <c r="D28" s="301">
        <f>D_37042 - R_257</f>
        <v>0</v>
      </c>
      <c r="E28" s="125"/>
    </row>
    <row r="29" spans="1:6">
      <c r="C29" s="229"/>
      <c r="D29" s="301"/>
      <c r="E29" s="125"/>
    </row>
    <row r="30" spans="1:6" s="54" customFormat="1">
      <c r="A30" s="279"/>
      <c r="B30" s="279"/>
      <c r="C30" s="298" t="s">
        <v>154</v>
      </c>
      <c r="D30" s="299">
        <f>D_37044</f>
        <v>32</v>
      </c>
      <c r="E30" s="300"/>
      <c r="F30" s="279"/>
    </row>
    <row r="31" spans="1:6">
      <c r="C31" s="229"/>
      <c r="D31" s="209"/>
      <c r="E31" s="125"/>
    </row>
    <row r="32" spans="1:6" s="55" customFormat="1" ht="15">
      <c r="A32" s="302"/>
      <c r="B32" s="302"/>
      <c r="C32" s="397" t="s">
        <v>80</v>
      </c>
      <c r="D32" s="391">
        <f>D_37045 - R_257</f>
        <v>346597</v>
      </c>
      <c r="E32" s="303"/>
      <c r="F32" s="302"/>
    </row>
    <row r="33" spans="1:6" ht="9" customHeight="1">
      <c r="E33" s="304"/>
    </row>
    <row r="34" spans="1:6" ht="9" customHeight="1">
      <c r="E34" s="304"/>
    </row>
    <row r="35" spans="1:6" ht="9" customHeight="1">
      <c r="E35" s="304"/>
    </row>
    <row r="36" spans="1:6" s="56" customFormat="1" ht="20.100000000000001" customHeight="1">
      <c r="A36" s="305"/>
      <c r="B36" s="305"/>
      <c r="C36" s="306" t="s">
        <v>155</v>
      </c>
      <c r="D36" s="396" t="str">
        <f>TEXT(FinExN,"jj/mm/aaaa")</f>
        <v>30/06/2017</v>
      </c>
      <c r="E36" s="307"/>
      <c r="F36" s="305"/>
    </row>
    <row r="37" spans="1:6">
      <c r="D37" s="209"/>
      <c r="E37" s="212"/>
    </row>
    <row r="38" spans="1:6">
      <c r="C38" s="308" t="s">
        <v>156</v>
      </c>
      <c r="D38" s="299">
        <f>D_37049</f>
        <v>85086</v>
      </c>
      <c r="E38" s="309"/>
    </row>
    <row r="39" spans="1:6">
      <c r="D39" s="301"/>
      <c r="E39" s="212"/>
    </row>
    <row r="40" spans="1:6">
      <c r="C40" s="42" t="s">
        <v>157</v>
      </c>
      <c r="D40" s="301">
        <f>D_37046</f>
        <v>112707</v>
      </c>
      <c r="E40" s="212"/>
    </row>
    <row r="41" spans="1:6" ht="7.5" customHeight="1">
      <c r="D41" s="301"/>
      <c r="E41" s="212"/>
    </row>
    <row r="42" spans="1:6">
      <c r="C42" s="42" t="s">
        <v>158</v>
      </c>
      <c r="D42" s="301">
        <f>D_37047</f>
        <v>0</v>
      </c>
      <c r="E42" s="212"/>
    </row>
    <row r="43" spans="1:6" ht="7.5" customHeight="1">
      <c r="D43" s="301"/>
      <c r="E43" s="212"/>
    </row>
    <row r="44" spans="1:6">
      <c r="C44" s="393" t="s">
        <v>465</v>
      </c>
      <c r="D44" s="394">
        <f>D_37048</f>
        <v>-27621</v>
      </c>
      <c r="E44" s="310"/>
    </row>
    <row r="45" spans="1:6">
      <c r="D45" s="301"/>
      <c r="E45" s="125"/>
    </row>
    <row r="46" spans="1:6">
      <c r="C46" s="308" t="s">
        <v>159</v>
      </c>
      <c r="D46" s="299">
        <f>R_374</f>
        <v>0</v>
      </c>
      <c r="E46" s="300"/>
    </row>
    <row r="47" spans="1:6">
      <c r="C47" s="308"/>
      <c r="D47" s="299"/>
      <c r="E47" s="300"/>
    </row>
    <row r="48" spans="1:6">
      <c r="C48" s="308" t="s">
        <v>160</v>
      </c>
      <c r="D48" s="299">
        <f>R_11052 + R_835</f>
        <v>92861</v>
      </c>
      <c r="E48" s="300"/>
    </row>
    <row r="49" spans="1:6">
      <c r="C49" s="308"/>
      <c r="D49" s="299"/>
      <c r="E49" s="300"/>
    </row>
    <row r="50" spans="1:6">
      <c r="C50" s="308" t="s">
        <v>161</v>
      </c>
      <c r="D50" s="299">
        <f>D_37056 + R_5503 - R_11052</f>
        <v>149024</v>
      </c>
      <c r="E50" s="300"/>
    </row>
    <row r="51" spans="1:6">
      <c r="D51" s="301"/>
      <c r="E51" s="125"/>
    </row>
    <row r="52" spans="1:6">
      <c r="C52" s="42" t="s">
        <v>162</v>
      </c>
      <c r="D52" s="301">
        <f>D_37052 + R_5503 -R_11052</f>
        <v>0</v>
      </c>
      <c r="E52" s="125"/>
    </row>
    <row r="53" spans="1:6" ht="7.5" customHeight="1">
      <c r="D53" s="301"/>
      <c r="E53" s="125"/>
    </row>
    <row r="54" spans="1:6">
      <c r="C54" s="42" t="s">
        <v>163</v>
      </c>
      <c r="D54" s="301">
        <f>D_37053</f>
        <v>69934</v>
      </c>
      <c r="E54" s="125"/>
    </row>
    <row r="55" spans="1:6" ht="7.5" customHeight="1">
      <c r="D55" s="301"/>
      <c r="E55" s="125"/>
    </row>
    <row r="56" spans="1:6">
      <c r="C56" s="42" t="s">
        <v>164</v>
      </c>
      <c r="D56" s="301">
        <f>D_37054</f>
        <v>7541</v>
      </c>
      <c r="E56" s="125"/>
    </row>
    <row r="57" spans="1:6" ht="7.5" customHeight="1">
      <c r="D57" s="301"/>
      <c r="E57" s="125"/>
    </row>
    <row r="58" spans="1:6">
      <c r="C58" s="42" t="s">
        <v>165</v>
      </c>
      <c r="D58" s="301">
        <f>D_37055</f>
        <v>71549</v>
      </c>
      <c r="E58" s="125"/>
    </row>
    <row r="59" spans="1:6" ht="7.5" customHeight="1">
      <c r="D59" s="301"/>
      <c r="E59" s="125"/>
    </row>
    <row r="60" spans="1:6">
      <c r="C60" s="308" t="s">
        <v>166</v>
      </c>
      <c r="D60" s="299">
        <f>D_37057</f>
        <v>19625</v>
      </c>
      <c r="E60" s="219"/>
    </row>
    <row r="61" spans="1:6">
      <c r="D61" s="301"/>
      <c r="E61" s="125"/>
    </row>
    <row r="62" spans="1:6" s="55" customFormat="1" ht="15">
      <c r="A62" s="302"/>
      <c r="B62" s="302"/>
      <c r="C62" s="390" t="s">
        <v>80</v>
      </c>
      <c r="D62" s="391">
        <f xml:space="preserve"> D_37058</f>
        <v>346596</v>
      </c>
      <c r="E62" s="311"/>
      <c r="F62" s="302"/>
    </row>
    <row r="63" spans="1:6" ht="9" customHeight="1"/>
    <row r="64" spans="1:6">
      <c r="B64" s="42" t="e">
        <f>IF(#REF! ="06", "*Influencé par la présence d'une créance DPU de la récolte suivante", " ")</f>
        <v>#REF!</v>
      </c>
      <c r="D64" s="312"/>
      <c r="E64" s="198"/>
    </row>
    <row r="65" spans="2:4" ht="6" customHeight="1"/>
    <row r="66" spans="2:4">
      <c r="B66" s="227" t="str">
        <f>TRIM(CivilAdht&amp; " " &amp; NomAdht)</f>
        <v/>
      </c>
      <c r="C66" s="135"/>
      <c r="D66" s="312"/>
    </row>
  </sheetData>
  <phoneticPr fontId="16" type="noConversion"/>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oddFooter>Page &amp;P</oddFooter>
  </headerFooter>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7"/>
  <dimension ref="A9:F73"/>
  <sheetViews>
    <sheetView showZeros="0" topLeftCell="A31" zoomScaleNormal="100" workbookViewId="0">
      <selection activeCell="K41" sqref="K41:K42"/>
    </sheetView>
  </sheetViews>
  <sheetFormatPr baseColWidth="10" defaultRowHeight="12.75" outlineLevelRow="1"/>
  <cols>
    <col min="1" max="1" width="5.7109375" style="42" customWidth="1"/>
    <col min="2" max="2" width="38.42578125" style="42" customWidth="1"/>
    <col min="3" max="3" width="19.140625" style="86" customWidth="1"/>
    <col min="4" max="4" width="19.42578125" style="86" customWidth="1"/>
    <col min="5" max="5" width="8" style="42" customWidth="1"/>
    <col min="6" max="6" width="7.5703125" customWidth="1"/>
  </cols>
  <sheetData>
    <row r="9" spans="1:6" ht="15">
      <c r="A9" s="128"/>
      <c r="B9" s="296" t="s">
        <v>147</v>
      </c>
      <c r="C9" s="396" t="str">
        <f>TEXT(FinExN,"jj/mm/aaaa")</f>
        <v>30/06/2017</v>
      </c>
      <c r="D9" s="396" t="str">
        <f>TEXT(FinExN1,"jj/mm/aaaa")</f>
        <v>30/06/2016</v>
      </c>
      <c r="E9" s="297"/>
      <c r="F9" s="9"/>
    </row>
    <row r="10" spans="1:6">
      <c r="B10" s="229"/>
      <c r="D10" s="209"/>
      <c r="E10" s="125"/>
    </row>
    <row r="11" spans="1:6">
      <c r="A11" s="279"/>
      <c r="B11" s="298" t="s">
        <v>148</v>
      </c>
      <c r="C11" s="313">
        <f xml:space="preserve"> D_37038</f>
        <v>161354</v>
      </c>
      <c r="D11" s="314">
        <f xml:space="preserve"> D_37038_1</f>
        <v>180892</v>
      </c>
      <c r="E11" s="300"/>
      <c r="F11" s="54"/>
    </row>
    <row r="12" spans="1:6">
      <c r="B12" s="229"/>
      <c r="C12" s="315"/>
      <c r="D12" s="209"/>
      <c r="E12" s="125"/>
    </row>
    <row r="13" spans="1:6">
      <c r="B13" s="229" t="s">
        <v>149</v>
      </c>
      <c r="C13" s="315">
        <f>D_37035</f>
        <v>0</v>
      </c>
      <c r="D13" s="209">
        <f>D_37035_1</f>
        <v>0</v>
      </c>
      <c r="E13" s="125"/>
    </row>
    <row r="14" spans="1:6" ht="7.5" customHeight="1">
      <c r="B14" s="229"/>
      <c r="C14" s="315"/>
      <c r="D14" s="209"/>
      <c r="E14" s="125"/>
    </row>
    <row r="15" spans="1:6">
      <c r="B15" s="229" t="s">
        <v>150</v>
      </c>
      <c r="C15" s="315">
        <f>D_37036</f>
        <v>156860</v>
      </c>
      <c r="D15" s="209">
        <f>D_37036_1</f>
        <v>176398</v>
      </c>
      <c r="E15" s="125"/>
    </row>
    <row r="16" spans="1:6" ht="7.5" customHeight="1">
      <c r="B16" s="229"/>
      <c r="C16" s="315"/>
      <c r="D16" s="209"/>
      <c r="E16" s="125"/>
    </row>
    <row r="17" spans="1:6">
      <c r="B17" s="229" t="s">
        <v>151</v>
      </c>
      <c r="C17" s="315">
        <f>D_37037</f>
        <v>4494</v>
      </c>
      <c r="D17" s="209">
        <f>D_37037_1</f>
        <v>4494</v>
      </c>
      <c r="E17" s="125"/>
    </row>
    <row r="18" spans="1:6" ht="7.5" customHeight="1">
      <c r="B18" s="229"/>
      <c r="C18" s="315"/>
      <c r="D18" s="209"/>
      <c r="E18" s="125"/>
    </row>
    <row r="19" spans="1:6">
      <c r="A19" s="279"/>
      <c r="B19" s="298" t="s">
        <v>152</v>
      </c>
      <c r="C19" s="313">
        <f>D_37043 - R_257</f>
        <v>185211</v>
      </c>
      <c r="D19" s="314">
        <f>D_37043_1 - R_257_1</f>
        <v>161845</v>
      </c>
      <c r="E19" s="300"/>
      <c r="F19" s="54"/>
    </row>
    <row r="20" spans="1:6">
      <c r="B20" s="229"/>
      <c r="C20" s="315"/>
      <c r="D20" s="209"/>
      <c r="E20" s="125"/>
    </row>
    <row r="21" spans="1:6">
      <c r="B21" s="229" t="s">
        <v>153</v>
      </c>
      <c r="C21" s="315">
        <f>D_37039</f>
        <v>129992</v>
      </c>
      <c r="D21" s="209">
        <f>D_37039_1</f>
        <v>112255</v>
      </c>
      <c r="E21" s="125"/>
    </row>
    <row r="22" spans="1:6" ht="7.5" customHeight="1">
      <c r="B22" s="229"/>
      <c r="C22" s="315"/>
      <c r="D22" s="209"/>
      <c r="E22" s="125"/>
    </row>
    <row r="23" spans="1:6">
      <c r="A23" s="202"/>
      <c r="B23" s="229" t="s">
        <v>365</v>
      </c>
      <c r="C23" s="315">
        <f>D_37040</f>
        <v>7871</v>
      </c>
      <c r="D23" s="209">
        <f>D_37040_1</f>
        <v>2451</v>
      </c>
      <c r="E23" s="125"/>
    </row>
    <row r="24" spans="1:6" ht="6" customHeight="1">
      <c r="A24" s="202" t="s">
        <v>364</v>
      </c>
      <c r="B24" s="229"/>
      <c r="C24" s="315"/>
      <c r="D24" s="209"/>
      <c r="E24" s="125"/>
    </row>
    <row r="25" spans="1:6">
      <c r="B25" s="125" t="str">
        <f>IF(OR(B71="06",B71="05")," Autres créances *", "Autres créances")</f>
        <v xml:space="preserve"> Autres créances *</v>
      </c>
      <c r="C25" s="301">
        <f>D_37041</f>
        <v>47348</v>
      </c>
      <c r="D25" s="209">
        <f>D_37041_1</f>
        <v>47139</v>
      </c>
      <c r="E25" s="125"/>
    </row>
    <row r="26" spans="1:6" ht="7.5" customHeight="1">
      <c r="B26" s="229"/>
      <c r="C26" s="315"/>
      <c r="D26" s="209"/>
      <c r="E26" s="125"/>
    </row>
    <row r="27" spans="1:6">
      <c r="B27" s="229" t="s">
        <v>31</v>
      </c>
      <c r="C27" s="315">
        <f>D_37042 - R_257</f>
        <v>0</v>
      </c>
      <c r="D27" s="209">
        <f>D_37042_1 - R_257_1</f>
        <v>0</v>
      </c>
      <c r="E27" s="125"/>
    </row>
    <row r="28" spans="1:6">
      <c r="B28" s="229"/>
      <c r="C28" s="315"/>
      <c r="D28" s="209"/>
      <c r="E28" s="125"/>
    </row>
    <row r="29" spans="1:6">
      <c r="A29" s="279"/>
      <c r="B29" s="298" t="s">
        <v>154</v>
      </c>
      <c r="C29" s="313">
        <f>D_37044</f>
        <v>32</v>
      </c>
      <c r="D29" s="314">
        <f>D_37044_1</f>
        <v>956</v>
      </c>
      <c r="E29" s="300"/>
      <c r="F29" s="54"/>
    </row>
    <row r="30" spans="1:6">
      <c r="B30" s="229"/>
      <c r="C30" s="315"/>
      <c r="D30" s="209"/>
      <c r="E30" s="125"/>
    </row>
    <row r="31" spans="1:6" ht="15">
      <c r="A31" s="302"/>
      <c r="B31" s="397" t="s">
        <v>80</v>
      </c>
      <c r="C31" s="391">
        <f>D_37045 - R_257</f>
        <v>346597</v>
      </c>
      <c r="D31" s="392">
        <f>D_37045_1 - R_257_1</f>
        <v>343693</v>
      </c>
      <c r="E31" s="303"/>
      <c r="F31" s="55"/>
    </row>
    <row r="32" spans="1:6">
      <c r="C32" s="315"/>
      <c r="E32" s="304"/>
    </row>
    <row r="33" spans="1:6" ht="19.5" customHeight="1">
      <c r="C33" s="315"/>
      <c r="E33" s="304"/>
    </row>
    <row r="34" spans="1:6" ht="15">
      <c r="A34" s="305"/>
      <c r="B34" s="306" t="s">
        <v>155</v>
      </c>
      <c r="C34" s="396" t="str">
        <f>TEXT(FinExN,"jj/mm/aaaa")</f>
        <v>30/06/2017</v>
      </c>
      <c r="D34" s="396" t="str">
        <f>TEXT(FinExN1,"jj/mm/aaaa")</f>
        <v>30/06/2016</v>
      </c>
      <c r="E34" s="307"/>
      <c r="F34" s="56"/>
    </row>
    <row r="35" spans="1:6">
      <c r="C35" s="301"/>
      <c r="D35" s="209"/>
      <c r="E35" s="212"/>
    </row>
    <row r="36" spans="1:6">
      <c r="B36" s="308" t="s">
        <v>156</v>
      </c>
      <c r="C36" s="299">
        <f>D_37049</f>
        <v>85086</v>
      </c>
      <c r="D36" s="314">
        <f>D_37049_1</f>
        <v>137529</v>
      </c>
      <c r="E36" s="309"/>
    </row>
    <row r="37" spans="1:6">
      <c r="C37" s="301"/>
      <c r="D37" s="209"/>
      <c r="E37" s="212"/>
    </row>
    <row r="38" spans="1:6">
      <c r="B38" s="42" t="s">
        <v>157</v>
      </c>
      <c r="C38" s="301">
        <f>D_37046</f>
        <v>112707</v>
      </c>
      <c r="D38" s="209">
        <f>D_37046_1</f>
        <v>88325</v>
      </c>
      <c r="E38" s="212"/>
    </row>
    <row r="39" spans="1:6" ht="7.5" customHeight="1">
      <c r="C39" s="301"/>
      <c r="D39" s="209"/>
      <c r="E39" s="212"/>
    </row>
    <row r="40" spans="1:6">
      <c r="B40" s="42" t="s">
        <v>158</v>
      </c>
      <c r="C40" s="301">
        <f>D_37047</f>
        <v>0</v>
      </c>
      <c r="D40" s="209">
        <f>D_37047_1</f>
        <v>0</v>
      </c>
      <c r="E40" s="212"/>
    </row>
    <row r="41" spans="1:6" ht="7.5" customHeight="1">
      <c r="C41" s="301"/>
      <c r="D41" s="209"/>
      <c r="E41" s="212"/>
    </row>
    <row r="42" spans="1:6">
      <c r="B42" s="393" t="str">
        <f>IF(OR(B71="06",B71="05"), "Résultat de l'exercice*", "Résultat de l'exercice")</f>
        <v>Résultat de l'exercice*</v>
      </c>
      <c r="C42" s="394">
        <f>D_37048</f>
        <v>-27621</v>
      </c>
      <c r="D42" s="395">
        <f>D_37048_1</f>
        <v>49204</v>
      </c>
      <c r="E42" s="310"/>
    </row>
    <row r="43" spans="1:6">
      <c r="C43" s="301"/>
      <c r="D43" s="209"/>
      <c r="E43" s="125"/>
    </row>
    <row r="44" spans="1:6">
      <c r="B44" s="308" t="s">
        <v>159</v>
      </c>
      <c r="C44" s="299">
        <f>R_374</f>
        <v>0</v>
      </c>
      <c r="D44" s="314">
        <f>R_374_1</f>
        <v>0</v>
      </c>
      <c r="E44" s="300"/>
    </row>
    <row r="45" spans="1:6">
      <c r="B45" s="308"/>
      <c r="C45" s="316"/>
      <c r="D45" s="314"/>
      <c r="E45" s="300"/>
    </row>
    <row r="46" spans="1:6">
      <c r="B46" s="308" t="s">
        <v>160</v>
      </c>
      <c r="C46" s="299">
        <f>R_11052 + R_835</f>
        <v>92861</v>
      </c>
      <c r="D46" s="314">
        <f>R_11052_1+ R_835_1</f>
        <v>118852</v>
      </c>
      <c r="E46" s="300"/>
    </row>
    <row r="47" spans="1:6">
      <c r="B47" s="308"/>
      <c r="C47" s="316"/>
      <c r="D47" s="314"/>
      <c r="E47" s="300"/>
    </row>
    <row r="48" spans="1:6">
      <c r="B48" s="308" t="s">
        <v>161</v>
      </c>
      <c r="C48" s="299">
        <f>D_37056 + R_5503 - R_11052</f>
        <v>149024</v>
      </c>
      <c r="D48" s="299">
        <f>D_37056_1 + R_5503_1 - R_11052_1</f>
        <v>87313</v>
      </c>
      <c r="E48" s="300"/>
    </row>
    <row r="49" spans="1:6">
      <c r="C49" s="301"/>
      <c r="D49" s="209"/>
      <c r="E49" s="125"/>
    </row>
    <row r="50" spans="1:6">
      <c r="B50" s="42" t="s">
        <v>162</v>
      </c>
      <c r="C50" s="301">
        <f>D_37052 + R_5503 - R_11052</f>
        <v>0</v>
      </c>
      <c r="D50" s="301">
        <f>D_37052_1 + R_5503_1 - R_11052_1</f>
        <v>0</v>
      </c>
      <c r="E50" s="125"/>
    </row>
    <row r="51" spans="1:6" ht="7.5" customHeight="1">
      <c r="C51" s="301"/>
      <c r="D51" s="209"/>
      <c r="E51" s="125"/>
    </row>
    <row r="52" spans="1:6">
      <c r="B52" s="42" t="s">
        <v>163</v>
      </c>
      <c r="C52" s="301">
        <f>D_37053</f>
        <v>69934</v>
      </c>
      <c r="D52" s="209">
        <f>D_37053_1</f>
        <v>48045</v>
      </c>
      <c r="E52" s="125"/>
    </row>
    <row r="53" spans="1:6" ht="7.5" customHeight="1">
      <c r="C53" s="301"/>
      <c r="D53" s="209"/>
      <c r="E53" s="125"/>
    </row>
    <row r="54" spans="1:6">
      <c r="B54" s="42" t="s">
        <v>164</v>
      </c>
      <c r="C54" s="301">
        <f>D_37054</f>
        <v>7541</v>
      </c>
      <c r="D54" s="209">
        <f>D_37054_1</f>
        <v>14134</v>
      </c>
      <c r="E54" s="125"/>
    </row>
    <row r="55" spans="1:6" ht="7.5" customHeight="1">
      <c r="C55" s="301"/>
      <c r="D55" s="209"/>
      <c r="E55" s="125"/>
    </row>
    <row r="56" spans="1:6">
      <c r="B56" s="42" t="s">
        <v>165</v>
      </c>
      <c r="C56" s="301">
        <f>D_37055</f>
        <v>71549</v>
      </c>
      <c r="D56" s="209">
        <f>D_37055_1</f>
        <v>25134</v>
      </c>
      <c r="E56" s="125"/>
    </row>
    <row r="57" spans="1:6">
      <c r="C57" s="301"/>
      <c r="D57" s="209"/>
      <c r="E57" s="125"/>
    </row>
    <row r="58" spans="1:6" s="61" customFormat="1">
      <c r="A58" s="317"/>
      <c r="B58" s="308" t="s">
        <v>166</v>
      </c>
      <c r="C58" s="299">
        <f>D_37057</f>
        <v>19625</v>
      </c>
      <c r="D58" s="314">
        <f>D_37057_1</f>
        <v>0</v>
      </c>
      <c r="E58" s="318"/>
    </row>
    <row r="59" spans="1:6">
      <c r="C59" s="301"/>
      <c r="D59" s="209"/>
      <c r="E59" s="125"/>
    </row>
    <row r="60" spans="1:6" ht="15">
      <c r="A60" s="302"/>
      <c r="B60" s="390" t="s">
        <v>80</v>
      </c>
      <c r="C60" s="391">
        <f xml:space="preserve"> D_37058</f>
        <v>346596</v>
      </c>
      <c r="D60" s="392">
        <f xml:space="preserve"> D_37058_1</f>
        <v>343694</v>
      </c>
      <c r="E60" s="311"/>
      <c r="F60" s="55"/>
    </row>
    <row r="61" spans="1:6" ht="6.75" customHeight="1">
      <c r="A61" s="302"/>
      <c r="B61" s="515"/>
      <c r="C61" s="516"/>
      <c r="D61" s="517"/>
      <c r="E61" s="311"/>
      <c r="F61" s="55"/>
    </row>
    <row r="62" spans="1:6">
      <c r="B62" s="42" t="str">
        <f>IF(OR(B71="06",B71="05"), "*Influencé par la présence d'une créance DPU de la récolte suivante", " ")</f>
        <v>*Influencé par la présence d'une créance DPU de la récolte suivante</v>
      </c>
    </row>
    <row r="63" spans="1:6" ht="8.25" customHeight="1">
      <c r="B63" s="155"/>
      <c r="C63" s="294"/>
      <c r="D63" s="319"/>
    </row>
    <row r="64" spans="1:6">
      <c r="B64" s="155" t="str">
        <f>TRIM(CivilAdht&amp; " " &amp; NomAdht)</f>
        <v/>
      </c>
      <c r="C64" s="294"/>
      <c r="D64" s="319"/>
    </row>
    <row r="66" spans="2:2" hidden="1" outlineLevel="1"/>
    <row r="67" spans="2:2" hidden="1" outlineLevel="1"/>
    <row r="68" spans="2:2" hidden="1" outlineLevel="1"/>
    <row r="69" spans="2:2" hidden="1" outlineLevel="1">
      <c r="B69" s="42" t="str">
        <f>FinExN</f>
        <v>30/06/2017</v>
      </c>
    </row>
    <row r="70" spans="2:2" hidden="1" outlineLevel="1">
      <c r="B70" s="42" t="str">
        <f>LEFT(B69,5)</f>
        <v>30/06</v>
      </c>
    </row>
    <row r="71" spans="2:2" hidden="1" outlineLevel="1">
      <c r="B71" s="42" t="str">
        <f>RIGHT(B70,2)</f>
        <v>06</v>
      </c>
    </row>
    <row r="72" spans="2:2" hidden="1" outlineLevel="1">
      <c r="B72" s="42" t="str">
        <f>IF(OR(B71="06",B71="05"), "*Influencé par la présence d'une créance DPU de la récolte suivante", " ")</f>
        <v>*Influencé par la présence d'une créance DPU de la récolte suivante</v>
      </c>
    </row>
    <row r="73" spans="2:2" collapsed="1"/>
  </sheetData>
  <phoneticPr fontId="16" type="noConversion"/>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oddFooter>Page &amp;P</oddFooter>
  </headerFooter>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8"/>
  <dimension ref="A3:F73"/>
  <sheetViews>
    <sheetView showZeros="0" topLeftCell="A36" zoomScaleNormal="100" workbookViewId="0">
      <selection activeCell="K41" sqref="K41:K42"/>
    </sheetView>
  </sheetViews>
  <sheetFormatPr baseColWidth="10" defaultRowHeight="12.75" outlineLevelRow="1"/>
  <cols>
    <col min="1" max="1" width="3.85546875" style="42" customWidth="1"/>
    <col min="2" max="2" width="38.42578125" style="42" customWidth="1"/>
    <col min="3" max="5" width="14.7109375" style="86" customWidth="1"/>
    <col min="6" max="6" width="3.85546875" style="42" customWidth="1"/>
  </cols>
  <sheetData>
    <row r="3" spans="1:6" ht="9" customHeight="1"/>
    <row r="7" spans="1:6" ht="7.5" customHeight="1"/>
    <row r="8" spans="1:6" ht="7.5" customHeight="1"/>
    <row r="9" spans="1:6" ht="15">
      <c r="A9" s="128"/>
      <c r="B9" s="296" t="s">
        <v>147</v>
      </c>
      <c r="C9" s="396" t="str">
        <f>TEXT(FinExN,"jj/mm/aaaa")</f>
        <v>30/06/2017</v>
      </c>
      <c r="D9" s="396" t="str">
        <f>TEXT(FinExN1,"jj/mm/aaaa")</f>
        <v>30/06/2016</v>
      </c>
      <c r="E9" s="396" t="str">
        <f>TEXT(FinExN2,"jj/mm/aaaa")</f>
        <v>30/06/2015</v>
      </c>
      <c r="F9" s="297"/>
    </row>
    <row r="10" spans="1:6">
      <c r="B10" s="229"/>
      <c r="D10" s="320"/>
      <c r="E10" s="209"/>
      <c r="F10" s="125"/>
    </row>
    <row r="11" spans="1:6">
      <c r="A11" s="279"/>
      <c r="B11" s="298" t="s">
        <v>148</v>
      </c>
      <c r="C11" s="321">
        <f xml:space="preserve"> D_37038</f>
        <v>161354</v>
      </c>
      <c r="D11" s="322">
        <f xml:space="preserve"> D_37038_1</f>
        <v>180892</v>
      </c>
      <c r="E11" s="322">
        <f xml:space="preserve"> D_37038_2</f>
        <v>205537</v>
      </c>
      <c r="F11" s="300"/>
    </row>
    <row r="12" spans="1:6">
      <c r="B12" s="229"/>
      <c r="C12" s="315"/>
      <c r="D12" s="209"/>
      <c r="E12" s="209"/>
      <c r="F12" s="125"/>
    </row>
    <row r="13" spans="1:6">
      <c r="B13" s="229" t="s">
        <v>149</v>
      </c>
      <c r="C13" s="315">
        <f>D_37035</f>
        <v>0</v>
      </c>
      <c r="D13" s="209">
        <f>D_37035_1</f>
        <v>0</v>
      </c>
      <c r="E13" s="209">
        <f>D_37035_2</f>
        <v>0</v>
      </c>
      <c r="F13" s="125"/>
    </row>
    <row r="14" spans="1:6" ht="7.5" customHeight="1">
      <c r="B14" s="229"/>
      <c r="C14" s="315"/>
      <c r="D14" s="209"/>
      <c r="E14" s="209"/>
      <c r="F14" s="125"/>
    </row>
    <row r="15" spans="1:6">
      <c r="B15" s="229" t="s">
        <v>150</v>
      </c>
      <c r="C15" s="315">
        <f>D_37036</f>
        <v>156860</v>
      </c>
      <c r="D15" s="209">
        <f>D_37036_1</f>
        <v>176398</v>
      </c>
      <c r="E15" s="209">
        <f>D_37036_2</f>
        <v>201043</v>
      </c>
      <c r="F15" s="125"/>
    </row>
    <row r="16" spans="1:6" ht="7.5" customHeight="1">
      <c r="B16" s="229"/>
      <c r="C16" s="315"/>
      <c r="D16" s="209"/>
      <c r="E16" s="209"/>
      <c r="F16" s="125"/>
    </row>
    <row r="17" spans="1:6">
      <c r="B17" s="229" t="s">
        <v>151</v>
      </c>
      <c r="C17" s="315">
        <f>D_37037</f>
        <v>4494</v>
      </c>
      <c r="D17" s="209">
        <f>D_37037_1</f>
        <v>4494</v>
      </c>
      <c r="E17" s="209">
        <f>D_37037_2</f>
        <v>4494</v>
      </c>
      <c r="F17" s="125"/>
    </row>
    <row r="18" spans="1:6">
      <c r="B18" s="229"/>
      <c r="C18" s="315"/>
      <c r="D18" s="209"/>
      <c r="E18" s="209"/>
      <c r="F18" s="125"/>
    </row>
    <row r="19" spans="1:6">
      <c r="A19" s="279"/>
      <c r="B19" s="298" t="s">
        <v>152</v>
      </c>
      <c r="C19" s="321">
        <f>D_37043 - R_257</f>
        <v>185211</v>
      </c>
      <c r="D19" s="322">
        <f>D_37043_1 - R_257_1</f>
        <v>161845</v>
      </c>
      <c r="E19" s="322">
        <f>D_37043_2 - R_257_2</f>
        <v>173327</v>
      </c>
      <c r="F19" s="300"/>
    </row>
    <row r="20" spans="1:6">
      <c r="B20" s="229"/>
      <c r="C20" s="315"/>
      <c r="D20" s="209"/>
      <c r="E20" s="209"/>
      <c r="F20" s="125"/>
    </row>
    <row r="21" spans="1:6">
      <c r="B21" s="229" t="s">
        <v>153</v>
      </c>
      <c r="C21" s="315">
        <f>D_37039</f>
        <v>129992</v>
      </c>
      <c r="D21" s="209">
        <f>D_37039_1</f>
        <v>112255</v>
      </c>
      <c r="E21" s="209">
        <f>D_37039_2</f>
        <v>123966</v>
      </c>
      <c r="F21" s="125"/>
    </row>
    <row r="22" spans="1:6" ht="7.5" customHeight="1">
      <c r="B22" s="229"/>
      <c r="C22" s="315"/>
      <c r="D22" s="209"/>
      <c r="E22" s="209"/>
      <c r="F22" s="125"/>
    </row>
    <row r="23" spans="1:6">
      <c r="A23" s="202"/>
      <c r="B23" s="229" t="s">
        <v>365</v>
      </c>
      <c r="C23" s="315">
        <f>D_37040</f>
        <v>7871</v>
      </c>
      <c r="D23" s="209">
        <f>D_37040_1</f>
        <v>2451</v>
      </c>
      <c r="E23" s="209">
        <f>D_37040_2</f>
        <v>1537</v>
      </c>
      <c r="F23" s="125"/>
    </row>
    <row r="24" spans="1:6" ht="7.5" customHeight="1">
      <c r="A24" s="606"/>
      <c r="B24" s="229"/>
      <c r="C24" s="315"/>
      <c r="D24" s="209"/>
      <c r="E24" s="209"/>
      <c r="F24" s="125"/>
    </row>
    <row r="25" spans="1:6">
      <c r="B25" s="229" t="str">
        <f>IF(OR(B71="06",B71="05")," Autres créances *","Autres créances")</f>
        <v xml:space="preserve"> Autres créances *</v>
      </c>
      <c r="C25" s="315">
        <f>D_37041</f>
        <v>47348</v>
      </c>
      <c r="D25" s="209">
        <f>D_37041_1</f>
        <v>47139</v>
      </c>
      <c r="E25" s="209">
        <f>D_37041_2</f>
        <v>47824</v>
      </c>
      <c r="F25" s="125"/>
    </row>
    <row r="26" spans="1:6" ht="7.5" customHeight="1">
      <c r="B26" s="229"/>
      <c r="C26" s="315"/>
      <c r="D26" s="209"/>
      <c r="E26" s="209"/>
      <c r="F26" s="125"/>
    </row>
    <row r="27" spans="1:6">
      <c r="B27" s="229" t="s">
        <v>31</v>
      </c>
      <c r="C27" s="315">
        <f>D_37042 - R_257</f>
        <v>0</v>
      </c>
      <c r="D27" s="209">
        <f>D_37042_1 - R_257_1</f>
        <v>0</v>
      </c>
      <c r="E27" s="209">
        <f>D_37042_2 - R_257_2</f>
        <v>0</v>
      </c>
      <c r="F27" s="125"/>
    </row>
    <row r="28" spans="1:6">
      <c r="B28" s="229"/>
      <c r="C28" s="315"/>
      <c r="D28" s="209"/>
      <c r="E28" s="209"/>
      <c r="F28" s="125"/>
    </row>
    <row r="29" spans="1:6">
      <c r="A29" s="279"/>
      <c r="B29" s="298" t="s">
        <v>154</v>
      </c>
      <c r="C29" s="321">
        <f>D_37044</f>
        <v>32</v>
      </c>
      <c r="D29" s="322">
        <f>D_37044_1</f>
        <v>956</v>
      </c>
      <c r="E29" s="322">
        <f>D_37044_2</f>
        <v>519</v>
      </c>
      <c r="F29" s="300"/>
    </row>
    <row r="30" spans="1:6">
      <c r="B30" s="229"/>
      <c r="C30" s="315"/>
      <c r="D30" s="209"/>
      <c r="E30" s="209"/>
      <c r="F30" s="125"/>
    </row>
    <row r="31" spans="1:6" ht="15">
      <c r="A31" s="302"/>
      <c r="B31" s="397" t="s">
        <v>80</v>
      </c>
      <c r="C31" s="391">
        <f>D_37045 - R_257</f>
        <v>346597</v>
      </c>
      <c r="D31" s="392">
        <f>D_37045_1 - R_257_1</f>
        <v>343693</v>
      </c>
      <c r="E31" s="392">
        <f>D_37045_2 - R_257_2</f>
        <v>379383</v>
      </c>
      <c r="F31" s="303"/>
    </row>
    <row r="32" spans="1:6">
      <c r="C32" s="315"/>
      <c r="F32" s="304"/>
    </row>
    <row r="33" spans="1:6" ht="26.25" customHeight="1">
      <c r="C33" s="315"/>
      <c r="F33" s="304"/>
    </row>
    <row r="34" spans="1:6" ht="15">
      <c r="A34" s="305"/>
      <c r="B34" s="306" t="s">
        <v>155</v>
      </c>
      <c r="C34" s="396" t="str">
        <f>TEXT(FinExN,"jj/mm/aaaa")</f>
        <v>30/06/2017</v>
      </c>
      <c r="D34" s="396" t="str">
        <f>TEXT(FinExN1,"jj/mm/aaaa")</f>
        <v>30/06/2016</v>
      </c>
      <c r="E34" s="396" t="str">
        <f>TEXT(FinExN2,"jj/mm/aaaa")</f>
        <v>30/06/2015</v>
      </c>
      <c r="F34" s="307"/>
    </row>
    <row r="35" spans="1:6">
      <c r="C35" s="301"/>
      <c r="D35" s="209"/>
      <c r="E35" s="209"/>
      <c r="F35" s="212"/>
    </row>
    <row r="36" spans="1:6">
      <c r="B36" s="308" t="s">
        <v>156</v>
      </c>
      <c r="C36" s="323">
        <f>D_37049</f>
        <v>85086</v>
      </c>
      <c r="D36" s="322">
        <f>D_37049_1</f>
        <v>137529</v>
      </c>
      <c r="E36" s="322">
        <f>D_37049_2</f>
        <v>126953</v>
      </c>
      <c r="F36" s="309"/>
    </row>
    <row r="37" spans="1:6">
      <c r="C37" s="301"/>
      <c r="D37" s="209"/>
      <c r="E37" s="209"/>
      <c r="F37" s="212"/>
    </row>
    <row r="38" spans="1:6">
      <c r="B38" s="42" t="s">
        <v>157</v>
      </c>
      <c r="C38" s="301">
        <f>D_37046</f>
        <v>112707</v>
      </c>
      <c r="D38" s="209">
        <f>D_37046_1</f>
        <v>88325</v>
      </c>
      <c r="E38" s="209">
        <f>D_37046_2</f>
        <v>110485</v>
      </c>
      <c r="F38" s="212"/>
    </row>
    <row r="39" spans="1:6" ht="7.5" customHeight="1">
      <c r="C39" s="301"/>
      <c r="D39" s="209"/>
      <c r="E39" s="209"/>
      <c r="F39" s="212"/>
    </row>
    <row r="40" spans="1:6">
      <c r="B40" s="42" t="s">
        <v>158</v>
      </c>
      <c r="C40" s="301">
        <f>D_37047</f>
        <v>0</v>
      </c>
      <c r="D40" s="209">
        <f>D_37047_1</f>
        <v>0</v>
      </c>
      <c r="E40" s="209">
        <f>D_37047_2</f>
        <v>0</v>
      </c>
      <c r="F40" s="212"/>
    </row>
    <row r="41" spans="1:6" ht="7.5" customHeight="1">
      <c r="C41" s="301"/>
      <c r="D41" s="209"/>
      <c r="E41" s="209"/>
      <c r="F41" s="212"/>
    </row>
    <row r="42" spans="1:6">
      <c r="B42" s="393" t="str">
        <f>IF(OR(B71="06",B71="05"),"Résultat de l'exercice*", "Résultat de l'exercice")</f>
        <v>Résultat de l'exercice*</v>
      </c>
      <c r="C42" s="394">
        <f>D_37048</f>
        <v>-27621</v>
      </c>
      <c r="D42" s="395">
        <f>D_37048_1</f>
        <v>49204</v>
      </c>
      <c r="E42" s="395">
        <f>D_37048_2</f>
        <v>16468</v>
      </c>
      <c r="F42" s="310"/>
    </row>
    <row r="43" spans="1:6">
      <c r="C43" s="301"/>
      <c r="D43" s="209"/>
      <c r="E43" s="209"/>
      <c r="F43" s="125"/>
    </row>
    <row r="44" spans="1:6">
      <c r="B44" s="308" t="s">
        <v>159</v>
      </c>
      <c r="C44" s="323">
        <f>R_374</f>
        <v>0</v>
      </c>
      <c r="D44" s="322">
        <f>R_374_1</f>
        <v>0</v>
      </c>
      <c r="E44" s="322">
        <f>R_374_2</f>
        <v>0</v>
      </c>
      <c r="F44" s="300"/>
    </row>
    <row r="45" spans="1:6">
      <c r="B45" s="271"/>
      <c r="C45" s="324"/>
      <c r="D45" s="322"/>
      <c r="E45" s="322"/>
      <c r="F45" s="300"/>
    </row>
    <row r="46" spans="1:6">
      <c r="B46" s="308" t="s">
        <v>160</v>
      </c>
      <c r="C46" s="323">
        <f>R_11052 + R_835</f>
        <v>92861</v>
      </c>
      <c r="D46" s="323">
        <f>R_11052_1+ R_835_1</f>
        <v>118852</v>
      </c>
      <c r="E46" s="323">
        <f>R_11052_2 + R_835_2</f>
        <v>79079</v>
      </c>
      <c r="F46" s="300"/>
    </row>
    <row r="47" spans="1:6">
      <c r="B47" s="271"/>
      <c r="C47" s="324"/>
      <c r="D47" s="322"/>
      <c r="E47" s="322"/>
      <c r="F47" s="300"/>
    </row>
    <row r="48" spans="1:6">
      <c r="B48" s="308" t="s">
        <v>161</v>
      </c>
      <c r="C48" s="323">
        <f>D_37056 + R_5503 - R_11052</f>
        <v>149024</v>
      </c>
      <c r="D48" s="323">
        <f>D_37056_1 + R_5503_1 - R_11052_1</f>
        <v>87313</v>
      </c>
      <c r="E48" s="323">
        <f>D_37056_2 + R_5503_2 - R_11052_2</f>
        <v>173351</v>
      </c>
      <c r="F48" s="300"/>
    </row>
    <row r="49" spans="1:6">
      <c r="C49" s="301"/>
      <c r="D49" s="209"/>
      <c r="E49" s="209"/>
      <c r="F49" s="125"/>
    </row>
    <row r="50" spans="1:6">
      <c r="B50" s="42" t="s">
        <v>162</v>
      </c>
      <c r="C50" s="301">
        <f>D_37052 + R_5503 - R_11052</f>
        <v>0</v>
      </c>
      <c r="D50" s="301">
        <f>D_37052_1 + R_5503_1 - R_11052_1</f>
        <v>0</v>
      </c>
      <c r="E50" s="301">
        <f>D_37052_2 + R_5503_2 - R_11052_2</f>
        <v>966</v>
      </c>
      <c r="F50" s="125"/>
    </row>
    <row r="51" spans="1:6" ht="7.5" customHeight="1">
      <c r="C51" s="301"/>
      <c r="D51" s="209"/>
      <c r="E51" s="209"/>
      <c r="F51" s="125"/>
    </row>
    <row r="52" spans="1:6">
      <c r="B52" s="42" t="s">
        <v>163</v>
      </c>
      <c r="C52" s="301">
        <f>D_37053</f>
        <v>69934</v>
      </c>
      <c r="D52" s="209">
        <f>D_37053_1</f>
        <v>48045</v>
      </c>
      <c r="E52" s="209">
        <f>D_37053_2</f>
        <v>58906</v>
      </c>
      <c r="F52" s="125"/>
    </row>
    <row r="53" spans="1:6" ht="7.5" customHeight="1">
      <c r="C53" s="301"/>
      <c r="D53" s="209"/>
      <c r="E53" s="209"/>
      <c r="F53" s="125"/>
    </row>
    <row r="54" spans="1:6">
      <c r="B54" s="42" t="s">
        <v>164</v>
      </c>
      <c r="C54" s="301">
        <f>D_37054</f>
        <v>7541</v>
      </c>
      <c r="D54" s="209">
        <f>D_37054_1</f>
        <v>14134</v>
      </c>
      <c r="E54" s="209">
        <f>D_37054_2</f>
        <v>14532</v>
      </c>
      <c r="F54" s="125"/>
    </row>
    <row r="55" spans="1:6" ht="7.5" customHeight="1">
      <c r="C55" s="301"/>
      <c r="D55" s="209"/>
      <c r="E55" s="209"/>
      <c r="F55" s="125"/>
    </row>
    <row r="56" spans="1:6">
      <c r="B56" s="42" t="s">
        <v>165</v>
      </c>
      <c r="C56" s="301">
        <f>D_37055</f>
        <v>71549</v>
      </c>
      <c r="D56" s="209">
        <f>D_37055_1</f>
        <v>25134</v>
      </c>
      <c r="E56" s="209">
        <f>D_37055_2</f>
        <v>98947</v>
      </c>
      <c r="F56" s="125"/>
    </row>
    <row r="57" spans="1:6">
      <c r="C57" s="301"/>
      <c r="D57" s="209"/>
      <c r="E57" s="209"/>
      <c r="F57" s="125"/>
    </row>
    <row r="58" spans="1:6">
      <c r="B58" s="308" t="s">
        <v>166</v>
      </c>
      <c r="C58" s="323">
        <f>D_37057</f>
        <v>19625</v>
      </c>
      <c r="D58" s="322">
        <f>D_37057_1</f>
        <v>0</v>
      </c>
      <c r="E58" s="322">
        <f>D_37057_2</f>
        <v>0</v>
      </c>
      <c r="F58" s="219"/>
    </row>
    <row r="59" spans="1:6" ht="9.75" customHeight="1">
      <c r="C59" s="301"/>
      <c r="D59" s="209"/>
      <c r="E59" s="209"/>
      <c r="F59" s="125"/>
    </row>
    <row r="60" spans="1:6" ht="15">
      <c r="A60" s="302"/>
      <c r="B60" s="390" t="s">
        <v>80</v>
      </c>
      <c r="C60" s="391">
        <f xml:space="preserve"> D_37058</f>
        <v>346596</v>
      </c>
      <c r="D60" s="392">
        <f xml:space="preserve"> D_37058_1</f>
        <v>343694</v>
      </c>
      <c r="E60" s="392">
        <f xml:space="preserve"> D_37058_2</f>
        <v>379383</v>
      </c>
      <c r="F60" s="311"/>
    </row>
    <row r="61" spans="1:6" ht="7.5" customHeight="1"/>
    <row r="62" spans="1:6">
      <c r="B62" s="42" t="str">
        <f>IF(OR(B71="06",B71="05"), "*Influencé par la présence d'une créance DPU de la récolte suivante", " ")</f>
        <v>*Influencé par la présence d'une créance DPU de la récolte suivante</v>
      </c>
    </row>
    <row r="63" spans="1:6" ht="7.5" customHeight="1"/>
    <row r="64" spans="1:6">
      <c r="B64" s="200" t="str">
        <f>TRIM(CivilAdht&amp; " " &amp; NomAdht)</f>
        <v/>
      </c>
      <c r="C64" s="325"/>
      <c r="D64" s="326"/>
      <c r="E64" s="326"/>
    </row>
    <row r="65" spans="2:5">
      <c r="B65" s="200"/>
      <c r="C65" s="325"/>
      <c r="D65" s="326"/>
      <c r="E65" s="326"/>
    </row>
    <row r="66" spans="2:5" hidden="1" outlineLevel="1"/>
    <row r="67" spans="2:5" hidden="1" outlineLevel="1"/>
    <row r="68" spans="2:5" hidden="1" outlineLevel="1"/>
    <row r="69" spans="2:5" hidden="1" outlineLevel="1">
      <c r="B69" s="42" t="str">
        <f>FinExN</f>
        <v>30/06/2017</v>
      </c>
    </row>
    <row r="70" spans="2:5" hidden="1" outlineLevel="1">
      <c r="B70" s="42" t="str">
        <f>LEFT(B69,5)</f>
        <v>30/06</v>
      </c>
    </row>
    <row r="71" spans="2:5" hidden="1" outlineLevel="1">
      <c r="B71" s="42" t="str">
        <f>RIGHT(B70,2)</f>
        <v>06</v>
      </c>
    </row>
    <row r="72" spans="2:5" hidden="1" outlineLevel="1">
      <c r="B72" s="42" t="str">
        <f>IF(OR(B71="06",B71="05"), "*Influencé par la présence d'une créance DPU de la récolte suivante", " ")</f>
        <v>*Influencé par la présence d'une créance DPU de la récolte suivante</v>
      </c>
    </row>
    <row r="73" spans="2:5" collapsed="1"/>
  </sheetData>
  <phoneticPr fontId="16" type="noConversion"/>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oddFooter>Page &amp;P</oddFooter>
  </headerFooter>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9"/>
  <dimension ref="A1:J54"/>
  <sheetViews>
    <sheetView showZeros="0" zoomScaleNormal="100" workbookViewId="0">
      <selection activeCell="K41" sqref="K41:K42"/>
    </sheetView>
  </sheetViews>
  <sheetFormatPr baseColWidth="10" defaultRowHeight="12.75" outlineLevelCol="1"/>
  <cols>
    <col min="1" max="1" width="2.7109375" style="42" customWidth="1"/>
    <col min="2" max="2" width="3.7109375" style="42" customWidth="1"/>
    <col min="3" max="3" width="58.42578125" style="42" customWidth="1"/>
    <col min="4" max="4" width="2.7109375" style="42" customWidth="1"/>
    <col min="5" max="5" width="14.7109375" style="42" customWidth="1"/>
    <col min="6" max="6" width="4.140625" style="42" customWidth="1"/>
    <col min="7" max="9" width="0" hidden="1" customWidth="1" outlineLevel="1"/>
    <col min="10" max="10" width="11.42578125" collapsed="1"/>
  </cols>
  <sheetData>
    <row r="1" spans="1:8">
      <c r="A1" s="125"/>
      <c r="B1" s="125"/>
      <c r="C1" s="125"/>
      <c r="D1" s="125"/>
      <c r="E1" s="125"/>
      <c r="F1" s="125"/>
    </row>
    <row r="2" spans="1:8">
      <c r="A2" s="125"/>
      <c r="B2" s="125"/>
      <c r="C2" s="125"/>
      <c r="D2" s="125"/>
      <c r="E2" s="125"/>
      <c r="F2" s="125"/>
    </row>
    <row r="3" spans="1:8">
      <c r="A3" s="125"/>
      <c r="B3" s="125"/>
      <c r="C3" s="125"/>
      <c r="D3" s="125"/>
      <c r="E3" s="125"/>
      <c r="F3" s="125"/>
    </row>
    <row r="4" spans="1:8" ht="21.75" customHeight="1">
      <c r="A4" s="125"/>
      <c r="B4" s="327"/>
      <c r="C4" s="328"/>
      <c r="D4" s="327"/>
      <c r="E4" s="327"/>
      <c r="F4" s="125"/>
    </row>
    <row r="5" spans="1:8">
      <c r="A5" s="125"/>
      <c r="B5" s="125"/>
      <c r="C5" s="125"/>
      <c r="D5" s="125"/>
      <c r="E5" s="125"/>
      <c r="F5" s="125"/>
    </row>
    <row r="6" spans="1:8">
      <c r="A6" s="125"/>
      <c r="B6" s="125"/>
      <c r="C6" s="125"/>
      <c r="D6" s="125"/>
      <c r="E6" s="125"/>
      <c r="F6" s="125"/>
    </row>
    <row r="7" spans="1:8">
      <c r="A7" s="125"/>
      <c r="B7" s="125"/>
      <c r="C7" s="125"/>
      <c r="D7" s="125"/>
      <c r="E7" s="125"/>
      <c r="F7" s="125"/>
    </row>
    <row r="8" spans="1:8">
      <c r="A8" s="125"/>
      <c r="B8" s="125"/>
      <c r="C8" s="125"/>
      <c r="D8" s="125"/>
      <c r="E8" s="329"/>
      <c r="F8" s="125"/>
    </row>
    <row r="9" spans="1:8" ht="13.5" thickBot="1">
      <c r="A9" s="125"/>
      <c r="B9" s="125"/>
      <c r="C9" s="125"/>
      <c r="D9" s="125"/>
      <c r="E9" s="125"/>
      <c r="F9" s="125"/>
      <c r="G9" s="4" t="str">
        <f>TEXT(FinExN,"jj/mm/aaaa")</f>
        <v>30/06/2017</v>
      </c>
      <c r="H9" s="4"/>
    </row>
    <row r="10" spans="1:8" ht="15">
      <c r="A10" s="125"/>
      <c r="B10" s="125"/>
      <c r="C10" s="330" t="s">
        <v>144</v>
      </c>
      <c r="D10" s="125"/>
      <c r="E10" s="331"/>
      <c r="F10" s="125"/>
    </row>
    <row r="11" spans="1:8">
      <c r="A11" s="125"/>
      <c r="B11" s="125"/>
      <c r="C11" s="125"/>
      <c r="D11" s="125"/>
      <c r="E11" s="332"/>
      <c r="F11" s="125"/>
    </row>
    <row r="12" spans="1:8" ht="15">
      <c r="A12" s="125"/>
      <c r="B12" s="237" t="s">
        <v>452</v>
      </c>
      <c r="C12" s="125"/>
      <c r="D12" s="125"/>
      <c r="E12" s="332"/>
      <c r="F12" s="125"/>
    </row>
    <row r="13" spans="1:8">
      <c r="A13" s="125"/>
      <c r="B13" s="125"/>
      <c r="C13" s="125"/>
      <c r="D13" s="125"/>
      <c r="E13" s="332"/>
      <c r="F13" s="125"/>
    </row>
    <row r="14" spans="1:8">
      <c r="A14" s="125"/>
      <c r="B14" s="125"/>
      <c r="C14" s="333" t="s">
        <v>32</v>
      </c>
      <c r="D14" s="125"/>
      <c r="E14" s="334" t="str">
        <f>D_37184&amp;""&amp;"%"</f>
        <v>-35,58%</v>
      </c>
      <c r="F14" s="125"/>
    </row>
    <row r="15" spans="1:8">
      <c r="A15" s="125"/>
      <c r="B15" s="125"/>
      <c r="C15" s="335" t="s">
        <v>33</v>
      </c>
      <c r="D15" s="125"/>
      <c r="E15" s="336"/>
      <c r="F15" s="125"/>
    </row>
    <row r="16" spans="1:8">
      <c r="A16" s="125"/>
      <c r="B16" s="125"/>
      <c r="C16" s="125"/>
      <c r="D16" s="125"/>
      <c r="E16" s="337"/>
      <c r="F16" s="125"/>
    </row>
    <row r="17" spans="1:6" ht="15">
      <c r="A17" s="125"/>
      <c r="B17" s="734" t="s">
        <v>468</v>
      </c>
      <c r="C17" s="125"/>
      <c r="D17" s="125"/>
      <c r="E17" s="338"/>
      <c r="F17" s="125"/>
    </row>
    <row r="18" spans="1:6">
      <c r="A18" s="125"/>
      <c r="B18" s="125"/>
      <c r="C18" s="125"/>
      <c r="D18" s="125"/>
      <c r="E18" s="337"/>
      <c r="F18" s="125"/>
    </row>
    <row r="19" spans="1:6">
      <c r="A19" s="125"/>
      <c r="B19" s="125"/>
      <c r="C19" s="333" t="s">
        <v>34</v>
      </c>
      <c r="D19" s="125"/>
      <c r="E19" s="334" t="str">
        <f>D_37185&amp;""&amp;"%"</f>
        <v>24,55%</v>
      </c>
      <c r="F19" s="125"/>
    </row>
    <row r="20" spans="1:6">
      <c r="A20" s="125"/>
      <c r="B20" s="125"/>
      <c r="C20" s="335" t="s">
        <v>35</v>
      </c>
      <c r="D20" s="125"/>
      <c r="E20" s="337"/>
      <c r="F20" s="125"/>
    </row>
    <row r="21" spans="1:6">
      <c r="A21" s="125"/>
      <c r="B21" s="125"/>
      <c r="C21" s="125"/>
      <c r="D21" s="125"/>
      <c r="E21" s="337"/>
      <c r="F21" s="125"/>
    </row>
    <row r="22" spans="1:6" ht="15">
      <c r="A22" s="125"/>
      <c r="B22" s="237" t="s">
        <v>305</v>
      </c>
      <c r="C22" s="125"/>
      <c r="D22" s="125"/>
      <c r="E22" s="337"/>
      <c r="F22" s="125"/>
    </row>
    <row r="23" spans="1:6">
      <c r="A23" s="125"/>
      <c r="B23" s="125"/>
      <c r="C23" s="125"/>
      <c r="D23" s="125"/>
      <c r="E23" s="337"/>
      <c r="F23" s="125"/>
    </row>
    <row r="24" spans="1:6">
      <c r="A24" s="125"/>
      <c r="B24" s="125"/>
      <c r="C24" s="333" t="s">
        <v>141</v>
      </c>
      <c r="D24" s="125"/>
      <c r="E24" s="334" t="str">
        <f>D_37186&amp;""&amp;"%"</f>
        <v>95,32%</v>
      </c>
      <c r="F24" s="125"/>
    </row>
    <row r="25" spans="1:6">
      <c r="A25" s="125"/>
      <c r="B25" s="125"/>
      <c r="C25" s="335" t="s">
        <v>142</v>
      </c>
      <c r="D25" s="125"/>
      <c r="E25" s="337"/>
      <c r="F25" s="125"/>
    </row>
    <row r="26" spans="1:6">
      <c r="A26" s="125"/>
      <c r="B26" s="125"/>
      <c r="C26" s="125"/>
      <c r="D26" s="125"/>
      <c r="E26" s="337"/>
      <c r="F26" s="125"/>
    </row>
    <row r="27" spans="1:6" ht="15">
      <c r="A27" s="125"/>
      <c r="B27" s="734" t="s">
        <v>415</v>
      </c>
      <c r="C27" s="125"/>
      <c r="D27" s="125"/>
      <c r="E27" s="337"/>
      <c r="F27" s="125"/>
    </row>
    <row r="28" spans="1:6">
      <c r="A28" s="125"/>
      <c r="B28" s="125"/>
      <c r="C28" s="125"/>
      <c r="D28" s="125"/>
      <c r="E28" s="337"/>
      <c r="F28" s="125"/>
    </row>
    <row r="29" spans="1:6">
      <c r="A29" s="125"/>
      <c r="B29" s="125"/>
      <c r="C29" s="333" t="s">
        <v>36</v>
      </c>
      <c r="D29" s="125"/>
      <c r="E29" s="334" t="str">
        <f>D_37187&amp;""&amp;"%"</f>
        <v>37,07%</v>
      </c>
      <c r="F29" s="125"/>
    </row>
    <row r="30" spans="1:6">
      <c r="A30" s="125"/>
      <c r="B30" s="125"/>
      <c r="C30" s="335" t="s">
        <v>37</v>
      </c>
      <c r="D30" s="125"/>
      <c r="E30" s="337"/>
      <c r="F30" s="125"/>
    </row>
    <row r="31" spans="1:6">
      <c r="A31" s="125"/>
      <c r="B31" s="125"/>
      <c r="C31" s="125"/>
      <c r="D31" s="125"/>
      <c r="E31" s="337"/>
      <c r="F31" s="125"/>
    </row>
    <row r="32" spans="1:6" ht="15">
      <c r="A32" s="125"/>
      <c r="B32" s="734" t="s">
        <v>469</v>
      </c>
      <c r="C32" s="125"/>
      <c r="D32" s="125"/>
      <c r="E32" s="337"/>
      <c r="F32" s="125"/>
    </row>
    <row r="33" spans="1:6">
      <c r="A33" s="125"/>
      <c r="B33" s="125"/>
      <c r="C33" s="125"/>
      <c r="D33" s="125"/>
      <c r="E33" s="337"/>
      <c r="F33" s="125"/>
    </row>
    <row r="34" spans="1:6">
      <c r="A34" s="125"/>
      <c r="B34" s="125"/>
      <c r="C34" s="333" t="s">
        <v>143</v>
      </c>
      <c r="D34" s="125"/>
      <c r="E34" s="334" t="str">
        <f>D_37188&amp;""&amp;"%"</f>
        <v>69,79%</v>
      </c>
      <c r="F34" s="125"/>
    </row>
    <row r="35" spans="1:6">
      <c r="A35" s="125"/>
      <c r="B35" s="125"/>
      <c r="C35" s="335" t="s">
        <v>35</v>
      </c>
      <c r="D35" s="125"/>
      <c r="E35" s="337"/>
      <c r="F35" s="125"/>
    </row>
    <row r="36" spans="1:6">
      <c r="A36" s="125"/>
      <c r="B36" s="125"/>
      <c r="C36" s="125"/>
      <c r="D36" s="125"/>
      <c r="E36" s="337"/>
      <c r="F36" s="125"/>
    </row>
    <row r="37" spans="1:6" ht="15">
      <c r="A37" s="125"/>
      <c r="B37" s="237"/>
      <c r="C37" s="125"/>
      <c r="D37" s="125"/>
      <c r="E37" s="337"/>
      <c r="F37" s="125"/>
    </row>
    <row r="38" spans="1:6">
      <c r="A38" s="125"/>
      <c r="B38" s="125"/>
      <c r="C38" s="125"/>
      <c r="D38" s="125"/>
      <c r="E38" s="337"/>
      <c r="F38" s="125"/>
    </row>
    <row r="39" spans="1:6" ht="15">
      <c r="A39" s="125"/>
      <c r="B39" s="125"/>
      <c r="C39" s="330" t="s">
        <v>145</v>
      </c>
      <c r="D39" s="125"/>
      <c r="E39" s="334"/>
      <c r="F39" s="125"/>
    </row>
    <row r="40" spans="1:6">
      <c r="A40" s="125"/>
      <c r="B40" s="125"/>
      <c r="C40" s="335"/>
      <c r="D40" s="125"/>
      <c r="E40" s="332"/>
      <c r="F40" s="125"/>
    </row>
    <row r="41" spans="1:6" ht="15">
      <c r="A41" s="125"/>
      <c r="B41" s="237" t="s">
        <v>146</v>
      </c>
      <c r="C41" s="125"/>
      <c r="D41" s="125"/>
      <c r="E41" s="449">
        <f>D_37021</f>
        <v>939</v>
      </c>
      <c r="F41" s="125"/>
    </row>
    <row r="42" spans="1:6" ht="15">
      <c r="A42" s="125"/>
      <c r="B42" s="237"/>
      <c r="C42" s="125"/>
      <c r="D42" s="125"/>
      <c r="E42" s="450"/>
      <c r="F42" s="125"/>
    </row>
    <row r="43" spans="1:6" ht="15">
      <c r="A43" s="125"/>
      <c r="B43" s="237" t="s">
        <v>207</v>
      </c>
      <c r="C43" s="125"/>
      <c r="D43" s="125"/>
      <c r="E43" s="449">
        <f>D_37183</f>
        <v>1408.72</v>
      </c>
      <c r="F43" s="125"/>
    </row>
    <row r="44" spans="1:6" ht="15">
      <c r="A44" s="125"/>
      <c r="B44" s="237"/>
      <c r="C44" s="125"/>
      <c r="D44" s="125"/>
      <c r="E44" s="450"/>
      <c r="F44" s="125"/>
    </row>
    <row r="45" spans="1:6" ht="15">
      <c r="A45" s="125"/>
      <c r="B45" s="237" t="s">
        <v>335</v>
      </c>
      <c r="C45" s="339"/>
      <c r="D45" s="125"/>
      <c r="E45" s="449">
        <f>D_37022</f>
        <v>289.95999999999998</v>
      </c>
      <c r="F45" s="125"/>
    </row>
    <row r="46" spans="1:6" ht="15">
      <c r="A46" s="125"/>
      <c r="B46" s="237"/>
      <c r="C46" s="339"/>
      <c r="D46" s="125"/>
      <c r="E46" s="449"/>
      <c r="F46" s="125"/>
    </row>
    <row r="47" spans="1:6" ht="15">
      <c r="A47" s="125"/>
      <c r="B47" s="734" t="s">
        <v>470</v>
      </c>
      <c r="C47" s="339"/>
      <c r="D47" s="125"/>
      <c r="E47" s="449">
        <f>D_37182</f>
        <v>394.42</v>
      </c>
      <c r="F47" s="125"/>
    </row>
    <row r="48" spans="1:6" ht="15.75" thickBot="1">
      <c r="A48" s="125"/>
      <c r="B48" s="237"/>
      <c r="C48" s="339"/>
      <c r="D48" s="125"/>
      <c r="E48" s="340"/>
      <c r="F48" s="125"/>
    </row>
    <row r="49" spans="1:6" ht="15">
      <c r="A49" s="125"/>
      <c r="B49" s="237"/>
      <c r="C49" s="339"/>
      <c r="D49" s="125"/>
      <c r="E49" s="341"/>
      <c r="F49" s="125"/>
    </row>
    <row r="50" spans="1:6" ht="7.5" customHeight="1">
      <c r="A50" s="125"/>
      <c r="B50" s="237"/>
      <c r="C50" s="339"/>
      <c r="D50" s="125"/>
      <c r="E50" s="341"/>
      <c r="F50" s="125"/>
    </row>
    <row r="51" spans="1:6" ht="11.25" customHeight="1">
      <c r="A51" s="125"/>
      <c r="B51" s="237"/>
      <c r="D51" s="125"/>
      <c r="E51" s="341"/>
      <c r="F51" s="125"/>
    </row>
    <row r="52" spans="1:6" ht="11.25" customHeight="1">
      <c r="A52" s="125"/>
      <c r="B52" s="237"/>
      <c r="C52" s="198"/>
      <c r="D52" s="125"/>
      <c r="E52" s="341"/>
      <c r="F52" s="125"/>
    </row>
    <row r="53" spans="1:6">
      <c r="A53" s="125"/>
      <c r="B53" s="155" t="str">
        <f>TRIM(CivilAdht&amp; " " &amp; NomAdht)</f>
        <v/>
      </c>
      <c r="C53" s="135"/>
      <c r="D53" s="257"/>
      <c r="E53" s="155"/>
      <c r="F53" s="125"/>
    </row>
    <row r="54" spans="1:6" ht="15">
      <c r="A54" s="125"/>
      <c r="B54" s="125"/>
      <c r="C54" s="339"/>
      <c r="D54" s="125"/>
      <c r="E54" s="341"/>
      <c r="F54" s="125"/>
    </row>
  </sheetData>
  <phoneticPr fontId="16" type="noConversion"/>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oddFooter>Page &amp;P</oddFooter>
  </headerFooter>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0"/>
  <dimension ref="A1:J62"/>
  <sheetViews>
    <sheetView showZeros="0" topLeftCell="A52" zoomScaleNormal="100" workbookViewId="0">
      <selection activeCell="K41" sqref="K41:K42"/>
    </sheetView>
  </sheetViews>
  <sheetFormatPr baseColWidth="10" defaultRowHeight="12.75" outlineLevelRow="1" outlineLevelCol="1"/>
  <cols>
    <col min="1" max="1" width="2.7109375" style="42" customWidth="1"/>
    <col min="2" max="2" width="3.7109375" style="42" customWidth="1"/>
    <col min="3" max="3" width="55.7109375" style="42" customWidth="1"/>
    <col min="4" max="4" width="3.7109375" style="42" customWidth="1"/>
    <col min="5" max="6" width="11.7109375" style="42" customWidth="1"/>
    <col min="7" max="7" width="2.7109375" style="42" customWidth="1"/>
    <col min="8" max="9" width="0" hidden="1" customWidth="1" outlineLevel="1"/>
    <col min="10" max="10" width="11.42578125" collapsed="1"/>
  </cols>
  <sheetData>
    <row r="1" spans="1:9">
      <c r="A1" s="125"/>
      <c r="B1" s="125"/>
      <c r="C1" s="125"/>
      <c r="D1" s="125"/>
      <c r="E1" s="125"/>
      <c r="F1" s="125"/>
      <c r="G1" s="125"/>
    </row>
    <row r="2" spans="1:9">
      <c r="A2" s="125"/>
      <c r="B2" s="125"/>
      <c r="C2" s="125"/>
      <c r="D2" s="125"/>
      <c r="E2" s="125"/>
      <c r="F2" s="125"/>
      <c r="G2" s="125"/>
    </row>
    <row r="3" spans="1:9">
      <c r="A3" s="125"/>
      <c r="B3" s="125"/>
      <c r="C3" s="125"/>
      <c r="D3" s="125"/>
      <c r="E3" s="125"/>
      <c r="F3" s="125"/>
      <c r="G3" s="125"/>
    </row>
    <row r="4" spans="1:9">
      <c r="A4" s="125"/>
      <c r="B4" s="125"/>
      <c r="C4" s="125"/>
      <c r="D4" s="125"/>
      <c r="E4" s="125"/>
      <c r="F4" s="125"/>
      <c r="G4" s="125"/>
    </row>
    <row r="5" spans="1:9">
      <c r="A5" s="125"/>
      <c r="B5" s="125"/>
      <c r="C5" s="125"/>
      <c r="D5" s="125"/>
      <c r="E5" s="125"/>
      <c r="F5" s="125"/>
      <c r="G5" s="125"/>
    </row>
    <row r="6" spans="1:9">
      <c r="A6" s="125"/>
      <c r="B6" s="125"/>
      <c r="C6" s="125"/>
      <c r="D6" s="125"/>
      <c r="E6" s="125"/>
      <c r="F6" s="125"/>
      <c r="G6" s="125"/>
    </row>
    <row r="7" spans="1:9" ht="21.75" customHeight="1">
      <c r="A7" s="125"/>
      <c r="B7" s="327"/>
      <c r="C7" s="328"/>
      <c r="D7" s="327"/>
      <c r="E7" s="327"/>
      <c r="F7" s="327"/>
      <c r="G7" s="125"/>
    </row>
    <row r="8" spans="1:9">
      <c r="A8" s="125"/>
      <c r="B8" s="125"/>
      <c r="C8" s="125"/>
      <c r="D8" s="125"/>
      <c r="E8" s="125"/>
      <c r="F8" s="125"/>
      <c r="G8" s="125"/>
    </row>
    <row r="9" spans="1:9">
      <c r="A9" s="125"/>
      <c r="B9" s="125"/>
      <c r="C9" s="125"/>
      <c r="D9" s="125"/>
      <c r="E9" s="125"/>
      <c r="F9" s="125"/>
      <c r="G9" s="125"/>
    </row>
    <row r="10" spans="1:9">
      <c r="A10" s="125"/>
      <c r="B10" s="125"/>
      <c r="C10" s="125"/>
      <c r="D10" s="125"/>
      <c r="E10" s="125"/>
      <c r="F10" s="125"/>
      <c r="G10" s="125"/>
    </row>
    <row r="11" spans="1:9">
      <c r="A11" s="125"/>
      <c r="B11" s="125"/>
      <c r="C11" s="125"/>
      <c r="D11" s="125"/>
      <c r="E11" s="329"/>
      <c r="F11" s="329"/>
      <c r="G11" s="125"/>
    </row>
    <row r="12" spans="1:9">
      <c r="A12" s="125"/>
      <c r="B12" s="125"/>
      <c r="C12" s="125"/>
      <c r="D12" s="125"/>
      <c r="E12" s="229"/>
      <c r="F12" s="125"/>
      <c r="G12" s="125"/>
      <c r="H12" s="4" t="str">
        <f>TEXT(FinExN,"jj/mm/aaaa")</f>
        <v>30/06/2017</v>
      </c>
      <c r="I12" t="str">
        <f>TEXT(FinExN1,"jj/mm/aaaa")</f>
        <v>30/06/2016</v>
      </c>
    </row>
    <row r="13" spans="1:9" ht="15">
      <c r="A13" s="125"/>
      <c r="B13" s="125"/>
      <c r="C13" s="330" t="s">
        <v>144</v>
      </c>
      <c r="D13" s="125"/>
      <c r="E13" s="342"/>
      <c r="F13" s="343"/>
      <c r="G13" s="125"/>
    </row>
    <row r="14" spans="1:9">
      <c r="A14" s="125"/>
      <c r="B14" s="125"/>
      <c r="C14" s="125"/>
      <c r="D14" s="125"/>
      <c r="E14" s="206"/>
      <c r="F14" s="344"/>
      <c r="G14" s="125"/>
    </row>
    <row r="15" spans="1:9" ht="15">
      <c r="A15" s="125"/>
      <c r="B15" s="237" t="s">
        <v>452</v>
      </c>
      <c r="D15" s="125"/>
      <c r="E15" s="206"/>
      <c r="F15" s="345"/>
      <c r="G15" s="125"/>
    </row>
    <row r="16" spans="1:9">
      <c r="A16" s="125"/>
      <c r="B16" s="125"/>
      <c r="C16" s="125"/>
      <c r="D16" s="125"/>
      <c r="E16" s="206"/>
      <c r="F16" s="344"/>
      <c r="G16" s="125"/>
    </row>
    <row r="17" spans="1:7">
      <c r="A17" s="125"/>
      <c r="B17" s="125"/>
      <c r="C17" s="333" t="s">
        <v>32</v>
      </c>
      <c r="D17" s="125"/>
      <c r="E17" s="346" t="str">
        <f>D_37184&amp;""&amp;"%"</f>
        <v>-35,58%</v>
      </c>
      <c r="F17" s="347" t="str">
        <f>D_37184_1&amp;""&amp;"%"</f>
        <v>13,85%</v>
      </c>
      <c r="G17" s="125"/>
    </row>
    <row r="18" spans="1:7">
      <c r="A18" s="125"/>
      <c r="B18" s="125"/>
      <c r="C18" s="335" t="s">
        <v>33</v>
      </c>
      <c r="D18" s="125"/>
      <c r="E18" s="348"/>
      <c r="F18" s="349"/>
      <c r="G18" s="125"/>
    </row>
    <row r="19" spans="1:7">
      <c r="A19" s="125"/>
      <c r="B19" s="125"/>
      <c r="C19" s="125"/>
      <c r="D19" s="125"/>
      <c r="E19" s="350"/>
      <c r="F19" s="351"/>
      <c r="G19" s="125"/>
    </row>
    <row r="20" spans="1:7" ht="15">
      <c r="A20" s="125"/>
      <c r="B20" s="237" t="str">
        <f>IF(OR($C$60 ="06", $C$60 ="05"),"Autonomie financière *", "Autonomie financière")</f>
        <v>Autonomie financière *</v>
      </c>
      <c r="D20" s="125"/>
      <c r="E20" s="352"/>
      <c r="F20" s="353"/>
      <c r="G20" s="125"/>
    </row>
    <row r="21" spans="1:7">
      <c r="A21" s="125"/>
      <c r="B21" s="125"/>
      <c r="C21" s="125"/>
      <c r="D21" s="125"/>
      <c r="E21" s="350"/>
      <c r="F21" s="351"/>
      <c r="G21" s="125"/>
    </row>
    <row r="22" spans="1:7">
      <c r="A22" s="125"/>
      <c r="B22" s="125"/>
      <c r="C22" s="333" t="s">
        <v>34</v>
      </c>
      <c r="D22" s="125"/>
      <c r="E22" s="346" t="str">
        <f>D_37185&amp;""&amp;"%"</f>
        <v>24,55%</v>
      </c>
      <c r="F22" s="347" t="str">
        <f>D_37185_1&amp;""&amp;"%"</f>
        <v>40,01%</v>
      </c>
      <c r="G22" s="125"/>
    </row>
    <row r="23" spans="1:7">
      <c r="A23" s="125"/>
      <c r="B23" s="125"/>
      <c r="C23" s="335" t="s">
        <v>35</v>
      </c>
      <c r="D23" s="125"/>
      <c r="E23" s="350"/>
      <c r="F23" s="351"/>
      <c r="G23" s="125"/>
    </row>
    <row r="24" spans="1:7">
      <c r="A24" s="125"/>
      <c r="B24" s="125"/>
      <c r="C24" s="125"/>
      <c r="D24" s="125"/>
      <c r="E24" s="350"/>
      <c r="F24" s="351"/>
      <c r="G24" s="125"/>
    </row>
    <row r="25" spans="1:7" ht="15">
      <c r="A25" s="125"/>
      <c r="B25" s="237" t="s">
        <v>305</v>
      </c>
      <c r="D25" s="125"/>
      <c r="E25" s="350"/>
      <c r="F25" s="351"/>
      <c r="G25" s="125"/>
    </row>
    <row r="26" spans="1:7">
      <c r="A26" s="125"/>
      <c r="B26" s="125"/>
      <c r="C26" s="125"/>
      <c r="D26" s="125"/>
      <c r="E26" s="350"/>
      <c r="F26" s="351"/>
      <c r="G26" s="125"/>
    </row>
    <row r="27" spans="1:7">
      <c r="A27" s="125"/>
      <c r="B27" s="125"/>
      <c r="C27" s="333" t="s">
        <v>141</v>
      </c>
      <c r="D27" s="125"/>
      <c r="E27" s="354" t="str">
        <f>D_37186&amp;""&amp;"%"</f>
        <v>95,32%</v>
      </c>
      <c r="F27" s="347" t="str">
        <f>D_37186_1&amp;""&amp;"%"</f>
        <v>91,44%</v>
      </c>
      <c r="G27" s="125"/>
    </row>
    <row r="28" spans="1:7">
      <c r="A28" s="125"/>
      <c r="B28" s="125"/>
      <c r="C28" s="335" t="s">
        <v>142</v>
      </c>
      <c r="D28" s="125"/>
      <c r="E28" s="350"/>
      <c r="F28" s="351"/>
      <c r="G28" s="125"/>
    </row>
    <row r="29" spans="1:7">
      <c r="A29" s="125"/>
      <c r="B29" s="125"/>
      <c r="C29" s="125"/>
      <c r="D29" s="125"/>
      <c r="E29" s="350"/>
      <c r="F29" s="351"/>
      <c r="G29" s="125"/>
    </row>
    <row r="30" spans="1:7" ht="15">
      <c r="A30" s="125"/>
      <c r="B30" s="237" t="str">
        <f>IF(OR($C$60 ="06", $C$60 ="05"),"Solvabilité à court terme *", "Solvabilité à court terme")</f>
        <v>Solvabilité à court terme *</v>
      </c>
      <c r="D30" s="125"/>
      <c r="E30" s="350"/>
      <c r="F30" s="351"/>
      <c r="G30" s="125"/>
    </row>
    <row r="31" spans="1:7">
      <c r="A31" s="125"/>
      <c r="B31" s="125"/>
      <c r="C31" s="125"/>
      <c r="D31" s="125"/>
      <c r="E31" s="350"/>
      <c r="F31" s="351"/>
      <c r="G31" s="125"/>
    </row>
    <row r="32" spans="1:7">
      <c r="A32" s="125"/>
      <c r="B32" s="125"/>
      <c r="C32" s="333" t="s">
        <v>36</v>
      </c>
      <c r="D32" s="125"/>
      <c r="E32" s="346" t="str">
        <f>D_37187&amp;""&amp;"%"</f>
        <v>37,07%</v>
      </c>
      <c r="F32" s="347" t="str">
        <f>D_37187_1&amp;""&amp;"%"</f>
        <v>57,89%</v>
      </c>
      <c r="G32" s="125"/>
    </row>
    <row r="33" spans="1:7">
      <c r="A33" s="125"/>
      <c r="B33" s="125"/>
      <c r="C33" s="335" t="s">
        <v>37</v>
      </c>
      <c r="D33" s="125"/>
      <c r="E33" s="350"/>
      <c r="F33" s="351"/>
      <c r="G33" s="125"/>
    </row>
    <row r="34" spans="1:7">
      <c r="A34" s="125"/>
      <c r="B34" s="125"/>
      <c r="C34" s="125"/>
      <c r="D34" s="125"/>
      <c r="E34" s="350"/>
      <c r="F34" s="351"/>
      <c r="G34" s="125"/>
    </row>
    <row r="35" spans="1:7" ht="15">
      <c r="A35" s="125"/>
      <c r="B35" s="237" t="str">
        <f>IF(OR($C$60 ="06", $C$60 ="05"),"Ratio d'endettement *", "Ratio d'endettement ")</f>
        <v>Ratio d'endettement *</v>
      </c>
      <c r="D35" s="125"/>
      <c r="E35" s="350"/>
      <c r="F35" s="351"/>
      <c r="G35" s="125"/>
    </row>
    <row r="36" spans="1:7">
      <c r="A36" s="125"/>
      <c r="B36" s="125"/>
      <c r="C36" s="125"/>
      <c r="D36" s="125"/>
      <c r="E36" s="350"/>
      <c r="F36" s="351"/>
      <c r="G36" s="125"/>
    </row>
    <row r="37" spans="1:7">
      <c r="A37" s="125"/>
      <c r="B37" s="125"/>
      <c r="C37" s="333" t="s">
        <v>143</v>
      </c>
      <c r="D37" s="125"/>
      <c r="E37" s="346" t="str">
        <f>D_37188&amp;""&amp;"%"</f>
        <v>69,79%</v>
      </c>
      <c r="F37" s="347" t="str">
        <f>D_37188_1&amp;""&amp;"%"</f>
        <v>59,99%</v>
      </c>
      <c r="G37" s="125"/>
    </row>
    <row r="38" spans="1:7">
      <c r="A38" s="125"/>
      <c r="B38" s="125"/>
      <c r="C38" s="335" t="s">
        <v>35</v>
      </c>
      <c r="D38" s="125"/>
      <c r="E38" s="350"/>
      <c r="F38" s="351"/>
      <c r="G38" s="125"/>
    </row>
    <row r="39" spans="1:7">
      <c r="A39" s="125"/>
      <c r="B39" s="125"/>
      <c r="C39" s="125"/>
      <c r="D39" s="125"/>
      <c r="E39" s="350"/>
      <c r="F39" s="351"/>
      <c r="G39" s="125"/>
    </row>
    <row r="40" spans="1:7" ht="9.75" customHeight="1">
      <c r="A40" s="125"/>
      <c r="B40" s="237"/>
      <c r="D40" s="125"/>
      <c r="E40" s="350"/>
      <c r="F40" s="351"/>
      <c r="G40" s="125"/>
    </row>
    <row r="41" spans="1:7">
      <c r="A41" s="125"/>
      <c r="B41" s="125"/>
      <c r="C41" s="125"/>
      <c r="D41" s="125"/>
      <c r="E41" s="350"/>
      <c r="F41" s="351"/>
      <c r="G41" s="125"/>
    </row>
    <row r="42" spans="1:7" ht="15">
      <c r="A42" s="125"/>
      <c r="B42" s="125"/>
      <c r="C42" s="330" t="s">
        <v>145</v>
      </c>
      <c r="D42" s="125"/>
      <c r="E42" s="346"/>
      <c r="F42" s="347"/>
      <c r="G42" s="125"/>
    </row>
    <row r="43" spans="1:7">
      <c r="A43" s="125"/>
      <c r="B43" s="125"/>
      <c r="C43" s="335"/>
      <c r="D43" s="125"/>
      <c r="E43" s="206"/>
      <c r="F43" s="344"/>
      <c r="G43" s="125"/>
    </row>
    <row r="44" spans="1:7" ht="15">
      <c r="A44" s="125"/>
      <c r="B44" s="237" t="s">
        <v>146</v>
      </c>
      <c r="C44" s="125"/>
      <c r="D44" s="125"/>
      <c r="E44" s="477">
        <f>D_37021</f>
        <v>939</v>
      </c>
      <c r="F44" s="241">
        <f>D_37021_1</f>
        <v>1577.88</v>
      </c>
      <c r="G44" s="125"/>
    </row>
    <row r="45" spans="1:7" ht="15">
      <c r="A45" s="125"/>
      <c r="B45" s="237"/>
      <c r="C45" s="125"/>
      <c r="D45" s="125"/>
      <c r="E45" s="478"/>
      <c r="F45" s="456"/>
      <c r="G45" s="125"/>
    </row>
    <row r="46" spans="1:7" ht="15">
      <c r="A46" s="125"/>
      <c r="B46" s="237" t="s">
        <v>207</v>
      </c>
      <c r="C46" s="125"/>
      <c r="D46" s="125"/>
      <c r="E46" s="477">
        <f>D_37183</f>
        <v>1408.72</v>
      </c>
      <c r="F46" s="241">
        <f>D_37183_1</f>
        <v>1530.71</v>
      </c>
      <c r="G46" s="125"/>
    </row>
    <row r="47" spans="1:7" ht="15">
      <c r="A47" s="125"/>
      <c r="B47" s="237"/>
      <c r="C47" s="125"/>
      <c r="D47" s="125"/>
      <c r="E47" s="478"/>
      <c r="F47" s="456"/>
      <c r="G47" s="125"/>
    </row>
    <row r="48" spans="1:7" ht="15">
      <c r="A48" s="125"/>
      <c r="B48" s="237" t="s">
        <v>335</v>
      </c>
      <c r="C48" s="339"/>
      <c r="D48" s="125"/>
      <c r="E48" s="477">
        <f>D_37022</f>
        <v>289.95999999999998</v>
      </c>
      <c r="F48" s="241">
        <f>D_37022_1</f>
        <v>980.67</v>
      </c>
      <c r="G48" s="125"/>
    </row>
    <row r="49" spans="1:7" ht="15">
      <c r="A49" s="125"/>
      <c r="B49" s="237"/>
      <c r="C49" s="339"/>
      <c r="D49" s="125"/>
      <c r="E49" s="477"/>
      <c r="F49" s="241"/>
      <c r="G49" s="125"/>
    </row>
    <row r="50" spans="1:7" ht="15">
      <c r="A50" s="125"/>
      <c r="B50" s="237" t="str">
        <f>IF(OR($C$60 ="06", $C$60 ="05"),"Fonds de roulement/HA *", "Fonds de roulement / HA ")</f>
        <v>Fonds de roulement/HA *</v>
      </c>
      <c r="C50" s="339"/>
      <c r="D50" s="125"/>
      <c r="E50" s="477">
        <f>D_37182</f>
        <v>394.42</v>
      </c>
      <c r="F50" s="241">
        <f>D_37182_1</f>
        <v>525.54</v>
      </c>
      <c r="G50" s="125"/>
    </row>
    <row r="51" spans="1:7" ht="15">
      <c r="A51" s="125"/>
      <c r="B51" s="125"/>
      <c r="C51" s="339"/>
      <c r="D51" s="125"/>
      <c r="E51" s="356"/>
      <c r="F51" s="355"/>
      <c r="G51" s="125"/>
    </row>
    <row r="52" spans="1:7" ht="13.5" thickBot="1">
      <c r="A52" s="125"/>
      <c r="B52" s="125"/>
      <c r="C52" s="125"/>
      <c r="D52" s="125"/>
      <c r="E52" s="357"/>
      <c r="F52" s="358"/>
      <c r="G52" s="125"/>
    </row>
    <row r="53" spans="1:7">
      <c r="A53" s="125"/>
      <c r="B53" s="125"/>
      <c r="C53" s="42" t="str">
        <f>IF(OR($C$60 ="06", $C$60 ="05"),"*Influencé par la présence d'une créance DPU de la récolte suivante", " ")</f>
        <v>*Influencé par la présence d'une créance DPU de la récolte suivante</v>
      </c>
      <c r="D53" s="125"/>
      <c r="E53" s="125"/>
      <c r="F53" s="125"/>
      <c r="G53" s="125"/>
    </row>
    <row r="54" spans="1:7">
      <c r="A54" s="125"/>
      <c r="B54" s="125"/>
      <c r="C54" s="198"/>
      <c r="D54" s="125"/>
      <c r="E54" s="125"/>
      <c r="F54" s="125"/>
      <c r="G54" s="125"/>
    </row>
    <row r="55" spans="1:7">
      <c r="A55" s="125"/>
      <c r="B55" s="155" t="str">
        <f>TRIM(CivilAdht&amp; " " &amp; NomAdht)</f>
        <v/>
      </c>
      <c r="C55" s="155"/>
      <c r="D55" s="257"/>
      <c r="F55" s="155"/>
      <c r="G55" s="125"/>
    </row>
    <row r="56" spans="1:7">
      <c r="A56" s="125"/>
      <c r="B56" s="125"/>
      <c r="C56" s="125"/>
      <c r="D56" s="125"/>
      <c r="E56" s="125"/>
      <c r="F56" s="125"/>
      <c r="G56" s="125"/>
    </row>
    <row r="58" spans="1:7" hidden="1" outlineLevel="1">
      <c r="C58" s="42" t="str">
        <f>FinExN</f>
        <v>30/06/2017</v>
      </c>
    </row>
    <row r="59" spans="1:7" hidden="1" outlineLevel="1">
      <c r="C59" s="42" t="str">
        <f>LEFT(C58,5)</f>
        <v>30/06</v>
      </c>
    </row>
    <row r="60" spans="1:7" hidden="1" outlineLevel="1">
      <c r="C60" s="42" t="str">
        <f>RIGHT(C59,2)</f>
        <v>06</v>
      </c>
    </row>
    <row r="61" spans="1:7" hidden="1" outlineLevel="1">
      <c r="C61" s="42" t="str">
        <f>IF(OR(C60 ="06",C60="05"), "*Influencé par la présence d'une créance DPU de la récolte suivante", " ")</f>
        <v>*Influencé par la présence d'une créance DPU de la récolte suivante</v>
      </c>
    </row>
    <row r="62" spans="1:7" collapsed="1"/>
  </sheetData>
  <phoneticPr fontId="16" type="noConversion"/>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oddFooter>Page &amp;P</oddFooter>
  </headerFooter>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1"/>
  <dimension ref="A1:M65"/>
  <sheetViews>
    <sheetView showZeros="0" zoomScaleNormal="100" workbookViewId="0">
      <selection activeCell="K41" sqref="K41:K42"/>
    </sheetView>
  </sheetViews>
  <sheetFormatPr baseColWidth="10" defaultRowHeight="12.75" outlineLevelRow="1" outlineLevelCol="1"/>
  <cols>
    <col min="1" max="1" width="2.7109375" customWidth="1"/>
    <col min="2" max="2" width="3.7109375" style="42" customWidth="1"/>
    <col min="3" max="3" width="45.140625" style="42" customWidth="1"/>
    <col min="4" max="4" width="2.7109375" style="42" customWidth="1"/>
    <col min="5" max="7" width="11.7109375" style="42" customWidth="1"/>
    <col min="8" max="8" width="2.7109375" style="42" customWidth="1"/>
    <col min="9" max="12" width="11.42578125" hidden="1" customWidth="1" outlineLevel="1"/>
    <col min="13" max="13" width="11.42578125" collapsed="1"/>
  </cols>
  <sheetData>
    <row r="1" spans="1:11">
      <c r="A1" s="4"/>
      <c r="B1" s="125"/>
      <c r="C1" s="125"/>
      <c r="D1" s="125"/>
      <c r="E1" s="125"/>
      <c r="F1" s="125"/>
      <c r="G1" s="125"/>
      <c r="H1" s="125"/>
    </row>
    <row r="2" spans="1:11" ht="6.75" customHeight="1">
      <c r="A2" s="4"/>
      <c r="B2" s="125"/>
      <c r="C2" s="125"/>
      <c r="D2" s="125"/>
      <c r="E2" s="125"/>
      <c r="F2" s="125"/>
      <c r="G2" s="125"/>
      <c r="H2" s="125"/>
    </row>
    <row r="3" spans="1:11">
      <c r="A3" s="4"/>
      <c r="B3" s="125"/>
      <c r="C3" s="125"/>
      <c r="D3" s="125"/>
      <c r="E3" s="125"/>
      <c r="F3" s="125"/>
      <c r="G3" s="125"/>
      <c r="H3" s="125"/>
    </row>
    <row r="4" spans="1:11">
      <c r="A4" s="4"/>
      <c r="B4" s="125"/>
      <c r="C4" s="125"/>
      <c r="D4" s="125"/>
      <c r="E4" s="125"/>
      <c r="F4" s="125"/>
      <c r="G4" s="125"/>
      <c r="H4" s="125"/>
    </row>
    <row r="5" spans="1:11">
      <c r="A5" s="4"/>
      <c r="B5" s="125"/>
      <c r="C5" s="125"/>
      <c r="D5" s="125"/>
      <c r="E5" s="125"/>
      <c r="F5" s="125"/>
      <c r="G5" s="125"/>
      <c r="H5" s="125"/>
    </row>
    <row r="6" spans="1:11">
      <c r="A6" s="4"/>
      <c r="B6" s="125"/>
      <c r="C6" s="125"/>
      <c r="D6" s="125"/>
      <c r="E6" s="125"/>
      <c r="F6" s="125"/>
      <c r="G6" s="125"/>
      <c r="H6" s="125"/>
    </row>
    <row r="7" spans="1:11" ht="17.25" customHeight="1">
      <c r="A7" s="4"/>
      <c r="B7" s="327"/>
      <c r="C7" s="328"/>
      <c r="D7" s="327"/>
      <c r="E7" s="327"/>
      <c r="F7" s="327"/>
      <c r="G7" s="225"/>
      <c r="H7" s="125"/>
    </row>
    <row r="8" spans="1:11">
      <c r="A8" s="4"/>
      <c r="B8" s="125"/>
      <c r="C8" s="125"/>
      <c r="D8" s="125"/>
      <c r="E8" s="125"/>
      <c r="F8" s="125"/>
      <c r="G8" s="125"/>
      <c r="H8" s="125"/>
    </row>
    <row r="9" spans="1:11">
      <c r="A9" s="4"/>
      <c r="B9" s="125"/>
      <c r="C9" s="125"/>
      <c r="D9" s="125"/>
      <c r="E9" s="125"/>
      <c r="F9" s="125"/>
      <c r="G9" s="125"/>
      <c r="H9" s="125"/>
    </row>
    <row r="10" spans="1:11">
      <c r="A10" s="4"/>
      <c r="B10" s="125"/>
      <c r="C10" s="125"/>
      <c r="D10" s="125"/>
      <c r="E10" s="125"/>
      <c r="F10" s="125"/>
      <c r="G10" s="125"/>
      <c r="H10" s="125"/>
    </row>
    <row r="11" spans="1:11">
      <c r="A11" s="4"/>
      <c r="B11" s="125"/>
      <c r="C11" s="125"/>
      <c r="D11" s="125"/>
      <c r="E11" s="329"/>
      <c r="F11" s="329"/>
      <c r="G11" s="329"/>
      <c r="H11" s="125"/>
    </row>
    <row r="12" spans="1:11">
      <c r="A12" s="4"/>
      <c r="B12" s="125"/>
      <c r="C12" s="125"/>
      <c r="D12" s="125"/>
      <c r="E12" s="229"/>
      <c r="F12" s="229"/>
      <c r="G12" s="228"/>
      <c r="H12" s="125"/>
      <c r="I12" s="4" t="str">
        <f>TEXT(FinExN,"jj/mm/aaaa")</f>
        <v>30/06/2017</v>
      </c>
      <c r="J12" s="4" t="str">
        <f>TEXT(FinExN1,"jj/mm/aaaa")</f>
        <v>30/06/2016</v>
      </c>
      <c r="K12" s="4" t="str">
        <f>TEXT(FinExN2,"jj/mm/aaaa")</f>
        <v>30/06/2015</v>
      </c>
    </row>
    <row r="13" spans="1:11" ht="15">
      <c r="A13" s="4"/>
      <c r="B13" s="125"/>
      <c r="C13" s="330" t="s">
        <v>144</v>
      </c>
      <c r="D13" s="125"/>
      <c r="E13" s="342"/>
      <c r="F13" s="359"/>
      <c r="G13" s="360"/>
      <c r="H13" s="125"/>
    </row>
    <row r="14" spans="1:11" ht="9" customHeight="1">
      <c r="A14" s="4"/>
      <c r="B14" s="125"/>
      <c r="C14" s="361"/>
      <c r="D14" s="125"/>
      <c r="E14" s="206"/>
      <c r="F14" s="362"/>
      <c r="G14" s="363"/>
      <c r="H14" s="125"/>
    </row>
    <row r="15" spans="1:11" ht="6" customHeight="1">
      <c r="A15" s="4"/>
      <c r="B15" s="125"/>
      <c r="C15" s="125"/>
      <c r="D15" s="125"/>
      <c r="E15" s="206"/>
      <c r="F15" s="362"/>
      <c r="G15" s="363"/>
      <c r="H15" s="125"/>
    </row>
    <row r="16" spans="1:11" ht="15">
      <c r="A16" s="4"/>
      <c r="B16" s="237" t="s">
        <v>452</v>
      </c>
      <c r="C16" s="125"/>
      <c r="D16" s="125"/>
      <c r="E16" s="206"/>
      <c r="F16" s="364"/>
      <c r="G16" s="363"/>
      <c r="H16" s="125"/>
    </row>
    <row r="17" spans="1:8">
      <c r="A17" s="4"/>
      <c r="B17" s="125"/>
      <c r="C17" s="125"/>
      <c r="D17" s="125"/>
      <c r="E17" s="206"/>
      <c r="F17" s="362"/>
      <c r="G17" s="363"/>
      <c r="H17" s="125"/>
    </row>
    <row r="18" spans="1:8">
      <c r="A18" s="4"/>
      <c r="B18" s="125"/>
      <c r="C18" s="333" t="s">
        <v>32</v>
      </c>
      <c r="D18" s="125"/>
      <c r="E18" s="346" t="str">
        <f>D_37184&amp;" "&amp;"%"</f>
        <v>-35,58 %</v>
      </c>
      <c r="F18" s="365" t="str">
        <f>D_37184_1&amp;" "&amp;"%"</f>
        <v>13,85 %</v>
      </c>
      <c r="G18" s="366" t="str">
        <f>D_37184_2&amp;" "&amp;"%"</f>
        <v>23,56 %</v>
      </c>
      <c r="H18" s="125"/>
    </row>
    <row r="19" spans="1:8">
      <c r="A19" s="4"/>
      <c r="B19" s="125"/>
      <c r="C19" s="335" t="s">
        <v>33</v>
      </c>
      <c r="D19" s="125"/>
      <c r="E19" s="348"/>
      <c r="F19" s="367"/>
      <c r="G19" s="368"/>
      <c r="H19" s="125"/>
    </row>
    <row r="20" spans="1:8">
      <c r="A20" s="4"/>
      <c r="B20" s="125"/>
      <c r="C20" s="125"/>
      <c r="D20" s="125"/>
      <c r="E20" s="350"/>
      <c r="F20" s="369"/>
      <c r="G20" s="370"/>
      <c r="H20" s="125"/>
    </row>
    <row r="21" spans="1:8" ht="15">
      <c r="A21" s="4"/>
      <c r="B21" s="237" t="str">
        <f>IF(OR(C63 ="06",C63="05"),"Autonomie financière *", "Autonomie financière")</f>
        <v>Autonomie financière *</v>
      </c>
      <c r="C21" s="125"/>
      <c r="D21" s="125"/>
      <c r="E21" s="352"/>
      <c r="F21" s="371"/>
      <c r="G21" s="372"/>
      <c r="H21" s="125"/>
    </row>
    <row r="22" spans="1:8">
      <c r="A22" s="4"/>
      <c r="B22" s="125"/>
      <c r="C22" s="125"/>
      <c r="D22" s="125"/>
      <c r="E22" s="350"/>
      <c r="F22" s="369"/>
      <c r="G22" s="370"/>
      <c r="H22" s="125"/>
    </row>
    <row r="23" spans="1:8">
      <c r="A23" s="4"/>
      <c r="B23" s="125"/>
      <c r="C23" s="333" t="s">
        <v>34</v>
      </c>
      <c r="D23" s="125"/>
      <c r="E23" s="346" t="str">
        <f>D_37185&amp;" "&amp;"%"</f>
        <v>24,55 %</v>
      </c>
      <c r="F23" s="365" t="str">
        <f>D_37185_1&amp;" "&amp;"%"</f>
        <v>40,01 %</v>
      </c>
      <c r="G23" s="366" t="str">
        <f>D_37185_2&amp;" "&amp;"%"</f>
        <v>33,46 %</v>
      </c>
      <c r="H23" s="125"/>
    </row>
    <row r="24" spans="1:8">
      <c r="A24" s="4"/>
      <c r="B24" s="125"/>
      <c r="C24" s="335" t="s">
        <v>35</v>
      </c>
      <c r="D24" s="125"/>
      <c r="E24" s="350"/>
      <c r="F24" s="369"/>
      <c r="G24" s="370"/>
      <c r="H24" s="125"/>
    </row>
    <row r="25" spans="1:8">
      <c r="A25" s="4"/>
      <c r="B25" s="125"/>
      <c r="C25" s="125"/>
      <c r="D25" s="125"/>
      <c r="E25" s="350"/>
      <c r="F25" s="369"/>
      <c r="G25" s="370"/>
      <c r="H25" s="125"/>
    </row>
    <row r="26" spans="1:8" ht="15">
      <c r="A26" s="4"/>
      <c r="B26" s="237" t="s">
        <v>305</v>
      </c>
      <c r="C26" s="125"/>
      <c r="D26" s="125"/>
      <c r="E26" s="350"/>
      <c r="F26" s="369"/>
      <c r="G26" s="370"/>
      <c r="H26" s="125"/>
    </row>
    <row r="27" spans="1:8">
      <c r="A27" s="4"/>
      <c r="B27" s="125"/>
      <c r="C27" s="125"/>
      <c r="D27" s="125"/>
      <c r="E27" s="350"/>
      <c r="F27" s="369"/>
      <c r="G27" s="370"/>
      <c r="H27" s="125"/>
    </row>
    <row r="28" spans="1:8">
      <c r="A28" s="4"/>
      <c r="B28" s="125"/>
      <c r="C28" s="333" t="s">
        <v>141</v>
      </c>
      <c r="D28" s="125"/>
      <c r="E28" s="373" t="str">
        <f>D_37186&amp;" "&amp;"%"</f>
        <v>95,32 %</v>
      </c>
      <c r="F28" s="365" t="str">
        <f>D_37186_1&amp;" "&amp;"%"</f>
        <v>91,44 %</v>
      </c>
      <c r="G28" s="366" t="str">
        <f>D_37186_2&amp;" "&amp;"%"</f>
        <v>86,55 %</v>
      </c>
      <c r="H28" s="125"/>
    </row>
    <row r="29" spans="1:8">
      <c r="A29" s="4"/>
      <c r="B29" s="125"/>
      <c r="C29" s="335" t="s">
        <v>142</v>
      </c>
      <c r="D29" s="125"/>
      <c r="E29" s="350"/>
      <c r="F29" s="369"/>
      <c r="G29" s="370"/>
      <c r="H29" s="125"/>
    </row>
    <row r="30" spans="1:8">
      <c r="A30" s="4"/>
      <c r="B30" s="125"/>
      <c r="C30" s="125"/>
      <c r="D30" s="125"/>
      <c r="E30" s="350"/>
      <c r="F30" s="369"/>
      <c r="G30" s="370"/>
      <c r="H30" s="125"/>
    </row>
    <row r="31" spans="1:8" ht="15">
      <c r="A31" s="4"/>
      <c r="B31" s="237" t="str">
        <f>IF(OR(C63 ="06",C63="05"),"Solvabilité à court terme *", "Solvabilité à court terme")</f>
        <v>Solvabilité à court terme *</v>
      </c>
      <c r="C31" s="125"/>
      <c r="D31" s="125"/>
      <c r="E31" s="350"/>
      <c r="F31" s="369"/>
      <c r="G31" s="370"/>
      <c r="H31" s="125"/>
    </row>
    <row r="32" spans="1:8">
      <c r="A32" s="4"/>
      <c r="B32" s="125"/>
      <c r="C32" s="125"/>
      <c r="D32" s="125"/>
      <c r="E32" s="350"/>
      <c r="F32" s="369"/>
      <c r="G32" s="374"/>
      <c r="H32" s="125"/>
    </row>
    <row r="33" spans="1:8">
      <c r="A33" s="4"/>
      <c r="B33" s="125"/>
      <c r="C33" s="333" t="s">
        <v>36</v>
      </c>
      <c r="D33" s="125"/>
      <c r="E33" s="375" t="str">
        <f>D_37187&amp;" "&amp;"%"</f>
        <v>37,07 %</v>
      </c>
      <c r="F33" s="365" t="str">
        <f>D_37187_1&amp;" "&amp;"%"</f>
        <v>57,89 %</v>
      </c>
      <c r="G33" s="366" t="str">
        <f>D_37187_2&amp;" "&amp;"%"</f>
        <v>28,77 %</v>
      </c>
      <c r="H33" s="125"/>
    </row>
    <row r="34" spans="1:8">
      <c r="A34" s="4"/>
      <c r="B34" s="125"/>
      <c r="C34" s="335" t="s">
        <v>37</v>
      </c>
      <c r="D34" s="125"/>
      <c r="E34" s="350"/>
      <c r="F34" s="369"/>
      <c r="G34" s="370"/>
      <c r="H34" s="125"/>
    </row>
    <row r="35" spans="1:8">
      <c r="A35" s="4"/>
      <c r="B35" s="125"/>
      <c r="C35" s="125"/>
      <c r="D35" s="125"/>
      <c r="E35" s="350"/>
      <c r="F35" s="369"/>
      <c r="G35" s="370"/>
      <c r="H35" s="125"/>
    </row>
    <row r="36" spans="1:8" ht="15">
      <c r="A36" s="4"/>
      <c r="B36" s="237" t="str">
        <f>IF(OR(C63 ="06",C63="05"),"Ratio d'endettement *", "Ratio d'endettement ")</f>
        <v>Ratio d'endettement *</v>
      </c>
      <c r="C36" s="125"/>
      <c r="D36" s="125"/>
      <c r="E36" s="350"/>
      <c r="F36" s="369"/>
      <c r="G36" s="370"/>
      <c r="H36" s="125"/>
    </row>
    <row r="37" spans="1:8">
      <c r="A37" s="4"/>
      <c r="B37" s="125"/>
      <c r="C37" s="125"/>
      <c r="D37" s="125"/>
      <c r="E37" s="350"/>
      <c r="F37" s="369"/>
      <c r="G37" s="370"/>
      <c r="H37" s="125"/>
    </row>
    <row r="38" spans="1:8">
      <c r="A38" s="4"/>
      <c r="B38" s="125"/>
      <c r="C38" s="333" t="s">
        <v>143</v>
      </c>
      <c r="D38" s="125"/>
      <c r="E38" s="375" t="str">
        <f>D_37188&amp;" "&amp;"%"</f>
        <v>69,79 %</v>
      </c>
      <c r="F38" s="365" t="str">
        <f>D_37188_1&amp;" "&amp;"%"</f>
        <v>59,99 %</v>
      </c>
      <c r="G38" s="366" t="str">
        <f>D_37188_2&amp;" "&amp;"%"</f>
        <v>66,54 %</v>
      </c>
      <c r="H38" s="125"/>
    </row>
    <row r="39" spans="1:8">
      <c r="A39" s="4"/>
      <c r="B39" s="125"/>
      <c r="C39" s="335" t="s">
        <v>35</v>
      </c>
      <c r="D39" s="125"/>
      <c r="E39" s="350"/>
      <c r="F39" s="369"/>
      <c r="G39" s="370"/>
      <c r="H39" s="125"/>
    </row>
    <row r="40" spans="1:8">
      <c r="A40" s="4"/>
      <c r="B40" s="125"/>
      <c r="C40" s="335"/>
      <c r="D40" s="125"/>
      <c r="E40" s="350"/>
      <c r="F40" s="369"/>
      <c r="G40" s="370"/>
      <c r="H40" s="125"/>
    </row>
    <row r="41" spans="1:8">
      <c r="A41" s="4"/>
      <c r="B41" s="125"/>
      <c r="C41" s="335"/>
      <c r="D41" s="125"/>
      <c r="E41" s="350"/>
      <c r="F41" s="369"/>
      <c r="G41" s="370"/>
      <c r="H41" s="125"/>
    </row>
    <row r="42" spans="1:8" ht="6.75" customHeight="1">
      <c r="A42" s="4"/>
      <c r="B42" s="125"/>
      <c r="C42" s="125"/>
      <c r="D42" s="125"/>
      <c r="E42" s="350"/>
      <c r="F42" s="369"/>
      <c r="G42" s="370"/>
      <c r="H42" s="125"/>
    </row>
    <row r="43" spans="1:8" ht="9.75" customHeight="1">
      <c r="A43" s="4"/>
      <c r="B43" s="237"/>
      <c r="C43" s="125"/>
      <c r="D43" s="125"/>
      <c r="E43" s="350"/>
      <c r="F43" s="369"/>
      <c r="G43" s="370"/>
      <c r="H43" s="125"/>
    </row>
    <row r="44" spans="1:8" ht="15">
      <c r="A44" s="4"/>
      <c r="B44" s="125"/>
      <c r="C44" s="330" t="s">
        <v>145</v>
      </c>
      <c r="D44" s="125"/>
      <c r="E44" s="350"/>
      <c r="F44" s="369"/>
      <c r="G44" s="370"/>
      <c r="H44" s="125"/>
    </row>
    <row r="45" spans="1:8" ht="15">
      <c r="A45" s="4"/>
      <c r="B45" s="125"/>
      <c r="C45" s="361"/>
      <c r="D45" s="125"/>
      <c r="E45" s="350"/>
      <c r="F45" s="369"/>
      <c r="G45" s="370"/>
      <c r="H45" s="125"/>
    </row>
    <row r="46" spans="1:8" ht="15">
      <c r="A46" s="4"/>
      <c r="B46" s="237" t="s">
        <v>146</v>
      </c>
      <c r="C46" s="125"/>
      <c r="D46" s="125"/>
      <c r="E46" s="375">
        <f>D_37021</f>
        <v>939</v>
      </c>
      <c r="F46" s="376">
        <f>D_37021_1</f>
        <v>1577.88</v>
      </c>
      <c r="G46" s="240">
        <f>D_37021_2</f>
        <v>1834.03</v>
      </c>
      <c r="H46" s="125"/>
    </row>
    <row r="47" spans="1:8" ht="15">
      <c r="A47" s="4"/>
      <c r="B47" s="237"/>
      <c r="C47" s="125"/>
      <c r="D47" s="125"/>
      <c r="E47" s="377"/>
      <c r="F47" s="376"/>
      <c r="G47" s="240"/>
      <c r="H47" s="125"/>
    </row>
    <row r="48" spans="1:8" ht="15">
      <c r="A48" s="4"/>
      <c r="B48" s="237" t="s">
        <v>207</v>
      </c>
      <c r="C48" s="125"/>
      <c r="D48" s="125"/>
      <c r="E48" s="375">
        <f>D_37183</f>
        <v>1408.72</v>
      </c>
      <c r="F48" s="376">
        <f>D_37183_1</f>
        <v>1530.71</v>
      </c>
      <c r="G48" s="240">
        <f>D_37183_2</f>
        <v>1694.72</v>
      </c>
      <c r="H48" s="125"/>
    </row>
    <row r="49" spans="1:8" ht="15">
      <c r="A49" s="4"/>
      <c r="B49" s="237"/>
      <c r="C49" s="125"/>
      <c r="D49" s="125"/>
      <c r="E49" s="377"/>
      <c r="F49" s="376"/>
      <c r="G49" s="240"/>
      <c r="H49" s="125"/>
    </row>
    <row r="50" spans="1:8" ht="15">
      <c r="A50" s="4"/>
      <c r="B50" s="237" t="s">
        <v>336</v>
      </c>
      <c r="C50" s="339"/>
      <c r="D50" s="125"/>
      <c r="E50" s="375">
        <f>D_37022</f>
        <v>289.95999999999998</v>
      </c>
      <c r="F50" s="376">
        <f>D_37022_1</f>
        <v>980.67</v>
      </c>
      <c r="G50" s="240">
        <f>D_37022_2</f>
        <v>1175.5899999999999</v>
      </c>
      <c r="H50" s="125"/>
    </row>
    <row r="51" spans="1:8" ht="15">
      <c r="A51" s="4"/>
      <c r="B51" s="237"/>
      <c r="C51" s="339"/>
      <c r="D51" s="125"/>
      <c r="E51" s="356"/>
      <c r="F51" s="378"/>
      <c r="G51" s="379"/>
      <c r="H51" s="125"/>
    </row>
    <row r="52" spans="1:8" ht="15">
      <c r="A52" s="4"/>
      <c r="B52" s="237" t="str">
        <f>IF(OR(C63 ="06",C63="05"),"Fonds de roulement/HA *", "Fonds de roulement / HA ")</f>
        <v>Fonds de roulement/HA *</v>
      </c>
      <c r="C52" s="339"/>
      <c r="D52" s="125"/>
      <c r="E52" s="375">
        <f>D_37182</f>
        <v>394.42</v>
      </c>
      <c r="F52" s="365">
        <f>D_37182_1</f>
        <v>525.54</v>
      </c>
      <c r="G52" s="366">
        <f>D_37182_2</f>
        <v>3.44</v>
      </c>
      <c r="H52" s="125"/>
    </row>
    <row r="53" spans="1:8" ht="15">
      <c r="A53" s="4"/>
      <c r="B53" s="125"/>
      <c r="C53" s="339"/>
      <c r="D53" s="125"/>
      <c r="E53" s="356"/>
      <c r="F53" s="378"/>
      <c r="G53" s="379"/>
      <c r="H53" s="125"/>
    </row>
    <row r="54" spans="1:8" ht="13.5" thickBot="1">
      <c r="A54" s="4"/>
      <c r="B54" s="125"/>
      <c r="C54" s="125"/>
      <c r="D54" s="125"/>
      <c r="E54" s="380"/>
      <c r="F54" s="381"/>
      <c r="G54" s="382"/>
      <c r="H54" s="125"/>
    </row>
    <row r="55" spans="1:8">
      <c r="A55" s="4"/>
      <c r="B55" s="125"/>
      <c r="C55" s="198"/>
      <c r="D55" s="125"/>
      <c r="E55" s="125"/>
      <c r="F55" s="125"/>
      <c r="G55" s="125"/>
      <c r="H55" s="125"/>
    </row>
    <row r="56" spans="1:8">
      <c r="A56" s="4"/>
      <c r="B56" s="125"/>
      <c r="C56" s="42" t="str">
        <f>IF(OR(C63="06",C63="05"), "*Influencé par la présence d'une créance DPU de la récolte suivante", " ")</f>
        <v>*Influencé par la présence d'une créance DPU de la récolte suivante</v>
      </c>
      <c r="D56" s="125"/>
      <c r="E56" s="125"/>
      <c r="F56" s="125"/>
      <c r="G56" s="125"/>
      <c r="H56" s="125"/>
    </row>
    <row r="57" spans="1:8">
      <c r="A57" s="4"/>
      <c r="B57" s="200" t="str">
        <f>TRIM(CivilAdht&amp; " " &amp; NomAdht)</f>
        <v/>
      </c>
      <c r="C57" s="383"/>
      <c r="D57" s="384"/>
      <c r="E57" s="199"/>
      <c r="F57" s="199"/>
      <c r="G57" s="384"/>
      <c r="H57" s="125"/>
    </row>
    <row r="58" spans="1:8">
      <c r="A58" s="4"/>
      <c r="B58" s="125"/>
      <c r="C58" s="125"/>
      <c r="D58" s="125"/>
      <c r="E58" s="125"/>
      <c r="F58" s="125"/>
      <c r="G58" s="125"/>
      <c r="H58" s="125"/>
    </row>
    <row r="60" spans="1:8" hidden="1" outlineLevel="1"/>
    <row r="61" spans="1:8" hidden="1" outlineLevel="1">
      <c r="C61" s="42" t="str">
        <f>FinExN</f>
        <v>30/06/2017</v>
      </c>
    </row>
    <row r="62" spans="1:8" hidden="1" outlineLevel="1">
      <c r="C62" s="42" t="str">
        <f>LEFT(C61,5)</f>
        <v>30/06</v>
      </c>
    </row>
    <row r="63" spans="1:8" hidden="1" outlineLevel="1">
      <c r="C63" s="42" t="str">
        <f>RIGHT(C62,2)</f>
        <v>06</v>
      </c>
    </row>
    <row r="64" spans="1:8" hidden="1" outlineLevel="1">
      <c r="C64" s="42" t="str">
        <f>IF(OR(C63 ="06",C63="05"),"*Influencé par la présence d'une créance DPU de la récolte suivante", " ")</f>
        <v>*Influencé par la présence d'une créance DPU de la récolte suivante</v>
      </c>
    </row>
    <row r="65" collapsed="1"/>
  </sheetData>
  <phoneticPr fontId="16" type="noConversion"/>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oddFooter>Page &amp;P</oddFooter>
  </headerFooter>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7"/>
  <dimension ref="A1:AO103"/>
  <sheetViews>
    <sheetView topLeftCell="K1" zoomScale="85" zoomScaleNormal="85" workbookViewId="0">
      <selection activeCell="K41" sqref="K41:K42"/>
    </sheetView>
  </sheetViews>
  <sheetFormatPr baseColWidth="10" defaultRowHeight="12.75" outlineLevelCol="1"/>
  <cols>
    <col min="1" max="1" width="7.5703125" customWidth="1"/>
    <col min="3" max="3" width="4.7109375" customWidth="1"/>
    <col min="4" max="4" width="0.7109375" customWidth="1"/>
    <col min="5" max="5" width="11.5703125" customWidth="1"/>
    <col min="6" max="6" width="1.42578125" customWidth="1"/>
    <col min="7" max="7" width="9.85546875" customWidth="1"/>
    <col min="8" max="8" width="2.28515625" customWidth="1"/>
    <col min="9" max="9" width="10" customWidth="1"/>
    <col min="10" max="10" width="2" customWidth="1"/>
    <col min="11" max="11" width="10.5703125" customWidth="1"/>
    <col min="12" max="12" width="6" customWidth="1"/>
    <col min="13" max="13" width="8.5703125" customWidth="1"/>
    <col min="14" max="14" width="0.7109375" customWidth="1"/>
    <col min="15" max="15" width="9" customWidth="1"/>
    <col min="16" max="16" width="10.140625" customWidth="1" outlineLevel="1"/>
    <col min="17" max="17" width="27.85546875" customWidth="1" outlineLevel="1"/>
    <col min="18" max="18" width="11.42578125" customWidth="1" outlineLevel="1"/>
    <col min="19" max="19" width="13" customWidth="1" outlineLevel="1"/>
    <col min="20" max="24" width="11.42578125" customWidth="1" outlineLevel="1"/>
    <col min="25" max="25" width="15.42578125" customWidth="1" outlineLevel="1"/>
    <col min="26" max="26" width="12.7109375" customWidth="1" outlineLevel="1"/>
    <col min="27" max="30" width="11.42578125" customWidth="1" outlineLevel="1"/>
    <col min="31" max="31" width="31.140625" customWidth="1" outlineLevel="1"/>
    <col min="32" max="41" width="11.42578125" customWidth="1" outlineLevel="1"/>
    <col min="257" max="257" width="7.5703125" customWidth="1"/>
    <col min="259" max="259" width="4.7109375" customWidth="1"/>
    <col min="260" max="260" width="0.7109375" customWidth="1"/>
    <col min="261" max="261" width="11.5703125" customWidth="1"/>
    <col min="262" max="262" width="1.42578125" customWidth="1"/>
    <col min="263" max="263" width="9.85546875" customWidth="1"/>
    <col min="264" max="264" width="2.28515625" customWidth="1"/>
    <col min="265" max="265" width="10" customWidth="1"/>
    <col min="266" max="266" width="2" customWidth="1"/>
    <col min="267" max="267" width="10.5703125" customWidth="1"/>
    <col min="268" max="268" width="9.42578125" customWidth="1"/>
    <col min="269" max="269" width="8.5703125" customWidth="1"/>
    <col min="270" max="270" width="0.7109375" customWidth="1"/>
    <col min="271" max="271" width="9.85546875" customWidth="1"/>
    <col min="272" max="272" width="10.140625" customWidth="1"/>
    <col min="273" max="273" width="27.85546875" customWidth="1"/>
    <col min="275" max="275" width="13" customWidth="1"/>
    <col min="281" max="281" width="15.42578125" customWidth="1"/>
    <col min="282" max="282" width="12.7109375" bestFit="1" customWidth="1"/>
    <col min="513" max="513" width="7.5703125" customWidth="1"/>
    <col min="515" max="515" width="4.7109375" customWidth="1"/>
    <col min="516" max="516" width="0.7109375" customWidth="1"/>
    <col min="517" max="517" width="11.5703125" customWidth="1"/>
    <col min="518" max="518" width="1.42578125" customWidth="1"/>
    <col min="519" max="519" width="9.85546875" customWidth="1"/>
    <col min="520" max="520" width="2.28515625" customWidth="1"/>
    <col min="521" max="521" width="10" customWidth="1"/>
    <col min="522" max="522" width="2" customWidth="1"/>
    <col min="523" max="523" width="10.5703125" customWidth="1"/>
    <col min="524" max="524" width="9.42578125" customWidth="1"/>
    <col min="525" max="525" width="8.5703125" customWidth="1"/>
    <col min="526" max="526" width="0.7109375" customWidth="1"/>
    <col min="527" max="527" width="9.85546875" customWidth="1"/>
    <col min="528" max="528" width="10.140625" customWidth="1"/>
    <col min="529" max="529" width="27.85546875" customWidth="1"/>
    <col min="531" max="531" width="13" customWidth="1"/>
    <col min="537" max="537" width="15.42578125" customWidth="1"/>
    <col min="538" max="538" width="12.7109375" bestFit="1" customWidth="1"/>
    <col min="769" max="769" width="7.5703125" customWidth="1"/>
    <col min="771" max="771" width="4.7109375" customWidth="1"/>
    <col min="772" max="772" width="0.7109375" customWidth="1"/>
    <col min="773" max="773" width="11.5703125" customWidth="1"/>
    <col min="774" max="774" width="1.42578125" customWidth="1"/>
    <col min="775" max="775" width="9.85546875" customWidth="1"/>
    <col min="776" max="776" width="2.28515625" customWidth="1"/>
    <col min="777" max="777" width="10" customWidth="1"/>
    <col min="778" max="778" width="2" customWidth="1"/>
    <col min="779" max="779" width="10.5703125" customWidth="1"/>
    <col min="780" max="780" width="9.42578125" customWidth="1"/>
    <col min="781" max="781" width="8.5703125" customWidth="1"/>
    <col min="782" max="782" width="0.7109375" customWidth="1"/>
    <col min="783" max="783" width="9.85546875" customWidth="1"/>
    <col min="784" max="784" width="10.140625" customWidth="1"/>
    <col min="785" max="785" width="27.85546875" customWidth="1"/>
    <col min="787" max="787" width="13" customWidth="1"/>
    <col min="793" max="793" width="15.42578125" customWidth="1"/>
    <col min="794" max="794" width="12.7109375" bestFit="1" customWidth="1"/>
    <col min="1025" max="1025" width="7.5703125" customWidth="1"/>
    <col min="1027" max="1027" width="4.7109375" customWidth="1"/>
    <col min="1028" max="1028" width="0.7109375" customWidth="1"/>
    <col min="1029" max="1029" width="11.5703125" customWidth="1"/>
    <col min="1030" max="1030" width="1.42578125" customWidth="1"/>
    <col min="1031" max="1031" width="9.85546875" customWidth="1"/>
    <col min="1032" max="1032" width="2.28515625" customWidth="1"/>
    <col min="1033" max="1033" width="10" customWidth="1"/>
    <col min="1034" max="1034" width="2" customWidth="1"/>
    <col min="1035" max="1035" width="10.5703125" customWidth="1"/>
    <col min="1036" max="1036" width="9.42578125" customWidth="1"/>
    <col min="1037" max="1037" width="8.5703125" customWidth="1"/>
    <col min="1038" max="1038" width="0.7109375" customWidth="1"/>
    <col min="1039" max="1039" width="9.85546875" customWidth="1"/>
    <col min="1040" max="1040" width="10.140625" customWidth="1"/>
    <col min="1041" max="1041" width="27.85546875" customWidth="1"/>
    <col min="1043" max="1043" width="13" customWidth="1"/>
    <col min="1049" max="1049" width="15.42578125" customWidth="1"/>
    <col min="1050" max="1050" width="12.7109375" bestFit="1" customWidth="1"/>
    <col min="1281" max="1281" width="7.5703125" customWidth="1"/>
    <col min="1283" max="1283" width="4.7109375" customWidth="1"/>
    <col min="1284" max="1284" width="0.7109375" customWidth="1"/>
    <col min="1285" max="1285" width="11.5703125" customWidth="1"/>
    <col min="1286" max="1286" width="1.42578125" customWidth="1"/>
    <col min="1287" max="1287" width="9.85546875" customWidth="1"/>
    <col min="1288" max="1288" width="2.28515625" customWidth="1"/>
    <col min="1289" max="1289" width="10" customWidth="1"/>
    <col min="1290" max="1290" width="2" customWidth="1"/>
    <col min="1291" max="1291" width="10.5703125" customWidth="1"/>
    <col min="1292" max="1292" width="9.42578125" customWidth="1"/>
    <col min="1293" max="1293" width="8.5703125" customWidth="1"/>
    <col min="1294" max="1294" width="0.7109375" customWidth="1"/>
    <col min="1295" max="1295" width="9.85546875" customWidth="1"/>
    <col min="1296" max="1296" width="10.140625" customWidth="1"/>
    <col min="1297" max="1297" width="27.85546875" customWidth="1"/>
    <col min="1299" max="1299" width="13" customWidth="1"/>
    <col min="1305" max="1305" width="15.42578125" customWidth="1"/>
    <col min="1306" max="1306" width="12.7109375" bestFit="1" customWidth="1"/>
    <col min="1537" max="1537" width="7.5703125" customWidth="1"/>
    <col min="1539" max="1539" width="4.7109375" customWidth="1"/>
    <col min="1540" max="1540" width="0.7109375" customWidth="1"/>
    <col min="1541" max="1541" width="11.5703125" customWidth="1"/>
    <col min="1542" max="1542" width="1.42578125" customWidth="1"/>
    <col min="1543" max="1543" width="9.85546875" customWidth="1"/>
    <col min="1544" max="1544" width="2.28515625" customWidth="1"/>
    <col min="1545" max="1545" width="10" customWidth="1"/>
    <col min="1546" max="1546" width="2" customWidth="1"/>
    <col min="1547" max="1547" width="10.5703125" customWidth="1"/>
    <col min="1548" max="1548" width="9.42578125" customWidth="1"/>
    <col min="1549" max="1549" width="8.5703125" customWidth="1"/>
    <col min="1550" max="1550" width="0.7109375" customWidth="1"/>
    <col min="1551" max="1551" width="9.85546875" customWidth="1"/>
    <col min="1552" max="1552" width="10.140625" customWidth="1"/>
    <col min="1553" max="1553" width="27.85546875" customWidth="1"/>
    <col min="1555" max="1555" width="13" customWidth="1"/>
    <col min="1561" max="1561" width="15.42578125" customWidth="1"/>
    <col min="1562" max="1562" width="12.7109375" bestFit="1" customWidth="1"/>
    <col min="1793" max="1793" width="7.5703125" customWidth="1"/>
    <col min="1795" max="1795" width="4.7109375" customWidth="1"/>
    <col min="1796" max="1796" width="0.7109375" customWidth="1"/>
    <col min="1797" max="1797" width="11.5703125" customWidth="1"/>
    <col min="1798" max="1798" width="1.42578125" customWidth="1"/>
    <col min="1799" max="1799" width="9.85546875" customWidth="1"/>
    <col min="1800" max="1800" width="2.28515625" customWidth="1"/>
    <col min="1801" max="1801" width="10" customWidth="1"/>
    <col min="1802" max="1802" width="2" customWidth="1"/>
    <col min="1803" max="1803" width="10.5703125" customWidth="1"/>
    <col min="1804" max="1804" width="9.42578125" customWidth="1"/>
    <col min="1805" max="1805" width="8.5703125" customWidth="1"/>
    <col min="1806" max="1806" width="0.7109375" customWidth="1"/>
    <col min="1807" max="1807" width="9.85546875" customWidth="1"/>
    <col min="1808" max="1808" width="10.140625" customWidth="1"/>
    <col min="1809" max="1809" width="27.85546875" customWidth="1"/>
    <col min="1811" max="1811" width="13" customWidth="1"/>
    <col min="1817" max="1817" width="15.42578125" customWidth="1"/>
    <col min="1818" max="1818" width="12.7109375" bestFit="1" customWidth="1"/>
    <col min="2049" max="2049" width="7.5703125" customWidth="1"/>
    <col min="2051" max="2051" width="4.7109375" customWidth="1"/>
    <col min="2052" max="2052" width="0.7109375" customWidth="1"/>
    <col min="2053" max="2053" width="11.5703125" customWidth="1"/>
    <col min="2054" max="2054" width="1.42578125" customWidth="1"/>
    <col min="2055" max="2055" width="9.85546875" customWidth="1"/>
    <col min="2056" max="2056" width="2.28515625" customWidth="1"/>
    <col min="2057" max="2057" width="10" customWidth="1"/>
    <col min="2058" max="2058" width="2" customWidth="1"/>
    <col min="2059" max="2059" width="10.5703125" customWidth="1"/>
    <col min="2060" max="2060" width="9.42578125" customWidth="1"/>
    <col min="2061" max="2061" width="8.5703125" customWidth="1"/>
    <col min="2062" max="2062" width="0.7109375" customWidth="1"/>
    <col min="2063" max="2063" width="9.85546875" customWidth="1"/>
    <col min="2064" max="2064" width="10.140625" customWidth="1"/>
    <col min="2065" max="2065" width="27.85546875" customWidth="1"/>
    <col min="2067" max="2067" width="13" customWidth="1"/>
    <col min="2073" max="2073" width="15.42578125" customWidth="1"/>
    <col min="2074" max="2074" width="12.7109375" bestFit="1" customWidth="1"/>
    <col min="2305" max="2305" width="7.5703125" customWidth="1"/>
    <col min="2307" max="2307" width="4.7109375" customWidth="1"/>
    <col min="2308" max="2308" width="0.7109375" customWidth="1"/>
    <col min="2309" max="2309" width="11.5703125" customWidth="1"/>
    <col min="2310" max="2310" width="1.42578125" customWidth="1"/>
    <col min="2311" max="2311" width="9.85546875" customWidth="1"/>
    <col min="2312" max="2312" width="2.28515625" customWidth="1"/>
    <col min="2313" max="2313" width="10" customWidth="1"/>
    <col min="2314" max="2314" width="2" customWidth="1"/>
    <col min="2315" max="2315" width="10.5703125" customWidth="1"/>
    <col min="2316" max="2316" width="9.42578125" customWidth="1"/>
    <col min="2317" max="2317" width="8.5703125" customWidth="1"/>
    <col min="2318" max="2318" width="0.7109375" customWidth="1"/>
    <col min="2319" max="2319" width="9.85546875" customWidth="1"/>
    <col min="2320" max="2320" width="10.140625" customWidth="1"/>
    <col min="2321" max="2321" width="27.85546875" customWidth="1"/>
    <col min="2323" max="2323" width="13" customWidth="1"/>
    <col min="2329" max="2329" width="15.42578125" customWidth="1"/>
    <col min="2330" max="2330" width="12.7109375" bestFit="1" customWidth="1"/>
    <col min="2561" max="2561" width="7.5703125" customWidth="1"/>
    <col min="2563" max="2563" width="4.7109375" customWidth="1"/>
    <col min="2564" max="2564" width="0.7109375" customWidth="1"/>
    <col min="2565" max="2565" width="11.5703125" customWidth="1"/>
    <col min="2566" max="2566" width="1.42578125" customWidth="1"/>
    <col min="2567" max="2567" width="9.85546875" customWidth="1"/>
    <col min="2568" max="2568" width="2.28515625" customWidth="1"/>
    <col min="2569" max="2569" width="10" customWidth="1"/>
    <col min="2570" max="2570" width="2" customWidth="1"/>
    <col min="2571" max="2571" width="10.5703125" customWidth="1"/>
    <col min="2572" max="2572" width="9.42578125" customWidth="1"/>
    <col min="2573" max="2573" width="8.5703125" customWidth="1"/>
    <col min="2574" max="2574" width="0.7109375" customWidth="1"/>
    <col min="2575" max="2575" width="9.85546875" customWidth="1"/>
    <col min="2576" max="2576" width="10.140625" customWidth="1"/>
    <col min="2577" max="2577" width="27.85546875" customWidth="1"/>
    <col min="2579" max="2579" width="13" customWidth="1"/>
    <col min="2585" max="2585" width="15.42578125" customWidth="1"/>
    <col min="2586" max="2586" width="12.7109375" bestFit="1" customWidth="1"/>
    <col min="2817" max="2817" width="7.5703125" customWidth="1"/>
    <col min="2819" max="2819" width="4.7109375" customWidth="1"/>
    <col min="2820" max="2820" width="0.7109375" customWidth="1"/>
    <col min="2821" max="2821" width="11.5703125" customWidth="1"/>
    <col min="2822" max="2822" width="1.42578125" customWidth="1"/>
    <col min="2823" max="2823" width="9.85546875" customWidth="1"/>
    <col min="2824" max="2824" width="2.28515625" customWidth="1"/>
    <col min="2825" max="2825" width="10" customWidth="1"/>
    <col min="2826" max="2826" width="2" customWidth="1"/>
    <col min="2827" max="2827" width="10.5703125" customWidth="1"/>
    <col min="2828" max="2828" width="9.42578125" customWidth="1"/>
    <col min="2829" max="2829" width="8.5703125" customWidth="1"/>
    <col min="2830" max="2830" width="0.7109375" customWidth="1"/>
    <col min="2831" max="2831" width="9.85546875" customWidth="1"/>
    <col min="2832" max="2832" width="10.140625" customWidth="1"/>
    <col min="2833" max="2833" width="27.85546875" customWidth="1"/>
    <col min="2835" max="2835" width="13" customWidth="1"/>
    <col min="2841" max="2841" width="15.42578125" customWidth="1"/>
    <col min="2842" max="2842" width="12.7109375" bestFit="1" customWidth="1"/>
    <col min="3073" max="3073" width="7.5703125" customWidth="1"/>
    <col min="3075" max="3075" width="4.7109375" customWidth="1"/>
    <col min="3076" max="3076" width="0.7109375" customWidth="1"/>
    <col min="3077" max="3077" width="11.5703125" customWidth="1"/>
    <col min="3078" max="3078" width="1.42578125" customWidth="1"/>
    <col min="3079" max="3079" width="9.85546875" customWidth="1"/>
    <col min="3080" max="3080" width="2.28515625" customWidth="1"/>
    <col min="3081" max="3081" width="10" customWidth="1"/>
    <col min="3082" max="3082" width="2" customWidth="1"/>
    <col min="3083" max="3083" width="10.5703125" customWidth="1"/>
    <col min="3084" max="3084" width="9.42578125" customWidth="1"/>
    <col min="3085" max="3085" width="8.5703125" customWidth="1"/>
    <col min="3086" max="3086" width="0.7109375" customWidth="1"/>
    <col min="3087" max="3087" width="9.85546875" customWidth="1"/>
    <col min="3088" max="3088" width="10.140625" customWidth="1"/>
    <col min="3089" max="3089" width="27.85546875" customWidth="1"/>
    <col min="3091" max="3091" width="13" customWidth="1"/>
    <col min="3097" max="3097" width="15.42578125" customWidth="1"/>
    <col min="3098" max="3098" width="12.7109375" bestFit="1" customWidth="1"/>
    <col min="3329" max="3329" width="7.5703125" customWidth="1"/>
    <col min="3331" max="3331" width="4.7109375" customWidth="1"/>
    <col min="3332" max="3332" width="0.7109375" customWidth="1"/>
    <col min="3333" max="3333" width="11.5703125" customWidth="1"/>
    <col min="3334" max="3334" width="1.42578125" customWidth="1"/>
    <col min="3335" max="3335" width="9.85546875" customWidth="1"/>
    <col min="3336" max="3336" width="2.28515625" customWidth="1"/>
    <col min="3337" max="3337" width="10" customWidth="1"/>
    <col min="3338" max="3338" width="2" customWidth="1"/>
    <col min="3339" max="3339" width="10.5703125" customWidth="1"/>
    <col min="3340" max="3340" width="9.42578125" customWidth="1"/>
    <col min="3341" max="3341" width="8.5703125" customWidth="1"/>
    <col min="3342" max="3342" width="0.7109375" customWidth="1"/>
    <col min="3343" max="3343" width="9.85546875" customWidth="1"/>
    <col min="3344" max="3344" width="10.140625" customWidth="1"/>
    <col min="3345" max="3345" width="27.85546875" customWidth="1"/>
    <col min="3347" max="3347" width="13" customWidth="1"/>
    <col min="3353" max="3353" width="15.42578125" customWidth="1"/>
    <col min="3354" max="3354" width="12.7109375" bestFit="1" customWidth="1"/>
    <col min="3585" max="3585" width="7.5703125" customWidth="1"/>
    <col min="3587" max="3587" width="4.7109375" customWidth="1"/>
    <col min="3588" max="3588" width="0.7109375" customWidth="1"/>
    <col min="3589" max="3589" width="11.5703125" customWidth="1"/>
    <col min="3590" max="3590" width="1.42578125" customWidth="1"/>
    <col min="3591" max="3591" width="9.85546875" customWidth="1"/>
    <col min="3592" max="3592" width="2.28515625" customWidth="1"/>
    <col min="3593" max="3593" width="10" customWidth="1"/>
    <col min="3594" max="3594" width="2" customWidth="1"/>
    <col min="3595" max="3595" width="10.5703125" customWidth="1"/>
    <col min="3596" max="3596" width="9.42578125" customWidth="1"/>
    <col min="3597" max="3597" width="8.5703125" customWidth="1"/>
    <col min="3598" max="3598" width="0.7109375" customWidth="1"/>
    <col min="3599" max="3599" width="9.85546875" customWidth="1"/>
    <col min="3600" max="3600" width="10.140625" customWidth="1"/>
    <col min="3601" max="3601" width="27.85546875" customWidth="1"/>
    <col min="3603" max="3603" width="13" customWidth="1"/>
    <col min="3609" max="3609" width="15.42578125" customWidth="1"/>
    <col min="3610" max="3610" width="12.7109375" bestFit="1" customWidth="1"/>
    <col min="3841" max="3841" width="7.5703125" customWidth="1"/>
    <col min="3843" max="3843" width="4.7109375" customWidth="1"/>
    <col min="3844" max="3844" width="0.7109375" customWidth="1"/>
    <col min="3845" max="3845" width="11.5703125" customWidth="1"/>
    <col min="3846" max="3846" width="1.42578125" customWidth="1"/>
    <col min="3847" max="3847" width="9.85546875" customWidth="1"/>
    <col min="3848" max="3848" width="2.28515625" customWidth="1"/>
    <col min="3849" max="3849" width="10" customWidth="1"/>
    <col min="3850" max="3850" width="2" customWidth="1"/>
    <col min="3851" max="3851" width="10.5703125" customWidth="1"/>
    <col min="3852" max="3852" width="9.42578125" customWidth="1"/>
    <col min="3853" max="3853" width="8.5703125" customWidth="1"/>
    <col min="3854" max="3854" width="0.7109375" customWidth="1"/>
    <col min="3855" max="3855" width="9.85546875" customWidth="1"/>
    <col min="3856" max="3856" width="10.140625" customWidth="1"/>
    <col min="3857" max="3857" width="27.85546875" customWidth="1"/>
    <col min="3859" max="3859" width="13" customWidth="1"/>
    <col min="3865" max="3865" width="15.42578125" customWidth="1"/>
    <col min="3866" max="3866" width="12.7109375" bestFit="1" customWidth="1"/>
    <col min="4097" max="4097" width="7.5703125" customWidth="1"/>
    <col min="4099" max="4099" width="4.7109375" customWidth="1"/>
    <col min="4100" max="4100" width="0.7109375" customWidth="1"/>
    <col min="4101" max="4101" width="11.5703125" customWidth="1"/>
    <col min="4102" max="4102" width="1.42578125" customWidth="1"/>
    <col min="4103" max="4103" width="9.85546875" customWidth="1"/>
    <col min="4104" max="4104" width="2.28515625" customWidth="1"/>
    <col min="4105" max="4105" width="10" customWidth="1"/>
    <col min="4106" max="4106" width="2" customWidth="1"/>
    <col min="4107" max="4107" width="10.5703125" customWidth="1"/>
    <col min="4108" max="4108" width="9.42578125" customWidth="1"/>
    <col min="4109" max="4109" width="8.5703125" customWidth="1"/>
    <col min="4110" max="4110" width="0.7109375" customWidth="1"/>
    <col min="4111" max="4111" width="9.85546875" customWidth="1"/>
    <col min="4112" max="4112" width="10.140625" customWidth="1"/>
    <col min="4113" max="4113" width="27.85546875" customWidth="1"/>
    <col min="4115" max="4115" width="13" customWidth="1"/>
    <col min="4121" max="4121" width="15.42578125" customWidth="1"/>
    <col min="4122" max="4122" width="12.7109375" bestFit="1" customWidth="1"/>
    <col min="4353" max="4353" width="7.5703125" customWidth="1"/>
    <col min="4355" max="4355" width="4.7109375" customWidth="1"/>
    <col min="4356" max="4356" width="0.7109375" customWidth="1"/>
    <col min="4357" max="4357" width="11.5703125" customWidth="1"/>
    <col min="4358" max="4358" width="1.42578125" customWidth="1"/>
    <col min="4359" max="4359" width="9.85546875" customWidth="1"/>
    <col min="4360" max="4360" width="2.28515625" customWidth="1"/>
    <col min="4361" max="4361" width="10" customWidth="1"/>
    <col min="4362" max="4362" width="2" customWidth="1"/>
    <col min="4363" max="4363" width="10.5703125" customWidth="1"/>
    <col min="4364" max="4364" width="9.42578125" customWidth="1"/>
    <col min="4365" max="4365" width="8.5703125" customWidth="1"/>
    <col min="4366" max="4366" width="0.7109375" customWidth="1"/>
    <col min="4367" max="4367" width="9.85546875" customWidth="1"/>
    <col min="4368" max="4368" width="10.140625" customWidth="1"/>
    <col min="4369" max="4369" width="27.85546875" customWidth="1"/>
    <col min="4371" max="4371" width="13" customWidth="1"/>
    <col min="4377" max="4377" width="15.42578125" customWidth="1"/>
    <col min="4378" max="4378" width="12.7109375" bestFit="1" customWidth="1"/>
    <col min="4609" max="4609" width="7.5703125" customWidth="1"/>
    <col min="4611" max="4611" width="4.7109375" customWidth="1"/>
    <col min="4612" max="4612" width="0.7109375" customWidth="1"/>
    <col min="4613" max="4613" width="11.5703125" customWidth="1"/>
    <col min="4614" max="4614" width="1.42578125" customWidth="1"/>
    <col min="4615" max="4615" width="9.85546875" customWidth="1"/>
    <col min="4616" max="4616" width="2.28515625" customWidth="1"/>
    <col min="4617" max="4617" width="10" customWidth="1"/>
    <col min="4618" max="4618" width="2" customWidth="1"/>
    <col min="4619" max="4619" width="10.5703125" customWidth="1"/>
    <col min="4620" max="4620" width="9.42578125" customWidth="1"/>
    <col min="4621" max="4621" width="8.5703125" customWidth="1"/>
    <col min="4622" max="4622" width="0.7109375" customWidth="1"/>
    <col min="4623" max="4623" width="9.85546875" customWidth="1"/>
    <col min="4624" max="4624" width="10.140625" customWidth="1"/>
    <col min="4625" max="4625" width="27.85546875" customWidth="1"/>
    <col min="4627" max="4627" width="13" customWidth="1"/>
    <col min="4633" max="4633" width="15.42578125" customWidth="1"/>
    <col min="4634" max="4634" width="12.7109375" bestFit="1" customWidth="1"/>
    <col min="4865" max="4865" width="7.5703125" customWidth="1"/>
    <col min="4867" max="4867" width="4.7109375" customWidth="1"/>
    <col min="4868" max="4868" width="0.7109375" customWidth="1"/>
    <col min="4869" max="4869" width="11.5703125" customWidth="1"/>
    <col min="4870" max="4870" width="1.42578125" customWidth="1"/>
    <col min="4871" max="4871" width="9.85546875" customWidth="1"/>
    <col min="4872" max="4872" width="2.28515625" customWidth="1"/>
    <col min="4873" max="4873" width="10" customWidth="1"/>
    <col min="4874" max="4874" width="2" customWidth="1"/>
    <col min="4875" max="4875" width="10.5703125" customWidth="1"/>
    <col min="4876" max="4876" width="9.42578125" customWidth="1"/>
    <col min="4877" max="4877" width="8.5703125" customWidth="1"/>
    <col min="4878" max="4878" width="0.7109375" customWidth="1"/>
    <col min="4879" max="4879" width="9.85546875" customWidth="1"/>
    <col min="4880" max="4880" width="10.140625" customWidth="1"/>
    <col min="4881" max="4881" width="27.85546875" customWidth="1"/>
    <col min="4883" max="4883" width="13" customWidth="1"/>
    <col min="4889" max="4889" width="15.42578125" customWidth="1"/>
    <col min="4890" max="4890" width="12.7109375" bestFit="1" customWidth="1"/>
    <col min="5121" max="5121" width="7.5703125" customWidth="1"/>
    <col min="5123" max="5123" width="4.7109375" customWidth="1"/>
    <col min="5124" max="5124" width="0.7109375" customWidth="1"/>
    <col min="5125" max="5125" width="11.5703125" customWidth="1"/>
    <col min="5126" max="5126" width="1.42578125" customWidth="1"/>
    <col min="5127" max="5127" width="9.85546875" customWidth="1"/>
    <col min="5128" max="5128" width="2.28515625" customWidth="1"/>
    <col min="5129" max="5129" width="10" customWidth="1"/>
    <col min="5130" max="5130" width="2" customWidth="1"/>
    <col min="5131" max="5131" width="10.5703125" customWidth="1"/>
    <col min="5132" max="5132" width="9.42578125" customWidth="1"/>
    <col min="5133" max="5133" width="8.5703125" customWidth="1"/>
    <col min="5134" max="5134" width="0.7109375" customWidth="1"/>
    <col min="5135" max="5135" width="9.85546875" customWidth="1"/>
    <col min="5136" max="5136" width="10.140625" customWidth="1"/>
    <col min="5137" max="5137" width="27.85546875" customWidth="1"/>
    <col min="5139" max="5139" width="13" customWidth="1"/>
    <col min="5145" max="5145" width="15.42578125" customWidth="1"/>
    <col min="5146" max="5146" width="12.7109375" bestFit="1" customWidth="1"/>
    <col min="5377" max="5377" width="7.5703125" customWidth="1"/>
    <col min="5379" max="5379" width="4.7109375" customWidth="1"/>
    <col min="5380" max="5380" width="0.7109375" customWidth="1"/>
    <col min="5381" max="5381" width="11.5703125" customWidth="1"/>
    <col min="5382" max="5382" width="1.42578125" customWidth="1"/>
    <col min="5383" max="5383" width="9.85546875" customWidth="1"/>
    <col min="5384" max="5384" width="2.28515625" customWidth="1"/>
    <col min="5385" max="5385" width="10" customWidth="1"/>
    <col min="5386" max="5386" width="2" customWidth="1"/>
    <col min="5387" max="5387" width="10.5703125" customWidth="1"/>
    <col min="5388" max="5388" width="9.42578125" customWidth="1"/>
    <col min="5389" max="5389" width="8.5703125" customWidth="1"/>
    <col min="5390" max="5390" width="0.7109375" customWidth="1"/>
    <col min="5391" max="5391" width="9.85546875" customWidth="1"/>
    <col min="5392" max="5392" width="10.140625" customWidth="1"/>
    <col min="5393" max="5393" width="27.85546875" customWidth="1"/>
    <col min="5395" max="5395" width="13" customWidth="1"/>
    <col min="5401" max="5401" width="15.42578125" customWidth="1"/>
    <col min="5402" max="5402" width="12.7109375" bestFit="1" customWidth="1"/>
    <col min="5633" max="5633" width="7.5703125" customWidth="1"/>
    <col min="5635" max="5635" width="4.7109375" customWidth="1"/>
    <col min="5636" max="5636" width="0.7109375" customWidth="1"/>
    <col min="5637" max="5637" width="11.5703125" customWidth="1"/>
    <col min="5638" max="5638" width="1.42578125" customWidth="1"/>
    <col min="5639" max="5639" width="9.85546875" customWidth="1"/>
    <col min="5640" max="5640" width="2.28515625" customWidth="1"/>
    <col min="5641" max="5641" width="10" customWidth="1"/>
    <col min="5642" max="5642" width="2" customWidth="1"/>
    <col min="5643" max="5643" width="10.5703125" customWidth="1"/>
    <col min="5644" max="5644" width="9.42578125" customWidth="1"/>
    <col min="5645" max="5645" width="8.5703125" customWidth="1"/>
    <col min="5646" max="5646" width="0.7109375" customWidth="1"/>
    <col min="5647" max="5647" width="9.85546875" customWidth="1"/>
    <col min="5648" max="5648" width="10.140625" customWidth="1"/>
    <col min="5649" max="5649" width="27.85546875" customWidth="1"/>
    <col min="5651" max="5651" width="13" customWidth="1"/>
    <col min="5657" max="5657" width="15.42578125" customWidth="1"/>
    <col min="5658" max="5658" width="12.7109375" bestFit="1" customWidth="1"/>
    <col min="5889" max="5889" width="7.5703125" customWidth="1"/>
    <col min="5891" max="5891" width="4.7109375" customWidth="1"/>
    <col min="5892" max="5892" width="0.7109375" customWidth="1"/>
    <col min="5893" max="5893" width="11.5703125" customWidth="1"/>
    <col min="5894" max="5894" width="1.42578125" customWidth="1"/>
    <col min="5895" max="5895" width="9.85546875" customWidth="1"/>
    <col min="5896" max="5896" width="2.28515625" customWidth="1"/>
    <col min="5897" max="5897" width="10" customWidth="1"/>
    <col min="5898" max="5898" width="2" customWidth="1"/>
    <col min="5899" max="5899" width="10.5703125" customWidth="1"/>
    <col min="5900" max="5900" width="9.42578125" customWidth="1"/>
    <col min="5901" max="5901" width="8.5703125" customWidth="1"/>
    <col min="5902" max="5902" width="0.7109375" customWidth="1"/>
    <col min="5903" max="5903" width="9.85546875" customWidth="1"/>
    <col min="5904" max="5904" width="10.140625" customWidth="1"/>
    <col min="5905" max="5905" width="27.85546875" customWidth="1"/>
    <col min="5907" max="5907" width="13" customWidth="1"/>
    <col min="5913" max="5913" width="15.42578125" customWidth="1"/>
    <col min="5914" max="5914" width="12.7109375" bestFit="1" customWidth="1"/>
    <col min="6145" max="6145" width="7.5703125" customWidth="1"/>
    <col min="6147" max="6147" width="4.7109375" customWidth="1"/>
    <col min="6148" max="6148" width="0.7109375" customWidth="1"/>
    <col min="6149" max="6149" width="11.5703125" customWidth="1"/>
    <col min="6150" max="6150" width="1.42578125" customWidth="1"/>
    <col min="6151" max="6151" width="9.85546875" customWidth="1"/>
    <col min="6152" max="6152" width="2.28515625" customWidth="1"/>
    <col min="6153" max="6153" width="10" customWidth="1"/>
    <col min="6154" max="6154" width="2" customWidth="1"/>
    <col min="6155" max="6155" width="10.5703125" customWidth="1"/>
    <col min="6156" max="6156" width="9.42578125" customWidth="1"/>
    <col min="6157" max="6157" width="8.5703125" customWidth="1"/>
    <col min="6158" max="6158" width="0.7109375" customWidth="1"/>
    <col min="6159" max="6159" width="9.85546875" customWidth="1"/>
    <col min="6160" max="6160" width="10.140625" customWidth="1"/>
    <col min="6161" max="6161" width="27.85546875" customWidth="1"/>
    <col min="6163" max="6163" width="13" customWidth="1"/>
    <col min="6169" max="6169" width="15.42578125" customWidth="1"/>
    <col min="6170" max="6170" width="12.7109375" bestFit="1" customWidth="1"/>
    <col min="6401" max="6401" width="7.5703125" customWidth="1"/>
    <col min="6403" max="6403" width="4.7109375" customWidth="1"/>
    <col min="6404" max="6404" width="0.7109375" customWidth="1"/>
    <col min="6405" max="6405" width="11.5703125" customWidth="1"/>
    <col min="6406" max="6406" width="1.42578125" customWidth="1"/>
    <col min="6407" max="6407" width="9.85546875" customWidth="1"/>
    <col min="6408" max="6408" width="2.28515625" customWidth="1"/>
    <col min="6409" max="6409" width="10" customWidth="1"/>
    <col min="6410" max="6410" width="2" customWidth="1"/>
    <col min="6411" max="6411" width="10.5703125" customWidth="1"/>
    <col min="6412" max="6412" width="9.42578125" customWidth="1"/>
    <col min="6413" max="6413" width="8.5703125" customWidth="1"/>
    <col min="6414" max="6414" width="0.7109375" customWidth="1"/>
    <col min="6415" max="6415" width="9.85546875" customWidth="1"/>
    <col min="6416" max="6416" width="10.140625" customWidth="1"/>
    <col min="6417" max="6417" width="27.85546875" customWidth="1"/>
    <col min="6419" max="6419" width="13" customWidth="1"/>
    <col min="6425" max="6425" width="15.42578125" customWidth="1"/>
    <col min="6426" max="6426" width="12.7109375" bestFit="1" customWidth="1"/>
    <col min="6657" max="6657" width="7.5703125" customWidth="1"/>
    <col min="6659" max="6659" width="4.7109375" customWidth="1"/>
    <col min="6660" max="6660" width="0.7109375" customWidth="1"/>
    <col min="6661" max="6661" width="11.5703125" customWidth="1"/>
    <col min="6662" max="6662" width="1.42578125" customWidth="1"/>
    <col min="6663" max="6663" width="9.85546875" customWidth="1"/>
    <col min="6664" max="6664" width="2.28515625" customWidth="1"/>
    <col min="6665" max="6665" width="10" customWidth="1"/>
    <col min="6666" max="6666" width="2" customWidth="1"/>
    <col min="6667" max="6667" width="10.5703125" customWidth="1"/>
    <col min="6668" max="6668" width="9.42578125" customWidth="1"/>
    <col min="6669" max="6669" width="8.5703125" customWidth="1"/>
    <col min="6670" max="6670" width="0.7109375" customWidth="1"/>
    <col min="6671" max="6671" width="9.85546875" customWidth="1"/>
    <col min="6672" max="6672" width="10.140625" customWidth="1"/>
    <col min="6673" max="6673" width="27.85546875" customWidth="1"/>
    <col min="6675" max="6675" width="13" customWidth="1"/>
    <col min="6681" max="6681" width="15.42578125" customWidth="1"/>
    <col min="6682" max="6682" width="12.7109375" bestFit="1" customWidth="1"/>
    <col min="6913" max="6913" width="7.5703125" customWidth="1"/>
    <col min="6915" max="6915" width="4.7109375" customWidth="1"/>
    <col min="6916" max="6916" width="0.7109375" customWidth="1"/>
    <col min="6917" max="6917" width="11.5703125" customWidth="1"/>
    <col min="6918" max="6918" width="1.42578125" customWidth="1"/>
    <col min="6919" max="6919" width="9.85546875" customWidth="1"/>
    <col min="6920" max="6920" width="2.28515625" customWidth="1"/>
    <col min="6921" max="6921" width="10" customWidth="1"/>
    <col min="6922" max="6922" width="2" customWidth="1"/>
    <col min="6923" max="6923" width="10.5703125" customWidth="1"/>
    <col min="6924" max="6924" width="9.42578125" customWidth="1"/>
    <col min="6925" max="6925" width="8.5703125" customWidth="1"/>
    <col min="6926" max="6926" width="0.7109375" customWidth="1"/>
    <col min="6927" max="6927" width="9.85546875" customWidth="1"/>
    <col min="6928" max="6928" width="10.140625" customWidth="1"/>
    <col min="6929" max="6929" width="27.85546875" customWidth="1"/>
    <col min="6931" max="6931" width="13" customWidth="1"/>
    <col min="6937" max="6937" width="15.42578125" customWidth="1"/>
    <col min="6938" max="6938" width="12.7109375" bestFit="1" customWidth="1"/>
    <col min="7169" max="7169" width="7.5703125" customWidth="1"/>
    <col min="7171" max="7171" width="4.7109375" customWidth="1"/>
    <col min="7172" max="7172" width="0.7109375" customWidth="1"/>
    <col min="7173" max="7173" width="11.5703125" customWidth="1"/>
    <col min="7174" max="7174" width="1.42578125" customWidth="1"/>
    <col min="7175" max="7175" width="9.85546875" customWidth="1"/>
    <col min="7176" max="7176" width="2.28515625" customWidth="1"/>
    <col min="7177" max="7177" width="10" customWidth="1"/>
    <col min="7178" max="7178" width="2" customWidth="1"/>
    <col min="7179" max="7179" width="10.5703125" customWidth="1"/>
    <col min="7180" max="7180" width="9.42578125" customWidth="1"/>
    <col min="7181" max="7181" width="8.5703125" customWidth="1"/>
    <col min="7182" max="7182" width="0.7109375" customWidth="1"/>
    <col min="7183" max="7183" width="9.85546875" customWidth="1"/>
    <col min="7184" max="7184" width="10.140625" customWidth="1"/>
    <col min="7185" max="7185" width="27.85546875" customWidth="1"/>
    <col min="7187" max="7187" width="13" customWidth="1"/>
    <col min="7193" max="7193" width="15.42578125" customWidth="1"/>
    <col min="7194" max="7194" width="12.7109375" bestFit="1" customWidth="1"/>
    <col min="7425" max="7425" width="7.5703125" customWidth="1"/>
    <col min="7427" max="7427" width="4.7109375" customWidth="1"/>
    <col min="7428" max="7428" width="0.7109375" customWidth="1"/>
    <col min="7429" max="7429" width="11.5703125" customWidth="1"/>
    <col min="7430" max="7430" width="1.42578125" customWidth="1"/>
    <col min="7431" max="7431" width="9.85546875" customWidth="1"/>
    <col min="7432" max="7432" width="2.28515625" customWidth="1"/>
    <col min="7433" max="7433" width="10" customWidth="1"/>
    <col min="7434" max="7434" width="2" customWidth="1"/>
    <col min="7435" max="7435" width="10.5703125" customWidth="1"/>
    <col min="7436" max="7436" width="9.42578125" customWidth="1"/>
    <col min="7437" max="7437" width="8.5703125" customWidth="1"/>
    <col min="7438" max="7438" width="0.7109375" customWidth="1"/>
    <col min="7439" max="7439" width="9.85546875" customWidth="1"/>
    <col min="7440" max="7440" width="10.140625" customWidth="1"/>
    <col min="7441" max="7441" width="27.85546875" customWidth="1"/>
    <col min="7443" max="7443" width="13" customWidth="1"/>
    <col min="7449" max="7449" width="15.42578125" customWidth="1"/>
    <col min="7450" max="7450" width="12.7109375" bestFit="1" customWidth="1"/>
    <col min="7681" max="7681" width="7.5703125" customWidth="1"/>
    <col min="7683" max="7683" width="4.7109375" customWidth="1"/>
    <col min="7684" max="7684" width="0.7109375" customWidth="1"/>
    <col min="7685" max="7685" width="11.5703125" customWidth="1"/>
    <col min="7686" max="7686" width="1.42578125" customWidth="1"/>
    <col min="7687" max="7687" width="9.85546875" customWidth="1"/>
    <col min="7688" max="7688" width="2.28515625" customWidth="1"/>
    <col min="7689" max="7689" width="10" customWidth="1"/>
    <col min="7690" max="7690" width="2" customWidth="1"/>
    <col min="7691" max="7691" width="10.5703125" customWidth="1"/>
    <col min="7692" max="7692" width="9.42578125" customWidth="1"/>
    <col min="7693" max="7693" width="8.5703125" customWidth="1"/>
    <col min="7694" max="7694" width="0.7109375" customWidth="1"/>
    <col min="7695" max="7695" width="9.85546875" customWidth="1"/>
    <col min="7696" max="7696" width="10.140625" customWidth="1"/>
    <col min="7697" max="7697" width="27.85546875" customWidth="1"/>
    <col min="7699" max="7699" width="13" customWidth="1"/>
    <col min="7705" max="7705" width="15.42578125" customWidth="1"/>
    <col min="7706" max="7706" width="12.7109375" bestFit="1" customWidth="1"/>
    <col min="7937" max="7937" width="7.5703125" customWidth="1"/>
    <col min="7939" max="7939" width="4.7109375" customWidth="1"/>
    <col min="7940" max="7940" width="0.7109375" customWidth="1"/>
    <col min="7941" max="7941" width="11.5703125" customWidth="1"/>
    <col min="7942" max="7942" width="1.42578125" customWidth="1"/>
    <col min="7943" max="7943" width="9.85546875" customWidth="1"/>
    <col min="7944" max="7944" width="2.28515625" customWidth="1"/>
    <col min="7945" max="7945" width="10" customWidth="1"/>
    <col min="7946" max="7946" width="2" customWidth="1"/>
    <col min="7947" max="7947" width="10.5703125" customWidth="1"/>
    <col min="7948" max="7948" width="9.42578125" customWidth="1"/>
    <col min="7949" max="7949" width="8.5703125" customWidth="1"/>
    <col min="7950" max="7950" width="0.7109375" customWidth="1"/>
    <col min="7951" max="7951" width="9.85546875" customWidth="1"/>
    <col min="7952" max="7952" width="10.140625" customWidth="1"/>
    <col min="7953" max="7953" width="27.85546875" customWidth="1"/>
    <col min="7955" max="7955" width="13" customWidth="1"/>
    <col min="7961" max="7961" width="15.42578125" customWidth="1"/>
    <col min="7962" max="7962" width="12.7109375" bestFit="1" customWidth="1"/>
    <col min="8193" max="8193" width="7.5703125" customWidth="1"/>
    <col min="8195" max="8195" width="4.7109375" customWidth="1"/>
    <col min="8196" max="8196" width="0.7109375" customWidth="1"/>
    <col min="8197" max="8197" width="11.5703125" customWidth="1"/>
    <col min="8198" max="8198" width="1.42578125" customWidth="1"/>
    <col min="8199" max="8199" width="9.85546875" customWidth="1"/>
    <col min="8200" max="8200" width="2.28515625" customWidth="1"/>
    <col min="8201" max="8201" width="10" customWidth="1"/>
    <col min="8202" max="8202" width="2" customWidth="1"/>
    <col min="8203" max="8203" width="10.5703125" customWidth="1"/>
    <col min="8204" max="8204" width="9.42578125" customWidth="1"/>
    <col min="8205" max="8205" width="8.5703125" customWidth="1"/>
    <col min="8206" max="8206" width="0.7109375" customWidth="1"/>
    <col min="8207" max="8207" width="9.85546875" customWidth="1"/>
    <col min="8208" max="8208" width="10.140625" customWidth="1"/>
    <col min="8209" max="8209" width="27.85546875" customWidth="1"/>
    <col min="8211" max="8211" width="13" customWidth="1"/>
    <col min="8217" max="8217" width="15.42578125" customWidth="1"/>
    <col min="8218" max="8218" width="12.7109375" bestFit="1" customWidth="1"/>
    <col min="8449" max="8449" width="7.5703125" customWidth="1"/>
    <col min="8451" max="8451" width="4.7109375" customWidth="1"/>
    <col min="8452" max="8452" width="0.7109375" customWidth="1"/>
    <col min="8453" max="8453" width="11.5703125" customWidth="1"/>
    <col min="8454" max="8454" width="1.42578125" customWidth="1"/>
    <col min="8455" max="8455" width="9.85546875" customWidth="1"/>
    <col min="8456" max="8456" width="2.28515625" customWidth="1"/>
    <col min="8457" max="8457" width="10" customWidth="1"/>
    <col min="8458" max="8458" width="2" customWidth="1"/>
    <col min="8459" max="8459" width="10.5703125" customWidth="1"/>
    <col min="8460" max="8460" width="9.42578125" customWidth="1"/>
    <col min="8461" max="8461" width="8.5703125" customWidth="1"/>
    <col min="8462" max="8462" width="0.7109375" customWidth="1"/>
    <col min="8463" max="8463" width="9.85546875" customWidth="1"/>
    <col min="8464" max="8464" width="10.140625" customWidth="1"/>
    <col min="8465" max="8465" width="27.85546875" customWidth="1"/>
    <col min="8467" max="8467" width="13" customWidth="1"/>
    <col min="8473" max="8473" width="15.42578125" customWidth="1"/>
    <col min="8474" max="8474" width="12.7109375" bestFit="1" customWidth="1"/>
    <col min="8705" max="8705" width="7.5703125" customWidth="1"/>
    <col min="8707" max="8707" width="4.7109375" customWidth="1"/>
    <col min="8708" max="8708" width="0.7109375" customWidth="1"/>
    <col min="8709" max="8709" width="11.5703125" customWidth="1"/>
    <col min="8710" max="8710" width="1.42578125" customWidth="1"/>
    <col min="8711" max="8711" width="9.85546875" customWidth="1"/>
    <col min="8712" max="8712" width="2.28515625" customWidth="1"/>
    <col min="8713" max="8713" width="10" customWidth="1"/>
    <col min="8714" max="8714" width="2" customWidth="1"/>
    <col min="8715" max="8715" width="10.5703125" customWidth="1"/>
    <col min="8716" max="8716" width="9.42578125" customWidth="1"/>
    <col min="8717" max="8717" width="8.5703125" customWidth="1"/>
    <col min="8718" max="8718" width="0.7109375" customWidth="1"/>
    <col min="8719" max="8719" width="9.85546875" customWidth="1"/>
    <col min="8720" max="8720" width="10.140625" customWidth="1"/>
    <col min="8721" max="8721" width="27.85546875" customWidth="1"/>
    <col min="8723" max="8723" width="13" customWidth="1"/>
    <col min="8729" max="8729" width="15.42578125" customWidth="1"/>
    <col min="8730" max="8730" width="12.7109375" bestFit="1" customWidth="1"/>
    <col min="8961" max="8961" width="7.5703125" customWidth="1"/>
    <col min="8963" max="8963" width="4.7109375" customWidth="1"/>
    <col min="8964" max="8964" width="0.7109375" customWidth="1"/>
    <col min="8965" max="8965" width="11.5703125" customWidth="1"/>
    <col min="8966" max="8966" width="1.42578125" customWidth="1"/>
    <col min="8967" max="8967" width="9.85546875" customWidth="1"/>
    <col min="8968" max="8968" width="2.28515625" customWidth="1"/>
    <col min="8969" max="8969" width="10" customWidth="1"/>
    <col min="8970" max="8970" width="2" customWidth="1"/>
    <col min="8971" max="8971" width="10.5703125" customWidth="1"/>
    <col min="8972" max="8972" width="9.42578125" customWidth="1"/>
    <col min="8973" max="8973" width="8.5703125" customWidth="1"/>
    <col min="8974" max="8974" width="0.7109375" customWidth="1"/>
    <col min="8975" max="8975" width="9.85546875" customWidth="1"/>
    <col min="8976" max="8976" width="10.140625" customWidth="1"/>
    <col min="8977" max="8977" width="27.85546875" customWidth="1"/>
    <col min="8979" max="8979" width="13" customWidth="1"/>
    <col min="8985" max="8985" width="15.42578125" customWidth="1"/>
    <col min="8986" max="8986" width="12.7109375" bestFit="1" customWidth="1"/>
    <col min="9217" max="9217" width="7.5703125" customWidth="1"/>
    <col min="9219" max="9219" width="4.7109375" customWidth="1"/>
    <col min="9220" max="9220" width="0.7109375" customWidth="1"/>
    <col min="9221" max="9221" width="11.5703125" customWidth="1"/>
    <col min="9222" max="9222" width="1.42578125" customWidth="1"/>
    <col min="9223" max="9223" width="9.85546875" customWidth="1"/>
    <col min="9224" max="9224" width="2.28515625" customWidth="1"/>
    <col min="9225" max="9225" width="10" customWidth="1"/>
    <col min="9226" max="9226" width="2" customWidth="1"/>
    <col min="9227" max="9227" width="10.5703125" customWidth="1"/>
    <col min="9228" max="9228" width="9.42578125" customWidth="1"/>
    <col min="9229" max="9229" width="8.5703125" customWidth="1"/>
    <col min="9230" max="9230" width="0.7109375" customWidth="1"/>
    <col min="9231" max="9231" width="9.85546875" customWidth="1"/>
    <col min="9232" max="9232" width="10.140625" customWidth="1"/>
    <col min="9233" max="9233" width="27.85546875" customWidth="1"/>
    <col min="9235" max="9235" width="13" customWidth="1"/>
    <col min="9241" max="9241" width="15.42578125" customWidth="1"/>
    <col min="9242" max="9242" width="12.7109375" bestFit="1" customWidth="1"/>
    <col min="9473" max="9473" width="7.5703125" customWidth="1"/>
    <col min="9475" max="9475" width="4.7109375" customWidth="1"/>
    <col min="9476" max="9476" width="0.7109375" customWidth="1"/>
    <col min="9477" max="9477" width="11.5703125" customWidth="1"/>
    <col min="9478" max="9478" width="1.42578125" customWidth="1"/>
    <col min="9479" max="9479" width="9.85546875" customWidth="1"/>
    <col min="9480" max="9480" width="2.28515625" customWidth="1"/>
    <col min="9481" max="9481" width="10" customWidth="1"/>
    <col min="9482" max="9482" width="2" customWidth="1"/>
    <col min="9483" max="9483" width="10.5703125" customWidth="1"/>
    <col min="9484" max="9484" width="9.42578125" customWidth="1"/>
    <col min="9485" max="9485" width="8.5703125" customWidth="1"/>
    <col min="9486" max="9486" width="0.7109375" customWidth="1"/>
    <col min="9487" max="9487" width="9.85546875" customWidth="1"/>
    <col min="9488" max="9488" width="10.140625" customWidth="1"/>
    <col min="9489" max="9489" width="27.85546875" customWidth="1"/>
    <col min="9491" max="9491" width="13" customWidth="1"/>
    <col min="9497" max="9497" width="15.42578125" customWidth="1"/>
    <col min="9498" max="9498" width="12.7109375" bestFit="1" customWidth="1"/>
    <col min="9729" max="9729" width="7.5703125" customWidth="1"/>
    <col min="9731" max="9731" width="4.7109375" customWidth="1"/>
    <col min="9732" max="9732" width="0.7109375" customWidth="1"/>
    <col min="9733" max="9733" width="11.5703125" customWidth="1"/>
    <col min="9734" max="9734" width="1.42578125" customWidth="1"/>
    <col min="9735" max="9735" width="9.85546875" customWidth="1"/>
    <col min="9736" max="9736" width="2.28515625" customWidth="1"/>
    <col min="9737" max="9737" width="10" customWidth="1"/>
    <col min="9738" max="9738" width="2" customWidth="1"/>
    <col min="9739" max="9739" width="10.5703125" customWidth="1"/>
    <col min="9740" max="9740" width="9.42578125" customWidth="1"/>
    <col min="9741" max="9741" width="8.5703125" customWidth="1"/>
    <col min="9742" max="9742" width="0.7109375" customWidth="1"/>
    <col min="9743" max="9743" width="9.85546875" customWidth="1"/>
    <col min="9744" max="9744" width="10.140625" customWidth="1"/>
    <col min="9745" max="9745" width="27.85546875" customWidth="1"/>
    <col min="9747" max="9747" width="13" customWidth="1"/>
    <col min="9753" max="9753" width="15.42578125" customWidth="1"/>
    <col min="9754" max="9754" width="12.7109375" bestFit="1" customWidth="1"/>
    <col min="9985" max="9985" width="7.5703125" customWidth="1"/>
    <col min="9987" max="9987" width="4.7109375" customWidth="1"/>
    <col min="9988" max="9988" width="0.7109375" customWidth="1"/>
    <col min="9989" max="9989" width="11.5703125" customWidth="1"/>
    <col min="9990" max="9990" width="1.42578125" customWidth="1"/>
    <col min="9991" max="9991" width="9.85546875" customWidth="1"/>
    <col min="9992" max="9992" width="2.28515625" customWidth="1"/>
    <col min="9993" max="9993" width="10" customWidth="1"/>
    <col min="9994" max="9994" width="2" customWidth="1"/>
    <col min="9995" max="9995" width="10.5703125" customWidth="1"/>
    <col min="9996" max="9996" width="9.42578125" customWidth="1"/>
    <col min="9997" max="9997" width="8.5703125" customWidth="1"/>
    <col min="9998" max="9998" width="0.7109375" customWidth="1"/>
    <col min="9999" max="9999" width="9.85546875" customWidth="1"/>
    <col min="10000" max="10000" width="10.140625" customWidth="1"/>
    <col min="10001" max="10001" width="27.85546875" customWidth="1"/>
    <col min="10003" max="10003" width="13" customWidth="1"/>
    <col min="10009" max="10009" width="15.42578125" customWidth="1"/>
    <col min="10010" max="10010" width="12.7109375" bestFit="1" customWidth="1"/>
    <col min="10241" max="10241" width="7.5703125" customWidth="1"/>
    <col min="10243" max="10243" width="4.7109375" customWidth="1"/>
    <col min="10244" max="10244" width="0.7109375" customWidth="1"/>
    <col min="10245" max="10245" width="11.5703125" customWidth="1"/>
    <col min="10246" max="10246" width="1.42578125" customWidth="1"/>
    <col min="10247" max="10247" width="9.85546875" customWidth="1"/>
    <col min="10248" max="10248" width="2.28515625" customWidth="1"/>
    <col min="10249" max="10249" width="10" customWidth="1"/>
    <col min="10250" max="10250" width="2" customWidth="1"/>
    <col min="10251" max="10251" width="10.5703125" customWidth="1"/>
    <col min="10252" max="10252" width="9.42578125" customWidth="1"/>
    <col min="10253" max="10253" width="8.5703125" customWidth="1"/>
    <col min="10254" max="10254" width="0.7109375" customWidth="1"/>
    <col min="10255" max="10255" width="9.85546875" customWidth="1"/>
    <col min="10256" max="10256" width="10.140625" customWidth="1"/>
    <col min="10257" max="10257" width="27.85546875" customWidth="1"/>
    <col min="10259" max="10259" width="13" customWidth="1"/>
    <col min="10265" max="10265" width="15.42578125" customWidth="1"/>
    <col min="10266" max="10266" width="12.7109375" bestFit="1" customWidth="1"/>
    <col min="10497" max="10497" width="7.5703125" customWidth="1"/>
    <col min="10499" max="10499" width="4.7109375" customWidth="1"/>
    <col min="10500" max="10500" width="0.7109375" customWidth="1"/>
    <col min="10501" max="10501" width="11.5703125" customWidth="1"/>
    <col min="10502" max="10502" width="1.42578125" customWidth="1"/>
    <col min="10503" max="10503" width="9.85546875" customWidth="1"/>
    <col min="10504" max="10504" width="2.28515625" customWidth="1"/>
    <col min="10505" max="10505" width="10" customWidth="1"/>
    <col min="10506" max="10506" width="2" customWidth="1"/>
    <col min="10507" max="10507" width="10.5703125" customWidth="1"/>
    <col min="10508" max="10508" width="9.42578125" customWidth="1"/>
    <col min="10509" max="10509" width="8.5703125" customWidth="1"/>
    <col min="10510" max="10510" width="0.7109375" customWidth="1"/>
    <col min="10511" max="10511" width="9.85546875" customWidth="1"/>
    <col min="10512" max="10512" width="10.140625" customWidth="1"/>
    <col min="10513" max="10513" width="27.85546875" customWidth="1"/>
    <col min="10515" max="10515" width="13" customWidth="1"/>
    <col min="10521" max="10521" width="15.42578125" customWidth="1"/>
    <col min="10522" max="10522" width="12.7109375" bestFit="1" customWidth="1"/>
    <col min="10753" max="10753" width="7.5703125" customWidth="1"/>
    <col min="10755" max="10755" width="4.7109375" customWidth="1"/>
    <col min="10756" max="10756" width="0.7109375" customWidth="1"/>
    <col min="10757" max="10757" width="11.5703125" customWidth="1"/>
    <col min="10758" max="10758" width="1.42578125" customWidth="1"/>
    <col min="10759" max="10759" width="9.85546875" customWidth="1"/>
    <col min="10760" max="10760" width="2.28515625" customWidth="1"/>
    <col min="10761" max="10761" width="10" customWidth="1"/>
    <col min="10762" max="10762" width="2" customWidth="1"/>
    <col min="10763" max="10763" width="10.5703125" customWidth="1"/>
    <col min="10764" max="10764" width="9.42578125" customWidth="1"/>
    <col min="10765" max="10765" width="8.5703125" customWidth="1"/>
    <col min="10766" max="10766" width="0.7109375" customWidth="1"/>
    <col min="10767" max="10767" width="9.85546875" customWidth="1"/>
    <col min="10768" max="10768" width="10.140625" customWidth="1"/>
    <col min="10769" max="10769" width="27.85546875" customWidth="1"/>
    <col min="10771" max="10771" width="13" customWidth="1"/>
    <col min="10777" max="10777" width="15.42578125" customWidth="1"/>
    <col min="10778" max="10778" width="12.7109375" bestFit="1" customWidth="1"/>
    <col min="11009" max="11009" width="7.5703125" customWidth="1"/>
    <col min="11011" max="11011" width="4.7109375" customWidth="1"/>
    <col min="11012" max="11012" width="0.7109375" customWidth="1"/>
    <col min="11013" max="11013" width="11.5703125" customWidth="1"/>
    <col min="11014" max="11014" width="1.42578125" customWidth="1"/>
    <col min="11015" max="11015" width="9.85546875" customWidth="1"/>
    <col min="11016" max="11016" width="2.28515625" customWidth="1"/>
    <col min="11017" max="11017" width="10" customWidth="1"/>
    <col min="11018" max="11018" width="2" customWidth="1"/>
    <col min="11019" max="11019" width="10.5703125" customWidth="1"/>
    <col min="11020" max="11020" width="9.42578125" customWidth="1"/>
    <col min="11021" max="11021" width="8.5703125" customWidth="1"/>
    <col min="11022" max="11022" width="0.7109375" customWidth="1"/>
    <col min="11023" max="11023" width="9.85546875" customWidth="1"/>
    <col min="11024" max="11024" width="10.140625" customWidth="1"/>
    <col min="11025" max="11025" width="27.85546875" customWidth="1"/>
    <col min="11027" max="11027" width="13" customWidth="1"/>
    <col min="11033" max="11033" width="15.42578125" customWidth="1"/>
    <col min="11034" max="11034" width="12.7109375" bestFit="1" customWidth="1"/>
    <col min="11265" max="11265" width="7.5703125" customWidth="1"/>
    <col min="11267" max="11267" width="4.7109375" customWidth="1"/>
    <col min="11268" max="11268" width="0.7109375" customWidth="1"/>
    <col min="11269" max="11269" width="11.5703125" customWidth="1"/>
    <col min="11270" max="11270" width="1.42578125" customWidth="1"/>
    <col min="11271" max="11271" width="9.85546875" customWidth="1"/>
    <col min="11272" max="11272" width="2.28515625" customWidth="1"/>
    <col min="11273" max="11273" width="10" customWidth="1"/>
    <col min="11274" max="11274" width="2" customWidth="1"/>
    <col min="11275" max="11275" width="10.5703125" customWidth="1"/>
    <col min="11276" max="11276" width="9.42578125" customWidth="1"/>
    <col min="11277" max="11277" width="8.5703125" customWidth="1"/>
    <col min="11278" max="11278" width="0.7109375" customWidth="1"/>
    <col min="11279" max="11279" width="9.85546875" customWidth="1"/>
    <col min="11280" max="11280" width="10.140625" customWidth="1"/>
    <col min="11281" max="11281" width="27.85546875" customWidth="1"/>
    <col min="11283" max="11283" width="13" customWidth="1"/>
    <col min="11289" max="11289" width="15.42578125" customWidth="1"/>
    <col min="11290" max="11290" width="12.7109375" bestFit="1" customWidth="1"/>
    <col min="11521" max="11521" width="7.5703125" customWidth="1"/>
    <col min="11523" max="11523" width="4.7109375" customWidth="1"/>
    <col min="11524" max="11524" width="0.7109375" customWidth="1"/>
    <col min="11525" max="11525" width="11.5703125" customWidth="1"/>
    <col min="11526" max="11526" width="1.42578125" customWidth="1"/>
    <col min="11527" max="11527" width="9.85546875" customWidth="1"/>
    <col min="11528" max="11528" width="2.28515625" customWidth="1"/>
    <col min="11529" max="11529" width="10" customWidth="1"/>
    <col min="11530" max="11530" width="2" customWidth="1"/>
    <col min="11531" max="11531" width="10.5703125" customWidth="1"/>
    <col min="11532" max="11532" width="9.42578125" customWidth="1"/>
    <col min="11533" max="11533" width="8.5703125" customWidth="1"/>
    <col min="11534" max="11534" width="0.7109375" customWidth="1"/>
    <col min="11535" max="11535" width="9.85546875" customWidth="1"/>
    <col min="11536" max="11536" width="10.140625" customWidth="1"/>
    <col min="11537" max="11537" width="27.85546875" customWidth="1"/>
    <col min="11539" max="11539" width="13" customWidth="1"/>
    <col min="11545" max="11545" width="15.42578125" customWidth="1"/>
    <col min="11546" max="11546" width="12.7109375" bestFit="1" customWidth="1"/>
    <col min="11777" max="11777" width="7.5703125" customWidth="1"/>
    <col min="11779" max="11779" width="4.7109375" customWidth="1"/>
    <col min="11780" max="11780" width="0.7109375" customWidth="1"/>
    <col min="11781" max="11781" width="11.5703125" customWidth="1"/>
    <col min="11782" max="11782" width="1.42578125" customWidth="1"/>
    <col min="11783" max="11783" width="9.85546875" customWidth="1"/>
    <col min="11784" max="11784" width="2.28515625" customWidth="1"/>
    <col min="11785" max="11785" width="10" customWidth="1"/>
    <col min="11786" max="11786" width="2" customWidth="1"/>
    <col min="11787" max="11787" width="10.5703125" customWidth="1"/>
    <col min="11788" max="11788" width="9.42578125" customWidth="1"/>
    <col min="11789" max="11789" width="8.5703125" customWidth="1"/>
    <col min="11790" max="11790" width="0.7109375" customWidth="1"/>
    <col min="11791" max="11791" width="9.85546875" customWidth="1"/>
    <col min="11792" max="11792" width="10.140625" customWidth="1"/>
    <col min="11793" max="11793" width="27.85546875" customWidth="1"/>
    <col min="11795" max="11795" width="13" customWidth="1"/>
    <col min="11801" max="11801" width="15.42578125" customWidth="1"/>
    <col min="11802" max="11802" width="12.7109375" bestFit="1" customWidth="1"/>
    <col min="12033" max="12033" width="7.5703125" customWidth="1"/>
    <col min="12035" max="12035" width="4.7109375" customWidth="1"/>
    <col min="12036" max="12036" width="0.7109375" customWidth="1"/>
    <col min="12037" max="12037" width="11.5703125" customWidth="1"/>
    <col min="12038" max="12038" width="1.42578125" customWidth="1"/>
    <col min="12039" max="12039" width="9.85546875" customWidth="1"/>
    <col min="12040" max="12040" width="2.28515625" customWidth="1"/>
    <col min="12041" max="12041" width="10" customWidth="1"/>
    <col min="12042" max="12042" width="2" customWidth="1"/>
    <col min="12043" max="12043" width="10.5703125" customWidth="1"/>
    <col min="12044" max="12044" width="9.42578125" customWidth="1"/>
    <col min="12045" max="12045" width="8.5703125" customWidth="1"/>
    <col min="12046" max="12046" width="0.7109375" customWidth="1"/>
    <col min="12047" max="12047" width="9.85546875" customWidth="1"/>
    <col min="12048" max="12048" width="10.140625" customWidth="1"/>
    <col min="12049" max="12049" width="27.85546875" customWidth="1"/>
    <col min="12051" max="12051" width="13" customWidth="1"/>
    <col min="12057" max="12057" width="15.42578125" customWidth="1"/>
    <col min="12058" max="12058" width="12.7109375" bestFit="1" customWidth="1"/>
    <col min="12289" max="12289" width="7.5703125" customWidth="1"/>
    <col min="12291" max="12291" width="4.7109375" customWidth="1"/>
    <col min="12292" max="12292" width="0.7109375" customWidth="1"/>
    <col min="12293" max="12293" width="11.5703125" customWidth="1"/>
    <col min="12294" max="12294" width="1.42578125" customWidth="1"/>
    <col min="12295" max="12295" width="9.85546875" customWidth="1"/>
    <col min="12296" max="12296" width="2.28515625" customWidth="1"/>
    <col min="12297" max="12297" width="10" customWidth="1"/>
    <col min="12298" max="12298" width="2" customWidth="1"/>
    <col min="12299" max="12299" width="10.5703125" customWidth="1"/>
    <col min="12300" max="12300" width="9.42578125" customWidth="1"/>
    <col min="12301" max="12301" width="8.5703125" customWidth="1"/>
    <col min="12302" max="12302" width="0.7109375" customWidth="1"/>
    <col min="12303" max="12303" width="9.85546875" customWidth="1"/>
    <col min="12304" max="12304" width="10.140625" customWidth="1"/>
    <col min="12305" max="12305" width="27.85546875" customWidth="1"/>
    <col min="12307" max="12307" width="13" customWidth="1"/>
    <col min="12313" max="12313" width="15.42578125" customWidth="1"/>
    <col min="12314" max="12314" width="12.7109375" bestFit="1" customWidth="1"/>
    <col min="12545" max="12545" width="7.5703125" customWidth="1"/>
    <col min="12547" max="12547" width="4.7109375" customWidth="1"/>
    <col min="12548" max="12548" width="0.7109375" customWidth="1"/>
    <col min="12549" max="12549" width="11.5703125" customWidth="1"/>
    <col min="12550" max="12550" width="1.42578125" customWidth="1"/>
    <col min="12551" max="12551" width="9.85546875" customWidth="1"/>
    <col min="12552" max="12552" width="2.28515625" customWidth="1"/>
    <col min="12553" max="12553" width="10" customWidth="1"/>
    <col min="12554" max="12554" width="2" customWidth="1"/>
    <col min="12555" max="12555" width="10.5703125" customWidth="1"/>
    <col min="12556" max="12556" width="9.42578125" customWidth="1"/>
    <col min="12557" max="12557" width="8.5703125" customWidth="1"/>
    <col min="12558" max="12558" width="0.7109375" customWidth="1"/>
    <col min="12559" max="12559" width="9.85546875" customWidth="1"/>
    <col min="12560" max="12560" width="10.140625" customWidth="1"/>
    <col min="12561" max="12561" width="27.85546875" customWidth="1"/>
    <col min="12563" max="12563" width="13" customWidth="1"/>
    <col min="12569" max="12569" width="15.42578125" customWidth="1"/>
    <col min="12570" max="12570" width="12.7109375" bestFit="1" customWidth="1"/>
    <col min="12801" max="12801" width="7.5703125" customWidth="1"/>
    <col min="12803" max="12803" width="4.7109375" customWidth="1"/>
    <col min="12804" max="12804" width="0.7109375" customWidth="1"/>
    <col min="12805" max="12805" width="11.5703125" customWidth="1"/>
    <col min="12806" max="12806" width="1.42578125" customWidth="1"/>
    <col min="12807" max="12807" width="9.85546875" customWidth="1"/>
    <col min="12808" max="12808" width="2.28515625" customWidth="1"/>
    <col min="12809" max="12809" width="10" customWidth="1"/>
    <col min="12810" max="12810" width="2" customWidth="1"/>
    <col min="12811" max="12811" width="10.5703125" customWidth="1"/>
    <col min="12812" max="12812" width="9.42578125" customWidth="1"/>
    <col min="12813" max="12813" width="8.5703125" customWidth="1"/>
    <col min="12814" max="12814" width="0.7109375" customWidth="1"/>
    <col min="12815" max="12815" width="9.85546875" customWidth="1"/>
    <col min="12816" max="12816" width="10.140625" customWidth="1"/>
    <col min="12817" max="12817" width="27.85546875" customWidth="1"/>
    <col min="12819" max="12819" width="13" customWidth="1"/>
    <col min="12825" max="12825" width="15.42578125" customWidth="1"/>
    <col min="12826" max="12826" width="12.7109375" bestFit="1" customWidth="1"/>
    <col min="13057" max="13057" width="7.5703125" customWidth="1"/>
    <col min="13059" max="13059" width="4.7109375" customWidth="1"/>
    <col min="13060" max="13060" width="0.7109375" customWidth="1"/>
    <col min="13061" max="13061" width="11.5703125" customWidth="1"/>
    <col min="13062" max="13062" width="1.42578125" customWidth="1"/>
    <col min="13063" max="13063" width="9.85546875" customWidth="1"/>
    <col min="13064" max="13064" width="2.28515625" customWidth="1"/>
    <col min="13065" max="13065" width="10" customWidth="1"/>
    <col min="13066" max="13066" width="2" customWidth="1"/>
    <col min="13067" max="13067" width="10.5703125" customWidth="1"/>
    <col min="13068" max="13068" width="9.42578125" customWidth="1"/>
    <col min="13069" max="13069" width="8.5703125" customWidth="1"/>
    <col min="13070" max="13070" width="0.7109375" customWidth="1"/>
    <col min="13071" max="13071" width="9.85546875" customWidth="1"/>
    <col min="13072" max="13072" width="10.140625" customWidth="1"/>
    <col min="13073" max="13073" width="27.85546875" customWidth="1"/>
    <col min="13075" max="13075" width="13" customWidth="1"/>
    <col min="13081" max="13081" width="15.42578125" customWidth="1"/>
    <col min="13082" max="13082" width="12.7109375" bestFit="1" customWidth="1"/>
    <col min="13313" max="13313" width="7.5703125" customWidth="1"/>
    <col min="13315" max="13315" width="4.7109375" customWidth="1"/>
    <col min="13316" max="13316" width="0.7109375" customWidth="1"/>
    <col min="13317" max="13317" width="11.5703125" customWidth="1"/>
    <col min="13318" max="13318" width="1.42578125" customWidth="1"/>
    <col min="13319" max="13319" width="9.85546875" customWidth="1"/>
    <col min="13320" max="13320" width="2.28515625" customWidth="1"/>
    <col min="13321" max="13321" width="10" customWidth="1"/>
    <col min="13322" max="13322" width="2" customWidth="1"/>
    <col min="13323" max="13323" width="10.5703125" customWidth="1"/>
    <col min="13324" max="13324" width="9.42578125" customWidth="1"/>
    <col min="13325" max="13325" width="8.5703125" customWidth="1"/>
    <col min="13326" max="13326" width="0.7109375" customWidth="1"/>
    <col min="13327" max="13327" width="9.85546875" customWidth="1"/>
    <col min="13328" max="13328" width="10.140625" customWidth="1"/>
    <col min="13329" max="13329" width="27.85546875" customWidth="1"/>
    <col min="13331" max="13331" width="13" customWidth="1"/>
    <col min="13337" max="13337" width="15.42578125" customWidth="1"/>
    <col min="13338" max="13338" width="12.7109375" bestFit="1" customWidth="1"/>
    <col min="13569" max="13569" width="7.5703125" customWidth="1"/>
    <col min="13571" max="13571" width="4.7109375" customWidth="1"/>
    <col min="13572" max="13572" width="0.7109375" customWidth="1"/>
    <col min="13573" max="13573" width="11.5703125" customWidth="1"/>
    <col min="13574" max="13574" width="1.42578125" customWidth="1"/>
    <col min="13575" max="13575" width="9.85546875" customWidth="1"/>
    <col min="13576" max="13576" width="2.28515625" customWidth="1"/>
    <col min="13577" max="13577" width="10" customWidth="1"/>
    <col min="13578" max="13578" width="2" customWidth="1"/>
    <col min="13579" max="13579" width="10.5703125" customWidth="1"/>
    <col min="13580" max="13580" width="9.42578125" customWidth="1"/>
    <col min="13581" max="13581" width="8.5703125" customWidth="1"/>
    <col min="13582" max="13582" width="0.7109375" customWidth="1"/>
    <col min="13583" max="13583" width="9.85546875" customWidth="1"/>
    <col min="13584" max="13584" width="10.140625" customWidth="1"/>
    <col min="13585" max="13585" width="27.85546875" customWidth="1"/>
    <col min="13587" max="13587" width="13" customWidth="1"/>
    <col min="13593" max="13593" width="15.42578125" customWidth="1"/>
    <col min="13594" max="13594" width="12.7109375" bestFit="1" customWidth="1"/>
    <col min="13825" max="13825" width="7.5703125" customWidth="1"/>
    <col min="13827" max="13827" width="4.7109375" customWidth="1"/>
    <col min="13828" max="13828" width="0.7109375" customWidth="1"/>
    <col min="13829" max="13829" width="11.5703125" customWidth="1"/>
    <col min="13830" max="13830" width="1.42578125" customWidth="1"/>
    <col min="13831" max="13831" width="9.85546875" customWidth="1"/>
    <col min="13832" max="13832" width="2.28515625" customWidth="1"/>
    <col min="13833" max="13833" width="10" customWidth="1"/>
    <col min="13834" max="13834" width="2" customWidth="1"/>
    <col min="13835" max="13835" width="10.5703125" customWidth="1"/>
    <col min="13836" max="13836" width="9.42578125" customWidth="1"/>
    <col min="13837" max="13837" width="8.5703125" customWidth="1"/>
    <col min="13838" max="13838" width="0.7109375" customWidth="1"/>
    <col min="13839" max="13839" width="9.85546875" customWidth="1"/>
    <col min="13840" max="13840" width="10.140625" customWidth="1"/>
    <col min="13841" max="13841" width="27.85546875" customWidth="1"/>
    <col min="13843" max="13843" width="13" customWidth="1"/>
    <col min="13849" max="13849" width="15.42578125" customWidth="1"/>
    <col min="13850" max="13850" width="12.7109375" bestFit="1" customWidth="1"/>
    <col min="14081" max="14081" width="7.5703125" customWidth="1"/>
    <col min="14083" max="14083" width="4.7109375" customWidth="1"/>
    <col min="14084" max="14084" width="0.7109375" customWidth="1"/>
    <col min="14085" max="14085" width="11.5703125" customWidth="1"/>
    <col min="14086" max="14086" width="1.42578125" customWidth="1"/>
    <col min="14087" max="14087" width="9.85546875" customWidth="1"/>
    <col min="14088" max="14088" width="2.28515625" customWidth="1"/>
    <col min="14089" max="14089" width="10" customWidth="1"/>
    <col min="14090" max="14090" width="2" customWidth="1"/>
    <col min="14091" max="14091" width="10.5703125" customWidth="1"/>
    <col min="14092" max="14092" width="9.42578125" customWidth="1"/>
    <col min="14093" max="14093" width="8.5703125" customWidth="1"/>
    <col min="14094" max="14094" width="0.7109375" customWidth="1"/>
    <col min="14095" max="14095" width="9.85546875" customWidth="1"/>
    <col min="14096" max="14096" width="10.140625" customWidth="1"/>
    <col min="14097" max="14097" width="27.85546875" customWidth="1"/>
    <col min="14099" max="14099" width="13" customWidth="1"/>
    <col min="14105" max="14105" width="15.42578125" customWidth="1"/>
    <col min="14106" max="14106" width="12.7109375" bestFit="1" customWidth="1"/>
    <col min="14337" max="14337" width="7.5703125" customWidth="1"/>
    <col min="14339" max="14339" width="4.7109375" customWidth="1"/>
    <col min="14340" max="14340" width="0.7109375" customWidth="1"/>
    <col min="14341" max="14341" width="11.5703125" customWidth="1"/>
    <col min="14342" max="14342" width="1.42578125" customWidth="1"/>
    <col min="14343" max="14343" width="9.85546875" customWidth="1"/>
    <col min="14344" max="14344" width="2.28515625" customWidth="1"/>
    <col min="14345" max="14345" width="10" customWidth="1"/>
    <col min="14346" max="14346" width="2" customWidth="1"/>
    <col min="14347" max="14347" width="10.5703125" customWidth="1"/>
    <col min="14348" max="14348" width="9.42578125" customWidth="1"/>
    <col min="14349" max="14349" width="8.5703125" customWidth="1"/>
    <col min="14350" max="14350" width="0.7109375" customWidth="1"/>
    <col min="14351" max="14351" width="9.85546875" customWidth="1"/>
    <col min="14352" max="14352" width="10.140625" customWidth="1"/>
    <col min="14353" max="14353" width="27.85546875" customWidth="1"/>
    <col min="14355" max="14355" width="13" customWidth="1"/>
    <col min="14361" max="14361" width="15.42578125" customWidth="1"/>
    <col min="14362" max="14362" width="12.7109375" bestFit="1" customWidth="1"/>
    <col min="14593" max="14593" width="7.5703125" customWidth="1"/>
    <col min="14595" max="14595" width="4.7109375" customWidth="1"/>
    <col min="14596" max="14596" width="0.7109375" customWidth="1"/>
    <col min="14597" max="14597" width="11.5703125" customWidth="1"/>
    <col min="14598" max="14598" width="1.42578125" customWidth="1"/>
    <col min="14599" max="14599" width="9.85546875" customWidth="1"/>
    <col min="14600" max="14600" width="2.28515625" customWidth="1"/>
    <col min="14601" max="14601" width="10" customWidth="1"/>
    <col min="14602" max="14602" width="2" customWidth="1"/>
    <col min="14603" max="14603" width="10.5703125" customWidth="1"/>
    <col min="14604" max="14604" width="9.42578125" customWidth="1"/>
    <col min="14605" max="14605" width="8.5703125" customWidth="1"/>
    <col min="14606" max="14606" width="0.7109375" customWidth="1"/>
    <col min="14607" max="14607" width="9.85546875" customWidth="1"/>
    <col min="14608" max="14608" width="10.140625" customWidth="1"/>
    <col min="14609" max="14609" width="27.85546875" customWidth="1"/>
    <col min="14611" max="14611" width="13" customWidth="1"/>
    <col min="14617" max="14617" width="15.42578125" customWidth="1"/>
    <col min="14618" max="14618" width="12.7109375" bestFit="1" customWidth="1"/>
    <col min="14849" max="14849" width="7.5703125" customWidth="1"/>
    <col min="14851" max="14851" width="4.7109375" customWidth="1"/>
    <col min="14852" max="14852" width="0.7109375" customWidth="1"/>
    <col min="14853" max="14853" width="11.5703125" customWidth="1"/>
    <col min="14854" max="14854" width="1.42578125" customWidth="1"/>
    <col min="14855" max="14855" width="9.85546875" customWidth="1"/>
    <col min="14856" max="14856" width="2.28515625" customWidth="1"/>
    <col min="14857" max="14857" width="10" customWidth="1"/>
    <col min="14858" max="14858" width="2" customWidth="1"/>
    <col min="14859" max="14859" width="10.5703125" customWidth="1"/>
    <col min="14860" max="14860" width="9.42578125" customWidth="1"/>
    <col min="14861" max="14861" width="8.5703125" customWidth="1"/>
    <col min="14862" max="14862" width="0.7109375" customWidth="1"/>
    <col min="14863" max="14863" width="9.85546875" customWidth="1"/>
    <col min="14864" max="14864" width="10.140625" customWidth="1"/>
    <col min="14865" max="14865" width="27.85546875" customWidth="1"/>
    <col min="14867" max="14867" width="13" customWidth="1"/>
    <col min="14873" max="14873" width="15.42578125" customWidth="1"/>
    <col min="14874" max="14874" width="12.7109375" bestFit="1" customWidth="1"/>
    <col min="15105" max="15105" width="7.5703125" customWidth="1"/>
    <col min="15107" max="15107" width="4.7109375" customWidth="1"/>
    <col min="15108" max="15108" width="0.7109375" customWidth="1"/>
    <col min="15109" max="15109" width="11.5703125" customWidth="1"/>
    <col min="15110" max="15110" width="1.42578125" customWidth="1"/>
    <col min="15111" max="15111" width="9.85546875" customWidth="1"/>
    <col min="15112" max="15112" width="2.28515625" customWidth="1"/>
    <col min="15113" max="15113" width="10" customWidth="1"/>
    <col min="15114" max="15114" width="2" customWidth="1"/>
    <col min="15115" max="15115" width="10.5703125" customWidth="1"/>
    <col min="15116" max="15116" width="9.42578125" customWidth="1"/>
    <col min="15117" max="15117" width="8.5703125" customWidth="1"/>
    <col min="15118" max="15118" width="0.7109375" customWidth="1"/>
    <col min="15119" max="15119" width="9.85546875" customWidth="1"/>
    <col min="15120" max="15120" width="10.140625" customWidth="1"/>
    <col min="15121" max="15121" width="27.85546875" customWidth="1"/>
    <col min="15123" max="15123" width="13" customWidth="1"/>
    <col min="15129" max="15129" width="15.42578125" customWidth="1"/>
    <col min="15130" max="15130" width="12.7109375" bestFit="1" customWidth="1"/>
    <col min="15361" max="15361" width="7.5703125" customWidth="1"/>
    <col min="15363" max="15363" width="4.7109375" customWidth="1"/>
    <col min="15364" max="15364" width="0.7109375" customWidth="1"/>
    <col min="15365" max="15365" width="11.5703125" customWidth="1"/>
    <col min="15366" max="15366" width="1.42578125" customWidth="1"/>
    <col min="15367" max="15367" width="9.85546875" customWidth="1"/>
    <col min="15368" max="15368" width="2.28515625" customWidth="1"/>
    <col min="15369" max="15369" width="10" customWidth="1"/>
    <col min="15370" max="15370" width="2" customWidth="1"/>
    <col min="15371" max="15371" width="10.5703125" customWidth="1"/>
    <col min="15372" max="15372" width="9.42578125" customWidth="1"/>
    <col min="15373" max="15373" width="8.5703125" customWidth="1"/>
    <col min="15374" max="15374" width="0.7109375" customWidth="1"/>
    <col min="15375" max="15375" width="9.85546875" customWidth="1"/>
    <col min="15376" max="15376" width="10.140625" customWidth="1"/>
    <col min="15377" max="15377" width="27.85546875" customWidth="1"/>
    <col min="15379" max="15379" width="13" customWidth="1"/>
    <col min="15385" max="15385" width="15.42578125" customWidth="1"/>
    <col min="15386" max="15386" width="12.7109375" bestFit="1" customWidth="1"/>
    <col min="15617" max="15617" width="7.5703125" customWidth="1"/>
    <col min="15619" max="15619" width="4.7109375" customWidth="1"/>
    <col min="15620" max="15620" width="0.7109375" customWidth="1"/>
    <col min="15621" max="15621" width="11.5703125" customWidth="1"/>
    <col min="15622" max="15622" width="1.42578125" customWidth="1"/>
    <col min="15623" max="15623" width="9.85546875" customWidth="1"/>
    <col min="15624" max="15624" width="2.28515625" customWidth="1"/>
    <col min="15625" max="15625" width="10" customWidth="1"/>
    <col min="15626" max="15626" width="2" customWidth="1"/>
    <col min="15627" max="15627" width="10.5703125" customWidth="1"/>
    <col min="15628" max="15628" width="9.42578125" customWidth="1"/>
    <col min="15629" max="15629" width="8.5703125" customWidth="1"/>
    <col min="15630" max="15630" width="0.7109375" customWidth="1"/>
    <col min="15631" max="15631" width="9.85546875" customWidth="1"/>
    <col min="15632" max="15632" width="10.140625" customWidth="1"/>
    <col min="15633" max="15633" width="27.85546875" customWidth="1"/>
    <col min="15635" max="15635" width="13" customWidth="1"/>
    <col min="15641" max="15641" width="15.42578125" customWidth="1"/>
    <col min="15642" max="15642" width="12.7109375" bestFit="1" customWidth="1"/>
    <col min="15873" max="15873" width="7.5703125" customWidth="1"/>
    <col min="15875" max="15875" width="4.7109375" customWidth="1"/>
    <col min="15876" max="15876" width="0.7109375" customWidth="1"/>
    <col min="15877" max="15877" width="11.5703125" customWidth="1"/>
    <col min="15878" max="15878" width="1.42578125" customWidth="1"/>
    <col min="15879" max="15879" width="9.85546875" customWidth="1"/>
    <col min="15880" max="15880" width="2.28515625" customWidth="1"/>
    <col min="15881" max="15881" width="10" customWidth="1"/>
    <col min="15882" max="15882" width="2" customWidth="1"/>
    <col min="15883" max="15883" width="10.5703125" customWidth="1"/>
    <col min="15884" max="15884" width="9.42578125" customWidth="1"/>
    <col min="15885" max="15885" width="8.5703125" customWidth="1"/>
    <col min="15886" max="15886" width="0.7109375" customWidth="1"/>
    <col min="15887" max="15887" width="9.85546875" customWidth="1"/>
    <col min="15888" max="15888" width="10.140625" customWidth="1"/>
    <col min="15889" max="15889" width="27.85546875" customWidth="1"/>
    <col min="15891" max="15891" width="13" customWidth="1"/>
    <col min="15897" max="15897" width="15.42578125" customWidth="1"/>
    <col min="15898" max="15898" width="12.7109375" bestFit="1" customWidth="1"/>
    <col min="16129" max="16129" width="7.5703125" customWidth="1"/>
    <col min="16131" max="16131" width="4.7109375" customWidth="1"/>
    <col min="16132" max="16132" width="0.7109375" customWidth="1"/>
    <col min="16133" max="16133" width="11.5703125" customWidth="1"/>
    <col min="16134" max="16134" width="1.42578125" customWidth="1"/>
    <col min="16135" max="16135" width="9.85546875" customWidth="1"/>
    <col min="16136" max="16136" width="2.28515625" customWidth="1"/>
    <col min="16137" max="16137" width="10" customWidth="1"/>
    <col min="16138" max="16138" width="2" customWidth="1"/>
    <col min="16139" max="16139" width="10.5703125" customWidth="1"/>
    <col min="16140" max="16140" width="9.42578125" customWidth="1"/>
    <col min="16141" max="16141" width="8.5703125" customWidth="1"/>
    <col min="16142" max="16142" width="0.7109375" customWidth="1"/>
    <col min="16143" max="16143" width="9.85546875" customWidth="1"/>
    <col min="16144" max="16144" width="10.140625" customWidth="1"/>
    <col min="16145" max="16145" width="27.85546875" customWidth="1"/>
    <col min="16147" max="16147" width="13" customWidth="1"/>
    <col min="16153" max="16153" width="15.42578125" customWidth="1"/>
    <col min="16154" max="16154" width="12.7109375" bestFit="1" customWidth="1"/>
  </cols>
  <sheetData>
    <row r="1" spans="1:34" ht="28.5">
      <c r="F1" s="1067"/>
      <c r="G1" s="1067"/>
      <c r="H1" s="742"/>
    </row>
    <row r="2" spans="1:34" ht="27" thickBot="1">
      <c r="H2" s="743"/>
    </row>
    <row r="3" spans="1:34" ht="27" thickBot="1">
      <c r="H3" s="744"/>
      <c r="L3" s="1068"/>
      <c r="M3" s="1068"/>
      <c r="O3" s="745"/>
      <c r="P3" s="4"/>
      <c r="Q3" s="746" t="s">
        <v>472</v>
      </c>
      <c r="R3" s="747" t="e">
        <f>Note_Globale</f>
        <v>#REF!</v>
      </c>
      <c r="S3" s="748" t="s">
        <v>473</v>
      </c>
      <c r="T3" s="747" t="e">
        <f>IF(AND(Note_Globale&gt;10,Note_Globale&lt;=20),1,IF(AND(Note_Globale&lt;=10,Note_Globale&gt;9),2,IF(AND(Note_Globale&lt;=9,Note_Globale&gt;7),3,IF(AND(Note_Globale&lt;=7,Note_Globale&gt;4),4,IF(AND(Note_Globale&lt;=4,Note_Globale&gt;0),5,6)))))</f>
        <v>#REF!</v>
      </c>
      <c r="V3" t="e">
        <f>VLOOKUP(T3,#REF!,3)</f>
        <v>#REF!</v>
      </c>
    </row>
    <row r="4" spans="1:34" ht="75" customHeight="1">
      <c r="B4" s="749"/>
      <c r="E4" s="749"/>
      <c r="G4" s="749"/>
      <c r="H4" s="749"/>
      <c r="I4" s="749"/>
      <c r="J4" s="749"/>
      <c r="K4" s="749"/>
    </row>
    <row r="5" spans="1:34" ht="18.75">
      <c r="A5" s="810" t="s">
        <v>558</v>
      </c>
      <c r="B5" s="749"/>
      <c r="E5" s="749"/>
      <c r="G5" s="749"/>
      <c r="H5" s="749"/>
      <c r="I5" s="749"/>
      <c r="J5" s="749"/>
      <c r="K5" s="749"/>
    </row>
    <row r="6" spans="1:34" ht="18.75">
      <c r="A6" s="752"/>
      <c r="B6" s="749"/>
      <c r="E6" s="749"/>
      <c r="G6" s="749"/>
      <c r="H6" s="749"/>
      <c r="I6" s="749"/>
      <c r="J6" s="749"/>
      <c r="K6" s="749"/>
    </row>
    <row r="7" spans="1:34" ht="15">
      <c r="A7" s="749"/>
      <c r="B7" s="749"/>
      <c r="E7" s="1069" t="s">
        <v>572</v>
      </c>
      <c r="G7" s="1071" t="s">
        <v>474</v>
      </c>
      <c r="H7" s="1072"/>
      <c r="I7" s="1072"/>
      <c r="J7" s="1072"/>
      <c r="K7" s="1073"/>
      <c r="M7" s="1074" t="s">
        <v>475</v>
      </c>
      <c r="N7" s="18"/>
      <c r="O7" s="1074" t="s">
        <v>476</v>
      </c>
      <c r="Q7" s="753"/>
      <c r="S7" s="1053"/>
      <c r="T7" s="1053"/>
      <c r="U7" s="1053"/>
      <c r="V7" s="1053"/>
      <c r="W7" s="1053"/>
    </row>
    <row r="8" spans="1:34" ht="15">
      <c r="E8" s="1070"/>
      <c r="G8" s="754">
        <v>2014</v>
      </c>
      <c r="H8" s="755"/>
      <c r="I8" s="756">
        <v>2013</v>
      </c>
      <c r="J8" s="755"/>
      <c r="K8" s="757">
        <v>2012</v>
      </c>
      <c r="M8" s="1075"/>
      <c r="N8" s="18"/>
      <c r="O8" s="1075"/>
      <c r="Q8" s="758"/>
      <c r="R8" s="759" t="s">
        <v>379</v>
      </c>
      <c r="S8" s="759" t="s">
        <v>380</v>
      </c>
      <c r="T8" s="759" t="s">
        <v>381</v>
      </c>
      <c r="U8" s="760" t="s">
        <v>382</v>
      </c>
      <c r="V8" s="761" t="s">
        <v>383</v>
      </c>
      <c r="W8" s="759" t="s">
        <v>384</v>
      </c>
      <c r="X8" s="762" t="s">
        <v>477</v>
      </c>
      <c r="Y8" s="762" t="s">
        <v>478</v>
      </c>
      <c r="Z8" s="762" t="s">
        <v>479</v>
      </c>
      <c r="AA8" s="763" t="s">
        <v>480</v>
      </c>
      <c r="AB8" s="762" t="s">
        <v>481</v>
      </c>
      <c r="AE8" s="764" t="s">
        <v>482</v>
      </c>
      <c r="AF8" s="759">
        <v>2012</v>
      </c>
      <c r="AH8" s="759">
        <v>2011</v>
      </c>
    </row>
    <row r="9" spans="1:34" ht="15.75" thickBot="1">
      <c r="A9" s="749"/>
      <c r="B9" s="749"/>
      <c r="E9" s="750"/>
      <c r="G9" s="749"/>
      <c r="J9" s="749"/>
      <c r="L9" s="749"/>
      <c r="Q9" s="750"/>
      <c r="R9" s="749"/>
      <c r="S9" s="4"/>
      <c r="T9" s="4"/>
      <c r="U9" s="4"/>
      <c r="V9" s="751"/>
      <c r="W9" s="4"/>
      <c r="AC9" s="765">
        <f>IF(AA9=" ",0,AA9*AB9)</f>
        <v>0</v>
      </c>
      <c r="AE9" s="750"/>
      <c r="AF9" s="749"/>
      <c r="AH9" s="749"/>
    </row>
    <row r="10" spans="1:34" ht="21" thickTop="1" thickBot="1">
      <c r="C10" s="750" t="s">
        <v>483</v>
      </c>
      <c r="E10" s="766">
        <f>IF(AF10=0,"",AF10)</f>
        <v>1693</v>
      </c>
      <c r="F10" s="767"/>
      <c r="G10" s="741">
        <f>IF(NOT(ISBLANK(D_37021)),D_37021,"")</f>
        <v>939</v>
      </c>
      <c r="H10" s="768"/>
      <c r="I10" s="741">
        <f>IF(NOT(ISBLANK(D_37021_1)),D_37021_1,"")</f>
        <v>1577.88</v>
      </c>
      <c r="J10" s="768"/>
      <c r="K10" s="741">
        <f>IF(NOT(ISBLANK(D_37021_2)),D_37021_2,"")</f>
        <v>1834.03</v>
      </c>
      <c r="L10" s="769" t="s">
        <v>484</v>
      </c>
      <c r="M10" s="770" t="str">
        <f>IF(W10="","",IF(W10&lt;-0.3,"LL",IF(W10&lt;-0.2,"L",IF(W10&lt;0,"K",IF(W10&lt;0.1,"J","JJ")))))</f>
        <v>LL</v>
      </c>
      <c r="O10" s="771">
        <f>U10</f>
        <v>-0.40489771085253634</v>
      </c>
      <c r="Q10" s="750" t="s">
        <v>378</v>
      </c>
      <c r="R10" s="772">
        <f>IF(G10="","",G10)</f>
        <v>939</v>
      </c>
      <c r="S10" s="773">
        <f>IF(I10="","",I10)</f>
        <v>1577.88</v>
      </c>
      <c r="T10" s="773">
        <f>K10</f>
        <v>1834.03</v>
      </c>
      <c r="U10" s="774">
        <f>IF(S10=0,"NS",IF(R10="","",IF(S10="","",IF(S10="","",(R10-S10)/ABS(S10)))))</f>
        <v>-0.40489771085253634</v>
      </c>
      <c r="V10" s="775"/>
      <c r="W10" s="776">
        <f>IF(E10=" ","",IF(E10=0,"",IF(G10=" ","",IF(G10="","",IF(E10="","",(G10-E10)/ABS(E10))))))</f>
        <v>-0.44536326048434732</v>
      </c>
      <c r="X10" s="777" t="str">
        <f t="shared" ref="X10" si="0">IF(W10="","",IF(W10&lt;-0.3,"4",IF(W10&lt;-0.2,"7",IF(W10&lt;0,"10",IF(W10&lt;0.25,"15","18")))))</f>
        <v>4</v>
      </c>
      <c r="Y10" s="777">
        <f t="shared" ref="Y10" si="1">IF(X10="",0,2)</f>
        <v>2</v>
      </c>
      <c r="Z10" s="777">
        <f t="shared" ref="Z10" si="2">IF(X10="",0,X10*Y10)</f>
        <v>8</v>
      </c>
      <c r="AA10" s="777" t="str">
        <f>IF(U10="NS"," ",IF(U10=""," ",IF(U10=""," ",IF(U10&lt;-0.2,"4",IF(U10&lt;-0.05,"7",IF(U10&lt;0.05,"10",IF(U10&lt;0.2,"15","18")))))))</f>
        <v>4</v>
      </c>
      <c r="AB10" s="777">
        <f>IF(AA10=" ",0,3)</f>
        <v>3</v>
      </c>
      <c r="AC10" s="765">
        <f>IF(AA10=" ",0,AA10*AB10)</f>
        <v>12</v>
      </c>
      <c r="AE10" s="765" t="s">
        <v>378</v>
      </c>
      <c r="AF10" s="816">
        <f>Exploit.Moyenne!M42</f>
        <v>1693</v>
      </c>
      <c r="AH10" s="772">
        <v>1963</v>
      </c>
    </row>
    <row r="11" spans="1:34" ht="15" customHeight="1" thickTop="1" thickBot="1">
      <c r="A11" s="749"/>
      <c r="B11" s="749"/>
      <c r="C11" s="750"/>
      <c r="E11" s="811"/>
      <c r="F11" s="767"/>
      <c r="G11" s="778"/>
      <c r="H11" s="768"/>
      <c r="I11" s="768"/>
      <c r="J11" s="778"/>
      <c r="K11" s="768"/>
      <c r="L11" s="769"/>
      <c r="M11" s="779"/>
      <c r="O11" s="9"/>
      <c r="Q11" s="750"/>
      <c r="R11" s="749"/>
      <c r="S11" s="4"/>
      <c r="T11" s="4"/>
      <c r="U11" s="780"/>
      <c r="V11" s="751"/>
      <c r="W11" s="781"/>
      <c r="X11" s="777"/>
      <c r="Y11" s="777"/>
      <c r="Z11" s="777"/>
      <c r="AA11" s="782"/>
      <c r="AB11" s="783"/>
      <c r="AF11" s="749"/>
      <c r="AH11" s="749"/>
    </row>
    <row r="12" spans="1:34" ht="21" thickTop="1" thickBot="1">
      <c r="C12" s="750" t="s">
        <v>485</v>
      </c>
      <c r="E12" s="766">
        <f t="shared" ref="E12:E28" si="3">IF(AF12=0,"",AF12)</f>
        <v>1477</v>
      </c>
      <c r="F12" s="767"/>
      <c r="G12" s="784">
        <f>IF(G10="","",D_37022)</f>
        <v>289.95999999999998</v>
      </c>
      <c r="H12" s="785"/>
      <c r="I12" s="784">
        <f>IF(I10="","",D_37022_1)</f>
        <v>980.67</v>
      </c>
      <c r="J12" s="785"/>
      <c r="K12" s="784">
        <f>IF(K10="","",D_37022_2)</f>
        <v>1175.5899999999999</v>
      </c>
      <c r="L12" s="769" t="s">
        <v>484</v>
      </c>
      <c r="M12" s="770" t="str">
        <f>IF(W12="","",IF(W12&lt;-0.3,"LL",IF(W12&lt;-0.2,"L",IF(W12&lt;0,"K",IF(W12&lt;0.1,"J","JJ")))))</f>
        <v>LL</v>
      </c>
      <c r="O12" s="771">
        <f>U12</f>
        <v>-0.70432459440994433</v>
      </c>
      <c r="Q12" s="750" t="s">
        <v>385</v>
      </c>
      <c r="R12" s="772">
        <f>IF(G12="","",G12)</f>
        <v>289.95999999999998</v>
      </c>
      <c r="S12" s="773">
        <f>IF(I12="","",I12)</f>
        <v>980.67</v>
      </c>
      <c r="T12" s="773">
        <f>K12</f>
        <v>1175.5899999999999</v>
      </c>
      <c r="U12" s="774">
        <f>IF(S12=0,"NS",IF(R12="","",IF(S12="","",IF(S12="","",(R12-S12)/ABS(S12)))))</f>
        <v>-0.70432459440994433</v>
      </c>
      <c r="V12" s="775"/>
      <c r="W12" s="776">
        <f>IF(E12=" ","",IF(E12=0,"",IF(G12=" ","",IF(G12="","",IF(E12="","",(G12-E12)/ABS(E12))))))</f>
        <v>-0.80368314150304665</v>
      </c>
      <c r="X12" s="777" t="str">
        <f>IF(W12="","",IF(W12&lt;-0.3,"4",IF(W12&lt;-0.2,"7",IF(W12&lt;0,"10",IF(W12&lt;0.25,"15","18")))))</f>
        <v>4</v>
      </c>
      <c r="Y12" s="777">
        <f>IF(X12="",0,2)</f>
        <v>2</v>
      </c>
      <c r="Z12" s="777">
        <f>IF(X12="",0,X12*Y12)</f>
        <v>8</v>
      </c>
      <c r="AA12" s="777" t="str">
        <f>IF(U12="NS"," ",IF(U12=""," ",IF(U12=""," ",IF(U12&lt;-0.2,"4",IF(U12&lt;-0.05,"7",IF(U12&lt;0.05,"10",IF(U12&lt;0.2,"15","18")))))))</f>
        <v>4</v>
      </c>
      <c r="AB12" s="777">
        <f>IF(AA12=" ",0,2)</f>
        <v>2</v>
      </c>
      <c r="AC12" s="765">
        <f>IF(AA12=" ",0,AA12*AB12)</f>
        <v>8</v>
      </c>
      <c r="AE12" s="765" t="s">
        <v>385</v>
      </c>
      <c r="AF12" s="816">
        <f>Exploit.Moyenne!H23</f>
        <v>1477</v>
      </c>
      <c r="AH12" s="772">
        <v>1455</v>
      </c>
    </row>
    <row r="13" spans="1:34" ht="15" customHeight="1" thickTop="1" thickBot="1">
      <c r="B13" s="749"/>
      <c r="C13" s="750"/>
      <c r="E13" s="811"/>
      <c r="F13" s="767"/>
      <c r="G13" s="778"/>
      <c r="H13" s="768"/>
      <c r="I13" s="768"/>
      <c r="J13" s="778"/>
      <c r="K13" s="768"/>
      <c r="L13" s="769"/>
      <c r="M13" s="786"/>
      <c r="O13" s="9"/>
      <c r="Q13" s="750"/>
      <c r="R13" s="749"/>
      <c r="S13" s="4"/>
      <c r="T13" s="4"/>
      <c r="U13" s="780"/>
      <c r="V13" s="751"/>
      <c r="W13" s="781"/>
      <c r="X13" s="787"/>
      <c r="Y13" s="787"/>
      <c r="Z13" s="783"/>
      <c r="AA13" s="782"/>
      <c r="AB13" s="783"/>
      <c r="AF13" s="749"/>
      <c r="AH13" s="749"/>
    </row>
    <row r="14" spans="1:34" ht="21" thickTop="1" thickBot="1">
      <c r="C14" s="750" t="s">
        <v>486</v>
      </c>
      <c r="E14" s="766">
        <f t="shared" si="3"/>
        <v>672</v>
      </c>
      <c r="F14" s="767"/>
      <c r="G14" s="741">
        <f>IF(NOT(ISBLANK(D_37026)),D_37026,"")</f>
        <v>-334.06</v>
      </c>
      <c r="H14" s="785"/>
      <c r="I14" s="741">
        <f>IF(NOT(ISBLANK(D_37026_1)),D_37026_1,"")</f>
        <v>218.5</v>
      </c>
      <c r="J14" s="785"/>
      <c r="K14" s="741">
        <f>IF(NOT(ISBLANK(D_37026_2)),D_37026_2,"")</f>
        <v>432.01</v>
      </c>
      <c r="L14" s="769" t="s">
        <v>484</v>
      </c>
      <c r="M14" s="770" t="str">
        <f>IF(W14=""," ",IF(W14&lt;-0.3,"LL",IF(W14&lt;-0.2,"L",IF(W14&lt;0,"K",IF(W14&lt;0.1,"J","JJ")))))</f>
        <v>LL</v>
      </c>
      <c r="O14" s="771">
        <f>U14</f>
        <v>-2.5288787185354686</v>
      </c>
      <c r="Q14" s="750" t="s">
        <v>386</v>
      </c>
      <c r="R14" s="772">
        <f>IF(G14="","",G14)</f>
        <v>-334.06</v>
      </c>
      <c r="S14" s="773">
        <f>IF(I14="","",I14)</f>
        <v>218.5</v>
      </c>
      <c r="T14" s="773">
        <f>K14</f>
        <v>432.01</v>
      </c>
      <c r="U14" s="774">
        <f>IF(S14=0,"NS",IF(R14="","",IF(S14="","",IF(S14="","",(R14-S14)/ABS(S14)))))</f>
        <v>-2.5288787185354686</v>
      </c>
      <c r="V14" s="775"/>
      <c r="W14" s="776">
        <f>IF(E14=" ","",IF(E14=0,"",IF(G14=" ","",IF(G14="","",IF(E14="","",(G14-E14)/ABS(E14))))))</f>
        <v>-1.4971130952380951</v>
      </c>
      <c r="X14" s="777" t="str">
        <f>IF(W14="","",IF(W14&lt;-0.3,"4",IF(W14&lt;-0.2,"7",IF(W14&lt;0,"10",IF(W14&lt;0.25,"15","18")))))</f>
        <v>4</v>
      </c>
      <c r="Y14" s="777">
        <f>IF(X14="",0,2)</f>
        <v>2</v>
      </c>
      <c r="Z14" s="777">
        <f>IF(X14="",0,X14*Y14)</f>
        <v>8</v>
      </c>
      <c r="AA14" s="777" t="str">
        <f>IF(U14="NS"," ",IF(U14=""," ",IF(U14=""," ",IF(U14&lt;-0.2,"4",IF(U14&lt;-0.05,"7",IF(U14&lt;0.05,"10",IF(U14&lt;0.2,"15","18")))))))</f>
        <v>4</v>
      </c>
      <c r="AB14" s="777">
        <f>IF(AA14=" ",0,2)</f>
        <v>2</v>
      </c>
      <c r="AC14" s="765">
        <f>IF(AA14=" ",0,AA14*AB14)</f>
        <v>8</v>
      </c>
      <c r="AE14" s="765" t="s">
        <v>386</v>
      </c>
      <c r="AF14" s="816">
        <f>Exploit.Moyenne!H37</f>
        <v>672</v>
      </c>
      <c r="AH14" s="772">
        <v>687</v>
      </c>
    </row>
    <row r="15" spans="1:34" ht="15" customHeight="1" thickTop="1" thickBot="1">
      <c r="B15" s="749"/>
      <c r="C15" s="750"/>
      <c r="E15" s="811"/>
      <c r="F15" s="767"/>
      <c r="G15" s="778"/>
      <c r="H15" s="768"/>
      <c r="I15" s="768"/>
      <c r="J15" s="778"/>
      <c r="K15" s="768"/>
      <c r="L15" s="769"/>
      <c r="M15" s="786"/>
      <c r="O15" s="9"/>
      <c r="Q15" s="750"/>
      <c r="R15" s="749"/>
      <c r="S15" s="4"/>
      <c r="T15" s="4"/>
      <c r="U15" s="780"/>
      <c r="V15" s="751"/>
      <c r="W15" s="781"/>
      <c r="X15" s="787"/>
      <c r="Y15" s="787"/>
      <c r="Z15" s="783"/>
      <c r="AA15" s="782"/>
      <c r="AB15" s="783"/>
      <c r="AF15" s="749"/>
      <c r="AH15" s="749"/>
    </row>
    <row r="16" spans="1:34" ht="21" thickTop="1" thickBot="1">
      <c r="C16" s="750" t="s">
        <v>487</v>
      </c>
      <c r="E16" s="766">
        <f t="shared" si="3"/>
        <v>-62</v>
      </c>
      <c r="F16" s="767"/>
      <c r="G16" s="741">
        <f>IF(NOT(ISBLANK(D_37101)),D_37101,"")</f>
        <v>-24.93</v>
      </c>
      <c r="H16" s="785"/>
      <c r="I16" s="741">
        <f>IF(NOT(ISBLANK(D_37101_1)),D_37101_1,"")</f>
        <v>-23.7</v>
      </c>
      <c r="J16" s="785"/>
      <c r="K16" s="741">
        <f>IF(NOT(ISBLANK(D_37101_2)),D_37101_2,"")</f>
        <v>-29.06</v>
      </c>
      <c r="L16" s="769" t="s">
        <v>484</v>
      </c>
      <c r="M16" s="770" t="str">
        <f>IF(W16=""," ",IF(W16&lt;-0.2,"LL",IF(W16&lt;-0.1,"L",IF(W16&lt;=0.05,"K",IF(W16&lt;=0.2,"J",IF(W16&gt;0.2,"JJ"))))))</f>
        <v>JJ</v>
      </c>
      <c r="O16" s="771">
        <f>U16</f>
        <v>-5.189873417721521E-2</v>
      </c>
      <c r="Q16" s="750" t="s">
        <v>488</v>
      </c>
      <c r="R16" s="772">
        <f>IF(G16="","",G16)</f>
        <v>-24.93</v>
      </c>
      <c r="S16" s="773">
        <f>IF(I16="","",I16)</f>
        <v>-23.7</v>
      </c>
      <c r="T16" s="773">
        <f>K16</f>
        <v>-29.06</v>
      </c>
      <c r="U16" s="774">
        <f>IF(S16=0,"NS",IF(R16="","",IF(S16="","",IF(S16="","",(R16-S16)/ABS(S16)))))</f>
        <v>-5.189873417721521E-2</v>
      </c>
      <c r="V16" s="775"/>
      <c r="W16" s="776">
        <f>IF(E16=" ","",IF(E16=0,"",IF(G16=" ","",IF(G16="","",IF(E16="","",(G16-E16)/ABS(E16))))))</f>
        <v>0.59790322580645161</v>
      </c>
      <c r="X16" s="777" t="str">
        <f>IF(W16="","",IF(W16&lt;-0.3,"18",IF(W16&lt;-0.2,"15",IF(W16&lt;0,"10",IF(W16&lt;0.25,"7","4")))))</f>
        <v>4</v>
      </c>
      <c r="Y16" s="777">
        <f>IF(X16="",0,2)</f>
        <v>2</v>
      </c>
      <c r="Z16" s="777">
        <f>IF(X16="",0,X16*Y16)</f>
        <v>8</v>
      </c>
      <c r="AA16" s="777" t="str">
        <f>IF(U16="NS"," ",IF(U16=""," ",IF(U16&lt;-0.2,"18",IF(U16&lt;-0.05,"15",IF(U16&lt;0.05,"10",IF(U16&lt;0.2,"7","4"))))))</f>
        <v>15</v>
      </c>
      <c r="AB16" s="777">
        <f>IF(AA16=" ",0,2)</f>
        <v>2</v>
      </c>
      <c r="AC16" s="765">
        <f>IF(AA16=" ",0,AA16*AB16)</f>
        <v>30</v>
      </c>
      <c r="AE16" s="765" t="s">
        <v>489</v>
      </c>
      <c r="AF16" s="816">
        <f>Exploit.Moyenne!M44</f>
        <v>-62</v>
      </c>
      <c r="AH16" s="772">
        <v>-45</v>
      </c>
    </row>
    <row r="17" spans="1:34" ht="15" customHeight="1" thickTop="1" thickBot="1">
      <c r="B17" s="749"/>
      <c r="C17" s="750"/>
      <c r="E17" s="811"/>
      <c r="G17" s="778"/>
      <c r="H17" s="788"/>
      <c r="I17" s="788"/>
      <c r="J17" s="778"/>
      <c r="K17" s="788"/>
      <c r="L17" s="769"/>
      <c r="M17" s="786"/>
      <c r="O17" s="9"/>
      <c r="Q17" s="750"/>
      <c r="R17" s="749"/>
      <c r="S17" s="4"/>
      <c r="T17" s="4"/>
      <c r="U17" s="780"/>
      <c r="V17" s="751"/>
      <c r="W17" s="781"/>
      <c r="X17" s="787"/>
      <c r="Y17" s="787"/>
      <c r="Z17" s="783"/>
      <c r="AA17" s="782"/>
      <c r="AB17" s="783"/>
      <c r="AF17" s="749"/>
      <c r="AH17" s="749"/>
    </row>
    <row r="18" spans="1:34" ht="21" thickTop="1" thickBot="1">
      <c r="B18" s="4"/>
      <c r="C18" s="750" t="s">
        <v>490</v>
      </c>
      <c r="E18" s="766">
        <f t="shared" si="3"/>
        <v>425</v>
      </c>
      <c r="G18" s="741">
        <f>IF(NOT(ISBLANK(D_37029)),D_37029,"")</f>
        <v>-191.82</v>
      </c>
      <c r="H18" s="789"/>
      <c r="I18" s="741">
        <f>IF(NOT(ISBLANK(D_37029_1)),D_37029_1,"")</f>
        <v>342.03</v>
      </c>
      <c r="J18" s="789"/>
      <c r="K18" s="741">
        <f>IF(NOT(ISBLANK(D_37029_2)),D_37029_2,"")</f>
        <v>125</v>
      </c>
      <c r="L18" s="769" t="s">
        <v>484</v>
      </c>
      <c r="M18" s="770" t="str">
        <f>IF(W18=""," ",IF(W18&lt;-0.3,"LL",IF(W18&lt;-0.2,"L",IF(W18&lt;0,"K",IF(W18&lt;0.1,"J","JJ")))))</f>
        <v>LL</v>
      </c>
      <c r="O18" s="771">
        <f>U18</f>
        <v>-1.5608279975440749</v>
      </c>
      <c r="Q18" s="750" t="s">
        <v>388</v>
      </c>
      <c r="R18" s="772">
        <f>IF(G18="","",G18)</f>
        <v>-191.82</v>
      </c>
      <c r="S18" s="773">
        <f>IF(I18="","",I18)</f>
        <v>342.03</v>
      </c>
      <c r="T18" s="773">
        <f>K18</f>
        <v>125</v>
      </c>
      <c r="U18" s="774">
        <f>IF(S18=0,"NS",IF(R18="","",IF(S18="","",IF(S18="","",(R18-S18)/ABS(S18)))))</f>
        <v>-1.5608279975440749</v>
      </c>
      <c r="V18" s="790"/>
      <c r="W18" s="776">
        <f>IF(E18=" ","",IF(E18=0,"",IF(G18=" ","",IF(G18="","",IF(E18="","",(G18-E18)/ABS(E18))))))</f>
        <v>-1.4513411764705881</v>
      </c>
      <c r="X18" s="777" t="str">
        <f>IF(W18="","",IF(W18&lt;-0.3,"4",IF(W18&lt;-0.2,"7",IF(W18&lt;0,"10",IF(W18&lt;0.25,"15","18")))))</f>
        <v>4</v>
      </c>
      <c r="Y18" s="777">
        <f>IF(X18="",0,4)</f>
        <v>4</v>
      </c>
      <c r="Z18" s="777">
        <f>IF(X18="",0,X18*Y18)</f>
        <v>16</v>
      </c>
      <c r="AA18" s="777" t="str">
        <f>IF(U18="NS"," ",IF(U18=""," ",IF(U18=""," ",IF(U18&lt;-0.2,"4",IF(U18&lt;-0.05,"7",IF(U18&lt;0.05,"10",IF(U18&lt;0.2,"15","18")))))))</f>
        <v>4</v>
      </c>
      <c r="AB18" s="777">
        <f>IF(AA18=" ",0,4)</f>
        <v>4</v>
      </c>
      <c r="AC18" s="765">
        <f>IF(AA18=" ",0,AA18*AB18)</f>
        <v>16</v>
      </c>
      <c r="AE18" s="765" t="s">
        <v>388</v>
      </c>
      <c r="AF18" s="816">
        <f>Exploit.Moyenne!H39</f>
        <v>425</v>
      </c>
      <c r="AH18" s="772">
        <v>427</v>
      </c>
    </row>
    <row r="19" spans="1:34" ht="15" customHeight="1" thickTop="1" thickBot="1">
      <c r="B19" s="751"/>
      <c r="C19" s="749"/>
      <c r="E19" s="811"/>
      <c r="G19" s="778"/>
      <c r="H19" s="788"/>
      <c r="I19" s="788"/>
      <c r="J19" s="778"/>
      <c r="K19" s="788"/>
      <c r="L19" s="769"/>
      <c r="M19" s="786"/>
      <c r="O19" s="9"/>
      <c r="Q19" s="749"/>
      <c r="R19" s="749"/>
      <c r="S19" s="4"/>
      <c r="T19" s="4"/>
      <c r="U19" s="780"/>
      <c r="V19" s="751"/>
      <c r="W19" s="781"/>
      <c r="X19" s="777"/>
      <c r="Y19" s="787"/>
      <c r="Z19" s="783"/>
      <c r="AA19" s="777"/>
      <c r="AB19" s="783"/>
      <c r="AF19" s="749"/>
      <c r="AH19" s="749"/>
    </row>
    <row r="20" spans="1:34" ht="21" thickTop="1" thickBot="1">
      <c r="C20" s="750" t="s">
        <v>24</v>
      </c>
      <c r="E20" s="766">
        <f t="shared" si="3"/>
        <v>611</v>
      </c>
      <c r="F20" s="767"/>
      <c r="G20" s="741">
        <f>IF(NOT(ISBLANK(D_37182)),D_37182,"")</f>
        <v>394.42</v>
      </c>
      <c r="H20" s="768"/>
      <c r="I20" s="741">
        <f>IF(NOT(ISBLANK(D_37182_1)),D_37182_1,"")</f>
        <v>525.54</v>
      </c>
      <c r="J20" s="768"/>
      <c r="K20" s="741">
        <f>IF(NOT(ISBLANK(D_37182_2)),D_37182_2,"")</f>
        <v>3.44</v>
      </c>
      <c r="L20" s="769" t="s">
        <v>484</v>
      </c>
      <c r="M20" s="770" t="str">
        <f>IF(W20=""," ",IF(W20&lt;-0.3,"LL",IF(W20&lt;-0.2,"L",IF(W20&lt;0,"K",IF(W20&lt;0.1,"J","JJ")))))</f>
        <v>LL</v>
      </c>
      <c r="O20" s="771">
        <f>U20</f>
        <v>-0.24949575674544269</v>
      </c>
      <c r="Q20" s="750" t="s">
        <v>390</v>
      </c>
      <c r="R20" s="772">
        <f>IF(G20="","",G20)</f>
        <v>394.42</v>
      </c>
      <c r="S20" s="773">
        <f>IF(I20="","",I20)</f>
        <v>525.54</v>
      </c>
      <c r="T20" s="773">
        <f>K20</f>
        <v>3.44</v>
      </c>
      <c r="U20" s="774">
        <f>IF(S20=0,"NS",IF(R20="","",IF(S20="","",IF(S20="","",(R20-S20)/ABS(S20)))))</f>
        <v>-0.24949575674544269</v>
      </c>
      <c r="V20" s="790"/>
      <c r="W20" s="776">
        <f>IF(E20=" ","",IF(E20=0,"",IF(G20=" ","",IF(G20="","",IF(E20="","",(G20-E20)/ABS(E20))))))</f>
        <v>-0.35446808510638295</v>
      </c>
      <c r="X20" s="777" t="str">
        <f t="shared" ref="X20" si="4">IF(W20="","",IF(W20&lt;-0.3,"4",IF(W20&lt;-0.2,"7",IF(W20&lt;0,"10",IF(W20&lt;0.25,"15","18")))))</f>
        <v>4</v>
      </c>
      <c r="Y20" s="777">
        <f>IF(X20="",0,1)</f>
        <v>1</v>
      </c>
      <c r="Z20" s="777">
        <f>IF(X20="",0,X20*Y20)</f>
        <v>4</v>
      </c>
      <c r="AA20" s="777" t="str">
        <f t="shared" ref="AA20" si="5">IF(U20="NS"," ",IF(U20=""," ",IF(U20=""," ",IF(U20&lt;-0.2,"4",IF(U20&lt;-0.05,"7",IF(U20&lt;0.05,"10",IF(U20&lt;0.2,"15","18")))))))</f>
        <v>4</v>
      </c>
      <c r="AB20" s="777">
        <f>IF(AA20=" ",0,1)</f>
        <v>1</v>
      </c>
      <c r="AC20" s="765">
        <f>IF(AA20=" ",0,AA20*AB20)</f>
        <v>4</v>
      </c>
      <c r="AE20" s="765" t="s">
        <v>390</v>
      </c>
      <c r="AF20" s="816">
        <f>Exploit.Moyenne!H48</f>
        <v>611</v>
      </c>
      <c r="AH20" s="772">
        <v>1021</v>
      </c>
    </row>
    <row r="21" spans="1:34" ht="15" customHeight="1" thickTop="1" thickBot="1">
      <c r="C21" s="750"/>
      <c r="E21" s="811"/>
      <c r="F21" s="767"/>
      <c r="G21" s="778"/>
      <c r="H21" s="768"/>
      <c r="I21" s="768"/>
      <c r="J21" s="778"/>
      <c r="K21" s="768"/>
      <c r="L21" s="769"/>
      <c r="M21" s="786"/>
      <c r="O21" s="9"/>
      <c r="Q21" s="750"/>
      <c r="R21" s="749"/>
      <c r="S21" s="4"/>
      <c r="T21" s="4"/>
      <c r="U21" s="780"/>
      <c r="V21" s="751"/>
      <c r="W21" s="781"/>
      <c r="X21" s="787"/>
      <c r="Y21" s="787"/>
      <c r="Z21" s="783"/>
      <c r="AA21" s="782"/>
      <c r="AB21" s="783"/>
      <c r="AF21" s="749"/>
      <c r="AH21" s="749"/>
    </row>
    <row r="22" spans="1:34" ht="21" thickTop="1" thickBot="1">
      <c r="C22" s="750" t="s">
        <v>559</v>
      </c>
      <c r="E22" s="766">
        <f t="shared" si="3"/>
        <v>58</v>
      </c>
      <c r="F22" s="767"/>
      <c r="G22" s="741" t="str">
        <f>IF(NOT(ISBLANK(D_37088)),D_37088,"")</f>
        <v/>
      </c>
      <c r="H22" s="768"/>
      <c r="I22" s="741" t="str">
        <f>IF(NOT(ISBLANK(D_37088_1)),D_37088_1,"")</f>
        <v/>
      </c>
      <c r="J22" s="768"/>
      <c r="K22" s="741" t="str">
        <f>IF(NOT(ISBLANK(D_37088_2)),D_37088_2,"")</f>
        <v/>
      </c>
      <c r="L22" s="769" t="s">
        <v>484</v>
      </c>
      <c r="M22" s="770" t="str">
        <f>IF(W22=""," ",IF(W22&lt;-0.2,"JJ",IF(W22&lt;-0.1,"J",IF(W22&lt;=0.05,"K",IF(W22&lt;=0.2,"L",IF(W22&gt;0.2,"LL"))))))</f>
        <v xml:space="preserve"> </v>
      </c>
      <c r="O22" s="771" t="str">
        <f>U22</f>
        <v/>
      </c>
      <c r="Q22" s="750" t="s">
        <v>453</v>
      </c>
      <c r="R22" s="772" t="str">
        <f>IF(G22="","",G22)</f>
        <v/>
      </c>
      <c r="S22" s="773" t="str">
        <f>IF(I22="","",I22)</f>
        <v/>
      </c>
      <c r="T22" s="773" t="str">
        <f>K22</f>
        <v/>
      </c>
      <c r="U22" s="774" t="str">
        <f>IF(S22=0,"NS",IF(R22="","",IF(S22="","",IF(S22="","",(R22-S22)/ABS(S22)))))</f>
        <v/>
      </c>
      <c r="V22" s="790"/>
      <c r="W22" s="776" t="str">
        <f>IF(E22=" ","",IF(E22=0,"",IF(G22=" ","",IF(G22="","",IF(E22="","",(G22-E22)/ABS(E22))))))</f>
        <v/>
      </c>
      <c r="X22" s="777" t="str">
        <f>IF(W22="","",IF(W22&lt;-0.3,"18",IF(W22&lt;-0.2,"15",IF(W22&lt;0,"10",IF(W22&lt;0.25,"7","4")))))</f>
        <v/>
      </c>
      <c r="Y22" s="777">
        <f>IF(X22="",0,1)</f>
        <v>0</v>
      </c>
      <c r="Z22" s="777">
        <f>IF(X22="",0,X22*Y22)</f>
        <v>0</v>
      </c>
      <c r="AA22" s="777" t="str">
        <f>IF(U22="NS"," ",IF(U22=""," ",IF(U22&lt;-0.2,"18",IF(U22&lt;-0.05,"15",IF(U22&lt;0.05,"10",IF(U22&lt;0.2,"7","4"))))))</f>
        <v xml:space="preserve"> </v>
      </c>
      <c r="AB22" s="777">
        <f>IF(AA22=" ",0,1)</f>
        <v>0</v>
      </c>
      <c r="AC22" s="765">
        <f>IF(AA22=" ",0,AA22*AB22)</f>
        <v>0</v>
      </c>
      <c r="AE22" s="765" t="s">
        <v>453</v>
      </c>
      <c r="AF22" s="816">
        <f>Exploit.Moyenne!H27</f>
        <v>58</v>
      </c>
      <c r="AH22" s="772">
        <v>95</v>
      </c>
    </row>
    <row r="23" spans="1:34" ht="15" customHeight="1" thickTop="1" thickBot="1">
      <c r="C23" s="750"/>
      <c r="E23" s="811"/>
      <c r="F23" s="767"/>
      <c r="G23" s="778"/>
      <c r="H23" s="768"/>
      <c r="I23" s="768"/>
      <c r="J23" s="768"/>
      <c r="K23" s="768"/>
      <c r="L23" s="769"/>
      <c r="M23" s="786"/>
      <c r="O23" s="9"/>
      <c r="Q23" s="750"/>
      <c r="R23" s="749"/>
      <c r="S23" s="4"/>
      <c r="T23" s="4"/>
      <c r="U23" s="780"/>
      <c r="V23" s="4"/>
      <c r="W23" s="781"/>
      <c r="X23" s="777"/>
      <c r="Y23" s="787"/>
      <c r="Z23" s="783"/>
      <c r="AA23" s="777"/>
      <c r="AB23" s="783"/>
      <c r="AF23" s="749"/>
      <c r="AH23" s="749"/>
    </row>
    <row r="24" spans="1:34" ht="21" thickTop="1" thickBot="1">
      <c r="C24" s="750" t="s">
        <v>491</v>
      </c>
      <c r="E24" s="766">
        <f t="shared" si="3"/>
        <v>47.49</v>
      </c>
      <c r="F24" s="767"/>
      <c r="G24" s="741">
        <f>IF(NOT(ISBLANK(D_37188)),D_37188,"")</f>
        <v>69.790000000000006</v>
      </c>
      <c r="H24" s="768"/>
      <c r="I24" s="741">
        <f>IF(NOT(ISBLANK(D_37188_1)),D_37188_1,"")</f>
        <v>59.99</v>
      </c>
      <c r="J24" s="768"/>
      <c r="K24" s="741">
        <f>IF(NOT(ISBLANK(D_37188_2)),D_37188_2,"")</f>
        <v>66.540000000000006</v>
      </c>
      <c r="L24" s="769" t="s">
        <v>492</v>
      </c>
      <c r="M24" s="770" t="str">
        <f>IF(W24=""," ",IF(W24&lt;-0.2,"JJ",IF(W24&lt;-0.1,"J",IF(W24&lt;=0.05,"K",IF(W24&lt;=0.2,"L",IF(W24&gt;0.2,"LL"))))))</f>
        <v>LL</v>
      </c>
      <c r="O24" s="771">
        <f>U24</f>
        <v>0.16336056009334896</v>
      </c>
      <c r="Q24" s="750" t="s">
        <v>414</v>
      </c>
      <c r="R24" s="772">
        <f>IF(G24="","",G24)</f>
        <v>69.790000000000006</v>
      </c>
      <c r="S24" s="773">
        <f>IF(I24="","",I24)</f>
        <v>59.99</v>
      </c>
      <c r="T24" s="773">
        <f>K24</f>
        <v>66.540000000000006</v>
      </c>
      <c r="U24" s="774">
        <f>IF(S24=0,"NS",IF(R24="","",IF(S24="","",IF(S24="","",(R24-S24)/ABS(S24)))))</f>
        <v>0.16336056009334896</v>
      </c>
      <c r="V24" s="790"/>
      <c r="W24" s="776">
        <f>IF(E24=" ","",IF(E24=0,"",IF(G24=" ","",IF(G24="","",IF(E24="","",(G24-E24)/ABS(E24))))))</f>
        <v>0.46957254158770273</v>
      </c>
      <c r="X24" s="777" t="str">
        <f t="shared" ref="X24" si="6">IF(W24="","",IF(W24&lt;-0.3,"18",IF(W24&lt;-0.2,"15",IF(W24&lt;0,"10",IF(W24&lt;0.25,"7","4")))))</f>
        <v>4</v>
      </c>
      <c r="Y24" s="777">
        <f>IF(X24="",0,2)</f>
        <v>2</v>
      </c>
      <c r="Z24" s="777">
        <f>IF(X24="",0,X24*Y24)</f>
        <v>8</v>
      </c>
      <c r="AA24" s="777" t="str">
        <f t="shared" ref="AA24" si="7">IF(U24="NS"," ",IF(U24=""," ",IF(U24&lt;-0.2,"18",IF(U24&lt;-0.05,"15",IF(U24&lt;0.05,"10",IF(U24&lt;0.2,"7","4"))))))</f>
        <v>7</v>
      </c>
      <c r="AB24" s="777">
        <f>IF(AA24=" ",0,2)</f>
        <v>2</v>
      </c>
      <c r="AC24" s="765">
        <f>IF(AA24=" ",0,AA24*AB24)</f>
        <v>14</v>
      </c>
      <c r="AE24" s="765" t="s">
        <v>414</v>
      </c>
      <c r="AF24" s="772">
        <f>Exploit.Moyenne!M46</f>
        <v>47.49</v>
      </c>
      <c r="AH24" s="772">
        <v>39</v>
      </c>
    </row>
    <row r="25" spans="1:34" ht="15" customHeight="1" thickTop="1" thickBot="1">
      <c r="C25" s="750"/>
      <c r="E25" s="811"/>
      <c r="G25" s="778"/>
      <c r="H25" s="788"/>
      <c r="I25" s="788"/>
      <c r="J25" s="788"/>
      <c r="K25" s="788"/>
      <c r="L25" s="769"/>
      <c r="M25" s="786"/>
      <c r="O25" s="9"/>
      <c r="Q25" s="750"/>
      <c r="R25" s="749"/>
      <c r="S25" s="4"/>
      <c r="T25" s="4"/>
      <c r="U25" s="780"/>
      <c r="V25" s="4"/>
      <c r="W25" s="781"/>
      <c r="X25" s="787"/>
      <c r="Y25" s="787"/>
      <c r="Z25" s="783"/>
      <c r="AA25" s="782"/>
      <c r="AB25" s="783"/>
      <c r="AF25" s="749"/>
      <c r="AH25" s="749"/>
    </row>
    <row r="26" spans="1:34" ht="21" thickTop="1" thickBot="1">
      <c r="C26" s="750" t="s">
        <v>493</v>
      </c>
      <c r="E26" s="766">
        <f t="shared" si="3"/>
        <v>136.52000000000001</v>
      </c>
      <c r="G26" s="741">
        <f>IF(NOT(ISBLANK(D_37187)),D_37187,"")</f>
        <v>37.07</v>
      </c>
      <c r="H26" s="785"/>
      <c r="I26" s="741">
        <f>IF(NOT(ISBLANK(D_37187_1)),D_37187_1,"")</f>
        <v>57.89</v>
      </c>
      <c r="J26" s="789"/>
      <c r="K26" s="741">
        <f>IF(NOT(ISBLANK(D_37187_2)),D_37187_2,"")</f>
        <v>28.77</v>
      </c>
      <c r="L26" s="769" t="s">
        <v>492</v>
      </c>
      <c r="M26" s="770" t="str">
        <f>IF(W26=""," ",IF(W26&lt;-0.3,"LL",IF(W26&lt;-0.2,"L",IF(W26&lt;0,"K",IF(W26&lt;0.1,"J","JJ")))))</f>
        <v>LL</v>
      </c>
      <c r="O26" s="771">
        <f>U26</f>
        <v>-0.3596476075315253</v>
      </c>
      <c r="Q26" s="750" t="s">
        <v>493</v>
      </c>
      <c r="R26" s="772">
        <f>IF(G26="","",G26)</f>
        <v>37.07</v>
      </c>
      <c r="S26" s="773">
        <f>IF(I26="","",I26)</f>
        <v>57.89</v>
      </c>
      <c r="T26" s="773">
        <f>K26</f>
        <v>28.77</v>
      </c>
      <c r="U26" s="774">
        <f>IF(S26=0,"NS",IF(R26="","",IF(S26="","",IF(S26="","",(R26-S26)/ABS(S26)))))</f>
        <v>-0.3596476075315253</v>
      </c>
      <c r="V26" s="790"/>
      <c r="W26" s="776">
        <f>IF(E26=" ","",IF(E26=0,"",IF(G26=" ","",IF(G26="","",IF(E26="","",(G26-E26)/ABS(E26))))))</f>
        <v>-0.72846469381775569</v>
      </c>
      <c r="X26" s="777" t="str">
        <f>IF(W26="","",IF(W26&lt;-0.3,"4",IF(W26&lt;-0.2,"7",IF(W26&lt;0,"10",IF(W26&lt;0.25,"15","18")))))</f>
        <v>4</v>
      </c>
      <c r="Y26" s="777">
        <f>IF(X26="",0,2)</f>
        <v>2</v>
      </c>
      <c r="Z26" s="777">
        <f>IF(X26="",0,X26*Y26)</f>
        <v>8</v>
      </c>
      <c r="AA26" s="777" t="str">
        <f>IF(U26="NS"," ",IF(U26=""," ",IF(U26=""," ",IF(U26&lt;-0.2,"4",IF(U26&lt;-0.05,"7",IF(U26&lt;0.05,"10",IF(U26&lt;0.2,"15","18")))))))</f>
        <v>4</v>
      </c>
      <c r="AB26" s="777">
        <f>IF(AA26=" ",0,2)</f>
        <v>2</v>
      </c>
      <c r="AC26" s="765">
        <f>IF(AA26=" ",0,AA26*AB26)</f>
        <v>8</v>
      </c>
      <c r="AE26" s="765" t="s">
        <v>493</v>
      </c>
      <c r="AF26" s="816">
        <f>Exploit.Moyenne!H42</f>
        <v>136.52000000000001</v>
      </c>
      <c r="AH26" s="772">
        <v>216</v>
      </c>
    </row>
    <row r="27" spans="1:34" ht="15" customHeight="1" thickTop="1" thickBot="1">
      <c r="C27" s="750"/>
      <c r="E27" s="811"/>
      <c r="G27" s="778"/>
      <c r="H27" s="788"/>
      <c r="I27" s="788"/>
      <c r="J27" s="788"/>
      <c r="K27" s="788"/>
      <c r="L27" s="769"/>
      <c r="M27" s="786"/>
      <c r="O27" s="9"/>
      <c r="Q27" s="750"/>
      <c r="R27" s="749"/>
      <c r="S27" s="4"/>
      <c r="T27" s="4"/>
      <c r="U27" s="780"/>
      <c r="V27" s="4"/>
      <c r="W27" s="781"/>
      <c r="X27" s="787"/>
      <c r="Y27" s="787"/>
      <c r="Z27" s="783"/>
      <c r="AA27" s="782"/>
      <c r="AB27" s="783"/>
      <c r="AF27" s="749"/>
      <c r="AH27" s="749"/>
    </row>
    <row r="28" spans="1:34" ht="21" thickTop="1" thickBot="1">
      <c r="C28" s="750" t="s">
        <v>468</v>
      </c>
      <c r="E28" s="766">
        <f t="shared" si="3"/>
        <v>40.85</v>
      </c>
      <c r="F28" s="791"/>
      <c r="G28" s="741">
        <f>IF(NOT(ISBLANK(D_37187)),D_37185,"")</f>
        <v>24.55</v>
      </c>
      <c r="H28" s="768"/>
      <c r="I28" s="741">
        <f>IF(NOT(ISBLANK(D_37187_1)),D_37185_1,"")</f>
        <v>40.01</v>
      </c>
      <c r="J28" s="768"/>
      <c r="K28" s="741">
        <f>IF(NOT(ISBLANK(D_37187_2)),D_37185_2,"")</f>
        <v>33.46</v>
      </c>
      <c r="L28" s="769" t="s">
        <v>492</v>
      </c>
      <c r="M28" s="770" t="str">
        <f>IF(W28=""," ",IF(W28&lt;-0.3,"LL",IF(W28&lt;-0.2,"L",IF(W28&lt;0,"K",IF(W28&lt;0.1,"J","JJ")))))</f>
        <v>LL</v>
      </c>
      <c r="O28" s="771">
        <f>U28</f>
        <v>-0.38640339915021238</v>
      </c>
      <c r="Q28" s="750" t="s">
        <v>468</v>
      </c>
      <c r="R28" s="772">
        <f>IF(G28="","",G28)</f>
        <v>24.55</v>
      </c>
      <c r="S28" s="773">
        <f>IF(I28="","",I28)</f>
        <v>40.01</v>
      </c>
      <c r="T28" s="773">
        <f>K28</f>
        <v>33.46</v>
      </c>
      <c r="U28" s="774">
        <f>IF(S28=0,"NS",IF(R28="","",IF(S28="","",IF(S28="","",(R28-S28)/ABS(S28)))))</f>
        <v>-0.38640339915021238</v>
      </c>
      <c r="V28" s="790"/>
      <c r="W28" s="776">
        <f>IF(E28=" ","",IF(E28=0,"",IF(G28=" ","",IF(G28="","",IF(E28="","",(G28-E28)/ABS(E28))))))</f>
        <v>-0.39902080783353733</v>
      </c>
      <c r="X28" s="777" t="str">
        <f>IF(W28="","",IF(W28&lt;-0.3,"4",IF(W28&lt;-0.2,"7",IF(W28&lt;0,"10",IF(W28&lt;0.25,"15","18")))))</f>
        <v>4</v>
      </c>
      <c r="Y28" s="777">
        <f>IF(X28="",0,2)</f>
        <v>2</v>
      </c>
      <c r="Z28" s="777">
        <f>IF(X28="",0,X28*Y28)</f>
        <v>8</v>
      </c>
      <c r="AA28" s="777" t="str">
        <f>IF(U28="NS"," ",IF(U28=""," ",IF(U28=""," ",IF(U28&lt;-0.2,"4",IF(U28&lt;-0.05,"7",IF(U28&lt;0.05,"10",IF(U28&lt;0.2,"15","18")))))))</f>
        <v>4</v>
      </c>
      <c r="AB28" s="777">
        <f>IF(AA28=" ",0,2)</f>
        <v>2</v>
      </c>
      <c r="AC28" s="765">
        <f>IF(AA28=" ",0,AA28*AB28)</f>
        <v>8</v>
      </c>
      <c r="AE28" s="765" t="s">
        <v>468</v>
      </c>
      <c r="AF28" s="816">
        <f>Exploit.Moyenne!H44</f>
        <v>40.85</v>
      </c>
      <c r="AH28" s="772">
        <v>51</v>
      </c>
    </row>
    <row r="29" spans="1:34" ht="30" customHeight="1" thickTop="1">
      <c r="S29" s="4"/>
      <c r="T29" s="4"/>
      <c r="U29" s="4"/>
      <c r="V29" s="4"/>
      <c r="W29" s="4"/>
      <c r="X29" s="787"/>
      <c r="Y29" s="787"/>
      <c r="Z29" s="792"/>
      <c r="AA29" s="793"/>
      <c r="AB29" s="783"/>
    </row>
    <row r="30" spans="1:34" ht="18.75">
      <c r="A30" s="812" t="s">
        <v>560</v>
      </c>
      <c r="G30" s="794" t="s">
        <v>421</v>
      </c>
      <c r="O30" s="794" t="s">
        <v>494</v>
      </c>
      <c r="W30" t="s">
        <v>495</v>
      </c>
      <c r="Y30">
        <f>Y28+Y26+Y24+Y22+Y20+Y18+Y16+Y14+Y12</f>
        <v>17</v>
      </c>
      <c r="Z30">
        <f>IF(Y30=0,"pas de note",(Z28+Z26+Z24+Z22+Z20+Z18+Z16+Z14+Z12)/Y30)</f>
        <v>4</v>
      </c>
      <c r="AB30">
        <f>AB28+AB26+AB24+AB22+AB20+AB18+AB16+AB14+AB12+AB10</f>
        <v>20</v>
      </c>
      <c r="AC30">
        <f>IF(AB30=0,"pas de note",(AC28+AC26+AC24+AC22+AC20+AC18+AC16+AC14+AC12+AC10)/AB30)</f>
        <v>5.4</v>
      </c>
    </row>
    <row r="31" spans="1:34" ht="15">
      <c r="B31" t="s">
        <v>496</v>
      </c>
      <c r="G31" s="1054">
        <f>Z30</f>
        <v>4</v>
      </c>
      <c r="H31" s="1055"/>
      <c r="I31" s="1055"/>
      <c r="J31" s="1055"/>
      <c r="K31" s="1055"/>
      <c r="L31" s="1055"/>
      <c r="M31" s="1055"/>
      <c r="N31" s="1055"/>
      <c r="O31" s="1056"/>
    </row>
    <row r="32" spans="1:34">
      <c r="G32" s="794"/>
      <c r="O32" s="794"/>
      <c r="R32" s="795" t="s">
        <v>497</v>
      </c>
      <c r="S32" s="796" t="s">
        <v>393</v>
      </c>
      <c r="T32" s="796"/>
      <c r="U32" s="796"/>
      <c r="V32" s="796"/>
      <c r="AA32" t="s">
        <v>498</v>
      </c>
    </row>
    <row r="33" spans="1:24" ht="15">
      <c r="B33" t="s">
        <v>499</v>
      </c>
      <c r="G33" s="1057">
        <f>AC30</f>
        <v>5.4</v>
      </c>
      <c r="H33" s="1055"/>
      <c r="I33" s="1055"/>
      <c r="J33" s="1055"/>
      <c r="K33" s="1055"/>
      <c r="L33" s="1055"/>
      <c r="M33" s="1055"/>
      <c r="N33" s="1055"/>
      <c r="O33" s="1056"/>
    </row>
    <row r="34" spans="1:24" ht="28.5" customHeight="1">
      <c r="G34" s="794"/>
      <c r="O34" s="794"/>
    </row>
    <row r="35" spans="1:24" ht="18.75">
      <c r="A35" s="810" t="s">
        <v>264</v>
      </c>
      <c r="B35" s="749"/>
    </row>
    <row r="37" spans="1:24">
      <c r="B37" s="1058" t="str">
        <f>IF(S40="","",VLOOKUP(S40,P50:Q56,2)&amp;" "&amp;VLOOKUP(S41,P59:Q64,2))</f>
        <v>Votre entreprise se situe bien en dessous de la moyenne des entreprises de votre secteur d'activité. Les principaux ratios de votre entreprise évoluent très défavorablement.</v>
      </c>
      <c r="C37" s="1059"/>
      <c r="D37" s="1059"/>
      <c r="E37" s="1059"/>
      <c r="F37" s="1059"/>
      <c r="G37" s="1059"/>
      <c r="H37" s="1059"/>
      <c r="I37" s="1059"/>
      <c r="J37" s="1059"/>
      <c r="K37" s="1059"/>
      <c r="L37" s="1059"/>
      <c r="M37" s="1060"/>
    </row>
    <row r="38" spans="1:24">
      <c r="B38" s="1061"/>
      <c r="C38" s="1062"/>
      <c r="D38" s="1062"/>
      <c r="E38" s="1062"/>
      <c r="F38" s="1062"/>
      <c r="G38" s="1062"/>
      <c r="H38" s="1062"/>
      <c r="I38" s="1062"/>
      <c r="J38" s="1062"/>
      <c r="K38" s="1062"/>
      <c r="L38" s="1062"/>
      <c r="M38" s="1063"/>
      <c r="Q38" t="s">
        <v>500</v>
      </c>
    </row>
    <row r="39" spans="1:24">
      <c r="B39" s="1061"/>
      <c r="C39" s="1062"/>
      <c r="D39" s="1062"/>
      <c r="E39" s="1062"/>
      <c r="F39" s="1062"/>
      <c r="G39" s="1062"/>
      <c r="H39" s="1062"/>
      <c r="I39" s="1062"/>
      <c r="J39" s="1062"/>
      <c r="K39" s="1062"/>
      <c r="L39" s="1062"/>
      <c r="M39" s="1063"/>
      <c r="T39" t="s">
        <v>501</v>
      </c>
      <c r="U39" t="s">
        <v>502</v>
      </c>
    </row>
    <row r="40" spans="1:24">
      <c r="B40" s="1064"/>
      <c r="C40" s="1065"/>
      <c r="D40" s="1065"/>
      <c r="E40" s="1065"/>
      <c r="F40" s="1065"/>
      <c r="G40" s="1065"/>
      <c r="H40" s="1065"/>
      <c r="I40" s="1065"/>
      <c r="J40" s="1065"/>
      <c r="K40" s="1065"/>
      <c r="L40" s="1065"/>
      <c r="M40" s="1066"/>
      <c r="Q40" t="s">
        <v>503</v>
      </c>
      <c r="R40">
        <f>Z30</f>
        <v>4</v>
      </c>
      <c r="S40" s="725">
        <f>IF(R40="pas de note",6,IF(Y30&lt;7,7,IF(AND(R40&gt;15,R40&lt;=20),1,IF(AND(R40&lt;=15,R40&gt;12),2,IF(AND(R40&lt;=12,R40&gt;9),3,IF(AND(R40&lt;=9,R40&gt;6),4,IF(AND(R40&lt;=6,R40&gt;0),5,"")))))))</f>
        <v>5</v>
      </c>
      <c r="T40">
        <f>IF(S40=6,0,IF(S40=7,0,2))</f>
        <v>2</v>
      </c>
      <c r="U40">
        <f>T40*S40</f>
        <v>10</v>
      </c>
    </row>
    <row r="41" spans="1:24">
      <c r="Q41" t="s">
        <v>504</v>
      </c>
      <c r="R41">
        <f>AC30</f>
        <v>5.4</v>
      </c>
      <c r="S41" s="725">
        <f>IF(R41="pas de note",6,IF(AB30&lt;7,7,IF(AND(R41&gt;15,R41&lt;=20),1,IF(AND(R41&lt;=15,R41&gt;12),2,IF(AND(R41&lt;=12,R41&gt;9),3,IF(AND(R41&lt;=9,R41&gt;6),4,IF(AND(R41&lt;=6,R41&gt;0),5,"")))))))</f>
        <v>5</v>
      </c>
      <c r="T41">
        <f>IF(S41=6,0,IF(S41=7,0,4))</f>
        <v>4</v>
      </c>
      <c r="U41">
        <f>T41*S41</f>
        <v>20</v>
      </c>
    </row>
    <row r="42" spans="1:24">
      <c r="Q42" t="s">
        <v>505</v>
      </c>
      <c r="R42" t="e">
        <f>Note_Globale</f>
        <v>#REF!</v>
      </c>
      <c r="S42" s="725" t="e">
        <f>IF(R42="",6,IF(AND(R42&gt;11,R42&lt;=20),1,IF(AND(R42&lt;=11,R42&gt;9),2,IF(AND(R42&lt;=9,R42&gt;7),3,IF(AND(R42&lt;=7,R42&gt;4),4,IF(AND(R42&lt;=4,R42&gt;0),5,""))))))</f>
        <v>#REF!</v>
      </c>
      <c r="T42" t="e">
        <f>IF(S42=6,0,5)</f>
        <v>#REF!</v>
      </c>
      <c r="U42" t="e">
        <f>T42*S42</f>
        <v>#REF!</v>
      </c>
    </row>
    <row r="43" spans="1:24">
      <c r="S43" t="s">
        <v>506</v>
      </c>
      <c r="T43" t="e">
        <f>SUM(T40:T42)</f>
        <v>#REF!</v>
      </c>
      <c r="U43" t="e">
        <f>SUM(U40:U42)</f>
        <v>#REF!</v>
      </c>
    </row>
    <row r="44" spans="1:24">
      <c r="T44" t="s">
        <v>282</v>
      </c>
      <c r="U44" t="e">
        <f>U43/T43</f>
        <v>#REF!</v>
      </c>
      <c r="V44" t="s">
        <v>507</v>
      </c>
      <c r="X44" t="e">
        <f>IF(T43=0,"G",IF(U44&gt;=4.9,"A",IF(U44&gt;=3.9,"B",IF(U44&gt;=3.3,"C",IF(U44&gt;=2.5,"D",IF(U44&gt;=2.1,"E","F"))))))</f>
        <v>#REF!</v>
      </c>
    </row>
    <row r="48" spans="1:24">
      <c r="P48" t="s">
        <v>508</v>
      </c>
    </row>
    <row r="50" spans="16:31">
      <c r="P50">
        <v>1</v>
      </c>
      <c r="Q50" t="s">
        <v>509</v>
      </c>
      <c r="Z50">
        <v>5</v>
      </c>
      <c r="AA50">
        <v>5</v>
      </c>
      <c r="AB50">
        <v>5</v>
      </c>
    </row>
    <row r="51" spans="16:31">
      <c r="P51">
        <v>2</v>
      </c>
      <c r="Q51" t="s">
        <v>510</v>
      </c>
      <c r="Z51">
        <v>5</v>
      </c>
      <c r="AA51">
        <v>4</v>
      </c>
      <c r="AB51">
        <v>5</v>
      </c>
    </row>
    <row r="52" spans="16:31">
      <c r="P52">
        <v>3</v>
      </c>
      <c r="Q52" t="s">
        <v>511</v>
      </c>
      <c r="Z52">
        <v>5</v>
      </c>
      <c r="AA52">
        <v>4</v>
      </c>
      <c r="AB52">
        <v>4</v>
      </c>
    </row>
    <row r="53" spans="16:31">
      <c r="P53">
        <v>4</v>
      </c>
      <c r="Q53" t="s">
        <v>512</v>
      </c>
      <c r="Y53" s="12" t="s">
        <v>513</v>
      </c>
      <c r="Z53" s="12">
        <f>(Z52+Z51+Z50)/3</f>
        <v>5</v>
      </c>
      <c r="AA53" s="12">
        <f>(AA52+AA51+AA50)/3</f>
        <v>4.333333333333333</v>
      </c>
      <c r="AB53" s="12">
        <f>(AB52+AB51+AB50)/3</f>
        <v>4.666666666666667</v>
      </c>
      <c r="AC53" s="12"/>
      <c r="AD53" s="12" t="s">
        <v>514</v>
      </c>
      <c r="AE53" s="12" t="s">
        <v>515</v>
      </c>
    </row>
    <row r="54" spans="16:31">
      <c r="P54">
        <v>5</v>
      </c>
      <c r="Q54" t="s">
        <v>516</v>
      </c>
      <c r="Y54" s="4"/>
      <c r="Z54" s="4"/>
      <c r="AA54" s="4"/>
      <c r="AB54" s="4"/>
      <c r="AC54" s="4"/>
      <c r="AD54" s="4"/>
      <c r="AE54" s="4"/>
    </row>
    <row r="55" spans="16:31">
      <c r="P55">
        <v>6</v>
      </c>
      <c r="Q55" t="s">
        <v>517</v>
      </c>
      <c r="Y55" s="17"/>
      <c r="Z55" s="17"/>
      <c r="AA55" s="17"/>
      <c r="AB55" s="17"/>
      <c r="AC55" s="17"/>
      <c r="AD55" s="17"/>
      <c r="AE55" s="17"/>
    </row>
    <row r="56" spans="16:31">
      <c r="P56">
        <v>7</v>
      </c>
      <c r="Q56" t="s">
        <v>518</v>
      </c>
      <c r="Y56" s="17"/>
      <c r="Z56" s="17"/>
      <c r="AA56" s="17"/>
      <c r="AB56" s="17"/>
      <c r="AC56" s="17"/>
      <c r="AD56" s="17"/>
      <c r="AE56" s="17"/>
    </row>
    <row r="57" spans="16:31">
      <c r="P57" t="s">
        <v>519</v>
      </c>
      <c r="Y57" s="17"/>
      <c r="Z57" s="17"/>
      <c r="AA57" s="17"/>
      <c r="AB57" s="17"/>
      <c r="AC57" s="17"/>
      <c r="AD57" s="17"/>
      <c r="AE57" s="17"/>
    </row>
    <row r="59" spans="16:31">
      <c r="P59">
        <v>1</v>
      </c>
      <c r="Q59" t="s">
        <v>520</v>
      </c>
      <c r="Z59">
        <v>4</v>
      </c>
      <c r="AA59">
        <v>4</v>
      </c>
    </row>
    <row r="60" spans="16:31">
      <c r="P60">
        <v>2</v>
      </c>
      <c r="Q60" t="s">
        <v>521</v>
      </c>
      <c r="Z60">
        <v>4</v>
      </c>
      <c r="AA60">
        <v>4</v>
      </c>
    </row>
    <row r="61" spans="16:31">
      <c r="P61">
        <v>3</v>
      </c>
      <c r="Q61" t="s">
        <v>522</v>
      </c>
      <c r="Z61">
        <v>4</v>
      </c>
      <c r="AA61">
        <v>3</v>
      </c>
    </row>
    <row r="62" spans="16:31">
      <c r="P62">
        <v>4</v>
      </c>
      <c r="Q62" t="s">
        <v>523</v>
      </c>
      <c r="Y62" s="12" t="s">
        <v>513</v>
      </c>
      <c r="Z62" s="12">
        <f>(Z61+Z60+Z59)/3</f>
        <v>4</v>
      </c>
      <c r="AA62" s="12">
        <f>(AA61+AA60+AA59)/3</f>
        <v>3.6666666666666665</v>
      </c>
      <c r="AB62" s="12"/>
      <c r="AC62" s="12"/>
      <c r="AD62" s="12" t="s">
        <v>524</v>
      </c>
      <c r="AE62" s="12" t="s">
        <v>525</v>
      </c>
    </row>
    <row r="63" spans="16:31">
      <c r="P63">
        <v>5</v>
      </c>
      <c r="Q63" t="s">
        <v>526</v>
      </c>
      <c r="Y63" s="4"/>
      <c r="Z63" s="4"/>
      <c r="AA63" s="4"/>
      <c r="AB63" s="4"/>
      <c r="AC63" s="4"/>
      <c r="AD63" s="4"/>
      <c r="AE63" s="4"/>
    </row>
    <row r="64" spans="16:31">
      <c r="P64">
        <v>6</v>
      </c>
      <c r="Q64" t="s">
        <v>527</v>
      </c>
      <c r="Y64" s="4"/>
      <c r="Z64" s="4"/>
      <c r="AA64" s="4"/>
      <c r="AB64" s="4"/>
      <c r="AC64" s="4"/>
      <c r="AD64" s="4"/>
      <c r="AE64" s="4"/>
    </row>
    <row r="65" spans="16:31">
      <c r="P65" t="s">
        <v>528</v>
      </c>
    </row>
    <row r="67" spans="16:31">
      <c r="P67">
        <v>1</v>
      </c>
      <c r="Q67" t="s">
        <v>529</v>
      </c>
      <c r="Z67">
        <v>4</v>
      </c>
      <c r="AA67">
        <v>3</v>
      </c>
    </row>
    <row r="68" spans="16:31">
      <c r="P68">
        <v>2</v>
      </c>
      <c r="Q68" t="s">
        <v>530</v>
      </c>
      <c r="Z68">
        <v>3</v>
      </c>
      <c r="AA68">
        <v>3</v>
      </c>
    </row>
    <row r="69" spans="16:31">
      <c r="P69">
        <v>3</v>
      </c>
      <c r="Q69" t="s">
        <v>531</v>
      </c>
      <c r="Z69">
        <v>3</v>
      </c>
      <c r="AA69">
        <v>3</v>
      </c>
    </row>
    <row r="70" spans="16:31">
      <c r="P70">
        <v>4</v>
      </c>
      <c r="Q70" t="s">
        <v>532</v>
      </c>
      <c r="Y70" s="12" t="s">
        <v>513</v>
      </c>
      <c r="Z70" s="12">
        <f>(Z69+Z68+Z67)/3</f>
        <v>3.3333333333333335</v>
      </c>
      <c r="AA70" s="12">
        <f>(AA69+AA68+AA67)/3</f>
        <v>3</v>
      </c>
      <c r="AB70" s="12"/>
      <c r="AC70" s="12"/>
      <c r="AD70" s="12" t="s">
        <v>533</v>
      </c>
      <c r="AE70" s="12" t="s">
        <v>534</v>
      </c>
    </row>
    <row r="71" spans="16:31">
      <c r="P71">
        <v>5</v>
      </c>
      <c r="Q71" t="s">
        <v>535</v>
      </c>
      <c r="Y71" s="4"/>
      <c r="Z71" s="4"/>
      <c r="AA71" s="4"/>
      <c r="AB71" s="4"/>
      <c r="AC71" s="4"/>
      <c r="AD71" s="4"/>
      <c r="AE71" s="4"/>
    </row>
    <row r="72" spans="16:31">
      <c r="P72">
        <v>6</v>
      </c>
      <c r="Q72" t="s">
        <v>536</v>
      </c>
      <c r="Y72" s="4"/>
      <c r="Z72" s="4"/>
      <c r="AA72" s="4"/>
      <c r="AB72" s="4"/>
      <c r="AC72" s="4"/>
      <c r="AD72" s="4"/>
      <c r="AE72" s="4"/>
    </row>
    <row r="73" spans="16:31">
      <c r="P73" t="s">
        <v>537</v>
      </c>
      <c r="Y73" s="4"/>
      <c r="Z73" s="4"/>
      <c r="AA73" s="4"/>
      <c r="AB73" s="4"/>
      <c r="AC73" s="4"/>
      <c r="AD73" s="4"/>
      <c r="AE73" s="4"/>
    </row>
    <row r="75" spans="16:31">
      <c r="Z75">
        <v>3</v>
      </c>
    </row>
    <row r="76" spans="16:31">
      <c r="Z76">
        <v>2</v>
      </c>
    </row>
    <row r="77" spans="16:31">
      <c r="Z77">
        <v>2</v>
      </c>
    </row>
    <row r="78" spans="16:31">
      <c r="Y78" s="12" t="s">
        <v>513</v>
      </c>
      <c r="Z78" s="12">
        <f>(Z77+Z76+Z75)/3</f>
        <v>2.3333333333333335</v>
      </c>
      <c r="AA78" s="12"/>
      <c r="AB78" s="12"/>
      <c r="AC78" s="12"/>
      <c r="AD78" s="12" t="s">
        <v>538</v>
      </c>
      <c r="AE78" s="12" t="s">
        <v>539</v>
      </c>
    </row>
    <row r="79" spans="16:31">
      <c r="Y79" s="4"/>
      <c r="Z79" s="4"/>
      <c r="AA79" s="4"/>
      <c r="AB79" s="4"/>
      <c r="AC79" s="4"/>
      <c r="AD79" s="4"/>
      <c r="AE79" s="4"/>
    </row>
    <row r="80" spans="16:31">
      <c r="Y80" s="4"/>
      <c r="Z80" s="4"/>
      <c r="AA80" s="4"/>
      <c r="AB80" s="4"/>
      <c r="AC80" s="4"/>
      <c r="AD80" s="4"/>
      <c r="AE80" s="4"/>
    </row>
    <row r="81" spans="25:31">
      <c r="Y81" s="4"/>
      <c r="Z81" s="4"/>
      <c r="AA81" s="4"/>
      <c r="AB81" s="4"/>
      <c r="AC81" s="4"/>
      <c r="AD81" s="4"/>
      <c r="AE81" s="4"/>
    </row>
    <row r="82" spans="25:31">
      <c r="Y82" s="4"/>
      <c r="Z82" s="4"/>
      <c r="AA82" s="4"/>
      <c r="AB82" s="4"/>
      <c r="AC82" s="4"/>
      <c r="AD82" s="4"/>
      <c r="AE82" s="4"/>
    </row>
    <row r="87" spans="25:31">
      <c r="AE87" t="s">
        <v>540</v>
      </c>
    </row>
    <row r="96" spans="25:31" ht="191.25">
      <c r="Y96" s="621" t="s">
        <v>541</v>
      </c>
      <c r="Z96" s="797" t="s">
        <v>542</v>
      </c>
      <c r="AA96" t="s">
        <v>543</v>
      </c>
      <c r="AB96" s="798"/>
      <c r="AC96" s="798"/>
      <c r="AD96" s="798"/>
      <c r="AE96" s="799"/>
    </row>
    <row r="97" spans="25:32" ht="180">
      <c r="Y97" s="621" t="s">
        <v>544</v>
      </c>
      <c r="Z97" s="800" t="s">
        <v>545</v>
      </c>
      <c r="AA97" t="s">
        <v>541</v>
      </c>
      <c r="AB97" s="801"/>
      <c r="AC97" s="801"/>
      <c r="AD97" s="801"/>
      <c r="AE97" s="802"/>
    </row>
    <row r="98" spans="25:32" ht="78.75">
      <c r="Y98" s="621" t="s">
        <v>5</v>
      </c>
      <c r="Z98" s="803" t="s">
        <v>546</v>
      </c>
      <c r="AA98" t="s">
        <v>547</v>
      </c>
      <c r="AB98" s="804"/>
      <c r="AC98" s="804"/>
      <c r="AD98" s="804"/>
      <c r="AE98" s="805"/>
    </row>
    <row r="99" spans="25:32" ht="90">
      <c r="Y99" s="621" t="s">
        <v>9</v>
      </c>
      <c r="Z99" s="797" t="s">
        <v>548</v>
      </c>
      <c r="AA99" t="s">
        <v>549</v>
      </c>
      <c r="AB99" s="804"/>
      <c r="AC99" s="804"/>
      <c r="AD99" s="804"/>
      <c r="AE99" s="805"/>
    </row>
    <row r="100" spans="25:32" ht="90">
      <c r="Y100" s="621" t="s">
        <v>550</v>
      </c>
      <c r="Z100" s="797" t="s">
        <v>551</v>
      </c>
      <c r="AA100" s="806" t="s">
        <v>544</v>
      </c>
      <c r="AB100" s="798"/>
      <c r="AC100" s="798"/>
      <c r="AD100" s="798"/>
      <c r="AE100" s="799"/>
    </row>
    <row r="101" spans="25:32">
      <c r="Y101" s="621" t="s">
        <v>552</v>
      </c>
      <c r="Z101" s="807" t="s">
        <v>553</v>
      </c>
      <c r="AA101" s="806" t="s">
        <v>554</v>
      </c>
      <c r="AB101" s="798"/>
      <c r="AC101" s="798"/>
      <c r="AD101" s="798"/>
      <c r="AE101" s="799"/>
    </row>
    <row r="102" spans="25:32">
      <c r="Y102" s="808" t="s">
        <v>555</v>
      </c>
      <c r="Z102" s="809" t="s">
        <v>556</v>
      </c>
      <c r="AA102" s="806" t="s">
        <v>557</v>
      </c>
      <c r="AF102" s="806"/>
    </row>
    <row r="103" spans="25:32">
      <c r="AF103" s="806"/>
    </row>
  </sheetData>
  <mergeCells count="10">
    <mergeCell ref="F1:G1"/>
    <mergeCell ref="L3:M3"/>
    <mergeCell ref="E7:E8"/>
    <mergeCell ref="G7:K7"/>
    <mergeCell ref="M7:M8"/>
    <mergeCell ref="B37:M40"/>
    <mergeCell ref="G31:O31"/>
    <mergeCell ref="G33:O33"/>
    <mergeCell ref="O7:O8"/>
    <mergeCell ref="S7:W7"/>
  </mergeCells>
  <conditionalFormatting sqref="M12">
    <cfRule type="iconSet" priority="122">
      <iconSet iconSet="4RedToBlack">
        <cfvo type="percent" val="0"/>
        <cfvo type="percent" val="25"/>
        <cfvo type="percent" val="50"/>
        <cfvo type="percent" val="75"/>
      </iconSet>
    </cfRule>
  </conditionalFormatting>
  <conditionalFormatting sqref="M10">
    <cfRule type="iconSet" priority="121">
      <iconSet iconSet="4RedToBlack">
        <cfvo type="percent" val="0"/>
        <cfvo type="percent" val="25"/>
        <cfvo type="percent" val="50"/>
        <cfvo type="percent" val="75"/>
      </iconSet>
    </cfRule>
  </conditionalFormatting>
  <conditionalFormatting sqref="M14">
    <cfRule type="iconSet" priority="120">
      <iconSet iconSet="4RedToBlack">
        <cfvo type="percent" val="0"/>
        <cfvo type="percent" val="25"/>
        <cfvo type="percent" val="50"/>
        <cfvo type="percent" val="75"/>
      </iconSet>
    </cfRule>
  </conditionalFormatting>
  <conditionalFormatting sqref="M18">
    <cfRule type="iconSet" priority="119">
      <iconSet iconSet="4RedToBlack">
        <cfvo type="percent" val="0"/>
        <cfvo type="percent" val="25"/>
        <cfvo type="percent" val="50"/>
        <cfvo type="percent" val="75"/>
      </iconSet>
    </cfRule>
  </conditionalFormatting>
  <conditionalFormatting sqref="M18 M26">
    <cfRule type="iconSet" priority="118">
      <iconSet iconSet="4RedToBlack">
        <cfvo type="percent" val="0"/>
        <cfvo type="percent" val="25"/>
        <cfvo type="percent" val="50"/>
        <cfvo type="percent" val="75"/>
      </iconSet>
    </cfRule>
  </conditionalFormatting>
  <conditionalFormatting sqref="M18 M28 M26">
    <cfRule type="iconSet" priority="117">
      <iconSet iconSet="4RedToBlack">
        <cfvo type="percent" val="0"/>
        <cfvo type="percent" val="25"/>
        <cfvo type="percent" val="50"/>
        <cfvo type="percent" val="75"/>
      </iconSet>
    </cfRule>
  </conditionalFormatting>
  <conditionalFormatting sqref="X10">
    <cfRule type="iconSet" priority="116">
      <iconSet iconSet="4RedToBlack">
        <cfvo type="percent" val="0"/>
        <cfvo type="percent" val="25"/>
        <cfvo type="percent" val="50"/>
        <cfvo type="percent" val="75"/>
      </iconSet>
    </cfRule>
  </conditionalFormatting>
  <conditionalFormatting sqref="X10:X12">
    <cfRule type="iconSet" priority="115">
      <iconSet iconSet="4RedToBlack">
        <cfvo type="percent" val="0"/>
        <cfvo type="percent" val="25"/>
        <cfvo type="percent" val="50"/>
        <cfvo type="percent" val="75"/>
      </iconSet>
    </cfRule>
  </conditionalFormatting>
  <conditionalFormatting sqref="X14">
    <cfRule type="iconSet" priority="114">
      <iconSet iconSet="4RedToBlack">
        <cfvo type="percent" val="0"/>
        <cfvo type="percent" val="25"/>
        <cfvo type="percent" val="50"/>
        <cfvo type="percent" val="75"/>
      </iconSet>
    </cfRule>
  </conditionalFormatting>
  <conditionalFormatting sqref="X16 X14">
    <cfRule type="iconSet" priority="113">
      <iconSet iconSet="4RedToBlack">
        <cfvo type="percent" val="0"/>
        <cfvo type="percent" val="25"/>
        <cfvo type="percent" val="50"/>
        <cfvo type="percent" val="75"/>
      </iconSet>
    </cfRule>
  </conditionalFormatting>
  <conditionalFormatting sqref="X16 X14 X18:X20">
    <cfRule type="iconSet" priority="112">
      <iconSet iconSet="4RedToBlack">
        <cfvo type="percent" val="0"/>
        <cfvo type="percent" val="25"/>
        <cfvo type="percent" val="50"/>
        <cfvo type="percent" val="75"/>
      </iconSet>
    </cfRule>
  </conditionalFormatting>
  <conditionalFormatting sqref="X16 X14 X18:X20 X22:X24">
    <cfRule type="iconSet" priority="111">
      <iconSet iconSet="4RedToBlack">
        <cfvo type="percent" val="0"/>
        <cfvo type="percent" val="25"/>
        <cfvo type="percent" val="50"/>
        <cfvo type="percent" val="75"/>
      </iconSet>
    </cfRule>
  </conditionalFormatting>
  <conditionalFormatting sqref="X16 X14 X26 X18:X20 X22:X24">
    <cfRule type="iconSet" priority="110">
      <iconSet iconSet="4RedToBlack">
        <cfvo type="percent" val="0"/>
        <cfvo type="percent" val="25"/>
        <cfvo type="percent" val="50"/>
        <cfvo type="percent" val="75"/>
      </iconSet>
    </cfRule>
  </conditionalFormatting>
  <conditionalFormatting sqref="X16 X14 X26 X28 X18:X20 X22:X24">
    <cfRule type="iconSet" priority="109">
      <iconSet iconSet="4RedToBlack">
        <cfvo type="percent" val="0"/>
        <cfvo type="percent" val="25"/>
        <cfvo type="percent" val="50"/>
        <cfvo type="percent" val="75"/>
      </iconSet>
    </cfRule>
  </conditionalFormatting>
  <conditionalFormatting sqref="G31:O31">
    <cfRule type="dataBar" priority="108">
      <dataBar showValue="0">
        <cfvo type="num" val="0"/>
        <cfvo type="num" val="20"/>
        <color theme="9" tint="-0.249977111117893"/>
      </dataBar>
    </cfRule>
  </conditionalFormatting>
  <conditionalFormatting sqref="G33:O33">
    <cfRule type="dataBar" priority="107">
      <dataBar showValue="0">
        <cfvo type="num" val="0"/>
        <cfvo type="num" val="20"/>
        <color rgb="FF00B050"/>
      </dataBar>
    </cfRule>
  </conditionalFormatting>
  <conditionalFormatting sqref="O10">
    <cfRule type="iconSet" priority="105">
      <iconSet iconSet="5Arrows" showValue="0">
        <cfvo type="percent" val="0"/>
        <cfvo type="num" val="-0.2"/>
        <cfvo type="num" val="-0.05"/>
        <cfvo type="num" val="0.05"/>
        <cfvo type="num" val="0.2"/>
      </iconSet>
    </cfRule>
  </conditionalFormatting>
  <conditionalFormatting sqref="O12">
    <cfRule type="iconSet" priority="104">
      <iconSet iconSet="5Arrows" showValue="0">
        <cfvo type="percent" val="0"/>
        <cfvo type="num" val="-20"/>
        <cfvo type="num" val="-5"/>
        <cfvo type="num" val="5"/>
        <cfvo type="num" val="20"/>
      </iconSet>
    </cfRule>
  </conditionalFormatting>
  <conditionalFormatting sqref="O12 O14">
    <cfRule type="iconSet" priority="103">
      <iconSet iconSet="5Arrows" showValue="0">
        <cfvo type="percent" val="0"/>
        <cfvo type="num" val="-20"/>
        <cfvo type="num" val="-5"/>
        <cfvo type="num" val="5"/>
        <cfvo type="num" val="20"/>
      </iconSet>
    </cfRule>
  </conditionalFormatting>
  <conditionalFormatting sqref="O12 O14 O16">
    <cfRule type="iconSet" priority="102">
      <iconSet iconSet="5Arrows" showValue="0">
        <cfvo type="percent" val="0"/>
        <cfvo type="num" val="-20"/>
        <cfvo type="num" val="-5"/>
        <cfvo type="num" val="5"/>
        <cfvo type="num" val="20"/>
      </iconSet>
    </cfRule>
  </conditionalFormatting>
  <conditionalFormatting sqref="O12 O14 O16 O18">
    <cfRule type="iconSet" priority="101">
      <iconSet iconSet="5Arrows" showValue="0">
        <cfvo type="percent" val="0"/>
        <cfvo type="num" val="-20"/>
        <cfvo type="num" val="-5"/>
        <cfvo type="num" val="5"/>
        <cfvo type="num" val="20"/>
      </iconSet>
    </cfRule>
  </conditionalFormatting>
  <conditionalFormatting sqref="O12 O14 O16 O18 O20">
    <cfRule type="iconSet" priority="100">
      <iconSet iconSet="5Arrows" showValue="0">
        <cfvo type="percent" val="0"/>
        <cfvo type="num" val="-20"/>
        <cfvo type="num" val="-5"/>
        <cfvo type="num" val="5"/>
        <cfvo type="num" val="20"/>
      </iconSet>
    </cfRule>
  </conditionalFormatting>
  <conditionalFormatting sqref="O12 O14 O16 O18 O20 O22">
    <cfRule type="iconSet" priority="99">
      <iconSet iconSet="5Arrows" showValue="0">
        <cfvo type="percent" val="0"/>
        <cfvo type="num" val="-20"/>
        <cfvo type="num" val="-5"/>
        <cfvo type="num" val="5"/>
        <cfvo type="num" val="20"/>
      </iconSet>
    </cfRule>
  </conditionalFormatting>
  <conditionalFormatting sqref="O12 O14 O16 O18 O20 O22 O24">
    <cfRule type="iconSet" priority="98">
      <iconSet iconSet="5Arrows" showValue="0">
        <cfvo type="percent" val="0"/>
        <cfvo type="num" val="-20"/>
        <cfvo type="num" val="-5"/>
        <cfvo type="num" val="5"/>
        <cfvo type="num" val="20"/>
      </iconSet>
    </cfRule>
  </conditionalFormatting>
  <conditionalFormatting sqref="O12 O14 O16 O18 O20 O22 O24 O26">
    <cfRule type="iconSet" priority="97">
      <iconSet iconSet="5Arrows" showValue="0">
        <cfvo type="percent" val="0"/>
        <cfvo type="num" val="-20"/>
        <cfvo type="num" val="-5"/>
        <cfvo type="num" val="5"/>
        <cfvo type="num" val="20"/>
      </iconSet>
    </cfRule>
  </conditionalFormatting>
  <conditionalFormatting sqref="O12 O14 O16 O18 O20 O22 O24 O26 O28">
    <cfRule type="iconSet" priority="96">
      <iconSet iconSet="5Arrows" showValue="0">
        <cfvo type="percent" val="0"/>
        <cfvo type="num" val="-20"/>
        <cfvo type="num" val="-5"/>
        <cfvo type="num" val="5"/>
        <cfvo type="num" val="20"/>
      </iconSet>
    </cfRule>
  </conditionalFormatting>
  <conditionalFormatting sqref="O12">
    <cfRule type="iconSet" priority="95">
      <iconSet iconSet="5Arrows" showValue="0">
        <cfvo type="percent" val="0"/>
        <cfvo type="num" val="-0.2"/>
        <cfvo type="num" val="-0.05"/>
        <cfvo type="num" val="0.05"/>
        <cfvo type="num" val="0.2"/>
      </iconSet>
    </cfRule>
  </conditionalFormatting>
  <conditionalFormatting sqref="O12 O14">
    <cfRule type="iconSet" priority="94">
      <iconSet iconSet="5Arrows" showValue="0">
        <cfvo type="percent" val="0"/>
        <cfvo type="num" val="-0.2"/>
        <cfvo type="num" val="-0.05"/>
        <cfvo type="num" val="0.05"/>
        <cfvo type="num" val="0.2"/>
      </iconSet>
    </cfRule>
  </conditionalFormatting>
  <conditionalFormatting sqref="O12 O14 O16">
    <cfRule type="iconSet" priority="93">
      <iconSet iconSet="5Arrows" showValue="0">
        <cfvo type="percent" val="0"/>
        <cfvo type="num" val="-0.2"/>
        <cfvo type="num" val="-0.05"/>
        <cfvo type="num" val="0.05"/>
        <cfvo type="num" val="0.2"/>
      </iconSet>
    </cfRule>
  </conditionalFormatting>
  <conditionalFormatting sqref="O12 O14 O16 O18">
    <cfRule type="iconSet" priority="92">
      <iconSet iconSet="5Arrows" showValue="0">
        <cfvo type="percent" val="0"/>
        <cfvo type="num" val="-0.2"/>
        <cfvo type="num" val="-0.05"/>
        <cfvo type="num" val="0.05"/>
        <cfvo type="num" val="0.2"/>
      </iconSet>
    </cfRule>
  </conditionalFormatting>
  <conditionalFormatting sqref="O12 O14 O16 O18 O20">
    <cfRule type="iconSet" priority="91">
      <iconSet iconSet="5Arrows" showValue="0">
        <cfvo type="percent" val="0"/>
        <cfvo type="num" val="-0.2"/>
        <cfvo type="num" val="-0.05"/>
        <cfvo type="num" val="0.05"/>
        <cfvo type="num" val="0.2"/>
      </iconSet>
    </cfRule>
  </conditionalFormatting>
  <conditionalFormatting sqref="O12 O14 O16 O18 O20 O22">
    <cfRule type="iconSet" priority="90">
      <iconSet iconSet="5Arrows" showValue="0">
        <cfvo type="percent" val="0"/>
        <cfvo type="num" val="-0.2"/>
        <cfvo type="num" val="-0.05"/>
        <cfvo type="num" val="0.05"/>
        <cfvo type="num" val="0.2"/>
      </iconSet>
    </cfRule>
  </conditionalFormatting>
  <conditionalFormatting sqref="O12 O14 O16 O18 O20 O22 O24">
    <cfRule type="iconSet" priority="89">
      <iconSet iconSet="5Arrows" showValue="0">
        <cfvo type="percent" val="0"/>
        <cfvo type="num" val="-0.2"/>
        <cfvo type="num" val="-0.05"/>
        <cfvo type="num" val="0.05"/>
        <cfvo type="num" val="0.2"/>
      </iconSet>
    </cfRule>
  </conditionalFormatting>
  <conditionalFormatting sqref="O12 O14 O16 O18 O20 O22 O24 O26">
    <cfRule type="iconSet" priority="88">
      <iconSet iconSet="5Arrows" showValue="0">
        <cfvo type="percent" val="0"/>
        <cfvo type="num" val="-0.2"/>
        <cfvo type="num" val="-0.05"/>
        <cfvo type="num" val="0.05"/>
        <cfvo type="num" val="0.2"/>
      </iconSet>
    </cfRule>
  </conditionalFormatting>
  <conditionalFormatting sqref="O12 O14 O16 O18 O20 O22 O24 O26 O28">
    <cfRule type="iconSet" priority="87">
      <iconSet iconSet="5Arrows" showValue="0">
        <cfvo type="percent" val="0"/>
        <cfvo type="num" val="-0.2"/>
        <cfvo type="num" val="-0.05"/>
        <cfvo type="num" val="0.05"/>
        <cfvo type="num" val="0.2"/>
      </iconSet>
    </cfRule>
  </conditionalFormatting>
  <conditionalFormatting sqref="AB11 AB13 AB15 AB17 AB19 AB21 AB23 AB25 AB27 AB29 AA10:AA29">
    <cfRule type="iconSet" priority="86">
      <iconSet iconSet="4RedToBlack">
        <cfvo type="percent" val="0"/>
        <cfvo type="percent" val="25"/>
        <cfvo type="percent" val="50"/>
        <cfvo type="percent" val="75"/>
      </iconSet>
    </cfRule>
  </conditionalFormatting>
  <conditionalFormatting sqref="X18:X20">
    <cfRule type="iconSet" priority="82">
      <iconSet iconSet="4RedToBlack">
        <cfvo type="percent" val="0"/>
        <cfvo type="percent" val="25"/>
        <cfvo type="percent" val="50"/>
        <cfvo type="percent" val="75"/>
      </iconSet>
    </cfRule>
  </conditionalFormatting>
  <conditionalFormatting sqref="X20">
    <cfRule type="iconSet" priority="81">
      <iconSet iconSet="4RedToBlack">
        <cfvo type="percent" val="0"/>
        <cfvo type="percent" val="25"/>
        <cfvo type="percent" val="50"/>
        <cfvo type="percent" val="75"/>
      </iconSet>
    </cfRule>
  </conditionalFormatting>
  <conditionalFormatting sqref="X20 X22:X24">
    <cfRule type="iconSet" priority="80">
      <iconSet iconSet="4RedToBlack">
        <cfvo type="percent" val="0"/>
        <cfvo type="percent" val="25"/>
        <cfvo type="percent" val="50"/>
        <cfvo type="percent" val="75"/>
      </iconSet>
    </cfRule>
  </conditionalFormatting>
  <conditionalFormatting sqref="X22:X24">
    <cfRule type="iconSet" priority="79">
      <iconSet iconSet="4RedToBlack">
        <cfvo type="percent" val="0"/>
        <cfvo type="percent" val="25"/>
        <cfvo type="percent" val="50"/>
        <cfvo type="percent" val="75"/>
      </iconSet>
    </cfRule>
  </conditionalFormatting>
  <conditionalFormatting sqref="X24">
    <cfRule type="iconSet" priority="78">
      <iconSet iconSet="4RedToBlack">
        <cfvo type="percent" val="0"/>
        <cfvo type="percent" val="25"/>
        <cfvo type="percent" val="50"/>
        <cfvo type="percent" val="75"/>
      </iconSet>
    </cfRule>
  </conditionalFormatting>
  <conditionalFormatting sqref="X20 X26 X22:X24">
    <cfRule type="iconSet" priority="77">
      <iconSet iconSet="4RedToBlack">
        <cfvo type="percent" val="0"/>
        <cfvo type="percent" val="25"/>
        <cfvo type="percent" val="50"/>
        <cfvo type="percent" val="75"/>
      </iconSet>
    </cfRule>
  </conditionalFormatting>
  <conditionalFormatting sqref="X26 X22:X24">
    <cfRule type="iconSet" priority="76">
      <iconSet iconSet="4RedToBlack">
        <cfvo type="percent" val="0"/>
        <cfvo type="percent" val="25"/>
        <cfvo type="percent" val="50"/>
        <cfvo type="percent" val="75"/>
      </iconSet>
    </cfRule>
  </conditionalFormatting>
  <conditionalFormatting sqref="X24 X26">
    <cfRule type="iconSet" priority="75">
      <iconSet iconSet="4RedToBlack">
        <cfvo type="percent" val="0"/>
        <cfvo type="percent" val="25"/>
        <cfvo type="percent" val="50"/>
        <cfvo type="percent" val="75"/>
      </iconSet>
    </cfRule>
  </conditionalFormatting>
  <conditionalFormatting sqref="X26">
    <cfRule type="iconSet" priority="74">
      <iconSet iconSet="4RedToBlack">
        <cfvo type="percent" val="0"/>
        <cfvo type="percent" val="25"/>
        <cfvo type="percent" val="50"/>
        <cfvo type="percent" val="75"/>
      </iconSet>
    </cfRule>
  </conditionalFormatting>
  <conditionalFormatting sqref="X20 X26 X28 X22:X24">
    <cfRule type="iconSet" priority="73">
      <iconSet iconSet="4RedToBlack">
        <cfvo type="percent" val="0"/>
        <cfvo type="percent" val="25"/>
        <cfvo type="percent" val="50"/>
        <cfvo type="percent" val="75"/>
      </iconSet>
    </cfRule>
  </conditionalFormatting>
  <conditionalFormatting sqref="X26 X28 X22:X24">
    <cfRule type="iconSet" priority="72">
      <iconSet iconSet="4RedToBlack">
        <cfvo type="percent" val="0"/>
        <cfvo type="percent" val="25"/>
        <cfvo type="percent" val="50"/>
        <cfvo type="percent" val="75"/>
      </iconSet>
    </cfRule>
  </conditionalFormatting>
  <conditionalFormatting sqref="X24 X26 X28">
    <cfRule type="iconSet" priority="71">
      <iconSet iconSet="4RedToBlack">
        <cfvo type="percent" val="0"/>
        <cfvo type="percent" val="25"/>
        <cfvo type="percent" val="50"/>
        <cfvo type="percent" val="75"/>
      </iconSet>
    </cfRule>
  </conditionalFormatting>
  <conditionalFormatting sqref="X26 X28">
    <cfRule type="iconSet" priority="70">
      <iconSet iconSet="4RedToBlack">
        <cfvo type="percent" val="0"/>
        <cfvo type="percent" val="25"/>
        <cfvo type="percent" val="50"/>
        <cfvo type="percent" val="75"/>
      </iconSet>
    </cfRule>
  </conditionalFormatting>
  <conditionalFormatting sqref="X28">
    <cfRule type="iconSet" priority="69">
      <iconSet iconSet="4RedToBlack">
        <cfvo type="percent" val="0"/>
        <cfvo type="percent" val="25"/>
        <cfvo type="percent" val="50"/>
        <cfvo type="percent" val="75"/>
      </iconSet>
    </cfRule>
  </conditionalFormatting>
  <conditionalFormatting sqref="X14 X16">
    <cfRule type="iconSet" priority="68">
      <iconSet iconSet="4RedToBlack">
        <cfvo type="percent" val="0"/>
        <cfvo type="percent" val="25"/>
        <cfvo type="percent" val="50"/>
        <cfvo type="percent" val="75"/>
      </iconSet>
    </cfRule>
  </conditionalFormatting>
  <conditionalFormatting sqref="X14 X16 X18:X20">
    <cfRule type="iconSet" priority="67">
      <iconSet iconSet="4RedToBlack">
        <cfvo type="percent" val="0"/>
        <cfvo type="percent" val="25"/>
        <cfvo type="percent" val="50"/>
        <cfvo type="percent" val="75"/>
      </iconSet>
    </cfRule>
  </conditionalFormatting>
  <conditionalFormatting sqref="X14 X16 X18:X20 X22:X24">
    <cfRule type="iconSet" priority="66">
      <iconSet iconSet="4RedToBlack">
        <cfvo type="percent" val="0"/>
        <cfvo type="percent" val="25"/>
        <cfvo type="percent" val="50"/>
        <cfvo type="percent" val="75"/>
      </iconSet>
    </cfRule>
  </conditionalFormatting>
  <conditionalFormatting sqref="X14 X16 X26 X18:X20 X22:X24">
    <cfRule type="iconSet" priority="65">
      <iconSet iconSet="4RedToBlack">
        <cfvo type="percent" val="0"/>
        <cfvo type="percent" val="25"/>
        <cfvo type="percent" val="50"/>
        <cfvo type="percent" val="75"/>
      </iconSet>
    </cfRule>
  </conditionalFormatting>
  <conditionalFormatting sqref="X14 X16 X26 X28 X18:X20 X22:X24">
    <cfRule type="iconSet" priority="64">
      <iconSet iconSet="4RedToBlack">
        <cfvo type="percent" val="0"/>
        <cfvo type="percent" val="25"/>
        <cfvo type="percent" val="50"/>
        <cfvo type="percent" val="75"/>
      </iconSet>
    </cfRule>
  </conditionalFormatting>
  <conditionalFormatting sqref="M20">
    <cfRule type="iconSet" priority="63">
      <iconSet iconSet="4RedToBlack">
        <cfvo type="percent" val="0"/>
        <cfvo type="percent" val="25"/>
        <cfvo type="percent" val="50"/>
        <cfvo type="percent" val="75"/>
      </iconSet>
    </cfRule>
  </conditionalFormatting>
  <conditionalFormatting sqref="X16">
    <cfRule type="iconSet" priority="52">
      <iconSet iconSet="4RedToBlack">
        <cfvo type="percent" val="0"/>
        <cfvo type="percent" val="25"/>
        <cfvo type="percent" val="50"/>
        <cfvo type="percent" val="75"/>
      </iconSet>
    </cfRule>
  </conditionalFormatting>
  <conditionalFormatting sqref="AB11">
    <cfRule type="iconSet" priority="25">
      <iconSet iconSet="4RedToBlack">
        <cfvo type="percent" val="0"/>
        <cfvo type="percent" val="25"/>
        <cfvo type="percent" val="50"/>
        <cfvo type="percent" val="75"/>
      </iconSet>
    </cfRule>
  </conditionalFormatting>
  <pageMargins left="0.11811023622047245" right="0.11811023622047245" top="0.55118110236220474" bottom="0.15748031496062992" header="0.31496062992125984" footer="0.31496062992125984"/>
  <pageSetup paperSize="9" orientation="portrait" r:id="rId1"/>
  <headerFooter alignWithMargins="0">
    <oddFooter>&amp;CPage &amp;P</oddFooter>
  </headerFooter>
  <drawing r:id="rId2"/>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2"/>
  <dimension ref="A1:P37"/>
  <sheetViews>
    <sheetView topLeftCell="C1" zoomScaleNormal="100" workbookViewId="0">
      <selection activeCell="Q2" sqref="Q2"/>
    </sheetView>
  </sheetViews>
  <sheetFormatPr baseColWidth="10" defaultRowHeight="15"/>
  <cols>
    <col min="1" max="16" width="5.7109375" style="611" customWidth="1"/>
  </cols>
  <sheetData>
    <row r="1" spans="2:15" ht="7.5" customHeight="1"/>
    <row r="2" spans="2:15">
      <c r="J2" s="110"/>
    </row>
    <row r="3" spans="2:15">
      <c r="J3" s="111"/>
    </row>
    <row r="4" spans="2:15" ht="27">
      <c r="B4" s="612"/>
      <c r="C4" s="612"/>
      <c r="D4" s="612"/>
      <c r="E4" s="613"/>
      <c r="F4" s="613"/>
      <c r="G4" s="613"/>
      <c r="H4" s="613"/>
      <c r="I4" s="110"/>
      <c r="J4" s="111"/>
      <c r="K4" s="613"/>
      <c r="L4" s="613"/>
      <c r="M4" s="613"/>
      <c r="N4" s="613"/>
      <c r="O4" s="613"/>
    </row>
    <row r="5" spans="2:15" ht="27">
      <c r="B5" s="612"/>
      <c r="C5" s="612"/>
      <c r="D5" s="612"/>
      <c r="E5" s="613"/>
      <c r="F5" s="613"/>
      <c r="G5" s="613"/>
      <c r="H5" s="613"/>
      <c r="I5" s="614"/>
      <c r="J5" s="112"/>
      <c r="K5" s="613"/>
      <c r="L5" s="613"/>
      <c r="M5" s="613"/>
      <c r="N5" s="613"/>
      <c r="O5" s="613"/>
    </row>
    <row r="6" spans="2:15" ht="27">
      <c r="B6" s="612"/>
      <c r="C6" s="612"/>
      <c r="D6" s="612"/>
      <c r="E6" s="613"/>
      <c r="F6" s="613"/>
      <c r="G6" s="613"/>
      <c r="H6" s="613"/>
      <c r="I6" s="614"/>
      <c r="J6" s="110"/>
      <c r="K6" s="613"/>
      <c r="L6" s="613"/>
      <c r="M6" s="613"/>
      <c r="N6" s="613"/>
      <c r="O6" s="613"/>
    </row>
    <row r="7" spans="2:15" ht="21.95" customHeight="1">
      <c r="B7" s="612"/>
      <c r="C7" s="612"/>
      <c r="D7" s="612"/>
      <c r="E7" s="613"/>
      <c r="F7" s="613"/>
      <c r="G7" s="613"/>
      <c r="I7"/>
      <c r="J7" s="110" t="str">
        <f>TRIM(CivilAdht&amp; " " &amp; NomAdht)</f>
        <v/>
      </c>
      <c r="K7" s="613"/>
      <c r="L7" s="613"/>
      <c r="M7" s="613"/>
      <c r="N7" s="613"/>
      <c r="O7" s="613"/>
    </row>
    <row r="8" spans="2:15" ht="21.95" customHeight="1">
      <c r="B8" s="612"/>
      <c r="C8" s="612"/>
      <c r="D8" s="612"/>
      <c r="E8" s="613"/>
      <c r="F8" s="613"/>
      <c r="G8" s="613"/>
      <c r="I8" s="111"/>
      <c r="J8" s="111" t="str">
        <f xml:space="preserve"> TRIM(AdresAdht1)</f>
        <v/>
      </c>
      <c r="K8" s="613"/>
      <c r="L8" s="613"/>
      <c r="M8" s="613"/>
      <c r="N8" s="613"/>
      <c r="O8" s="613"/>
    </row>
    <row r="9" spans="2:15" ht="21.95" customHeight="1">
      <c r="B9" s="612"/>
      <c r="C9" s="612"/>
      <c r="D9" s="612"/>
      <c r="E9" s="613"/>
      <c r="F9" s="613"/>
      <c r="G9" s="613"/>
      <c r="I9" s="111"/>
      <c r="J9" s="111" t="str">
        <f xml:space="preserve"> TRIM(AdresAdht2)</f>
        <v/>
      </c>
      <c r="K9" s="613"/>
      <c r="L9" s="613"/>
      <c r="M9" s="613"/>
      <c r="N9" s="613"/>
      <c r="O9" s="613"/>
    </row>
    <row r="10" spans="2:15" ht="21.95" customHeight="1">
      <c r="B10" s="612"/>
      <c r="C10" s="612"/>
      <c r="D10" s="612"/>
      <c r="E10" s="613"/>
      <c r="F10" s="112"/>
      <c r="G10" s="613"/>
      <c r="I10" s="111"/>
      <c r="J10" s="112" t="str">
        <f>IF(LEN(TRIM(CPAdht))&lt;5,"0" &amp; TRIM(CPAdht &amp; " " &amp; VilleAdht),TRIM(CPAdht &amp; " " &amp; VilleAdht))</f>
        <v>0</v>
      </c>
      <c r="K10" s="613"/>
      <c r="L10" s="613"/>
      <c r="M10" s="613"/>
      <c r="N10" s="613"/>
      <c r="O10" s="613"/>
    </row>
    <row r="11" spans="2:15" ht="13.5" customHeight="1">
      <c r="B11" s="612"/>
      <c r="C11" s="612"/>
      <c r="D11" s="612"/>
      <c r="E11" s="613"/>
      <c r="F11" s="613"/>
      <c r="G11" s="613"/>
      <c r="H11" s="613"/>
      <c r="I11" s="111"/>
      <c r="K11" s="613"/>
      <c r="L11" s="613"/>
      <c r="M11" s="613"/>
      <c r="N11" s="613"/>
      <c r="O11" s="613"/>
    </row>
    <row r="12" spans="2:15">
      <c r="B12" s="615"/>
      <c r="C12" s="615"/>
      <c r="D12" s="615"/>
      <c r="E12" s="615"/>
      <c r="F12" s="615"/>
      <c r="G12" s="615"/>
      <c r="H12" s="615"/>
      <c r="I12" s="112"/>
      <c r="J12" s="615"/>
      <c r="K12" s="615"/>
      <c r="L12" s="615"/>
      <c r="M12" s="615"/>
      <c r="N12" s="615"/>
      <c r="O12" s="615"/>
    </row>
    <row r="13" spans="2:15" ht="67.5">
      <c r="B13" s="1078"/>
      <c r="C13" s="1078"/>
      <c r="D13" s="1078"/>
      <c r="E13" s="1078"/>
      <c r="F13" s="1078"/>
      <c r="G13" s="1078"/>
      <c r="H13" s="1078"/>
      <c r="I13" s="1078"/>
      <c r="J13" s="1078"/>
      <c r="K13" s="1078"/>
      <c r="L13" s="1078"/>
      <c r="M13" s="1078"/>
      <c r="N13" s="1078"/>
      <c r="O13" s="1078"/>
    </row>
    <row r="14" spans="2:15" ht="67.5">
      <c r="B14" s="1078"/>
      <c r="C14" s="1078"/>
      <c r="D14" s="1078"/>
      <c r="E14" s="1078"/>
      <c r="F14" s="1078"/>
      <c r="G14" s="1078"/>
      <c r="H14" s="1078"/>
      <c r="I14" s="1078"/>
      <c r="J14" s="1078"/>
      <c r="K14" s="1078"/>
      <c r="L14" s="1078"/>
      <c r="M14" s="1078"/>
      <c r="N14" s="1078"/>
      <c r="O14" s="1078"/>
    </row>
    <row r="15" spans="2:15" ht="67.5">
      <c r="B15" s="1078"/>
      <c r="C15" s="1078"/>
      <c r="D15" s="1078"/>
      <c r="E15" s="1078"/>
      <c r="F15" s="1078"/>
      <c r="G15" s="1078"/>
      <c r="H15" s="1078"/>
      <c r="I15" s="1078"/>
      <c r="J15" s="1078"/>
      <c r="K15" s="1078"/>
      <c r="L15" s="1078"/>
      <c r="M15" s="1078"/>
      <c r="N15" s="1078"/>
      <c r="O15" s="1078"/>
    </row>
    <row r="16" spans="2:15">
      <c r="B16" s="615"/>
      <c r="C16" s="615"/>
      <c r="D16" s="615"/>
      <c r="E16" s="615"/>
      <c r="F16" s="615"/>
      <c r="G16" s="615"/>
      <c r="H16" s="615"/>
      <c r="I16" s="615"/>
      <c r="J16" s="615"/>
      <c r="K16" s="615"/>
      <c r="L16" s="615"/>
      <c r="M16" s="615"/>
      <c r="N16" s="615"/>
      <c r="O16" s="615"/>
    </row>
    <row r="17" spans="2:16">
      <c r="B17" s="615"/>
      <c r="C17" s="615"/>
      <c r="D17" s="615"/>
      <c r="E17" s="615"/>
      <c r="F17" s="615"/>
      <c r="G17" s="615"/>
      <c r="H17" s="615"/>
      <c r="I17" s="615"/>
      <c r="J17" s="615"/>
      <c r="K17" s="615"/>
      <c r="L17" s="615"/>
      <c r="M17" s="615"/>
      <c r="N17" s="615"/>
      <c r="O17" s="615"/>
    </row>
    <row r="18" spans="2:16">
      <c r="B18" s="615"/>
      <c r="C18" s="615"/>
      <c r="D18" s="615"/>
      <c r="E18" s="615"/>
      <c r="F18" s="615"/>
      <c r="G18" s="615"/>
      <c r="H18" s="615"/>
      <c r="I18" s="615"/>
      <c r="J18"/>
      <c r="K18"/>
      <c r="L18"/>
      <c r="M18"/>
      <c r="N18"/>
      <c r="O18"/>
      <c r="P18"/>
    </row>
    <row r="19" spans="2:16">
      <c r="B19" s="615"/>
      <c r="C19" s="615"/>
      <c r="D19" s="615"/>
      <c r="E19" s="615"/>
      <c r="F19" s="615"/>
      <c r="G19" s="615"/>
      <c r="H19" s="615"/>
      <c r="I19" s="615"/>
      <c r="J19" s="615"/>
      <c r="K19" s="615"/>
      <c r="L19" s="615"/>
      <c r="M19" s="615"/>
      <c r="N19" s="615"/>
      <c r="O19" s="615"/>
    </row>
    <row r="20" spans="2:16">
      <c r="B20" s="615"/>
      <c r="C20" s="615"/>
      <c r="D20" s="615"/>
      <c r="E20" s="615"/>
      <c r="F20" s="615"/>
      <c r="G20" s="615"/>
      <c r="H20" s="615"/>
      <c r="I20" s="615"/>
      <c r="J20" s="615"/>
      <c r="K20" s="615"/>
      <c r="L20" s="615"/>
      <c r="M20" s="615"/>
      <c r="N20" s="615"/>
      <c r="O20" s="615"/>
    </row>
    <row r="21" spans="2:16">
      <c r="B21" s="615"/>
      <c r="C21" s="615"/>
      <c r="D21" s="615"/>
      <c r="E21" s="615"/>
      <c r="F21" s="615"/>
      <c r="G21" s="615"/>
      <c r="H21" s="615"/>
      <c r="I21" s="615"/>
      <c r="J21" s="615"/>
      <c r="K21" s="615"/>
      <c r="L21" s="615"/>
      <c r="M21" s="615"/>
      <c r="N21" s="615"/>
      <c r="O21" s="615"/>
    </row>
    <row r="22" spans="2:16">
      <c r="B22" s="615"/>
      <c r="C22" s="615"/>
      <c r="D22" s="615"/>
      <c r="E22" s="615"/>
      <c r="F22" s="615"/>
      <c r="G22" s="615"/>
      <c r="H22" s="615"/>
      <c r="I22" s="615"/>
      <c r="J22" s="615"/>
      <c r="K22" s="615"/>
      <c r="L22" s="615"/>
      <c r="M22" s="615"/>
      <c r="N22" s="615"/>
      <c r="O22" s="615"/>
    </row>
    <row r="23" spans="2:16">
      <c r="B23" s="615"/>
      <c r="C23" s="615"/>
      <c r="D23" s="615"/>
      <c r="E23" s="615"/>
      <c r="F23" s="615"/>
      <c r="G23" s="615"/>
      <c r="H23" s="615"/>
      <c r="I23" s="615"/>
      <c r="J23" s="615"/>
      <c r="K23" s="615"/>
      <c r="L23" s="615"/>
      <c r="M23" s="615"/>
      <c r="N23" s="615"/>
      <c r="O23" s="615"/>
    </row>
    <row r="24" spans="2:16">
      <c r="B24" s="615"/>
      <c r="C24" s="615"/>
      <c r="D24" s="615"/>
      <c r="E24" s="615"/>
      <c r="F24" s="615"/>
      <c r="G24" s="615"/>
      <c r="H24" s="615"/>
      <c r="I24" s="615"/>
      <c r="J24" s="615"/>
      <c r="K24" s="615"/>
      <c r="L24" s="615"/>
      <c r="M24" s="615"/>
      <c r="N24" s="615"/>
      <c r="O24" s="615"/>
    </row>
    <row r="25" spans="2:16">
      <c r="B25" s="615"/>
      <c r="C25" s="615"/>
      <c r="D25" s="615"/>
      <c r="E25" s="615"/>
      <c r="F25" s="615"/>
      <c r="G25" s="615"/>
      <c r="H25" s="615"/>
      <c r="I25" s="615"/>
      <c r="J25" s="615"/>
      <c r="K25" s="615"/>
      <c r="L25" s="615"/>
      <c r="M25" s="615"/>
      <c r="N25" s="615"/>
      <c r="O25" s="615"/>
    </row>
    <row r="26" spans="2:16" ht="20.25">
      <c r="B26" s="615"/>
      <c r="C26" s="615"/>
      <c r="D26" s="615"/>
      <c r="E26" s="615"/>
      <c r="F26" s="615"/>
      <c r="G26" s="615"/>
      <c r="H26" s="615"/>
      <c r="I26" s="615"/>
      <c r="J26" s="616"/>
      <c r="K26" s="615"/>
      <c r="L26" s="615"/>
      <c r="M26" s="615"/>
      <c r="N26" s="615"/>
      <c r="O26" s="615"/>
    </row>
    <row r="27" spans="2:16" ht="8.25" customHeight="1">
      <c r="B27" s="615"/>
      <c r="C27" s="615"/>
      <c r="D27" s="615"/>
      <c r="E27" s="615"/>
      <c r="F27" s="615"/>
      <c r="G27" s="615"/>
      <c r="H27" s="615"/>
      <c r="I27" s="615"/>
      <c r="J27" s="615"/>
      <c r="K27" s="615"/>
      <c r="L27" s="615"/>
      <c r="M27" s="615"/>
      <c r="N27" s="615"/>
      <c r="O27" s="615"/>
    </row>
    <row r="28" spans="2:16" ht="9.75" customHeight="1">
      <c r="J28" s="615"/>
      <c r="K28" s="615"/>
      <c r="L28" s="615"/>
      <c r="M28" s="615"/>
      <c r="N28" s="615"/>
      <c r="O28" s="615"/>
    </row>
    <row r="29" spans="2:16" ht="16.5">
      <c r="I29" s="42"/>
      <c r="J29" s="114" t="s">
        <v>0</v>
      </c>
      <c r="K29" s="42"/>
      <c r="L29" s="615"/>
      <c r="M29" s="615"/>
      <c r="N29" s="615"/>
      <c r="O29" s="615"/>
    </row>
    <row r="30" spans="2:16">
      <c r="I30" s="42"/>
      <c r="J30" s="42"/>
      <c r="K30" s="42"/>
      <c r="L30" s="615"/>
      <c r="M30" s="615"/>
      <c r="N30" s="615"/>
      <c r="O30" s="615"/>
    </row>
    <row r="31" spans="2:16">
      <c r="I31" s="42"/>
      <c r="J31" s="115" t="str">
        <f>"  du "&amp;TEXT(DebutExN,"jj mmmm aaaa")</f>
        <v xml:space="preserve">  du 01 juillet 2016</v>
      </c>
      <c r="K31" s="42"/>
      <c r="L31" s="615"/>
      <c r="M31" s="615"/>
      <c r="N31" s="615"/>
      <c r="O31" s="615"/>
    </row>
    <row r="32" spans="2:16">
      <c r="I32" s="42"/>
      <c r="J32" s="116" t="str">
        <f>"  au "&amp; TEXT(FinExN,"jj mmmm aaaa")</f>
        <v xml:space="preserve">  au 30 juin 2017</v>
      </c>
      <c r="K32" s="42"/>
      <c r="L32" s="615"/>
      <c r="M32" s="615"/>
      <c r="N32" s="615"/>
      <c r="O32" s="615"/>
    </row>
    <row r="33" spans="2:15" ht="20.25">
      <c r="B33" s="45" t="s">
        <v>39</v>
      </c>
      <c r="C33" s="42"/>
      <c r="D33" s="42" t="str">
        <f>TRIM(NumCabinet) &amp; "/" &amp; (NumAdht)</f>
        <v>/</v>
      </c>
      <c r="E33" s="42"/>
      <c r="F33" s="42"/>
      <c r="G33" s="42"/>
      <c r="J33" s="617"/>
      <c r="K33" s="615"/>
      <c r="L33" s="615"/>
      <c r="M33" s="615"/>
      <c r="N33" s="615"/>
      <c r="O33" s="615"/>
    </row>
    <row r="34" spans="2:15" ht="20.25">
      <c r="B34" s="45"/>
      <c r="C34" s="42"/>
      <c r="D34" s="42"/>
      <c r="E34" s="42"/>
      <c r="F34" s="42"/>
      <c r="G34" s="42"/>
      <c r="J34" s="617"/>
      <c r="K34" s="615"/>
      <c r="L34" s="615"/>
      <c r="M34" s="615"/>
      <c r="N34" s="615"/>
      <c r="O34" s="615"/>
    </row>
    <row r="35" spans="2:15" ht="15.75">
      <c r="B35" s="45" t="s">
        <v>40</v>
      </c>
      <c r="C35" s="42"/>
      <c r="D35" s="42" t="str">
        <f>TRIM(CodeActAdht)</f>
        <v/>
      </c>
      <c r="E35" s="42"/>
      <c r="F35" s="42"/>
      <c r="G35" s="48" t="str">
        <f xml:space="preserve"> TRIM(ProfessAdht)</f>
        <v/>
      </c>
    </row>
    <row r="36" spans="2:15">
      <c r="B36" s="618"/>
      <c r="C36" s="618"/>
      <c r="D36" s="618"/>
      <c r="E36" s="618"/>
      <c r="F36" s="618"/>
    </row>
    <row r="37" spans="2:15">
      <c r="E37" s="619"/>
    </row>
  </sheetData>
  <mergeCells count="3">
    <mergeCell ref="B13:O13"/>
    <mergeCell ref="B14:O14"/>
    <mergeCell ref="B15:O15"/>
  </mergeCells>
  <phoneticPr fontId="16" type="noConversion"/>
  <printOptions horizontalCentered="1" verticalCentered="1"/>
  <pageMargins left="0.39370078740157483" right="0.39370078740157483" top="0.59055118110236227" bottom="0.39370078740157483" header="0.51181102362204722" footer="0.51181102362204722"/>
  <pageSetup paperSize="9" orientation="portrait" verticalDpi="0" r:id="rId1"/>
  <headerFooter alignWithMargins="0"/>
  <drawing r:id="rId2"/>
  <legacyDrawing r:id="rId3"/>
  <oleObjects>
    <mc:AlternateContent xmlns:mc="http://schemas.openxmlformats.org/markup-compatibility/2006">
      <mc:Choice Requires="x14">
        <oleObject progId="MSPhotoEd.3" shapeId="52229" r:id="rId4">
          <objectPr defaultSize="0" autoPict="0" r:id="rId5">
            <anchor moveWithCells="1" sizeWithCells="1">
              <from>
                <xdr:col>1</xdr:col>
                <xdr:colOff>28575</xdr:colOff>
                <xdr:row>1</xdr:row>
                <xdr:rowOff>9525</xdr:rowOff>
              </from>
              <to>
                <xdr:col>7</xdr:col>
                <xdr:colOff>95250</xdr:colOff>
                <xdr:row>4</xdr:row>
                <xdr:rowOff>219075</xdr:rowOff>
              </to>
            </anchor>
          </objectPr>
        </oleObject>
      </mc:Choice>
      <mc:Fallback>
        <oleObject progId="MSPhotoEd.3" shapeId="52229" r:id="rId4"/>
      </mc:Fallback>
    </mc:AlternateContent>
  </oleObject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3"/>
  <dimension ref="A1:Q43"/>
  <sheetViews>
    <sheetView topLeftCell="A34" workbookViewId="0">
      <selection activeCell="S40" sqref="S40"/>
    </sheetView>
  </sheetViews>
  <sheetFormatPr baseColWidth="10" defaultRowHeight="12.75" outlineLevelCol="1"/>
  <cols>
    <col min="1" max="1" width="1.5703125" customWidth="1"/>
    <col min="2" max="2" width="30.85546875" customWidth="1"/>
    <col min="3" max="3" width="12" style="18" customWidth="1"/>
    <col min="6" max="7" width="14.7109375" customWidth="1"/>
    <col min="8" max="8" width="0" hidden="1" customWidth="1" outlineLevel="1"/>
    <col min="9" max="9" width="28.5703125" hidden="1" customWidth="1" outlineLevel="1"/>
    <col min="10" max="16" width="0" hidden="1" customWidth="1" outlineLevel="1"/>
    <col min="17" max="17" width="11.42578125" collapsed="1"/>
  </cols>
  <sheetData>
    <row r="1" spans="2:15">
      <c r="B1" s="620" t="str">
        <f>TRIM(CivilAdht&amp; " " &amp; NomAdht)</f>
        <v/>
      </c>
      <c r="I1" s="621">
        <v>1</v>
      </c>
      <c r="J1" s="1079" t="s">
        <v>449</v>
      </c>
      <c r="K1" s="1080"/>
      <c r="L1" s="1080"/>
      <c r="M1" s="1080"/>
      <c r="N1" s="1080"/>
      <c r="O1" s="1080"/>
    </row>
    <row r="2" spans="2:15">
      <c r="I2" s="621">
        <v>2</v>
      </c>
      <c r="J2" s="1081" t="s">
        <v>450</v>
      </c>
      <c r="K2" s="1081"/>
      <c r="L2" s="1081"/>
      <c r="M2" s="1081"/>
      <c r="N2" s="1081"/>
      <c r="O2" s="1081"/>
    </row>
    <row r="3" spans="2:15">
      <c r="C3" s="719" t="s">
        <v>372</v>
      </c>
      <c r="D3" s="622"/>
      <c r="E3" s="720" t="str">
        <f>IF(D_37172=1,"Betteraves 10%&lt;&gt;30%",IF(D_37172 = 2,"Betteraves &lt; 10%",IF(D_37172 = 3,"Betteraves&gt;30%",IF(D_37172 = 4,"Betteraves, Pomme de terre et Légumes&gt;30%",IF(D_37172 = 5,"Polyculture Elevage",IF(D_37172 = 6,"100%SCOP"))))))</f>
        <v>100%SCOP</v>
      </c>
      <c r="F3" s="623"/>
      <c r="I3" s="621">
        <v>3</v>
      </c>
      <c r="J3" s="1082" t="s">
        <v>451</v>
      </c>
      <c r="K3" s="1080"/>
      <c r="L3" s="1080"/>
      <c r="M3" s="1080"/>
      <c r="N3" s="1080"/>
      <c r="O3" s="1080"/>
    </row>
    <row r="4" spans="2:15">
      <c r="D4" s="624"/>
      <c r="I4" s="625"/>
    </row>
    <row r="5" spans="2:15">
      <c r="B5" s="626" t="s">
        <v>373</v>
      </c>
      <c r="I5" s="624"/>
    </row>
    <row r="6" spans="2:15" ht="13.5" thickBot="1">
      <c r="I6" s="624"/>
    </row>
    <row r="7" spans="2:15" ht="24" thickTop="1" thickBot="1">
      <c r="C7" s="627" t="s">
        <v>374</v>
      </c>
      <c r="D7" s="628" t="s">
        <v>375</v>
      </c>
      <c r="E7" s="627" t="s">
        <v>458</v>
      </c>
      <c r="F7" s="629" t="s">
        <v>376</v>
      </c>
      <c r="G7" s="629" t="s">
        <v>377</v>
      </c>
      <c r="I7" s="630"/>
      <c r="J7" s="18"/>
      <c r="K7" s="18"/>
      <c r="L7" s="18"/>
      <c r="M7" s="631"/>
      <c r="N7" s="631"/>
      <c r="O7" s="17"/>
    </row>
    <row r="8" spans="2:15" ht="14.25" thickTop="1" thickBot="1">
      <c r="B8" s="38"/>
      <c r="D8" s="632"/>
      <c r="E8" s="18"/>
    </row>
    <row r="9" spans="2:15" ht="19.5" thickTop="1" thickBot="1">
      <c r="B9" s="633" t="s">
        <v>378</v>
      </c>
      <c r="C9" s="634" t="str">
        <f>IF(O11&lt;-0.3,"Alerte !",IF(O11&lt;-0.2,"A surveiller",IF(O11&lt;0,"Score moyen","Bon score !")))</f>
        <v>Alerte !</v>
      </c>
      <c r="D9" s="635">
        <f>'Exploitat. Moyen'!H52</f>
        <v>1823</v>
      </c>
      <c r="E9" s="636">
        <f>IF(D_37021&lt;&gt;0,D_37021," ")</f>
        <v>939</v>
      </c>
      <c r="F9" s="637" t="str">
        <f t="shared" ref="F9:G11" si="0">IF(M11&lt;-0.2,"ò",IF(M11&lt;-0.05,"ø",IF(M11&lt;0.05,"ó",IF(M11&lt;0.2,"ö","ñ"))))</f>
        <v>ò</v>
      </c>
      <c r="G9" s="637" t="str">
        <f t="shared" si="0"/>
        <v>ø</v>
      </c>
      <c r="I9" s="630"/>
      <c r="J9" s="18" t="s">
        <v>379</v>
      </c>
      <c r="K9" s="18" t="s">
        <v>380</v>
      </c>
      <c r="L9" s="18" t="s">
        <v>381</v>
      </c>
      <c r="M9" s="638" t="s">
        <v>382</v>
      </c>
      <c r="N9" s="638" t="s">
        <v>383</v>
      </c>
      <c r="O9" s="639" t="s">
        <v>384</v>
      </c>
    </row>
    <row r="10" spans="2:15" ht="19.5" thickTop="1" thickBot="1">
      <c r="B10" s="633" t="s">
        <v>385</v>
      </c>
      <c r="C10" s="634" t="str">
        <f>IF(O12&lt;-0.3,"Alerte !",IF(O12&lt;-0.2,"A surveiller",IF(O12&lt;0,"Score moyen","Bon score !")))</f>
        <v>Alerte !</v>
      </c>
      <c r="D10" s="640">
        <f>'Exploitat. Moyen'!H23</f>
        <v>1109</v>
      </c>
      <c r="E10" s="636">
        <f>IF(D_37022&lt;&gt;0,D_37022," ")</f>
        <v>289.95999999999998</v>
      </c>
      <c r="F10" s="637" t="str">
        <f t="shared" si="0"/>
        <v>ò</v>
      </c>
      <c r="G10" s="637" t="str">
        <f t="shared" si="0"/>
        <v>ø</v>
      </c>
    </row>
    <row r="11" spans="2:15" ht="19.5" thickTop="1" thickBot="1">
      <c r="B11" s="633" t="s">
        <v>386</v>
      </c>
      <c r="C11" s="634" t="str">
        <f>IF(O13&lt;-0.3,"Alerte !",IF(O13&lt;-0.2,"A surveiller",IF(O13&lt;0,"Score moyen","Bon score !")))</f>
        <v>Alerte !</v>
      </c>
      <c r="D11" s="640">
        <f>'Exploitat. Moyen'!H37</f>
        <v>791</v>
      </c>
      <c r="E11" s="636">
        <f>IF(D_37026&lt;&gt;0,D_37026," ")</f>
        <v>-334.06</v>
      </c>
      <c r="F11" s="637" t="str">
        <f t="shared" si="0"/>
        <v>ò</v>
      </c>
      <c r="G11" s="637" t="str">
        <f t="shared" si="0"/>
        <v>ò</v>
      </c>
      <c r="I11" s="641" t="s">
        <v>387</v>
      </c>
      <c r="J11" s="642">
        <f>D_37021</f>
        <v>939</v>
      </c>
      <c r="K11" s="642">
        <f>D_37021_1</f>
        <v>1577.88</v>
      </c>
      <c r="L11" s="642">
        <f>D_37021_2</f>
        <v>1834.03</v>
      </c>
      <c r="M11" s="643">
        <f>(J11-K11)/ABS(K11)</f>
        <v>-0.40489771085253634</v>
      </c>
      <c r="N11" s="643">
        <f>(K11-L11)/ABS(L11)</f>
        <v>-0.13966510907673257</v>
      </c>
      <c r="O11" s="644">
        <f>(E9-D9)/ABS(D9)</f>
        <v>-0.48491497531541417</v>
      </c>
    </row>
    <row r="12" spans="2:15" ht="19.5" thickTop="1" thickBot="1">
      <c r="B12" s="633" t="s">
        <v>388</v>
      </c>
      <c r="C12" s="634" t="str">
        <f>IF(O14&lt;-0.3,"Alerte !",IF(O14&lt;-0.2,"A surveiller",IF(O14&lt;0,"Score moyen","Bon score !")))</f>
        <v>Alerte !</v>
      </c>
      <c r="D12" s="640">
        <f>'Exploitat. Moyen'!H39</f>
        <v>532</v>
      </c>
      <c r="E12" s="636">
        <f>IF(D_37029&lt;&gt;0,D_37029," ")</f>
        <v>-191.82</v>
      </c>
      <c r="F12" s="637" t="str">
        <f>IF(M14&lt;-0.2,"ò",IF(M14&lt;-0.05,"ø",IF(M14&lt;0.05,"ó",IF(M14&lt;0.2,"ö","ñ"))))</f>
        <v>ò</v>
      </c>
      <c r="G12" s="637" t="str">
        <f>IF(N12&lt;-0.2,"ò",IF(N12&lt;-0.05,"ø",IF(N12&lt;0.05,"ó",IF(N12&lt;0.2,"ö","ñ"))))</f>
        <v>ø</v>
      </c>
      <c r="I12" s="641" t="s">
        <v>457</v>
      </c>
      <c r="J12" s="642">
        <f>D_37022</f>
        <v>289.95999999999998</v>
      </c>
      <c r="K12" s="642">
        <f>D_37022_1</f>
        <v>980.67</v>
      </c>
      <c r="L12" s="642">
        <f>D_37022_2</f>
        <v>1175.5899999999999</v>
      </c>
      <c r="M12" s="643">
        <f t="shared" ref="M12:M17" si="1">(J12-K12)/ABS(K12)</f>
        <v>-0.70432459440994433</v>
      </c>
      <c r="N12" s="643">
        <f t="shared" ref="N12:N17" si="2">(K12-L12)/ABS(L12)</f>
        <v>-0.16580610587024386</v>
      </c>
      <c r="O12" s="644">
        <f t="shared" ref="O12:O17" si="3">(E10-D10)/ABS(D10)</f>
        <v>-0.73853922452660048</v>
      </c>
    </row>
    <row r="13" spans="2:15" ht="19.5" thickTop="1" thickBot="1">
      <c r="B13" s="645"/>
      <c r="D13" s="646"/>
      <c r="E13" s="647"/>
      <c r="F13" s="648"/>
      <c r="G13" s="648"/>
      <c r="I13" s="641" t="s">
        <v>386</v>
      </c>
      <c r="J13" s="642">
        <f>D_37026</f>
        <v>-334.06</v>
      </c>
      <c r="K13" s="642">
        <f>D_37026_1</f>
        <v>218.5</v>
      </c>
      <c r="L13" s="642">
        <f>D_37026_2</f>
        <v>432.01</v>
      </c>
      <c r="M13" s="643">
        <f t="shared" si="1"/>
        <v>-2.5288787185354686</v>
      </c>
      <c r="N13" s="643">
        <f t="shared" si="2"/>
        <v>-0.4942246707252147</v>
      </c>
      <c r="O13" s="644">
        <f t="shared" si="3"/>
        <v>-1.4223261694058154</v>
      </c>
    </row>
    <row r="14" spans="2:15" ht="19.5" thickTop="1" thickBot="1">
      <c r="B14" s="633" t="s">
        <v>389</v>
      </c>
      <c r="C14" s="709"/>
      <c r="D14" s="640"/>
      <c r="E14" s="636">
        <f>IF(D_30525&lt;&gt;0,D_30525," ")</f>
        <v>25.85</v>
      </c>
      <c r="F14" s="637" t="str">
        <f>IF(M16&lt;-0.2,"ò",IF(M16&lt;-0.05,"ø",IF(M16&lt;0.05,"ó",IF(M16&lt;0.2,"ö","ñ"))))</f>
        <v>ö</v>
      </c>
      <c r="G14" s="637" t="str">
        <f>IF(N14&lt;-0.2,"ò",IF(N14&lt;-0.05,"ø",IF(N14&lt;0.05,"ó",IF(N14&lt;0.2,"ö","ñ"))))</f>
        <v>ñ</v>
      </c>
      <c r="I14" s="641" t="s">
        <v>388</v>
      </c>
      <c r="J14" s="642">
        <f>D_37029</f>
        <v>-191.82</v>
      </c>
      <c r="K14" s="642">
        <f>D_37029_1</f>
        <v>342.03</v>
      </c>
      <c r="L14" s="642">
        <f>D_37029_2</f>
        <v>125</v>
      </c>
      <c r="M14" s="643">
        <f t="shared" si="1"/>
        <v>-1.5608279975440749</v>
      </c>
      <c r="N14" s="643">
        <f t="shared" si="2"/>
        <v>1.7362399999999998</v>
      </c>
      <c r="O14" s="644">
        <f t="shared" si="3"/>
        <v>-1.360563909774436</v>
      </c>
    </row>
    <row r="15" spans="2:15" ht="19.5" thickTop="1" thickBot="1">
      <c r="B15" s="633" t="s">
        <v>390</v>
      </c>
      <c r="C15" s="649" t="str">
        <f>IF(O17&lt;-0.2,"Faible",IF(O17&lt;0.2,"Moyen","Elevé"))</f>
        <v>Faible</v>
      </c>
      <c r="D15" s="640">
        <f>'Exploitat. Moyen'!H48</f>
        <v>721</v>
      </c>
      <c r="E15" s="636">
        <f>IF(D_37182&lt;&gt;0,D_37182," ")</f>
        <v>394.42</v>
      </c>
      <c r="F15" s="637" t="str">
        <f>IF(M17&lt;-0.2,"ò",IF(M17&lt;-0.05,"ø",IF(M17&lt;0.05,"ó",IF(M17&lt;0.2,"ö","ñ"))))</f>
        <v>ò</v>
      </c>
      <c r="G15" s="637" t="str">
        <f>IF(N17&lt;-0.2,"ò",IF(N17&lt;-0.05,"ø",IF(N17&lt;0.05,"ó",IF(N17&lt;0.2,"ö","ñ"))))</f>
        <v>ñ</v>
      </c>
      <c r="J15" s="12"/>
      <c r="K15" s="12"/>
      <c r="L15" s="12"/>
      <c r="M15" s="643"/>
      <c r="N15" s="643"/>
      <c r="O15" s="644"/>
    </row>
    <row r="16" spans="2:15" ht="13.5" thickTop="1">
      <c r="B16" s="650"/>
      <c r="C16" s="17"/>
      <c r="D16" s="651"/>
      <c r="E16" s="18"/>
      <c r="F16" s="4"/>
      <c r="G16" s="4"/>
      <c r="I16" s="641" t="s">
        <v>389</v>
      </c>
      <c r="J16" s="642">
        <f>D_30525</f>
        <v>25.85</v>
      </c>
      <c r="K16" s="642">
        <f>D_30525_1</f>
        <v>24.41</v>
      </c>
      <c r="L16" s="642">
        <f>D_30525_2</f>
        <v>30.19</v>
      </c>
      <c r="M16" s="643">
        <f t="shared" si="1"/>
        <v>5.899221630479317E-2</v>
      </c>
      <c r="N16" s="643">
        <f t="shared" si="2"/>
        <v>-0.19145412388208019</v>
      </c>
      <c r="O16" s="644" t="e">
        <f t="shared" si="3"/>
        <v>#DIV/0!</v>
      </c>
    </row>
    <row r="17" spans="2:15">
      <c r="B17" s="650"/>
      <c r="C17" s="17"/>
      <c r="D17" s="651"/>
      <c r="E17" s="18"/>
      <c r="F17" s="4"/>
      <c r="G17" s="4"/>
      <c r="I17" s="641" t="s">
        <v>391</v>
      </c>
      <c r="J17" s="642">
        <f>D_37182</f>
        <v>394.42</v>
      </c>
      <c r="K17" s="642">
        <f>D_37182_1</f>
        <v>525.54</v>
      </c>
      <c r="L17" s="642">
        <f>D_37182_2</f>
        <v>3.44</v>
      </c>
      <c r="M17" s="643">
        <f t="shared" si="1"/>
        <v>-0.24949575674544269</v>
      </c>
      <c r="N17" s="643">
        <f t="shared" si="2"/>
        <v>151.77325581395345</v>
      </c>
      <c r="O17" s="644">
        <f t="shared" si="3"/>
        <v>-0.45295423023578363</v>
      </c>
    </row>
    <row r="18" spans="2:15">
      <c r="B18" s="38"/>
      <c r="D18" s="652"/>
      <c r="E18" s="18"/>
      <c r="F18" s="625"/>
      <c r="I18" s="653" t="s">
        <v>392</v>
      </c>
      <c r="J18" t="s">
        <v>393</v>
      </c>
      <c r="O18" s="654"/>
    </row>
    <row r="19" spans="2:15">
      <c r="B19" s="626" t="s">
        <v>394</v>
      </c>
      <c r="D19" s="652"/>
      <c r="E19" s="18"/>
      <c r="I19" s="655" t="s">
        <v>395</v>
      </c>
      <c r="J19" t="s">
        <v>396</v>
      </c>
      <c r="K19" t="s">
        <v>397</v>
      </c>
      <c r="M19" t="s">
        <v>398</v>
      </c>
      <c r="O19" s="654"/>
    </row>
    <row r="20" spans="2:15" ht="13.5" thickBot="1">
      <c r="D20" s="652"/>
      <c r="E20" s="18"/>
      <c r="I20" s="655" t="s">
        <v>395</v>
      </c>
      <c r="J20" t="s">
        <v>399</v>
      </c>
      <c r="K20" t="s">
        <v>397</v>
      </c>
      <c r="M20" t="s">
        <v>400</v>
      </c>
      <c r="N20" s="656" t="s">
        <v>401</v>
      </c>
      <c r="O20" s="657" t="s">
        <v>402</v>
      </c>
    </row>
    <row r="21" spans="2:15" ht="24" thickTop="1" thickBot="1">
      <c r="C21" s="627" t="s">
        <v>374</v>
      </c>
      <c r="D21" s="658" t="s">
        <v>375</v>
      </c>
      <c r="E21" s="627" t="s">
        <v>458</v>
      </c>
      <c r="F21" s="629" t="s">
        <v>376</v>
      </c>
      <c r="G21" s="629" t="s">
        <v>377</v>
      </c>
      <c r="I21" s="655" t="s">
        <v>395</v>
      </c>
      <c r="J21" t="s">
        <v>403</v>
      </c>
      <c r="K21" t="s">
        <v>397</v>
      </c>
      <c r="M21" t="s">
        <v>404</v>
      </c>
      <c r="N21" s="659" t="s">
        <v>405</v>
      </c>
      <c r="O21" s="660" t="s">
        <v>406</v>
      </c>
    </row>
    <row r="22" spans="2:15" ht="14.25" thickTop="1" thickBot="1">
      <c r="B22" s="38"/>
      <c r="D22" s="652"/>
      <c r="E22" s="18"/>
      <c r="I22" s="655" t="s">
        <v>395</v>
      </c>
      <c r="J22" t="s">
        <v>407</v>
      </c>
      <c r="M22" t="s">
        <v>408</v>
      </c>
      <c r="N22" s="661" t="s">
        <v>409</v>
      </c>
      <c r="O22" s="662" t="s">
        <v>410</v>
      </c>
    </row>
    <row r="23" spans="2:15" ht="19.5" thickTop="1" thickBot="1">
      <c r="B23" s="663" t="s">
        <v>411</v>
      </c>
      <c r="C23" s="649" t="str">
        <f>IF(O25&lt;-0.3,"Alerte !",IF(O25&lt;-0.2,"A surveiller",IF(O25&lt;0,"Score moyen","Bon score !")))</f>
        <v>Alerte !</v>
      </c>
      <c r="D23" s="640">
        <f>'Exploitat. Moyen'!H44</f>
        <v>45.06</v>
      </c>
      <c r="E23" s="636">
        <f>IF(D_37185&lt;&gt;0,D_37185," ")</f>
        <v>24.55</v>
      </c>
      <c r="F23" s="637" t="str">
        <f>IF(M25&lt;-0.2,"ò",IF(M25&lt;-0.05,"ø",IF(M25&lt;0.05,"ó",IF(M25&lt;0.2,"ö","ñ"))))</f>
        <v>ò</v>
      </c>
      <c r="G23" s="637" t="str">
        <f>IF(N25&lt;-0.2,"ò",IF(N25&lt;-0.05,"ø",IF(N25&lt;0.05,"ó",IF(N25&lt;0.2,"ö","ñ"))))</f>
        <v>ö</v>
      </c>
      <c r="J23" s="18" t="s">
        <v>379</v>
      </c>
      <c r="K23" s="18" t="s">
        <v>380</v>
      </c>
      <c r="L23" s="18" t="s">
        <v>381</v>
      </c>
      <c r="O23" s="654"/>
    </row>
    <row r="24" spans="2:15" ht="19.5" thickTop="1" thickBot="1">
      <c r="B24" s="663" t="s">
        <v>412</v>
      </c>
      <c r="C24" s="649" t="str">
        <f>IF(O26&lt;-0.3,"Alerte !",IF(O26&lt;-0.2,"A surveiller",IF(O26&lt;0,"Score moyen","Bon score !")))</f>
        <v>Alerte !</v>
      </c>
      <c r="D24" s="640">
        <f>'Exploitat. Moyen'!H42</f>
        <v>148.66999999999999</v>
      </c>
      <c r="E24" s="636">
        <f>IF(D_37187&lt;&gt;0,D_37187," ")</f>
        <v>37.07</v>
      </c>
      <c r="F24" s="637" t="str">
        <f>IF(M26&lt;-0.2,"ò",IF(M26&lt;-0.05,"ø",IF(M26&lt;0.05,"ó",IF(M26&lt;0.2,"ö","ñ"))))</f>
        <v>ò</v>
      </c>
      <c r="G24" s="637" t="str">
        <f>IF(N26&lt;-0.2,"ò",IF(N26&lt;-0.05,"ø",IF(N26&lt;0.05,"ó",IF(N26&lt;0.2,"ö","ñ"))))</f>
        <v>ñ</v>
      </c>
      <c r="O24" s="654"/>
    </row>
    <row r="25" spans="2:15" ht="16.5" thickTop="1" thickBot="1">
      <c r="B25" s="664"/>
      <c r="C25" s="665"/>
      <c r="D25" s="666"/>
      <c r="E25" s="667"/>
      <c r="F25" s="668"/>
      <c r="G25" s="668"/>
      <c r="I25" s="669" t="s">
        <v>413</v>
      </c>
      <c r="J25" s="642">
        <f>D_37185</f>
        <v>24.55</v>
      </c>
      <c r="K25" s="642">
        <f>D_37185_1</f>
        <v>40.01</v>
      </c>
      <c r="L25" s="642">
        <f>D_37185_2</f>
        <v>33.46</v>
      </c>
      <c r="M25" s="670">
        <f>(J25-K25)/ABS(K25)</f>
        <v>-0.38640339915021238</v>
      </c>
      <c r="N25" s="643">
        <f>(K25-L25)/ABS(L25)</f>
        <v>0.19575612671846973</v>
      </c>
      <c r="O25" s="644">
        <f>(E23-D23)/ABS(D23)</f>
        <v>-0.45517088326675542</v>
      </c>
    </row>
    <row r="26" spans="2:15" ht="19.5" thickTop="1" thickBot="1">
      <c r="B26" s="663" t="s">
        <v>414</v>
      </c>
      <c r="C26" s="649" t="str">
        <f>IF(O28&lt;-0.2,"Faible",IF(O28&lt;0.2,"Moyen","Elevé"))</f>
        <v>Elevé</v>
      </c>
      <c r="D26" s="640">
        <f>+'Exploitat. Moyen'!H50</f>
        <v>50.78</v>
      </c>
      <c r="E26" s="636">
        <f>IF(D_37188&lt;&gt;0,D_37188," ")</f>
        <v>69.790000000000006</v>
      </c>
      <c r="F26" s="637" t="str">
        <f>IF(M28&lt;-0.2,"ò",IF(M28&lt;-0.05,"ø",IF(M28&lt;0.05,"ó",IF(M28&lt;0.2,"ö","ñ"))))</f>
        <v>ö</v>
      </c>
      <c r="G26" s="637" t="str">
        <f>IF(N28&lt;-0.2,"ò",IF(N28&lt;-0.05,"ø",IF(N28&lt;0.05,"ó",IF(N28&lt;0.2,"ö","ñ"))))</f>
        <v>ø</v>
      </c>
      <c r="I26" s="669" t="s">
        <v>415</v>
      </c>
      <c r="J26" s="642">
        <f>D_37187</f>
        <v>37.07</v>
      </c>
      <c r="K26" s="642">
        <f>D_37187_1</f>
        <v>57.89</v>
      </c>
      <c r="L26" s="642">
        <f>D_37187_2</f>
        <v>28.77</v>
      </c>
      <c r="M26" s="670">
        <f>(J26-K26)/ABS(K26)</f>
        <v>-0.3596476075315253</v>
      </c>
      <c r="N26" s="643">
        <f>(K26-L26)/ABS(L26)</f>
        <v>1.0121654501216546</v>
      </c>
      <c r="O26" s="644">
        <f>(E24-D24)/ABS(D24)</f>
        <v>-0.75065581489204281</v>
      </c>
    </row>
    <row r="27" spans="2:15" ht="19.5" thickTop="1" thickBot="1">
      <c r="B27" s="663" t="s">
        <v>416</v>
      </c>
      <c r="C27" s="649" t="str">
        <f>IF(O29&lt;-0.2,"Faible",IF(O29&lt;0.2,"Moyen","Elevé"))</f>
        <v>Faible</v>
      </c>
      <c r="D27" s="640">
        <f>+'Exploitat. Moyen'!H54</f>
        <v>1199</v>
      </c>
      <c r="E27" s="636">
        <f>'Exploitat. Moyen'!M43</f>
        <v>782.6875</v>
      </c>
      <c r="F27" s="637" t="str">
        <f>IF(M29&lt;-0.2,"ò",IF(M29&lt;-0.05,"ø",IF(M29&lt;0.05,"ó",IF(M29&lt;0.2,"ö","ñ"))))</f>
        <v>ñ</v>
      </c>
      <c r="G27" s="637" t="str">
        <f>IF(N27&lt;-0.2,"ò",IF(N29&lt;-0.05,"ø",IF(N29&lt;0.05,"ó",IF(N29&lt;0.2,"ö","ñ"))))</f>
        <v>ø</v>
      </c>
      <c r="J27" s="671"/>
      <c r="K27" s="672"/>
      <c r="L27" s="672"/>
      <c r="M27" s="670"/>
      <c r="N27" s="643"/>
      <c r="O27" s="644"/>
    </row>
    <row r="28" spans="2:15" ht="13.5" thickTop="1">
      <c r="B28" s="673"/>
      <c r="C28" s="17"/>
      <c r="D28" s="651"/>
      <c r="E28" s="17"/>
      <c r="F28" s="4"/>
      <c r="G28" s="4"/>
      <c r="I28" s="669" t="s">
        <v>414</v>
      </c>
      <c r="J28" s="674">
        <f>D_37188</f>
        <v>69.790000000000006</v>
      </c>
      <c r="K28" s="674">
        <f>D_37188_1</f>
        <v>59.99</v>
      </c>
      <c r="L28" s="674">
        <f>D_37188_2</f>
        <v>66.540000000000006</v>
      </c>
      <c r="M28" s="670">
        <f>(J28-K28)/ABS(K28)</f>
        <v>0.16336056009334896</v>
      </c>
      <c r="N28" s="643">
        <f>(K28-L28)/ABS(L28)</f>
        <v>-9.8437030357679645E-2</v>
      </c>
      <c r="O28" s="644">
        <f>(E26-D26)/ABS(D26)</f>
        <v>0.37435998424576616</v>
      </c>
    </row>
    <row r="29" spans="2:15">
      <c r="B29" s="673"/>
      <c r="C29" s="17"/>
      <c r="D29" s="651"/>
      <c r="E29" s="17"/>
      <c r="F29" s="675"/>
      <c r="G29" s="4"/>
      <c r="I29" s="669" t="s">
        <v>417</v>
      </c>
      <c r="J29" s="676">
        <f>D_37046/D_37199*100</f>
        <v>782.6875</v>
      </c>
      <c r="K29" s="676">
        <f>D_37046_1/D_37199*100</f>
        <v>613.36805555555554</v>
      </c>
      <c r="L29" s="642">
        <f>D_37046_2/D_37199*100</f>
        <v>767.25694444444446</v>
      </c>
      <c r="M29" s="670">
        <f>(J29-K29)/ABS(K29)</f>
        <v>0.27604868383809794</v>
      </c>
      <c r="N29" s="643">
        <f>(K29-L29)/ABS(L29)</f>
        <v>-0.20057021315110651</v>
      </c>
      <c r="O29" s="644">
        <f>(E27-D27)/ABS(D27)</f>
        <v>-0.3472164303586322</v>
      </c>
    </row>
    <row r="30" spans="2:15">
      <c r="B30" s="677"/>
      <c r="D30" s="652"/>
      <c r="E30" s="18"/>
      <c r="I30" s="653" t="s">
        <v>418</v>
      </c>
    </row>
    <row r="31" spans="2:15">
      <c r="B31" s="626" t="s">
        <v>419</v>
      </c>
      <c r="D31" s="652"/>
      <c r="E31" s="18"/>
      <c r="I31" s="655" t="s">
        <v>395</v>
      </c>
      <c r="J31" t="s">
        <v>420</v>
      </c>
      <c r="K31" s="678" t="s">
        <v>397</v>
      </c>
      <c r="M31" t="s">
        <v>421</v>
      </c>
    </row>
    <row r="32" spans="2:15" ht="13.5" thickBot="1">
      <c r="B32" s="677"/>
      <c r="D32" s="652"/>
      <c r="E32" s="18"/>
      <c r="I32" s="655" t="s">
        <v>395</v>
      </c>
      <c r="J32" t="s">
        <v>422</v>
      </c>
      <c r="K32" s="678" t="s">
        <v>397</v>
      </c>
      <c r="M32" t="s">
        <v>406</v>
      </c>
    </row>
    <row r="33" spans="1:15" ht="24" thickTop="1" thickBot="1">
      <c r="C33" s="627" t="s">
        <v>374</v>
      </c>
      <c r="D33" s="658" t="s">
        <v>375</v>
      </c>
      <c r="E33" s="627" t="s">
        <v>458</v>
      </c>
      <c r="F33" s="629" t="s">
        <v>376</v>
      </c>
      <c r="G33" s="629" t="s">
        <v>377</v>
      </c>
      <c r="I33" s="655" t="s">
        <v>395</v>
      </c>
      <c r="J33" t="s">
        <v>423</v>
      </c>
      <c r="K33" s="678" t="s">
        <v>397</v>
      </c>
      <c r="M33" t="s">
        <v>424</v>
      </c>
    </row>
    <row r="34" spans="1:15" ht="14.25" thickTop="1" thickBot="1">
      <c r="D34" s="652"/>
      <c r="E34" s="18"/>
      <c r="I34" s="655"/>
    </row>
    <row r="35" spans="1:15" ht="19.5" thickTop="1" thickBot="1">
      <c r="B35" s="633" t="s">
        <v>453</v>
      </c>
      <c r="C35" s="649" t="str">
        <f>IF(O37="NS"," ",IF(O37&lt;-0.2,"Faible",IF(O37&lt;0.2,"Moyen","Elevé")))</f>
        <v xml:space="preserve"> </v>
      </c>
      <c r="D35" s="640">
        <f>'Exploitat. Moyen'!H27</f>
        <v>47</v>
      </c>
      <c r="E35" s="636" t="str">
        <f>IF(D_37088&lt;&gt;0,D_37088," ")</f>
        <v xml:space="preserve"> </v>
      </c>
      <c r="F35" s="637" t="str">
        <f>IF(M37="NS"," ",IF(M37&lt;-0.2,"ò",IF(M37&lt;-0.05,"ø",IF(M37&lt;0.05,"ó",IF(M37&lt;0.2,"ö","ñ")))))</f>
        <v xml:space="preserve"> </v>
      </c>
      <c r="G35" s="637" t="str">
        <f>IF(N37="NS"," ",IF(N37&lt;-0.2,"ò",IF(N37&lt;-0.05,"ø",IF(N37&lt;0.05,"ó",IF(N37&lt;0.2,"ö","ñ")))))</f>
        <v xml:space="preserve"> </v>
      </c>
    </row>
    <row r="36" spans="1:15" ht="19.5" thickTop="1" thickBot="1">
      <c r="B36" s="633" t="s">
        <v>454</v>
      </c>
      <c r="C36" s="649" t="str">
        <f>IF(O38="NS"," ",IF(O38&lt;-0.2,"Faible",IF(O38&lt;0.2,"Moyen","Elevé")))</f>
        <v>Moyen</v>
      </c>
      <c r="D36" s="640">
        <f>'Exploitat. Moyen'!H35</f>
        <v>67</v>
      </c>
      <c r="E36" s="636">
        <f>IF(D_31050&lt;&gt;0,D_31050," ")</f>
        <v>74.760000000000005</v>
      </c>
      <c r="F36" s="637" t="str">
        <f>IF(M38="NS"," ",IF(M38&lt;-0.2,"ò",IF(M38&lt;-0.05,"ø",IF(M38&lt;0.05,"ó",IF(M38&lt;0.2,"ö","ñ")))))</f>
        <v>ò</v>
      </c>
      <c r="G36" s="637" t="str">
        <f>IF(N38="NS"," ",IF(N38&lt;-0.2,"ò",IF(N38&lt;-0.05,"ø",IF(N38&lt;0.05,"ó",IF(N38&lt;0.2,"ö","ñ")))))</f>
        <v>ò</v>
      </c>
    </row>
    <row r="37" spans="1:15" ht="13.5" thickTop="1">
      <c r="D37" s="679"/>
      <c r="I37" s="680" t="s">
        <v>455</v>
      </c>
      <c r="J37" s="642">
        <f>D_37088</f>
        <v>0</v>
      </c>
      <c r="K37" s="642">
        <f>D_37088_1</f>
        <v>0</v>
      </c>
      <c r="L37" s="642">
        <f>D_37088_2</f>
        <v>0</v>
      </c>
      <c r="M37" s="643" t="str">
        <f>IF(K37=0,"NS",((J37-K37)/ABS(K37)))</f>
        <v>NS</v>
      </c>
      <c r="N37" s="643" t="str">
        <f>IF(L37=0,"NS",(K37-L37)/ABS(L37))</f>
        <v>NS</v>
      </c>
      <c r="O37" s="644" t="str">
        <f>IF(E35=" ","NS",(E35-D35)/ABS(D35))</f>
        <v>NS</v>
      </c>
    </row>
    <row r="38" spans="1:15">
      <c r="D38" s="679"/>
      <c r="I38" s="680" t="s">
        <v>456</v>
      </c>
      <c r="J38" s="642">
        <f>D_31050</f>
        <v>74.760000000000005</v>
      </c>
      <c r="K38" s="642">
        <f>D_31050_1</f>
        <v>160.54</v>
      </c>
      <c r="L38" s="642">
        <f>D_31050_2</f>
        <v>219.02</v>
      </c>
      <c r="M38" s="643">
        <f>IF(K38=0,"NS",((J38-K38)/ABS(K38)))</f>
        <v>-0.53432166438270834</v>
      </c>
      <c r="N38" s="643">
        <f>IF(L38=0,"NS",(K38-L38)/ABS(L38))</f>
        <v>-0.26700757921650997</v>
      </c>
      <c r="O38" s="644">
        <f>IF(E36=" ","NS",(E36-D36)/ABS(D36))</f>
        <v>0.11582089552238814</v>
      </c>
    </row>
    <row r="39" spans="1:15" ht="13.5" thickBot="1">
      <c r="I39" s="38" t="s">
        <v>425</v>
      </c>
      <c r="J39" t="s">
        <v>420</v>
      </c>
      <c r="K39" s="681" t="s">
        <v>426</v>
      </c>
      <c r="M39" s="708" t="s">
        <v>426</v>
      </c>
    </row>
    <row r="40" spans="1:15" ht="58.5" customHeight="1" thickTop="1" thickBot="1">
      <c r="A40" s="682"/>
      <c r="B40" s="1083" t="e">
        <f>VLOOKUP(A40,I1:J3,2)</f>
        <v>#N/A</v>
      </c>
      <c r="C40" s="1084"/>
      <c r="D40" s="1084"/>
      <c r="E40" s="1084"/>
      <c r="F40" s="1084"/>
      <c r="G40" s="1085"/>
      <c r="J40" t="s">
        <v>427</v>
      </c>
      <c r="K40" s="681" t="s">
        <v>428</v>
      </c>
      <c r="M40" s="708" t="s">
        <v>428</v>
      </c>
    </row>
    <row r="41" spans="1:15" ht="13.5" thickTop="1">
      <c r="I41" s="683"/>
      <c r="J41" t="s">
        <v>429</v>
      </c>
      <c r="K41" s="681" t="s">
        <v>430</v>
      </c>
      <c r="M41" s="708" t="s">
        <v>430</v>
      </c>
    </row>
    <row r="42" spans="1:15">
      <c r="J42" t="s">
        <v>431</v>
      </c>
      <c r="K42" s="681" t="s">
        <v>432</v>
      </c>
      <c r="M42" s="708" t="s">
        <v>432</v>
      </c>
    </row>
    <row r="43" spans="1:15">
      <c r="J43" t="s">
        <v>423</v>
      </c>
      <c r="K43" s="681" t="s">
        <v>433</v>
      </c>
      <c r="M43" s="708" t="s">
        <v>433</v>
      </c>
    </row>
  </sheetData>
  <mergeCells count="4">
    <mergeCell ref="J1:O1"/>
    <mergeCell ref="J2:O2"/>
    <mergeCell ref="J3:O3"/>
    <mergeCell ref="B40:G40"/>
  </mergeCells>
  <phoneticPr fontId="16" type="noConversion"/>
  <conditionalFormatting sqref="B40:G40">
    <cfRule type="cellIs" dxfId="20" priority="1" stopIfTrue="1" operator="equal">
      <formula>$J$1</formula>
    </cfRule>
    <cfRule type="cellIs" dxfId="19" priority="2" stopIfTrue="1" operator="equal">
      <formula>$J$2</formula>
    </cfRule>
    <cfRule type="cellIs" dxfId="18" priority="3" stopIfTrue="1" operator="equal">
      <formula>$J$3</formula>
    </cfRule>
  </conditionalFormatting>
  <conditionalFormatting sqref="C14">
    <cfRule type="cellIs" dxfId="17" priority="4" stopIfTrue="1" operator="equal">
      <formula>"Alert !"</formula>
    </cfRule>
    <cfRule type="cellIs" dxfId="16" priority="5" stopIfTrue="1" operator="equal">
      <formula>"A surveiller"</formula>
    </cfRule>
    <cfRule type="cellIs" dxfId="15" priority="6" stopIfTrue="1" operator="equal">
      <formula>"Bon score !"</formula>
    </cfRule>
  </conditionalFormatting>
  <conditionalFormatting sqref="C26">
    <cfRule type="cellIs" dxfId="14" priority="7" stopIfTrue="1" operator="equal">
      <formula>"Elevé"</formula>
    </cfRule>
    <cfRule type="cellIs" dxfId="13" priority="8" stopIfTrue="1" operator="equal">
      <formula>"Faible"</formula>
    </cfRule>
  </conditionalFormatting>
  <conditionalFormatting sqref="F26:G26 F13:F14 G14 F35:G36">
    <cfRule type="cellIs" dxfId="12" priority="9" stopIfTrue="1" operator="equal">
      <formula>"ò"</formula>
    </cfRule>
    <cfRule type="cellIs" dxfId="11" priority="10" stopIfTrue="1" operator="equal">
      <formula>"ñ"</formula>
    </cfRule>
  </conditionalFormatting>
  <conditionalFormatting sqref="F9:G12 F23:G24 F27:G27">
    <cfRule type="cellIs" dxfId="10" priority="11" stopIfTrue="1" operator="equal">
      <formula>"ò"</formula>
    </cfRule>
    <cfRule type="cellIs" dxfId="9" priority="12" stopIfTrue="1" operator="equal">
      <formula>"ñ"</formula>
    </cfRule>
  </conditionalFormatting>
  <conditionalFormatting sqref="C15 C27">
    <cfRule type="cellIs" dxfId="8" priority="13" stopIfTrue="1" operator="equal">
      <formula>"Elevé"</formula>
    </cfRule>
    <cfRule type="cellIs" dxfId="7" priority="14" stopIfTrue="1" operator="equal">
      <formula>"Faible"</formula>
    </cfRule>
  </conditionalFormatting>
  <conditionalFormatting sqref="C23:C24 C9:C12">
    <cfRule type="cellIs" dxfId="6" priority="15" stopIfTrue="1" operator="equal">
      <formula>"Alerte !"</formula>
    </cfRule>
    <cfRule type="cellIs" dxfId="5" priority="16" stopIfTrue="1" operator="equal">
      <formula>"A surveiller"</formula>
    </cfRule>
    <cfRule type="cellIs" dxfId="4" priority="17" stopIfTrue="1" operator="equal">
      <formula>"Bon score !"</formula>
    </cfRule>
  </conditionalFormatting>
  <conditionalFormatting sqref="F15:G15">
    <cfRule type="cellIs" dxfId="3" priority="18" stopIfTrue="1" operator="equal">
      <formula>"ò"</formula>
    </cfRule>
    <cfRule type="cellIs" dxfId="2" priority="19" stopIfTrue="1" operator="equal">
      <formula>"ñ"</formula>
    </cfRule>
  </conditionalFormatting>
  <conditionalFormatting sqref="C35:C36">
    <cfRule type="cellIs" dxfId="1" priority="20" stopIfTrue="1" operator="equal">
      <formula>"Elevé"</formula>
    </cfRule>
    <cfRule type="cellIs" dxfId="0" priority="21" stopIfTrue="1" operator="equal">
      <formula>"Faible"</formula>
    </cfRule>
    <cfRule type="cellIs" priority="22" stopIfTrue="1" operator="equal">
      <formula>""" """</formula>
    </cfRule>
  </conditionalFormatting>
  <pageMargins left="0.39370078740157483" right="0.39370078740157483" top="0.59055118110236227" bottom="0.39370078740157483" header="0.51181102362204722" footer="0.51181102362204722"/>
  <pageSetup paperSize="9" orientation="portrait" verticalDpi="0" r:id="rId1"/>
  <headerFooter alignWithMargins="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4"/>
  <dimension ref="B1:R54"/>
  <sheetViews>
    <sheetView topLeftCell="A28" workbookViewId="0">
      <selection activeCell="Q2" sqref="Q2"/>
    </sheetView>
  </sheetViews>
  <sheetFormatPr baseColWidth="10" defaultRowHeight="12.75"/>
  <cols>
    <col min="1" max="1" width="3.85546875" customWidth="1"/>
    <col min="2" max="2" width="28.28515625" bestFit="1" customWidth="1"/>
    <col min="3" max="3" width="7.42578125" customWidth="1"/>
    <col min="4" max="4" width="4.28515625" customWidth="1"/>
    <col min="5" max="5" width="3.5703125" customWidth="1"/>
    <col min="6" max="8" width="13.7109375" bestFit="1" customWidth="1"/>
    <col min="10" max="10" width="9.42578125" customWidth="1"/>
    <col min="11" max="11" width="27.42578125" bestFit="1" customWidth="1"/>
  </cols>
  <sheetData>
    <row r="1" spans="2:3" ht="5.0999999999999996" customHeight="1"/>
    <row r="2" spans="2:3" ht="5.0999999999999996" customHeight="1"/>
    <row r="3" spans="2:3" ht="5.0999999999999996" customHeight="1"/>
    <row r="4" spans="2:3" ht="5.0999999999999996" customHeight="1"/>
    <row r="5" spans="2:3" ht="5.0999999999999996" customHeight="1"/>
    <row r="6" spans="2:3" ht="5.0999999999999996" customHeight="1"/>
    <row r="7" spans="2:3" ht="5.0999999999999996" customHeight="1"/>
    <row r="8" spans="2:3" ht="5.0999999999999996" customHeight="1"/>
    <row r="9" spans="2:3" ht="5.0999999999999996" customHeight="1"/>
    <row r="10" spans="2:3" ht="5.0999999999999996" customHeight="1"/>
    <row r="11" spans="2:3" ht="5.0999999999999996" customHeight="1"/>
    <row r="12" spans="2:3" ht="5.0999999999999996" customHeight="1"/>
    <row r="14" spans="2:3">
      <c r="B14" t="s">
        <v>434</v>
      </c>
      <c r="C14" s="128" t="str">
        <f>IF(D_37172=1,"Betteraves 10%&lt;&gt;30%",IF(D_37172 = 2,"Betteraves &lt; 10%",IF(D_37172 = 3,"Betteraves&gt;30%",IF(D_37172 = 4,"Betteraves, Pomme de terre et Légumes&gt;30%",IF(D_37172 = 5,"Polyculture Elevage",IF(D_37172 = 6,"100%SCOP"))))))</f>
        <v>100%SCOP</v>
      </c>
    </row>
    <row r="15" spans="2:3">
      <c r="B15" t="s">
        <v>435</v>
      </c>
      <c r="C15" s="42">
        <f>IF(D_37172 = 1,L20,IF(D_37172 = 2,M20,IF(D_37172 = 3,N20,IF(D_37172 = 4,O20,IF(D_37172 = 5,P20,IF(D_37172 = 6,Q20))))))</f>
        <v>18</v>
      </c>
    </row>
    <row r="16" spans="2:3" ht="6.75" customHeight="1"/>
    <row r="17" spans="2:18">
      <c r="L17" t="s">
        <v>330</v>
      </c>
    </row>
    <row r="18" spans="2:18">
      <c r="F18" s="1086" t="s">
        <v>436</v>
      </c>
      <c r="G18" s="1086"/>
      <c r="H18" s="684" t="s">
        <v>437</v>
      </c>
      <c r="L18" s="67" t="s">
        <v>287</v>
      </c>
    </row>
    <row r="19" spans="2:18" ht="14.25">
      <c r="C19" s="101" t="s">
        <v>299</v>
      </c>
      <c r="D19" s="42"/>
      <c r="E19" s="42"/>
      <c r="F19" s="685" t="s">
        <v>438</v>
      </c>
      <c r="G19" s="685" t="s">
        <v>368</v>
      </c>
      <c r="H19" s="686" t="s">
        <v>368</v>
      </c>
      <c r="L19" s="67">
        <v>1</v>
      </c>
      <c r="M19" s="67">
        <v>2</v>
      </c>
      <c r="N19" s="67">
        <v>3</v>
      </c>
      <c r="O19" s="67">
        <v>4</v>
      </c>
      <c r="P19" s="67">
        <v>5</v>
      </c>
      <c r="Q19" s="67">
        <v>6</v>
      </c>
      <c r="R19" s="67"/>
    </row>
    <row r="20" spans="2:18">
      <c r="F20" s="687"/>
      <c r="G20" s="687"/>
      <c r="H20" s="684"/>
      <c r="K20" t="s">
        <v>288</v>
      </c>
      <c r="L20" s="18">
        <v>107</v>
      </c>
      <c r="M20" s="18">
        <v>33</v>
      </c>
      <c r="N20" s="18">
        <v>4</v>
      </c>
      <c r="O20" s="18">
        <v>27</v>
      </c>
      <c r="P20" s="18">
        <v>25</v>
      </c>
      <c r="Q20" s="18">
        <v>18</v>
      </c>
      <c r="R20" s="18"/>
    </row>
    <row r="21" spans="2:18" ht="14.25">
      <c r="F21" s="687"/>
      <c r="G21" s="687"/>
      <c r="H21" s="684"/>
      <c r="K21" s="11" t="s">
        <v>331</v>
      </c>
      <c r="L21" s="448">
        <v>1079</v>
      </c>
      <c r="M21" s="448">
        <v>1030</v>
      </c>
      <c r="N21" s="448">
        <v>1102</v>
      </c>
      <c r="O21" s="448">
        <v>1667</v>
      </c>
      <c r="P21" s="448">
        <v>1193</v>
      </c>
      <c r="Q21" s="448">
        <v>1109</v>
      </c>
      <c r="R21" s="448"/>
    </row>
    <row r="22" spans="2:18" ht="14.25">
      <c r="F22" s="687"/>
      <c r="G22" s="687"/>
      <c r="H22" s="684"/>
      <c r="K22" s="11" t="s">
        <v>90</v>
      </c>
      <c r="L22" s="448">
        <v>1396</v>
      </c>
      <c r="M22" s="448">
        <v>1325</v>
      </c>
      <c r="N22" s="448">
        <v>1430</v>
      </c>
      <c r="O22" s="448">
        <v>1953</v>
      </c>
      <c r="P22" s="448">
        <v>1489</v>
      </c>
      <c r="Q22" s="448">
        <v>1109</v>
      </c>
      <c r="R22" s="448"/>
    </row>
    <row r="23" spans="2:18" ht="14.25">
      <c r="B23" s="110" t="s">
        <v>439</v>
      </c>
      <c r="C23" s="710"/>
      <c r="D23" s="710"/>
      <c r="E23" s="710"/>
      <c r="F23" s="711">
        <f>D_37022</f>
        <v>289.95999999999998</v>
      </c>
      <c r="G23" s="92">
        <f>D_37022_1</f>
        <v>980.67</v>
      </c>
      <c r="H23" s="712">
        <f>IF(D_37172=1,$L$22,IF(D_37172 = 2,$M$22,IF(D_37172 = 3,$N$22,IF(D_37172 = 4,$O$22,IF(D_37172 = 5,$P$22,IF(D_37172 = 6,$Q$22,IF(D_37172 = 7,$R$22)))))))</f>
        <v>1109</v>
      </c>
      <c r="I23" s="148">
        <f>($F$23-$H$23)/$H$23*100</f>
        <v>-73.853922452660044</v>
      </c>
      <c r="J23" s="29"/>
      <c r="K23" s="11" t="s">
        <v>91</v>
      </c>
      <c r="L23" s="448">
        <v>452</v>
      </c>
      <c r="M23" s="448">
        <v>425</v>
      </c>
      <c r="N23" s="448">
        <v>555</v>
      </c>
      <c r="O23" s="448">
        <v>689</v>
      </c>
      <c r="P23" s="448">
        <v>463</v>
      </c>
      <c r="Q23" s="448">
        <v>419</v>
      </c>
      <c r="R23" s="448"/>
    </row>
    <row r="24" spans="2:18" ht="14.25">
      <c r="B24" s="11"/>
      <c r="C24" s="710"/>
      <c r="D24" s="710"/>
      <c r="E24" s="710"/>
      <c r="F24" s="687"/>
      <c r="G24" s="92"/>
      <c r="H24" s="711"/>
      <c r="I24" s="140"/>
      <c r="J24" s="29"/>
      <c r="K24" s="11" t="s">
        <v>92</v>
      </c>
      <c r="L24" s="448">
        <v>93</v>
      </c>
      <c r="M24" s="448">
        <v>58</v>
      </c>
      <c r="N24" s="448">
        <v>100</v>
      </c>
      <c r="O24" s="448">
        <v>194</v>
      </c>
      <c r="P24" s="448">
        <v>149</v>
      </c>
      <c r="Q24" s="448">
        <v>47</v>
      </c>
      <c r="R24" s="448"/>
    </row>
    <row r="25" spans="2:18" ht="14.25">
      <c r="B25" s="110" t="s">
        <v>91</v>
      </c>
      <c r="C25" s="710"/>
      <c r="D25" s="710"/>
      <c r="E25" s="710"/>
      <c r="F25" s="711">
        <f>D_37082</f>
        <v>647.1</v>
      </c>
      <c r="G25" s="92">
        <f>D_37082_1</f>
        <v>595.45000000000005</v>
      </c>
      <c r="H25" s="712">
        <f>IF(D_37172=1,$L$23,IF(D_37172 = 2,$M$23,IF(D_37172 = 3,$N$23,IF(D_37172 = 4,$O$23,IF(D_37172 = 5,$P$23,IF(D_37172 = 6,$Q$23,IF(D_37172 = 7,$R$23)))))))</f>
        <v>419</v>
      </c>
      <c r="I25" s="148">
        <f>F27+F29+F31+F33+F35</f>
        <v>449.14527777777784</v>
      </c>
      <c r="J25" s="29"/>
      <c r="K25" s="11" t="s">
        <v>93</v>
      </c>
      <c r="L25" s="448">
        <v>394</v>
      </c>
      <c r="M25" s="448">
        <v>373</v>
      </c>
      <c r="N25" s="448">
        <v>370</v>
      </c>
      <c r="O25" s="448">
        <v>604</v>
      </c>
      <c r="P25" s="448">
        <v>466</v>
      </c>
      <c r="Q25" s="448">
        <v>343</v>
      </c>
      <c r="R25" s="448"/>
    </row>
    <row r="26" spans="2:18" ht="14.25">
      <c r="B26" s="110"/>
      <c r="C26" s="710"/>
      <c r="D26" s="710"/>
      <c r="E26" s="710"/>
      <c r="F26" s="711"/>
      <c r="G26" s="92"/>
      <c r="H26" s="711"/>
      <c r="I26" s="149">
        <f>H27+H29+H31+H33+H35</f>
        <v>619</v>
      </c>
      <c r="J26" s="71">
        <f>$I$25-$I$26</f>
        <v>-169.85472222222216</v>
      </c>
      <c r="K26" s="11" t="s">
        <v>94</v>
      </c>
      <c r="L26" s="448">
        <v>156</v>
      </c>
      <c r="M26" s="448">
        <v>149</v>
      </c>
      <c r="N26" s="448">
        <v>128</v>
      </c>
      <c r="O26" s="448">
        <v>169</v>
      </c>
      <c r="P26" s="448">
        <v>136</v>
      </c>
      <c r="Q26" s="448">
        <v>140</v>
      </c>
      <c r="R26" s="448"/>
    </row>
    <row r="27" spans="2:18" ht="14.25">
      <c r="B27" s="110" t="s">
        <v>92</v>
      </c>
      <c r="C27" s="710"/>
      <c r="D27" s="710"/>
      <c r="E27" s="710"/>
      <c r="F27" s="711">
        <v>0</v>
      </c>
      <c r="G27" s="92">
        <f>D_37088_1</f>
        <v>0</v>
      </c>
      <c r="H27" s="712">
        <f>IF(D_37172=1,$L$24,IF(D_37172 = 2,$M$24,IF(D_37172 = 3,$N$24,IF(D_37172 = 4,$O$24,IF(D_37172 = 5,$P$24,IF(D_37172 = 6,$Q$24,IF(D_37172 = 7,$R$24)))))))</f>
        <v>47</v>
      </c>
      <c r="I27" s="140"/>
      <c r="J27" s="29"/>
      <c r="K27" s="11" t="s">
        <v>95</v>
      </c>
      <c r="L27" s="448">
        <v>22</v>
      </c>
      <c r="M27" s="448">
        <v>20</v>
      </c>
      <c r="N27" s="448">
        <v>22</v>
      </c>
      <c r="O27" s="448">
        <v>28</v>
      </c>
      <c r="P27" s="448">
        <v>32</v>
      </c>
      <c r="Q27" s="448">
        <v>22</v>
      </c>
      <c r="R27" s="448"/>
    </row>
    <row r="28" spans="2:18" ht="14.25">
      <c r="B28" s="110"/>
      <c r="C28" s="710"/>
      <c r="D28" s="710"/>
      <c r="E28" s="710"/>
      <c r="F28" s="711"/>
      <c r="G28" s="92"/>
      <c r="H28" s="711"/>
      <c r="I28" s="140"/>
      <c r="J28" s="29"/>
      <c r="K28" s="11" t="s">
        <v>96</v>
      </c>
      <c r="L28" s="448">
        <v>56</v>
      </c>
      <c r="M28" s="448">
        <v>47</v>
      </c>
      <c r="N28" s="448">
        <v>98</v>
      </c>
      <c r="O28" s="448">
        <v>52</v>
      </c>
      <c r="P28" s="448">
        <v>50</v>
      </c>
      <c r="Q28" s="448">
        <v>67</v>
      </c>
      <c r="R28" s="448"/>
    </row>
    <row r="29" spans="2:18" ht="14.25">
      <c r="B29" s="110" t="s">
        <v>93</v>
      </c>
      <c r="C29" s="710"/>
      <c r="D29" s="710"/>
      <c r="E29" s="710"/>
      <c r="F29" s="711">
        <f>D_37023 + ( R_1206  / D_37199 *100)</f>
        <v>279.25361111111113</v>
      </c>
      <c r="G29" s="92">
        <f>D_37023_1 + ( R_1206_1  / D_37199_1 *100)</f>
        <v>325.82933824551651</v>
      </c>
      <c r="H29" s="712">
        <f>IF(D_37172=1,$L$25,IF(D_37172 = 2,$M$25,IF(D_37172 = 3,$N$25,IF(D_37172 = 4,$O$25,IF(D_37172 = 5,$P$25,IF(D_37172 = 6,$Q$25,IF(D_37172 = 7,$R$25)))))))</f>
        <v>343</v>
      </c>
      <c r="I29" s="140"/>
      <c r="J29" s="29"/>
      <c r="K29" s="11" t="s">
        <v>283</v>
      </c>
      <c r="L29" s="448">
        <v>679</v>
      </c>
      <c r="M29" s="448">
        <v>672</v>
      </c>
      <c r="N29" s="448">
        <v>763</v>
      </c>
      <c r="O29" s="448">
        <v>709</v>
      </c>
      <c r="P29" s="448">
        <v>635</v>
      </c>
      <c r="Q29" s="448">
        <v>791</v>
      </c>
      <c r="R29" s="448"/>
    </row>
    <row r="30" spans="2:18" ht="14.25">
      <c r="B30" s="110"/>
      <c r="C30" s="710"/>
      <c r="D30" s="710"/>
      <c r="E30" s="710"/>
      <c r="F30" s="711"/>
      <c r="G30" s="92"/>
      <c r="H30" s="711"/>
      <c r="I30" s="140"/>
      <c r="J30" s="29"/>
      <c r="K30" s="11" t="s">
        <v>98</v>
      </c>
      <c r="L30" s="448">
        <v>458</v>
      </c>
      <c r="M30" s="448">
        <v>485</v>
      </c>
      <c r="N30" s="448">
        <v>543</v>
      </c>
      <c r="O30" s="448">
        <v>404</v>
      </c>
      <c r="P30" s="448">
        <v>425</v>
      </c>
      <c r="Q30" s="448">
        <v>532</v>
      </c>
      <c r="R30" s="448"/>
    </row>
    <row r="31" spans="2:18" ht="14.25">
      <c r="B31" s="110" t="s">
        <v>94</v>
      </c>
      <c r="C31" s="710"/>
      <c r="D31" s="710"/>
      <c r="E31" s="710"/>
      <c r="F31" s="711">
        <f>D_31047</f>
        <v>86.09</v>
      </c>
      <c r="G31" s="92">
        <f>D_31047_1</f>
        <v>93.47</v>
      </c>
      <c r="H31" s="712">
        <f>IF(D_37172=1,$L$26,IF(D_37172 = 2,$M$26,IF(D_37172 = 3,$N$26,IF(D_37172 = 4,$O$26,IF(D_37172 = 5,$P$26,IF(D_37172 = 6,$Q$26,IF(D_37172 = 7,$R$26)))))))</f>
        <v>140</v>
      </c>
      <c r="I31" s="140"/>
      <c r="J31" s="29"/>
      <c r="K31" s="11" t="s">
        <v>284</v>
      </c>
      <c r="L31" s="75">
        <v>216.3</v>
      </c>
      <c r="M31" s="75">
        <v>216.12</v>
      </c>
      <c r="N31" s="75">
        <v>263.75</v>
      </c>
      <c r="O31" s="75">
        <v>176.44</v>
      </c>
      <c r="P31" s="75">
        <v>152.96</v>
      </c>
      <c r="Q31" s="75">
        <v>148.66999999999999</v>
      </c>
      <c r="R31" s="448"/>
    </row>
    <row r="32" spans="2:18" ht="14.25">
      <c r="B32" s="110"/>
      <c r="C32" s="710"/>
      <c r="D32" s="710"/>
      <c r="E32" s="710"/>
      <c r="F32" s="711"/>
      <c r="G32" s="92"/>
      <c r="H32" s="711"/>
      <c r="I32" s="140"/>
      <c r="J32" s="29"/>
      <c r="K32" s="11" t="s">
        <v>99</v>
      </c>
      <c r="L32" s="75">
        <v>53.53</v>
      </c>
      <c r="M32" s="75">
        <v>53.64</v>
      </c>
      <c r="N32" s="75">
        <v>70.25</v>
      </c>
      <c r="O32" s="75">
        <v>58.48</v>
      </c>
      <c r="P32" s="75">
        <v>54.4</v>
      </c>
      <c r="Q32" s="75">
        <v>45.06</v>
      </c>
      <c r="R32" s="448"/>
    </row>
    <row r="33" spans="2:18" ht="14.25">
      <c r="B33" s="110" t="s">
        <v>95</v>
      </c>
      <c r="C33" s="710"/>
      <c r="D33" s="710"/>
      <c r="E33" s="710"/>
      <c r="F33" s="711">
        <f>R_640/(D_37199/100)</f>
        <v>9.0416666666666661</v>
      </c>
      <c r="G33" s="711">
        <f>R_640_1/(D_37199_1/100)</f>
        <v>22.063116919227024</v>
      </c>
      <c r="H33" s="712">
        <f>IF(D_37172=1,$L$27,IF(D_37172 = 2,$M$27,IF(D_37172 = 3,$N$27,IF(D_37172 = 4,$O$27,IF(D_37172 = 5,$P$27,IF(D_37172 = 6,$Q$27,IF(D_37172 = 7,$R$27)))))))</f>
        <v>22</v>
      </c>
      <c r="I33" s="140"/>
      <c r="J33" s="29"/>
      <c r="K33" s="11" t="s">
        <v>286</v>
      </c>
      <c r="L33" s="75">
        <v>72.400000000000006</v>
      </c>
      <c r="M33" s="75">
        <v>76.42</v>
      </c>
      <c r="N33" s="75">
        <v>82</v>
      </c>
      <c r="O33" s="75">
        <v>74.11</v>
      </c>
      <c r="P33" s="75">
        <v>75.44</v>
      </c>
      <c r="Q33" s="75">
        <v>65.72</v>
      </c>
      <c r="R33" s="448"/>
    </row>
    <row r="34" spans="2:18" ht="14.25">
      <c r="B34" s="110"/>
      <c r="C34" s="710"/>
      <c r="D34" s="710"/>
      <c r="E34" s="710"/>
      <c r="F34" s="711"/>
      <c r="G34" s="92"/>
      <c r="H34" s="711"/>
      <c r="I34" s="140"/>
      <c r="J34" s="29"/>
      <c r="K34" s="11" t="s">
        <v>285</v>
      </c>
      <c r="L34" s="448">
        <v>918</v>
      </c>
      <c r="M34" s="448">
        <v>948</v>
      </c>
      <c r="N34" s="448">
        <v>1064</v>
      </c>
      <c r="O34" s="448">
        <v>1565</v>
      </c>
      <c r="P34" s="448">
        <v>1117</v>
      </c>
      <c r="Q34" s="448">
        <v>721</v>
      </c>
      <c r="R34" s="448"/>
    </row>
    <row r="35" spans="2:18" ht="14.25">
      <c r="B35" s="110" t="s">
        <v>96</v>
      </c>
      <c r="C35" s="710"/>
      <c r="D35" s="710"/>
      <c r="E35" s="710"/>
      <c r="F35" s="711">
        <f>D_31050</f>
        <v>74.760000000000005</v>
      </c>
      <c r="G35" s="92">
        <f>D_31050_1</f>
        <v>160.54</v>
      </c>
      <c r="H35" s="712">
        <f>IF(D_37172=1,$L$28,IF(D_37172 = 2,$M$28,IF(D_37172 = 3,$N$28,IF(D_37172 = 4,$O$28,IF(D_37172 = 5,$P$28,IF(D_37172 = 6,$Q$28,IF(D_37172 = 7,$R$28)))))))</f>
        <v>67</v>
      </c>
      <c r="I35" s="140"/>
      <c r="J35" s="29"/>
      <c r="K35" s="688" t="s">
        <v>440</v>
      </c>
      <c r="L35" s="689">
        <v>35.25</v>
      </c>
      <c r="M35" s="689">
        <v>33.090000000000003</v>
      </c>
      <c r="N35" s="689">
        <v>28.25</v>
      </c>
      <c r="O35" s="689">
        <v>34.44</v>
      </c>
      <c r="P35" s="689">
        <v>38.28</v>
      </c>
      <c r="Q35" s="689">
        <v>50.78</v>
      </c>
      <c r="R35" s="690"/>
    </row>
    <row r="36" spans="2:18" ht="14.25">
      <c r="B36" s="110"/>
      <c r="C36" s="710"/>
      <c r="D36" s="710"/>
      <c r="E36" s="710"/>
      <c r="F36" s="711"/>
      <c r="G36" s="92"/>
      <c r="H36" s="711"/>
      <c r="I36" s="140"/>
      <c r="J36" s="29"/>
      <c r="K36" s="688" t="s">
        <v>441</v>
      </c>
      <c r="L36" s="689">
        <v>1149</v>
      </c>
      <c r="M36" s="689">
        <v>1000</v>
      </c>
      <c r="N36" s="689">
        <v>1166</v>
      </c>
      <c r="O36" s="689">
        <v>1826</v>
      </c>
      <c r="P36" s="689">
        <v>1249</v>
      </c>
      <c r="Q36" s="689">
        <v>1199</v>
      </c>
      <c r="R36" s="690"/>
    </row>
    <row r="37" spans="2:18" ht="14.25">
      <c r="B37" s="110" t="s">
        <v>97</v>
      </c>
      <c r="C37" s="710"/>
      <c r="D37" s="710"/>
      <c r="E37" s="710"/>
      <c r="F37" s="711">
        <f>D_37026</f>
        <v>-334.06</v>
      </c>
      <c r="G37" s="92">
        <f>D_37026_1</f>
        <v>218.5</v>
      </c>
      <c r="H37" s="712">
        <f>IF(D_37172=1,$L$29,IF(D_37172 = 2,$M$29,IF(D_37172 = 3,$N$29,IF(D_37172 = 4,$O$29,IF(D_37172 = 5,$P$29,IF(D_37172 = 6,$Q$29,IF(D_37172 = 7,$R$29)))))))</f>
        <v>791</v>
      </c>
      <c r="I37" s="140"/>
      <c r="J37" s="29"/>
      <c r="K37" s="691" t="s">
        <v>442</v>
      </c>
      <c r="L37" s="691">
        <v>1848</v>
      </c>
      <c r="M37" s="691">
        <v>1755</v>
      </c>
      <c r="N37" s="691">
        <v>1985</v>
      </c>
      <c r="O37" s="691">
        <v>2642</v>
      </c>
      <c r="P37" s="691">
        <v>2220</v>
      </c>
      <c r="Q37" s="691">
        <v>1823</v>
      </c>
      <c r="R37" s="690"/>
    </row>
    <row r="38" spans="2:18" ht="6" customHeight="1">
      <c r="B38" s="110"/>
      <c r="C38" s="710"/>
      <c r="D38" s="710"/>
      <c r="E38" s="710"/>
      <c r="F38" s="711"/>
      <c r="G38" s="92"/>
      <c r="H38" s="711"/>
      <c r="I38" s="140"/>
      <c r="J38" s="29"/>
      <c r="K38" s="692"/>
      <c r="L38" s="693"/>
    </row>
    <row r="39" spans="2:18" ht="14.25">
      <c r="B39" s="110" t="s">
        <v>98</v>
      </c>
      <c r="C39" s="710"/>
      <c r="D39" s="710"/>
      <c r="E39" s="710"/>
      <c r="F39" s="711">
        <f>D_37029</f>
        <v>-191.82</v>
      </c>
      <c r="G39" s="92">
        <f>D_37029_1</f>
        <v>342.03</v>
      </c>
      <c r="H39" s="712">
        <f>IF(D_37172=1,$L$30,IF(D_37172 = 2,$M$30,IF(D_37172 = 3,$N$30,IF(D_37172 = 4,$O$30,IF(D_37172 = 5,$P$30,IF(D_37172 = 6,$Q$30,IF(D_37172 = 7,$R$30)))))))</f>
        <v>532</v>
      </c>
      <c r="I39" s="140"/>
      <c r="J39" s="29"/>
      <c r="K39" s="694"/>
      <c r="L39" s="693"/>
      <c r="M39" s="67"/>
      <c r="N39" s="67"/>
      <c r="O39" s="67"/>
      <c r="P39" s="67"/>
      <c r="Q39" s="67"/>
    </row>
    <row r="40" spans="2:18" ht="7.5" customHeight="1">
      <c r="B40" s="42"/>
      <c r="C40" s="710"/>
      <c r="D40" s="710"/>
      <c r="E40" s="710"/>
      <c r="F40" s="695"/>
      <c r="G40" s="713"/>
      <c r="H40" s="713"/>
      <c r="I40" s="140"/>
      <c r="J40" s="29"/>
      <c r="L40" s="18"/>
      <c r="M40" s="18"/>
      <c r="N40" s="18"/>
      <c r="O40" s="18"/>
      <c r="P40" s="18"/>
      <c r="Q40" s="18"/>
    </row>
    <row r="41" spans="2:18" ht="14.25">
      <c r="B41" s="42"/>
      <c r="C41" s="710"/>
      <c r="D41" s="710"/>
      <c r="E41" s="710"/>
      <c r="F41" s="695"/>
      <c r="G41" s="695"/>
      <c r="H41" s="714"/>
      <c r="K41" s="696" t="s">
        <v>443</v>
      </c>
      <c r="L41" s="697"/>
      <c r="M41" s="698"/>
      <c r="N41" s="75"/>
      <c r="O41" s="75"/>
      <c r="P41" s="75"/>
      <c r="Q41" s="75"/>
    </row>
    <row r="42" spans="2:18" ht="14.25">
      <c r="B42" s="110" t="s">
        <v>444</v>
      </c>
      <c r="C42" s="710"/>
      <c r="D42" s="710"/>
      <c r="E42" s="710"/>
      <c r="F42" s="713">
        <f>D_37187</f>
        <v>37.07</v>
      </c>
      <c r="G42" s="715">
        <f>D_37187_1</f>
        <v>57.89</v>
      </c>
      <c r="H42" s="714">
        <f>IF(D_37172=1,$L$31,IF(D_37172 = 2,$M$31,IF(D_37172 = 3,$N$31,IF(D_37172 = 4,$O$31,IF(D_37172 = 5,$P$31,IF(D_37172 = 6,$Q$31,IF(D_37172 = 7,$R$31)))))))</f>
        <v>148.66999999999999</v>
      </c>
      <c r="K42" s="699" t="s">
        <v>445</v>
      </c>
      <c r="L42" s="700">
        <f>D_37199/100</f>
        <v>144</v>
      </c>
      <c r="M42" s="701"/>
      <c r="N42" s="75"/>
      <c r="O42" s="75"/>
      <c r="P42" s="75"/>
      <c r="Q42" s="75"/>
    </row>
    <row r="43" spans="2:18" ht="8.25" customHeight="1">
      <c r="B43" s="110"/>
      <c r="C43" s="710"/>
      <c r="D43" s="710"/>
      <c r="E43" s="710"/>
      <c r="F43" s="713"/>
      <c r="G43" s="715"/>
      <c r="H43" s="713"/>
      <c r="K43" s="702"/>
      <c r="L43" s="703"/>
      <c r="M43" s="701">
        <f>+L44/L42</f>
        <v>782.6875</v>
      </c>
      <c r="N43" s="75"/>
      <c r="O43" s="75"/>
      <c r="P43" s="75"/>
      <c r="Q43" s="75"/>
    </row>
    <row r="44" spans="2:18" ht="14.25">
      <c r="B44" s="110" t="s">
        <v>446</v>
      </c>
      <c r="C44" s="710"/>
      <c r="D44" s="710"/>
      <c r="E44" s="710"/>
      <c r="F44" s="713">
        <f>D_37185</f>
        <v>24.55</v>
      </c>
      <c r="G44" s="715">
        <f>D_37185_1</f>
        <v>40.01</v>
      </c>
      <c r="H44" s="714">
        <f>IF(D_37172=1,$L$32,IF(D_37172 = 2,$M$32,IF(D_37172 = 3,$N$32,IF(D_37172 = 4,$O$32,IF(D_37172 = 5,$P$32,IF(D_37172 = 6,$Q$32,IF(D_37172 = 7,$R$32)))))))</f>
        <v>45.06</v>
      </c>
      <c r="K44" s="704" t="s">
        <v>447</v>
      </c>
      <c r="L44" s="705">
        <f>D_37046</f>
        <v>112707</v>
      </c>
      <c r="M44" s="706"/>
      <c r="N44" s="75"/>
      <c r="O44" s="75"/>
      <c r="P44" s="75"/>
      <c r="Q44" s="75"/>
    </row>
    <row r="45" spans="2:18" ht="6" customHeight="1">
      <c r="B45" s="110"/>
      <c r="C45" s="710"/>
      <c r="D45" s="710"/>
      <c r="E45" s="710"/>
      <c r="F45" s="713"/>
      <c r="G45" s="715"/>
      <c r="H45" s="713"/>
    </row>
    <row r="46" spans="2:18">
      <c r="B46" s="110" t="s">
        <v>100</v>
      </c>
      <c r="C46" s="710"/>
      <c r="D46" s="710"/>
      <c r="E46" s="710"/>
      <c r="F46" s="713">
        <f>D_37186</f>
        <v>95.32</v>
      </c>
      <c r="G46" s="715">
        <f>D_37186_1</f>
        <v>91.44</v>
      </c>
      <c r="H46" s="714">
        <f>IF(D_37172=1,$L$33,IF(D_37172 = 2,$M$33,IF(D_37172 = 3,$N$33,IF(D_37172 = 4,$O$33,IF(D_37172 = 5,$P$33,IF(D_37172 = 6,$Q$33,IF(D_37172 = 7,$R$33)))))))</f>
        <v>65.72</v>
      </c>
    </row>
    <row r="47" spans="2:18" ht="4.5" customHeight="1">
      <c r="B47" s="110"/>
      <c r="C47" s="710"/>
      <c r="D47" s="710"/>
      <c r="E47" s="710"/>
      <c r="F47" s="713"/>
      <c r="G47" s="715"/>
      <c r="H47" s="713"/>
    </row>
    <row r="48" spans="2:18">
      <c r="B48" s="110" t="s">
        <v>448</v>
      </c>
      <c r="C48" s="710"/>
      <c r="D48" s="710"/>
      <c r="E48" s="710"/>
      <c r="F48" s="713">
        <f>D_37182</f>
        <v>394.42</v>
      </c>
      <c r="G48" s="715">
        <f>D_37182_1</f>
        <v>525.54</v>
      </c>
      <c r="H48" s="714">
        <f>IF(D_37172=1,$L$34,IF(D_37172 = 2,$M$34,IF(D_37172 = 3,$N$34,IF(D_37172 = 4,$O$34,IF(D_37172 = 5,$P$34,IF(D_37172 = 6,$Q$34,IF(D_37172 = 7,$R$34)))))))</f>
        <v>721</v>
      </c>
    </row>
    <row r="49" spans="2:8" ht="6" customHeight="1">
      <c r="B49" s="710"/>
      <c r="C49" s="710"/>
      <c r="D49" s="710"/>
      <c r="E49" s="710"/>
      <c r="F49" s="695"/>
      <c r="G49" s="695"/>
      <c r="H49" s="716"/>
    </row>
    <row r="50" spans="2:8">
      <c r="B50" s="38" t="s">
        <v>440</v>
      </c>
      <c r="C50" s="710"/>
      <c r="D50" s="710"/>
      <c r="E50" s="710"/>
      <c r="F50" s="713">
        <f>D_37188</f>
        <v>69.790000000000006</v>
      </c>
      <c r="G50" s="715">
        <f>D_37188_1</f>
        <v>59.99</v>
      </c>
      <c r="H50" s="714">
        <f>IF(D_37172=1,$L$35,IF(D_37172 = 2,$M$35,IF(D_37172 = 3,$N$35,IF(D_37172 = 4,$O$35,IF(D_37172 = 5,$P$35,IF(D_37172 = 6,$Q$35,IF(D_37172 = 7,$R$35)))))))</f>
        <v>50.78</v>
      </c>
    </row>
    <row r="51" spans="2:8" ht="6" customHeight="1">
      <c r="B51" s="38"/>
      <c r="C51" s="710"/>
      <c r="D51" s="710"/>
      <c r="E51" s="710"/>
      <c r="F51" s="707"/>
      <c r="G51" s="716"/>
      <c r="H51" s="716"/>
    </row>
    <row r="52" spans="2:8">
      <c r="B52" s="38" t="s">
        <v>442</v>
      </c>
      <c r="C52" s="710"/>
      <c r="D52" s="710"/>
      <c r="E52" s="710"/>
      <c r="F52" s="713">
        <f>D_37021</f>
        <v>939</v>
      </c>
      <c r="G52" s="715">
        <f>D_37021_1</f>
        <v>1577.88</v>
      </c>
      <c r="H52" s="714">
        <f>IF(D_37172=1,$L$37,IF(D_37172 = 2,$M$37,IF(D_37172 = 3,$N$37,IF(D_37172 = 4,$O$37,IF(D_37172 = 5,$P$37,IF(D_37172 = 6,$Q$37,IF(D_37172 = 7,$R$37)))))))</f>
        <v>1823</v>
      </c>
    </row>
    <row r="53" spans="2:8" ht="3" customHeight="1">
      <c r="B53" s="38"/>
      <c r="C53" s="710"/>
      <c r="D53" s="710"/>
      <c r="E53" s="710"/>
      <c r="F53" s="707"/>
      <c r="G53" s="716"/>
      <c r="H53" s="716"/>
    </row>
    <row r="54" spans="2:8">
      <c r="B54" s="38" t="s">
        <v>441</v>
      </c>
      <c r="C54" s="38"/>
      <c r="D54" s="38"/>
      <c r="E54" s="38"/>
      <c r="F54" s="717">
        <f>D_37046/D_37199*100</f>
        <v>782.6875</v>
      </c>
      <c r="G54" s="718">
        <f>D_37046_1/D_37199*100</f>
        <v>613.36805555555554</v>
      </c>
      <c r="H54" s="714">
        <f>IF(D_37172=1,$L$36,IF(D_37172 = 2,$M$36,IF(D_37172 = 3,$N$36,IF(D_37172 = 4,$O$36,IF(D_37172 = 5,$P$36,IF(D_37172 = 6,$Q$36,IF(D_37172 = 7,$R$36)))))))</f>
        <v>1199</v>
      </c>
    </row>
  </sheetData>
  <mergeCells count="1">
    <mergeCell ref="F18:G18"/>
  </mergeCells>
  <phoneticPr fontId="16" type="noConversion"/>
  <pageMargins left="0.39370078740157483" right="0.39370078740157483" top="0.19685039370078741" bottom="0.19685039370078741" header="0.51181102362204722" footer="0.51181102362204722"/>
  <pageSetup paperSize="9" orientation="landscape" verticalDpi="0" r:id="rId1"/>
  <headerFooter alignWithMargins="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8"/>
  <dimension ref="B4:E43"/>
  <sheetViews>
    <sheetView topLeftCell="A2" workbookViewId="0">
      <selection activeCell="K41" sqref="K41:K42"/>
    </sheetView>
  </sheetViews>
  <sheetFormatPr baseColWidth="10" defaultRowHeight="12.75"/>
  <sheetData>
    <row r="4" spans="2:5">
      <c r="B4" s="1"/>
      <c r="C4" s="4"/>
    </row>
    <row r="5" spans="2:5">
      <c r="B5" s="4"/>
      <c r="C5" s="4"/>
    </row>
    <row r="6" spans="2:5">
      <c r="C6" s="12"/>
      <c r="D6" s="20" t="str">
        <f>TEXT(FinExN,"jj/mm/aaaa")</f>
        <v>30/06/2017</v>
      </c>
      <c r="E6" s="20" t="str">
        <f>TEXT(FinExN1,"jj/mm/aaaa")</f>
        <v>30/06/2016</v>
      </c>
    </row>
    <row r="7" spans="2:5">
      <c r="C7" s="12" t="s">
        <v>209</v>
      </c>
      <c r="D7" s="12">
        <f>D_37060</f>
        <v>93183</v>
      </c>
      <c r="E7" s="12">
        <f>D_37060_1</f>
        <v>85661</v>
      </c>
    </row>
    <row r="8" spans="2:5">
      <c r="C8" s="12" t="s">
        <v>210</v>
      </c>
      <c r="D8" s="12">
        <f>D_37066</f>
        <v>0</v>
      </c>
      <c r="E8" s="12">
        <f>D_37066_1</f>
        <v>0</v>
      </c>
    </row>
    <row r="9" spans="2:5">
      <c r="C9" s="12" t="s">
        <v>211</v>
      </c>
      <c r="D9" s="21">
        <f>+D_37007 +D_37072</f>
        <v>38154</v>
      </c>
      <c r="E9" s="21">
        <f>+D_37007_1 + D_37072_1</f>
        <v>44815</v>
      </c>
    </row>
    <row r="10" spans="2:5">
      <c r="C10" s="12" t="s">
        <v>212</v>
      </c>
      <c r="D10" s="12">
        <f>D_30470</f>
        <v>12397</v>
      </c>
      <c r="E10" s="12">
        <f>D_30470_1</f>
        <v>13446</v>
      </c>
    </row>
    <row r="11" spans="2:5">
      <c r="C11" s="12" t="s">
        <v>213</v>
      </c>
      <c r="D11" s="12">
        <f>R_646</f>
        <v>10766</v>
      </c>
      <c r="E11" s="12">
        <f>R_646_1</f>
        <v>23096</v>
      </c>
    </row>
    <row r="12" spans="2:5">
      <c r="C12" s="64" t="s">
        <v>23</v>
      </c>
      <c r="D12" s="65">
        <f>R_722</f>
        <v>3722</v>
      </c>
      <c r="E12" s="65">
        <f>R_722_1</f>
        <v>3511</v>
      </c>
    </row>
    <row r="34" spans="3:5">
      <c r="C34" s="12"/>
      <c r="D34" s="20" t="str">
        <f>TEXT(FinExN,"jj/mm/aaaa")</f>
        <v>30/06/2017</v>
      </c>
      <c r="E34" s="20"/>
    </row>
    <row r="35" spans="3:5">
      <c r="C35" s="12" t="s">
        <v>209</v>
      </c>
      <c r="D35" s="12">
        <f>D_37060</f>
        <v>93183</v>
      </c>
      <c r="E35" s="12"/>
    </row>
    <row r="36" spans="3:5">
      <c r="C36" s="12" t="s">
        <v>210</v>
      </c>
      <c r="D36" s="12">
        <f>D_37066</f>
        <v>0</v>
      </c>
      <c r="E36" s="12"/>
    </row>
    <row r="37" spans="3:5">
      <c r="C37" s="12" t="s">
        <v>211</v>
      </c>
      <c r="D37" s="12">
        <f>(+D_37007 + D_37072)</f>
        <v>38154</v>
      </c>
      <c r="E37" s="12"/>
    </row>
    <row r="38" spans="3:5">
      <c r="C38" s="12" t="s">
        <v>212</v>
      </c>
      <c r="D38" s="12">
        <f>D_30470</f>
        <v>12397</v>
      </c>
      <c r="E38" s="12"/>
    </row>
    <row r="39" spans="3:5">
      <c r="C39" s="12" t="s">
        <v>214</v>
      </c>
      <c r="D39" s="12">
        <f>D_37075 + R_640 + D_30500 - D_37080 - D_37081 - D_30470</f>
        <v>18825</v>
      </c>
      <c r="E39" s="12"/>
    </row>
    <row r="40" spans="3:5">
      <c r="C40" s="64" t="s">
        <v>215</v>
      </c>
      <c r="D40" s="12">
        <f>D_37014</f>
        <v>-27622</v>
      </c>
      <c r="E40" s="12"/>
    </row>
    <row r="42" spans="3:5">
      <c r="D42" s="4"/>
    </row>
    <row r="43" spans="3:5">
      <c r="D43" s="4"/>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63</vt:i4>
      </vt:variant>
      <vt:variant>
        <vt:lpstr>Plages nommées</vt:lpstr>
      </vt:variant>
      <vt:variant>
        <vt:i4>1763</vt:i4>
      </vt:variant>
    </vt:vector>
  </HeadingPairs>
  <TitlesOfParts>
    <vt:vector size="1826" baseType="lpstr">
      <vt:lpstr>Données</vt:lpstr>
      <vt:lpstr>CONTROLE_DG</vt:lpstr>
      <vt:lpstr>CHX_INFO_C</vt:lpstr>
      <vt:lpstr>1_INFO_C</vt:lpstr>
      <vt:lpstr>DONNEES_LIASSE_RN</vt:lpstr>
      <vt:lpstr>Num_DPT</vt:lpstr>
      <vt:lpstr>DONNEES_RDT</vt:lpstr>
      <vt:lpstr>A_Page garde</vt:lpstr>
      <vt:lpstr>A_Sommaire NEX</vt:lpstr>
      <vt:lpstr>A_Présentation</vt:lpstr>
      <vt:lpstr>A_Caractéristiques de votre ex</vt:lpstr>
      <vt:lpstr>A_Baromètre exploitation NEX</vt:lpstr>
      <vt:lpstr>A_Points forts faibles NEX</vt:lpstr>
      <vt:lpstr>A_Rendts</vt:lpstr>
      <vt:lpstr>A_Commentaire p1 NEX</vt:lpstr>
      <vt:lpstr>A_Commentaire p2 NEX</vt:lpstr>
      <vt:lpstr>A_Commentaire p3</vt:lpstr>
      <vt:lpstr>A_Commentaire p4</vt:lpstr>
      <vt:lpstr>A_Evolution chges</vt:lpstr>
      <vt:lpstr>A_Donnees_Analyse des Charges</vt:lpstr>
      <vt:lpstr>A_Analyse des Charges NEX</vt:lpstr>
      <vt:lpstr>A_Compte Résultat &amp; SIG NEX </vt:lpstr>
      <vt:lpstr>A_Résult à Trésor</vt:lpstr>
      <vt:lpstr>A_Variat fds de R</vt:lpstr>
      <vt:lpstr>A_Bilan NEX</vt:lpstr>
      <vt:lpstr>A_Ratios NEX</vt:lpstr>
      <vt:lpstr>A_Prévention EB </vt:lpstr>
      <vt:lpstr>Page garde</vt:lpstr>
      <vt:lpstr>Sommaire 1EX</vt:lpstr>
      <vt:lpstr>Sommaire NEX</vt:lpstr>
      <vt:lpstr>Présentation</vt:lpstr>
      <vt:lpstr>Caractéristiques de votre explo</vt:lpstr>
      <vt:lpstr>Note d'actu</vt:lpstr>
      <vt:lpstr>Exploit.Moyenne</vt:lpstr>
      <vt:lpstr>Baromètre exploitation NEX</vt:lpstr>
      <vt:lpstr>Points forts faibles 1EX</vt:lpstr>
      <vt:lpstr>Points forts faibles NEX</vt:lpstr>
      <vt:lpstr>Rendts</vt:lpstr>
      <vt:lpstr>Rendts (3)</vt:lpstr>
      <vt:lpstr>Commentairep1 1EX</vt:lpstr>
      <vt:lpstr>Commentaire p1 NEX</vt:lpstr>
      <vt:lpstr>Commentairep2 1EX</vt:lpstr>
      <vt:lpstr>Commentaire p2 NEX</vt:lpstr>
      <vt:lpstr>Commentaire p3</vt:lpstr>
      <vt:lpstr>Commentaire p4</vt:lpstr>
      <vt:lpstr>Evolution chges</vt:lpstr>
      <vt:lpstr>Analyse des Charges NEX</vt:lpstr>
      <vt:lpstr>Compte Résultat &amp; SIG 1EX</vt:lpstr>
      <vt:lpstr>Compte Résultat &amp; SIG 2EX</vt:lpstr>
      <vt:lpstr>Compte Résultat &amp; SIG NEX</vt:lpstr>
      <vt:lpstr>Résult à Trésor</vt:lpstr>
      <vt:lpstr>Variat fds de R</vt:lpstr>
      <vt:lpstr>Bilan 1EX</vt:lpstr>
      <vt:lpstr>Bilan 2EX</vt:lpstr>
      <vt:lpstr>Bilan NEX</vt:lpstr>
      <vt:lpstr>Ratios 1EX</vt:lpstr>
      <vt:lpstr>Ratios 2EX</vt:lpstr>
      <vt:lpstr>Ratios NEX</vt:lpstr>
      <vt:lpstr>Prévention EB</vt:lpstr>
      <vt:lpstr>Prévention 1</vt:lpstr>
      <vt:lpstr>Prévention 2</vt:lpstr>
      <vt:lpstr>Exploitat. Moyen</vt:lpstr>
      <vt:lpstr>Donnees_Analyse des Charges NEX</vt:lpstr>
      <vt:lpstr>AdresAdht1</vt:lpstr>
      <vt:lpstr>AdresAdht2</vt:lpstr>
      <vt:lpstr>CAB</vt:lpstr>
      <vt:lpstr>CHOIX</vt:lpstr>
      <vt:lpstr>CivilAdht</vt:lpstr>
      <vt:lpstr>CodeActAdht</vt:lpstr>
      <vt:lpstr>CPAdht</vt:lpstr>
      <vt:lpstr>D_30426</vt:lpstr>
      <vt:lpstr>D_30426_1</vt:lpstr>
      <vt:lpstr>D_30426_2</vt:lpstr>
      <vt:lpstr>D_30470</vt:lpstr>
      <vt:lpstr>D_30470_1</vt:lpstr>
      <vt:lpstr>D_30470_2</vt:lpstr>
      <vt:lpstr>D_30500</vt:lpstr>
      <vt:lpstr>D_30500_1</vt:lpstr>
      <vt:lpstr>D_30525</vt:lpstr>
      <vt:lpstr>D_30525_1</vt:lpstr>
      <vt:lpstr>D_30525_2</vt:lpstr>
      <vt:lpstr>D_30526</vt:lpstr>
      <vt:lpstr>D_30526_1</vt:lpstr>
      <vt:lpstr>D_30526_2</vt:lpstr>
      <vt:lpstr>D_30530</vt:lpstr>
      <vt:lpstr>D_30530_1</vt:lpstr>
      <vt:lpstr>D_30550</vt:lpstr>
      <vt:lpstr>D_30550_1</vt:lpstr>
      <vt:lpstr>D_30550_2</vt:lpstr>
      <vt:lpstr>D_30560</vt:lpstr>
      <vt:lpstr>D_30560_1</vt:lpstr>
      <vt:lpstr>D_30560_2</vt:lpstr>
      <vt:lpstr>D_31047</vt:lpstr>
      <vt:lpstr>D_31047_1</vt:lpstr>
      <vt:lpstr>D_31047_2</vt:lpstr>
      <vt:lpstr>D_31050</vt:lpstr>
      <vt:lpstr>D_31050_1</vt:lpstr>
      <vt:lpstr>D_31050_2</vt:lpstr>
      <vt:lpstr>D_31051</vt:lpstr>
      <vt:lpstr>D_31051_1</vt:lpstr>
      <vt:lpstr>D_31051_2</vt:lpstr>
      <vt:lpstr>D_31053</vt:lpstr>
      <vt:lpstr>D_31053_1</vt:lpstr>
      <vt:lpstr>D_31053_2</vt:lpstr>
      <vt:lpstr>D_31054</vt:lpstr>
      <vt:lpstr>D_31054_1</vt:lpstr>
      <vt:lpstr>D_31054_2</vt:lpstr>
      <vt:lpstr>D_31055</vt:lpstr>
      <vt:lpstr>D_31055_1</vt:lpstr>
      <vt:lpstr>D_31055_2</vt:lpstr>
      <vt:lpstr>D_31056</vt:lpstr>
      <vt:lpstr>D_31056_1</vt:lpstr>
      <vt:lpstr>D_31056_2</vt:lpstr>
      <vt:lpstr>D_37000</vt:lpstr>
      <vt:lpstr>D_37000_1</vt:lpstr>
      <vt:lpstr>D_37000_2</vt:lpstr>
      <vt:lpstr>D_37001</vt:lpstr>
      <vt:lpstr>D_37001_1</vt:lpstr>
      <vt:lpstr>D_37001_2</vt:lpstr>
      <vt:lpstr>D_37002</vt:lpstr>
      <vt:lpstr>D_37002_1</vt:lpstr>
      <vt:lpstr>D_37002_2</vt:lpstr>
      <vt:lpstr>D_37003</vt:lpstr>
      <vt:lpstr>D_37003_1</vt:lpstr>
      <vt:lpstr>D_37003_2</vt:lpstr>
      <vt:lpstr>D_37004</vt:lpstr>
      <vt:lpstr>D_37004_1</vt:lpstr>
      <vt:lpstr>D_37004_2</vt:lpstr>
      <vt:lpstr>D_37005</vt:lpstr>
      <vt:lpstr>D_37005_1</vt:lpstr>
      <vt:lpstr>D_37005_2</vt:lpstr>
      <vt:lpstr>D_37006</vt:lpstr>
      <vt:lpstr>D_37006_1</vt:lpstr>
      <vt:lpstr>D_37006_2</vt:lpstr>
      <vt:lpstr>D_37007</vt:lpstr>
      <vt:lpstr>D_37007_1</vt:lpstr>
      <vt:lpstr>D_37007_2</vt:lpstr>
      <vt:lpstr>D_37008</vt:lpstr>
      <vt:lpstr>D_37008_1</vt:lpstr>
      <vt:lpstr>D_37008_2</vt:lpstr>
      <vt:lpstr>D_37009</vt:lpstr>
      <vt:lpstr>D_37009_1</vt:lpstr>
      <vt:lpstr>D_37009_2</vt:lpstr>
      <vt:lpstr>D_37010</vt:lpstr>
      <vt:lpstr>D_37010_1</vt:lpstr>
      <vt:lpstr>D_37010_2</vt:lpstr>
      <vt:lpstr>D_37011</vt:lpstr>
      <vt:lpstr>D_37011_1</vt:lpstr>
      <vt:lpstr>D_37011_2</vt:lpstr>
      <vt:lpstr>D_37012</vt:lpstr>
      <vt:lpstr>D_37012_1</vt:lpstr>
      <vt:lpstr>D_37012_2</vt:lpstr>
      <vt:lpstr>D_37013</vt:lpstr>
      <vt:lpstr>D_37013_1</vt:lpstr>
      <vt:lpstr>D_37013_2</vt:lpstr>
      <vt:lpstr>D_37014</vt:lpstr>
      <vt:lpstr>D_37014_1</vt:lpstr>
      <vt:lpstr>D_37014_2</vt:lpstr>
      <vt:lpstr>D_37015</vt:lpstr>
      <vt:lpstr>D_37015_1</vt:lpstr>
      <vt:lpstr>D_37015_2</vt:lpstr>
      <vt:lpstr>D_37016</vt:lpstr>
      <vt:lpstr>D_37016_1</vt:lpstr>
      <vt:lpstr>D_37016_2</vt:lpstr>
      <vt:lpstr>D_37017</vt:lpstr>
      <vt:lpstr>D_37017_1</vt:lpstr>
      <vt:lpstr>D_37017_2</vt:lpstr>
      <vt:lpstr>D_37018</vt:lpstr>
      <vt:lpstr>D_37018_1</vt:lpstr>
      <vt:lpstr>D_37018_2</vt:lpstr>
      <vt:lpstr>D_37019</vt:lpstr>
      <vt:lpstr>D_37019_1</vt:lpstr>
      <vt:lpstr>D_37019_2</vt:lpstr>
      <vt:lpstr>D_37020</vt:lpstr>
      <vt:lpstr>D_37020_1</vt:lpstr>
      <vt:lpstr>D_37020_2</vt:lpstr>
      <vt:lpstr>D_37021</vt:lpstr>
      <vt:lpstr>D_37021_1</vt:lpstr>
      <vt:lpstr>D_37021_2</vt:lpstr>
      <vt:lpstr>D_37022</vt:lpstr>
      <vt:lpstr>D_37022_1</vt:lpstr>
      <vt:lpstr>D_37022_2</vt:lpstr>
      <vt:lpstr>D_37023</vt:lpstr>
      <vt:lpstr>D_37023_1</vt:lpstr>
      <vt:lpstr>D_37023_2</vt:lpstr>
      <vt:lpstr>D_37024</vt:lpstr>
      <vt:lpstr>D_37024_1</vt:lpstr>
      <vt:lpstr>D_37024_2</vt:lpstr>
      <vt:lpstr>D_37025</vt:lpstr>
      <vt:lpstr>D_37025_1</vt:lpstr>
      <vt:lpstr>D_37025_2</vt:lpstr>
      <vt:lpstr>D_37026</vt:lpstr>
      <vt:lpstr>D_37026_1</vt:lpstr>
      <vt:lpstr>D_37026_2</vt:lpstr>
      <vt:lpstr>D_37027</vt:lpstr>
      <vt:lpstr>D_37027_1</vt:lpstr>
      <vt:lpstr>D_37027_2</vt:lpstr>
      <vt:lpstr>D_37028</vt:lpstr>
      <vt:lpstr>D_37028_1</vt:lpstr>
      <vt:lpstr>D_37028_2</vt:lpstr>
      <vt:lpstr>D_37029</vt:lpstr>
      <vt:lpstr>D_37029_1</vt:lpstr>
      <vt:lpstr>D_37029_2</vt:lpstr>
      <vt:lpstr>D_37030</vt:lpstr>
      <vt:lpstr>D_37030_1</vt:lpstr>
      <vt:lpstr>D_37030_2</vt:lpstr>
      <vt:lpstr>D_37035</vt:lpstr>
      <vt:lpstr>D_37035_1</vt:lpstr>
      <vt:lpstr>D_37035_2</vt:lpstr>
      <vt:lpstr>D_37036</vt:lpstr>
      <vt:lpstr>D_37036_1</vt:lpstr>
      <vt:lpstr>D_37036_2</vt:lpstr>
      <vt:lpstr>D_37037</vt:lpstr>
      <vt:lpstr>D_37037_1</vt:lpstr>
      <vt:lpstr>D_37037_2</vt:lpstr>
      <vt:lpstr>D_37038</vt:lpstr>
      <vt:lpstr>D_37038_1</vt:lpstr>
      <vt:lpstr>D_37038_2</vt:lpstr>
      <vt:lpstr>D_37039</vt:lpstr>
      <vt:lpstr>D_37039_1</vt:lpstr>
      <vt:lpstr>D_37039_2</vt:lpstr>
      <vt:lpstr>D_37040</vt:lpstr>
      <vt:lpstr>D_37040_1</vt:lpstr>
      <vt:lpstr>D_37040_2</vt:lpstr>
      <vt:lpstr>D_37041</vt:lpstr>
      <vt:lpstr>D_37041_1</vt:lpstr>
      <vt:lpstr>D_37041_2</vt:lpstr>
      <vt:lpstr>D_37042</vt:lpstr>
      <vt:lpstr>D_37042_1</vt:lpstr>
      <vt:lpstr>D_37042_2</vt:lpstr>
      <vt:lpstr>D_37043</vt:lpstr>
      <vt:lpstr>D_37043_1</vt:lpstr>
      <vt:lpstr>D_37043_2</vt:lpstr>
      <vt:lpstr>D_37044</vt:lpstr>
      <vt:lpstr>D_37044_1</vt:lpstr>
      <vt:lpstr>D_37044_2</vt:lpstr>
      <vt:lpstr>D_37045</vt:lpstr>
      <vt:lpstr>D_37045_1</vt:lpstr>
      <vt:lpstr>D_37045_2</vt:lpstr>
      <vt:lpstr>D_37046</vt:lpstr>
      <vt:lpstr>D_37046_1</vt:lpstr>
      <vt:lpstr>D_37046_2</vt:lpstr>
      <vt:lpstr>D_37047</vt:lpstr>
      <vt:lpstr>D_37047_1</vt:lpstr>
      <vt:lpstr>D_37047_2</vt:lpstr>
      <vt:lpstr>D_37048</vt:lpstr>
      <vt:lpstr>D_37048_1</vt:lpstr>
      <vt:lpstr>D_37048_2</vt:lpstr>
      <vt:lpstr>D_37049</vt:lpstr>
      <vt:lpstr>D_37049_1</vt:lpstr>
      <vt:lpstr>D_37049_2</vt:lpstr>
      <vt:lpstr>D_37050</vt:lpstr>
      <vt:lpstr>D_37050_1</vt:lpstr>
      <vt:lpstr>D_37050_2</vt:lpstr>
      <vt:lpstr>D_37051</vt:lpstr>
      <vt:lpstr>D_37051_1</vt:lpstr>
      <vt:lpstr>D_37051_2</vt:lpstr>
      <vt:lpstr>D_37052</vt:lpstr>
      <vt:lpstr>D_37052_1</vt:lpstr>
      <vt:lpstr>D_37052_2</vt:lpstr>
      <vt:lpstr>D_37053</vt:lpstr>
      <vt:lpstr>D_37053_1</vt:lpstr>
      <vt:lpstr>D_37053_2</vt:lpstr>
      <vt:lpstr>D_37054</vt:lpstr>
      <vt:lpstr>D_37054_1</vt:lpstr>
      <vt:lpstr>D_37054_2</vt:lpstr>
      <vt:lpstr>D_37055</vt:lpstr>
      <vt:lpstr>D_37055_1</vt:lpstr>
      <vt:lpstr>D_37055_2</vt:lpstr>
      <vt:lpstr>D_37056</vt:lpstr>
      <vt:lpstr>D_37056_1</vt:lpstr>
      <vt:lpstr>D_37056_2</vt:lpstr>
      <vt:lpstr>D_37057</vt:lpstr>
      <vt:lpstr>D_37057_1</vt:lpstr>
      <vt:lpstr>D_37057_2</vt:lpstr>
      <vt:lpstr>D_37058</vt:lpstr>
      <vt:lpstr>D_37058_1</vt:lpstr>
      <vt:lpstr>D_37058_2</vt:lpstr>
      <vt:lpstr>D_37060</vt:lpstr>
      <vt:lpstr>D_37060_1</vt:lpstr>
      <vt:lpstr>D_37060_2</vt:lpstr>
      <vt:lpstr>D_37061</vt:lpstr>
      <vt:lpstr>D_37061_1</vt:lpstr>
      <vt:lpstr>D_37061_2</vt:lpstr>
      <vt:lpstr>D_37062</vt:lpstr>
      <vt:lpstr>D_37062_1</vt:lpstr>
      <vt:lpstr>D_37062_2</vt:lpstr>
      <vt:lpstr>D_37063</vt:lpstr>
      <vt:lpstr>D_37063_1</vt:lpstr>
      <vt:lpstr>D_37063_2</vt:lpstr>
      <vt:lpstr>D_37064</vt:lpstr>
      <vt:lpstr>D_37064_1</vt:lpstr>
      <vt:lpstr>D_37064_2</vt:lpstr>
      <vt:lpstr>D_37065</vt:lpstr>
      <vt:lpstr>D_37065_1</vt:lpstr>
      <vt:lpstr>D_37065_2</vt:lpstr>
      <vt:lpstr>D_37066</vt:lpstr>
      <vt:lpstr>D_37066_1</vt:lpstr>
      <vt:lpstr>D_37066_2</vt:lpstr>
      <vt:lpstr>D_37067</vt:lpstr>
      <vt:lpstr>D_37067_1</vt:lpstr>
      <vt:lpstr>D_37067_2</vt:lpstr>
      <vt:lpstr>D_37068</vt:lpstr>
      <vt:lpstr>D_37068_1</vt:lpstr>
      <vt:lpstr>D_37068_2</vt:lpstr>
      <vt:lpstr>D_37069</vt:lpstr>
      <vt:lpstr>D_37069_1</vt:lpstr>
      <vt:lpstr>D_37069_2</vt:lpstr>
      <vt:lpstr>D_37070</vt:lpstr>
      <vt:lpstr>D_37070_1</vt:lpstr>
      <vt:lpstr>D_37070_2</vt:lpstr>
      <vt:lpstr>D_37071</vt:lpstr>
      <vt:lpstr>D_37071_1</vt:lpstr>
      <vt:lpstr>D_37071_2</vt:lpstr>
      <vt:lpstr>D_37072</vt:lpstr>
      <vt:lpstr>D_37072_1</vt:lpstr>
      <vt:lpstr>D_37072_2</vt:lpstr>
      <vt:lpstr>D_37073</vt:lpstr>
      <vt:lpstr>D_37073_1</vt:lpstr>
      <vt:lpstr>D_37073_2</vt:lpstr>
      <vt:lpstr>D_37074</vt:lpstr>
      <vt:lpstr>D_37074_1</vt:lpstr>
      <vt:lpstr>D_37074_2</vt:lpstr>
      <vt:lpstr>D_37075</vt:lpstr>
      <vt:lpstr>D_37075_1</vt:lpstr>
      <vt:lpstr>D_37075_2</vt:lpstr>
      <vt:lpstr>D_37076</vt:lpstr>
      <vt:lpstr>D_37076_1</vt:lpstr>
      <vt:lpstr>D_37076_2</vt:lpstr>
      <vt:lpstr>D_37077</vt:lpstr>
      <vt:lpstr>D_37077_1</vt:lpstr>
      <vt:lpstr>D_37077_2</vt:lpstr>
      <vt:lpstr>D_37078</vt:lpstr>
      <vt:lpstr>D_37078_1</vt:lpstr>
      <vt:lpstr>D_37078_2</vt:lpstr>
      <vt:lpstr>D_37079</vt:lpstr>
      <vt:lpstr>D_37079_1</vt:lpstr>
      <vt:lpstr>D_37079_2</vt:lpstr>
      <vt:lpstr>D_37080</vt:lpstr>
      <vt:lpstr>D_37080_1</vt:lpstr>
      <vt:lpstr>D_37080_2</vt:lpstr>
      <vt:lpstr>D_37081</vt:lpstr>
      <vt:lpstr>D_37081_1</vt:lpstr>
      <vt:lpstr>D_37081_2</vt:lpstr>
      <vt:lpstr>D_37082</vt:lpstr>
      <vt:lpstr>D_37082_1</vt:lpstr>
      <vt:lpstr>D_37082_2</vt:lpstr>
      <vt:lpstr>D_37083</vt:lpstr>
      <vt:lpstr>D_37083_1</vt:lpstr>
      <vt:lpstr>D_37083_2</vt:lpstr>
      <vt:lpstr>D_37084</vt:lpstr>
      <vt:lpstr>D_37084_1</vt:lpstr>
      <vt:lpstr>D_37084_2</vt:lpstr>
      <vt:lpstr>D_37085</vt:lpstr>
      <vt:lpstr>D_37085_1</vt:lpstr>
      <vt:lpstr>D_37085_2</vt:lpstr>
      <vt:lpstr>D_37086</vt:lpstr>
      <vt:lpstr>D_37086_1</vt:lpstr>
      <vt:lpstr>D_37086_2</vt:lpstr>
      <vt:lpstr>D_37087</vt:lpstr>
      <vt:lpstr>D_37087_1</vt:lpstr>
      <vt:lpstr>D_37087_2</vt:lpstr>
      <vt:lpstr>D_37088</vt:lpstr>
      <vt:lpstr>D_37088_1</vt:lpstr>
      <vt:lpstr>D_37088_2</vt:lpstr>
      <vt:lpstr>D_37089</vt:lpstr>
      <vt:lpstr>D_37089_1</vt:lpstr>
      <vt:lpstr>D_37089_2</vt:lpstr>
      <vt:lpstr>D_37090</vt:lpstr>
      <vt:lpstr>D_37090_1</vt:lpstr>
      <vt:lpstr>D_37090_2</vt:lpstr>
      <vt:lpstr>D_37091</vt:lpstr>
      <vt:lpstr>D_37091_1</vt:lpstr>
      <vt:lpstr>D_37091_2</vt:lpstr>
      <vt:lpstr>D_37092</vt:lpstr>
      <vt:lpstr>D_37092_1</vt:lpstr>
      <vt:lpstr>D_37092_2</vt:lpstr>
      <vt:lpstr>D_37093</vt:lpstr>
      <vt:lpstr>D_37093_1</vt:lpstr>
      <vt:lpstr>D_37093_2</vt:lpstr>
      <vt:lpstr>D_37094</vt:lpstr>
      <vt:lpstr>D_37094_1</vt:lpstr>
      <vt:lpstr>D_37094_2</vt:lpstr>
      <vt:lpstr>D_37095</vt:lpstr>
      <vt:lpstr>D_37095_1</vt:lpstr>
      <vt:lpstr>D_37095_2</vt:lpstr>
      <vt:lpstr>D_37096</vt:lpstr>
      <vt:lpstr>D_37096_1</vt:lpstr>
      <vt:lpstr>D_37096_2</vt:lpstr>
      <vt:lpstr>D_37097</vt:lpstr>
      <vt:lpstr>D_37097_1</vt:lpstr>
      <vt:lpstr>D_37097_2</vt:lpstr>
      <vt:lpstr>D_37098</vt:lpstr>
      <vt:lpstr>D_37098_1</vt:lpstr>
      <vt:lpstr>D_37098_2</vt:lpstr>
      <vt:lpstr>D_37099</vt:lpstr>
      <vt:lpstr>D_37099_1</vt:lpstr>
      <vt:lpstr>D_37099_2</vt:lpstr>
      <vt:lpstr>D_37100</vt:lpstr>
      <vt:lpstr>D_37100_1</vt:lpstr>
      <vt:lpstr>D_37100_2</vt:lpstr>
      <vt:lpstr>D_37101</vt:lpstr>
      <vt:lpstr>D_37101_1</vt:lpstr>
      <vt:lpstr>D_37101_2</vt:lpstr>
      <vt:lpstr>D_37102</vt:lpstr>
      <vt:lpstr>D_37102_1</vt:lpstr>
      <vt:lpstr>D_37102_2</vt:lpstr>
      <vt:lpstr>D_37103</vt:lpstr>
      <vt:lpstr>D_37103_1</vt:lpstr>
      <vt:lpstr>D_37103_2</vt:lpstr>
      <vt:lpstr>D_37104</vt:lpstr>
      <vt:lpstr>D_37104_1</vt:lpstr>
      <vt:lpstr>D_37104_2</vt:lpstr>
      <vt:lpstr>D_37105</vt:lpstr>
      <vt:lpstr>D_37105_1</vt:lpstr>
      <vt:lpstr>D_37105_2</vt:lpstr>
      <vt:lpstr>D_37106</vt:lpstr>
      <vt:lpstr>D_37106_1</vt:lpstr>
      <vt:lpstr>D_37106_2</vt:lpstr>
      <vt:lpstr>D_37107</vt:lpstr>
      <vt:lpstr>D_37107_1</vt:lpstr>
      <vt:lpstr>D_37107_2</vt:lpstr>
      <vt:lpstr>D_37108</vt:lpstr>
      <vt:lpstr>D_37108_1</vt:lpstr>
      <vt:lpstr>D_37108_2</vt:lpstr>
      <vt:lpstr>D_37109</vt:lpstr>
      <vt:lpstr>D_37109_1</vt:lpstr>
      <vt:lpstr>D_37109_2</vt:lpstr>
      <vt:lpstr>D_37110</vt:lpstr>
      <vt:lpstr>D_37110_1</vt:lpstr>
      <vt:lpstr>D_37110_2</vt:lpstr>
      <vt:lpstr>D_37111</vt:lpstr>
      <vt:lpstr>D_37111_1</vt:lpstr>
      <vt:lpstr>D_37111_2</vt:lpstr>
      <vt:lpstr>D_37112</vt:lpstr>
      <vt:lpstr>D_37112_1</vt:lpstr>
      <vt:lpstr>D_37112_2</vt:lpstr>
      <vt:lpstr>D_37113</vt:lpstr>
      <vt:lpstr>D_37113_1</vt:lpstr>
      <vt:lpstr>D_37113_2</vt:lpstr>
      <vt:lpstr>D_37114</vt:lpstr>
      <vt:lpstr>D_37114_1</vt:lpstr>
      <vt:lpstr>D_37114_2</vt:lpstr>
      <vt:lpstr>D_37115</vt:lpstr>
      <vt:lpstr>D_37115_1</vt:lpstr>
      <vt:lpstr>D_37115_2</vt:lpstr>
      <vt:lpstr>D_37116</vt:lpstr>
      <vt:lpstr>D_37116_1</vt:lpstr>
      <vt:lpstr>D_37116_2</vt:lpstr>
      <vt:lpstr>D_37117</vt:lpstr>
      <vt:lpstr>D_37117_1</vt:lpstr>
      <vt:lpstr>D_37117_2</vt:lpstr>
      <vt:lpstr>D_37118</vt:lpstr>
      <vt:lpstr>D_37118_1</vt:lpstr>
      <vt:lpstr>D_37118_2</vt:lpstr>
      <vt:lpstr>D_37119</vt:lpstr>
      <vt:lpstr>D_37119_1</vt:lpstr>
      <vt:lpstr>D_37119_2</vt:lpstr>
      <vt:lpstr>D_37120</vt:lpstr>
      <vt:lpstr>D_37120_1</vt:lpstr>
      <vt:lpstr>D_37120_2</vt:lpstr>
      <vt:lpstr>D_37121</vt:lpstr>
      <vt:lpstr>D_37121_1</vt:lpstr>
      <vt:lpstr>D_37121_2</vt:lpstr>
      <vt:lpstr>D_37122</vt:lpstr>
      <vt:lpstr>D_37122_1</vt:lpstr>
      <vt:lpstr>D_37122_2</vt:lpstr>
      <vt:lpstr>D_37123</vt:lpstr>
      <vt:lpstr>D_37123_1</vt:lpstr>
      <vt:lpstr>D_37123_2</vt:lpstr>
      <vt:lpstr>D_37124</vt:lpstr>
      <vt:lpstr>D_37124_1</vt:lpstr>
      <vt:lpstr>D_37124_2</vt:lpstr>
      <vt:lpstr>D_37125</vt:lpstr>
      <vt:lpstr>D_37125_1</vt:lpstr>
      <vt:lpstr>D_37125_2</vt:lpstr>
      <vt:lpstr>D_37126</vt:lpstr>
      <vt:lpstr>D_37126_1</vt:lpstr>
      <vt:lpstr>D_37126_2</vt:lpstr>
      <vt:lpstr>D_37127</vt:lpstr>
      <vt:lpstr>D_37127_1</vt:lpstr>
      <vt:lpstr>D_37127_2</vt:lpstr>
      <vt:lpstr>D_37128</vt:lpstr>
      <vt:lpstr>D_37128_1</vt:lpstr>
      <vt:lpstr>D_37128_2</vt:lpstr>
      <vt:lpstr>D_37129</vt:lpstr>
      <vt:lpstr>D_37129_1</vt:lpstr>
      <vt:lpstr>D_37129_2</vt:lpstr>
      <vt:lpstr>D_37130</vt:lpstr>
      <vt:lpstr>D_37130_1</vt:lpstr>
      <vt:lpstr>D_37130_2</vt:lpstr>
      <vt:lpstr>D_37131</vt:lpstr>
      <vt:lpstr>D_37131_1</vt:lpstr>
      <vt:lpstr>D_37131_2</vt:lpstr>
      <vt:lpstr>D_37132</vt:lpstr>
      <vt:lpstr>D_37132_1</vt:lpstr>
      <vt:lpstr>D_37132_2</vt:lpstr>
      <vt:lpstr>D_37133</vt:lpstr>
      <vt:lpstr>D_37133_1</vt:lpstr>
      <vt:lpstr>D_37133_2</vt:lpstr>
      <vt:lpstr>D_37134</vt:lpstr>
      <vt:lpstr>D_37134_1</vt:lpstr>
      <vt:lpstr>D_37134_2</vt:lpstr>
      <vt:lpstr>D_37135</vt:lpstr>
      <vt:lpstr>D_37135_1</vt:lpstr>
      <vt:lpstr>D_37135_2</vt:lpstr>
      <vt:lpstr>D_37136</vt:lpstr>
      <vt:lpstr>D_37136_1</vt:lpstr>
      <vt:lpstr>D_37136_2</vt:lpstr>
      <vt:lpstr>D_37137</vt:lpstr>
      <vt:lpstr>D_37137_1</vt:lpstr>
      <vt:lpstr>D_37137_2</vt:lpstr>
      <vt:lpstr>D_37140</vt:lpstr>
      <vt:lpstr>D_37140_1</vt:lpstr>
      <vt:lpstr>D_37140_2</vt:lpstr>
      <vt:lpstr>D_37141</vt:lpstr>
      <vt:lpstr>D_37141_1</vt:lpstr>
      <vt:lpstr>D_37141_2</vt:lpstr>
      <vt:lpstr>D_37142</vt:lpstr>
      <vt:lpstr>D_37142_1</vt:lpstr>
      <vt:lpstr>D_37142_2</vt:lpstr>
      <vt:lpstr>D_37143</vt:lpstr>
      <vt:lpstr>D_37143_1</vt:lpstr>
      <vt:lpstr>D_37143_2</vt:lpstr>
      <vt:lpstr>D_37144</vt:lpstr>
      <vt:lpstr>D_37144_1</vt:lpstr>
      <vt:lpstr>D_37144_2</vt:lpstr>
      <vt:lpstr>D_37145</vt:lpstr>
      <vt:lpstr>D_37145_1</vt:lpstr>
      <vt:lpstr>D_37145_2</vt:lpstr>
      <vt:lpstr>D_37146</vt:lpstr>
      <vt:lpstr>D_37146_1</vt:lpstr>
      <vt:lpstr>D_37146_2</vt:lpstr>
      <vt:lpstr>D_37147</vt:lpstr>
      <vt:lpstr>D_37147_1</vt:lpstr>
      <vt:lpstr>D_37147_2</vt:lpstr>
      <vt:lpstr>D_37148</vt:lpstr>
      <vt:lpstr>D_37148_1</vt:lpstr>
      <vt:lpstr>D_37148_2</vt:lpstr>
      <vt:lpstr>D_37149</vt:lpstr>
      <vt:lpstr>D_37149_1</vt:lpstr>
      <vt:lpstr>D_37149_2</vt:lpstr>
      <vt:lpstr>D_37150</vt:lpstr>
      <vt:lpstr>D_37150_1</vt:lpstr>
      <vt:lpstr>D_37150_2</vt:lpstr>
      <vt:lpstr>D_37151</vt:lpstr>
      <vt:lpstr>D_37151_1</vt:lpstr>
      <vt:lpstr>D_37151_2</vt:lpstr>
      <vt:lpstr>D_37152</vt:lpstr>
      <vt:lpstr>D_37152_1</vt:lpstr>
      <vt:lpstr>D_37152_2</vt:lpstr>
      <vt:lpstr>D_37153</vt:lpstr>
      <vt:lpstr>D_37153_1</vt:lpstr>
      <vt:lpstr>D_37153_2</vt:lpstr>
      <vt:lpstr>D_37154</vt:lpstr>
      <vt:lpstr>D_37154_1</vt:lpstr>
      <vt:lpstr>D_37154_2</vt:lpstr>
      <vt:lpstr>D_37155</vt:lpstr>
      <vt:lpstr>D_37155_1</vt:lpstr>
      <vt:lpstr>D_37155_2</vt:lpstr>
      <vt:lpstr>D_37156</vt:lpstr>
      <vt:lpstr>D_37156_1</vt:lpstr>
      <vt:lpstr>D_37156_2</vt:lpstr>
      <vt:lpstr>D_37157</vt:lpstr>
      <vt:lpstr>D_37157_1</vt:lpstr>
      <vt:lpstr>D_37157_2</vt:lpstr>
      <vt:lpstr>D_37158</vt:lpstr>
      <vt:lpstr>D_37158_1</vt:lpstr>
      <vt:lpstr>D_37158_2</vt:lpstr>
      <vt:lpstr>D_37159</vt:lpstr>
      <vt:lpstr>D_37159_1</vt:lpstr>
      <vt:lpstr>D_37159_2</vt:lpstr>
      <vt:lpstr>D_37160</vt:lpstr>
      <vt:lpstr>D_37160_1</vt:lpstr>
      <vt:lpstr>D_37160_2</vt:lpstr>
      <vt:lpstr>D_37161</vt:lpstr>
      <vt:lpstr>D_37161_1</vt:lpstr>
      <vt:lpstr>D_37161_2</vt:lpstr>
      <vt:lpstr>D_37162</vt:lpstr>
      <vt:lpstr>D_37162_1</vt:lpstr>
      <vt:lpstr>D_37162_2</vt:lpstr>
      <vt:lpstr>D_37163</vt:lpstr>
      <vt:lpstr>D_37163_1</vt:lpstr>
      <vt:lpstr>D_37163_2</vt:lpstr>
      <vt:lpstr>D_37164</vt:lpstr>
      <vt:lpstr>D_37164_1</vt:lpstr>
      <vt:lpstr>D_37164_2</vt:lpstr>
      <vt:lpstr>D_37165</vt:lpstr>
      <vt:lpstr>D_37165_1</vt:lpstr>
      <vt:lpstr>D_37165_2</vt:lpstr>
      <vt:lpstr>D_37166</vt:lpstr>
      <vt:lpstr>D_37166_1</vt:lpstr>
      <vt:lpstr>D_37166_2</vt:lpstr>
      <vt:lpstr>D_37167</vt:lpstr>
      <vt:lpstr>D_37167_1</vt:lpstr>
      <vt:lpstr>D_37167_2</vt:lpstr>
      <vt:lpstr>D_37168</vt:lpstr>
      <vt:lpstr>D_37168_1</vt:lpstr>
      <vt:lpstr>D_37168_2</vt:lpstr>
      <vt:lpstr>D_37169</vt:lpstr>
      <vt:lpstr>D_37169_1</vt:lpstr>
      <vt:lpstr>D_37169_2</vt:lpstr>
      <vt:lpstr>D_37170</vt:lpstr>
      <vt:lpstr>D_37170_1</vt:lpstr>
      <vt:lpstr>D_37170_2</vt:lpstr>
      <vt:lpstr>D_37171</vt:lpstr>
      <vt:lpstr>D_37171_1</vt:lpstr>
      <vt:lpstr>D_37171_2</vt:lpstr>
      <vt:lpstr>D_37172</vt:lpstr>
      <vt:lpstr>D_37172_1</vt:lpstr>
      <vt:lpstr>D_37172_2</vt:lpstr>
      <vt:lpstr>D_37175</vt:lpstr>
      <vt:lpstr>D_37175_1</vt:lpstr>
      <vt:lpstr>D_37175_2</vt:lpstr>
      <vt:lpstr>D_37176</vt:lpstr>
      <vt:lpstr>D_37176_1</vt:lpstr>
      <vt:lpstr>D_37176_2</vt:lpstr>
      <vt:lpstr>D_37177</vt:lpstr>
      <vt:lpstr>D_37177_1</vt:lpstr>
      <vt:lpstr>D_37177_2</vt:lpstr>
      <vt:lpstr>D_37178</vt:lpstr>
      <vt:lpstr>D_37178_1</vt:lpstr>
      <vt:lpstr>D_37178_2</vt:lpstr>
      <vt:lpstr>D_37179</vt:lpstr>
      <vt:lpstr>D_37179_1</vt:lpstr>
      <vt:lpstr>D_37179_2</vt:lpstr>
      <vt:lpstr>D_37180</vt:lpstr>
      <vt:lpstr>D_37180_1</vt:lpstr>
      <vt:lpstr>D_37180_2</vt:lpstr>
      <vt:lpstr>D_37181</vt:lpstr>
      <vt:lpstr>D_37181_1</vt:lpstr>
      <vt:lpstr>D_37181_2</vt:lpstr>
      <vt:lpstr>D_37182</vt:lpstr>
      <vt:lpstr>D_37182_1</vt:lpstr>
      <vt:lpstr>D_37182_2</vt:lpstr>
      <vt:lpstr>D_37183</vt:lpstr>
      <vt:lpstr>D_37183_1</vt:lpstr>
      <vt:lpstr>D_37183_2</vt:lpstr>
      <vt:lpstr>D_37184</vt:lpstr>
      <vt:lpstr>D_37184_1</vt:lpstr>
      <vt:lpstr>D_37184_2</vt:lpstr>
      <vt:lpstr>D_37185</vt:lpstr>
      <vt:lpstr>D_37185_1</vt:lpstr>
      <vt:lpstr>D_37185_2</vt:lpstr>
      <vt:lpstr>D_37186</vt:lpstr>
      <vt:lpstr>D_37186_1</vt:lpstr>
      <vt:lpstr>D_37186_2</vt:lpstr>
      <vt:lpstr>D_37187</vt:lpstr>
      <vt:lpstr>D_37187_1</vt:lpstr>
      <vt:lpstr>D_37187_2</vt:lpstr>
      <vt:lpstr>D_37188</vt:lpstr>
      <vt:lpstr>D_37188_1</vt:lpstr>
      <vt:lpstr>D_37188_2</vt:lpstr>
      <vt:lpstr>D_37189</vt:lpstr>
      <vt:lpstr>D_37189_1</vt:lpstr>
      <vt:lpstr>D_37189_2</vt:lpstr>
      <vt:lpstr>D_37190</vt:lpstr>
      <vt:lpstr>D_37190_1</vt:lpstr>
      <vt:lpstr>D_37190_2</vt:lpstr>
      <vt:lpstr>D_37191</vt:lpstr>
      <vt:lpstr>D_37191_1</vt:lpstr>
      <vt:lpstr>D_37191_2</vt:lpstr>
      <vt:lpstr>D_37192</vt:lpstr>
      <vt:lpstr>D_37192_1</vt:lpstr>
      <vt:lpstr>D_37192_2</vt:lpstr>
      <vt:lpstr>D_37193</vt:lpstr>
      <vt:lpstr>D_37193_1</vt:lpstr>
      <vt:lpstr>D_37193_2</vt:lpstr>
      <vt:lpstr>D_37194</vt:lpstr>
      <vt:lpstr>D_37194_1</vt:lpstr>
      <vt:lpstr>D_37194_2</vt:lpstr>
      <vt:lpstr>D_37195</vt:lpstr>
      <vt:lpstr>D_37195_1</vt:lpstr>
      <vt:lpstr>D_37195_2</vt:lpstr>
      <vt:lpstr>D_37196</vt:lpstr>
      <vt:lpstr>D_37196_1</vt:lpstr>
      <vt:lpstr>D_37196_2</vt:lpstr>
      <vt:lpstr>D_37197</vt:lpstr>
      <vt:lpstr>D_37197_1</vt:lpstr>
      <vt:lpstr>D_37197_2</vt:lpstr>
      <vt:lpstr>D_37198</vt:lpstr>
      <vt:lpstr>D_37198_1</vt:lpstr>
      <vt:lpstr>D_37198_2</vt:lpstr>
      <vt:lpstr>D_37199</vt:lpstr>
      <vt:lpstr>D_37199_1</vt:lpstr>
      <vt:lpstr>D_37199_2</vt:lpstr>
      <vt:lpstr>D_37200</vt:lpstr>
      <vt:lpstr>D_37200_1</vt:lpstr>
      <vt:lpstr>D_37200_2</vt:lpstr>
      <vt:lpstr>D_37201</vt:lpstr>
      <vt:lpstr>D_37201_1</vt:lpstr>
      <vt:lpstr>D_37202</vt:lpstr>
      <vt:lpstr>D_37202_1</vt:lpstr>
      <vt:lpstr>D_37202_2</vt:lpstr>
      <vt:lpstr>D_37204</vt:lpstr>
      <vt:lpstr>D_37204_1</vt:lpstr>
      <vt:lpstr>D_37204_2</vt:lpstr>
      <vt:lpstr>D_37205</vt:lpstr>
      <vt:lpstr>D_37205_1</vt:lpstr>
      <vt:lpstr>D_37205_2</vt:lpstr>
      <vt:lpstr>D_37206</vt:lpstr>
      <vt:lpstr>D_37206_1</vt:lpstr>
      <vt:lpstr>D_37206_2</vt:lpstr>
      <vt:lpstr>D_37207</vt:lpstr>
      <vt:lpstr>D_37207_1</vt:lpstr>
      <vt:lpstr>D_37207_2</vt:lpstr>
      <vt:lpstr>D_37208</vt:lpstr>
      <vt:lpstr>D_37208_1</vt:lpstr>
      <vt:lpstr>D_37208_2</vt:lpstr>
      <vt:lpstr>D_37301</vt:lpstr>
      <vt:lpstr>D_37301_1</vt:lpstr>
      <vt:lpstr>D_37301_2</vt:lpstr>
      <vt:lpstr>D_37302</vt:lpstr>
      <vt:lpstr>D_37302_1</vt:lpstr>
      <vt:lpstr>D_37302_2</vt:lpstr>
      <vt:lpstr>D_37303</vt:lpstr>
      <vt:lpstr>D_37303_1</vt:lpstr>
      <vt:lpstr>D_37303_2</vt:lpstr>
      <vt:lpstr>D_37306</vt:lpstr>
      <vt:lpstr>D_37306_1</vt:lpstr>
      <vt:lpstr>D_37306_2</vt:lpstr>
      <vt:lpstr>D_37322</vt:lpstr>
      <vt:lpstr>D_37322_1</vt:lpstr>
      <vt:lpstr>D_37322_2</vt:lpstr>
      <vt:lpstr>D_37500</vt:lpstr>
      <vt:lpstr>D_37500_1</vt:lpstr>
      <vt:lpstr>D_37500_2</vt:lpstr>
      <vt:lpstr>D_37501</vt:lpstr>
      <vt:lpstr>D_37501_1</vt:lpstr>
      <vt:lpstr>D_37501_2</vt:lpstr>
      <vt:lpstr>D_37502</vt:lpstr>
      <vt:lpstr>D_37502_1</vt:lpstr>
      <vt:lpstr>D_37502_2</vt:lpstr>
      <vt:lpstr>D_37503</vt:lpstr>
      <vt:lpstr>D_37503_1</vt:lpstr>
      <vt:lpstr>D_37503_2</vt:lpstr>
      <vt:lpstr>D_37504</vt:lpstr>
      <vt:lpstr>D_37504_1</vt:lpstr>
      <vt:lpstr>D_37504_2</vt:lpstr>
      <vt:lpstr>D_37505</vt:lpstr>
      <vt:lpstr>D_37505_1</vt:lpstr>
      <vt:lpstr>D_37505_2</vt:lpstr>
      <vt:lpstr>D_37506</vt:lpstr>
      <vt:lpstr>D_37506_1</vt:lpstr>
      <vt:lpstr>D_37506_2</vt:lpstr>
      <vt:lpstr>D_37507</vt:lpstr>
      <vt:lpstr>D_37507_1</vt:lpstr>
      <vt:lpstr>D_37507_2</vt:lpstr>
      <vt:lpstr>D_37508</vt:lpstr>
      <vt:lpstr>D_37508_1</vt:lpstr>
      <vt:lpstr>D_37508_2</vt:lpstr>
      <vt:lpstr>D_37509</vt:lpstr>
      <vt:lpstr>D_37509_1</vt:lpstr>
      <vt:lpstr>D_37509_2</vt:lpstr>
      <vt:lpstr>D_37510</vt:lpstr>
      <vt:lpstr>D_37510_1</vt:lpstr>
      <vt:lpstr>D_37510_2</vt:lpstr>
      <vt:lpstr>D_37511</vt:lpstr>
      <vt:lpstr>D_37511_1</vt:lpstr>
      <vt:lpstr>D_37511_2</vt:lpstr>
      <vt:lpstr>D_37512</vt:lpstr>
      <vt:lpstr>D_37512_1</vt:lpstr>
      <vt:lpstr>D_37512_2</vt:lpstr>
      <vt:lpstr>D_37513</vt:lpstr>
      <vt:lpstr>D_37513_1</vt:lpstr>
      <vt:lpstr>D_37513_2</vt:lpstr>
      <vt:lpstr>D_37514</vt:lpstr>
      <vt:lpstr>D_37514_1</vt:lpstr>
      <vt:lpstr>D_37514_2</vt:lpstr>
      <vt:lpstr>D_37515</vt:lpstr>
      <vt:lpstr>D_37515_1</vt:lpstr>
      <vt:lpstr>D_37515_2</vt:lpstr>
      <vt:lpstr>D_37516</vt:lpstr>
      <vt:lpstr>D_37516_1</vt:lpstr>
      <vt:lpstr>D_37516_2</vt:lpstr>
      <vt:lpstr>D_37517</vt:lpstr>
      <vt:lpstr>D_37517_1</vt:lpstr>
      <vt:lpstr>D_37517_2</vt:lpstr>
      <vt:lpstr>D_37518</vt:lpstr>
      <vt:lpstr>D_37518_1</vt:lpstr>
      <vt:lpstr>D_37518_2</vt:lpstr>
      <vt:lpstr>D_37519</vt:lpstr>
      <vt:lpstr>D_37519_1</vt:lpstr>
      <vt:lpstr>D_37519_2</vt:lpstr>
      <vt:lpstr>D_37520</vt:lpstr>
      <vt:lpstr>D_37520_1</vt:lpstr>
      <vt:lpstr>D_37520_2</vt:lpstr>
      <vt:lpstr>D_37521</vt:lpstr>
      <vt:lpstr>D_37521_1</vt:lpstr>
      <vt:lpstr>D_37521_2</vt:lpstr>
      <vt:lpstr>D_37522</vt:lpstr>
      <vt:lpstr>D_37522_1</vt:lpstr>
      <vt:lpstr>D_37522_2</vt:lpstr>
      <vt:lpstr>D_37523</vt:lpstr>
      <vt:lpstr>D_37523_1</vt:lpstr>
      <vt:lpstr>D_37523_2</vt:lpstr>
      <vt:lpstr>D_37524</vt:lpstr>
      <vt:lpstr>D_37524_1</vt:lpstr>
      <vt:lpstr>D_37524_2</vt:lpstr>
      <vt:lpstr>D_37530</vt:lpstr>
      <vt:lpstr>D_37530_1</vt:lpstr>
      <vt:lpstr>D_37530_2</vt:lpstr>
      <vt:lpstr>D_37531</vt:lpstr>
      <vt:lpstr>D_37531_1</vt:lpstr>
      <vt:lpstr>D_37531_2</vt:lpstr>
      <vt:lpstr>D_37532</vt:lpstr>
      <vt:lpstr>D_37532_1</vt:lpstr>
      <vt:lpstr>D_37532_2</vt:lpstr>
      <vt:lpstr>D_37534</vt:lpstr>
      <vt:lpstr>D_37534_1</vt:lpstr>
      <vt:lpstr>D_37534_2</vt:lpstr>
      <vt:lpstr>D_37535</vt:lpstr>
      <vt:lpstr>D_37535_1</vt:lpstr>
      <vt:lpstr>D_37535_2</vt:lpstr>
      <vt:lpstr>D_37536</vt:lpstr>
      <vt:lpstr>D_37536_1</vt:lpstr>
      <vt:lpstr>D_37536_2</vt:lpstr>
      <vt:lpstr>D_37537</vt:lpstr>
      <vt:lpstr>D_37537_1</vt:lpstr>
      <vt:lpstr>D_37537_2</vt:lpstr>
      <vt:lpstr>D_37539</vt:lpstr>
      <vt:lpstr>D_37539_1</vt:lpstr>
      <vt:lpstr>D_37539_2</vt:lpstr>
      <vt:lpstr>D_37540</vt:lpstr>
      <vt:lpstr>D_37540_1</vt:lpstr>
      <vt:lpstr>D_37540_2</vt:lpstr>
      <vt:lpstr>D_38105</vt:lpstr>
      <vt:lpstr>D_38105_1</vt:lpstr>
      <vt:lpstr>D_38105_2</vt:lpstr>
      <vt:lpstr>D_38106</vt:lpstr>
      <vt:lpstr>D_38106_1</vt:lpstr>
      <vt:lpstr>D_38106_2</vt:lpstr>
      <vt:lpstr>D_38107</vt:lpstr>
      <vt:lpstr>D_38107_1</vt:lpstr>
      <vt:lpstr>D_38107_2</vt:lpstr>
      <vt:lpstr>D_38108</vt:lpstr>
      <vt:lpstr>D_38108_1</vt:lpstr>
      <vt:lpstr>D_38108_2</vt:lpstr>
      <vt:lpstr>D_38109</vt:lpstr>
      <vt:lpstr>D_38109_1</vt:lpstr>
      <vt:lpstr>D_38109_2</vt:lpstr>
      <vt:lpstr>D_38110</vt:lpstr>
      <vt:lpstr>D_38110_1</vt:lpstr>
      <vt:lpstr>D_38110_2</vt:lpstr>
      <vt:lpstr>D_38111</vt:lpstr>
      <vt:lpstr>D_38111_1</vt:lpstr>
      <vt:lpstr>D_38111_2</vt:lpstr>
      <vt:lpstr>D_38112</vt:lpstr>
      <vt:lpstr>D_38112_1</vt:lpstr>
      <vt:lpstr>D_38112_2</vt:lpstr>
      <vt:lpstr>D_38113</vt:lpstr>
      <vt:lpstr>D_38113_1</vt:lpstr>
      <vt:lpstr>D_38113_2</vt:lpstr>
      <vt:lpstr>D_38120</vt:lpstr>
      <vt:lpstr>D_38120_1</vt:lpstr>
      <vt:lpstr>D_38120_2</vt:lpstr>
      <vt:lpstr>D_38121</vt:lpstr>
      <vt:lpstr>D_38121_1</vt:lpstr>
      <vt:lpstr>D_38121_2</vt:lpstr>
      <vt:lpstr>D_38124</vt:lpstr>
      <vt:lpstr>D_38124_1</vt:lpstr>
      <vt:lpstr>D_38124_2</vt:lpstr>
      <vt:lpstr>D_38125</vt:lpstr>
      <vt:lpstr>D_38125_1</vt:lpstr>
      <vt:lpstr>D_38125_2</vt:lpstr>
      <vt:lpstr>D_38126</vt:lpstr>
      <vt:lpstr>D_38126_1</vt:lpstr>
      <vt:lpstr>D_38126_2</vt:lpstr>
      <vt:lpstr>D_38127</vt:lpstr>
      <vt:lpstr>D_38127_1</vt:lpstr>
      <vt:lpstr>D_38127_2</vt:lpstr>
      <vt:lpstr>D_38128</vt:lpstr>
      <vt:lpstr>D_38128_1</vt:lpstr>
      <vt:lpstr>D_38128_2</vt:lpstr>
      <vt:lpstr>D_38129</vt:lpstr>
      <vt:lpstr>D_38129_1</vt:lpstr>
      <vt:lpstr>D_38129_2</vt:lpstr>
      <vt:lpstr>D_38130</vt:lpstr>
      <vt:lpstr>D_38130_1</vt:lpstr>
      <vt:lpstr>D_38130_2</vt:lpstr>
      <vt:lpstr>D_38132</vt:lpstr>
      <vt:lpstr>D_38132_1</vt:lpstr>
      <vt:lpstr>D_38132_2</vt:lpstr>
      <vt:lpstr>D_38133</vt:lpstr>
      <vt:lpstr>D_38133_1</vt:lpstr>
      <vt:lpstr>D_38133_2</vt:lpstr>
      <vt:lpstr>D_38134</vt:lpstr>
      <vt:lpstr>D_38134_1</vt:lpstr>
      <vt:lpstr>D_38134_2</vt:lpstr>
      <vt:lpstr>D_38135</vt:lpstr>
      <vt:lpstr>D_38135_1</vt:lpstr>
      <vt:lpstr>D_38135_2</vt:lpstr>
      <vt:lpstr>D_38136</vt:lpstr>
      <vt:lpstr>D_38136_1</vt:lpstr>
      <vt:lpstr>D_38136_2</vt:lpstr>
      <vt:lpstr>D_38137</vt:lpstr>
      <vt:lpstr>D_38137_1</vt:lpstr>
      <vt:lpstr>D_38137_2</vt:lpstr>
      <vt:lpstr>D_38138</vt:lpstr>
      <vt:lpstr>D_38138_1</vt:lpstr>
      <vt:lpstr>D_38138_2</vt:lpstr>
      <vt:lpstr>D_38140</vt:lpstr>
      <vt:lpstr>D_38140_1</vt:lpstr>
      <vt:lpstr>D_38140_2</vt:lpstr>
      <vt:lpstr>D_38141</vt:lpstr>
      <vt:lpstr>D_38141_1</vt:lpstr>
      <vt:lpstr>D_38141_2</vt:lpstr>
      <vt:lpstr>D_38142</vt:lpstr>
      <vt:lpstr>D_38142_1</vt:lpstr>
      <vt:lpstr>D_38142_2</vt:lpstr>
      <vt:lpstr>D_38143</vt:lpstr>
      <vt:lpstr>D_38143_1</vt:lpstr>
      <vt:lpstr>D_38143_2</vt:lpstr>
      <vt:lpstr>D_38144</vt:lpstr>
      <vt:lpstr>D_38144_1</vt:lpstr>
      <vt:lpstr>D_38144_2</vt:lpstr>
      <vt:lpstr>DebutExN</vt:lpstr>
      <vt:lpstr>DebutExN1</vt:lpstr>
      <vt:lpstr>DebutExN1AA</vt:lpstr>
      <vt:lpstr>DebutExN2</vt:lpstr>
      <vt:lpstr>DebutExN2AA</vt:lpstr>
      <vt:lpstr>DebutExNAA</vt:lpstr>
      <vt:lpstr>FC_N</vt:lpstr>
      <vt:lpstr>FC_N1</vt:lpstr>
      <vt:lpstr>FC_N2</vt:lpstr>
      <vt:lpstr>FF_N</vt:lpstr>
      <vt:lpstr>FF_N1</vt:lpstr>
      <vt:lpstr>FF_N2</vt:lpstr>
      <vt:lpstr>FinExN</vt:lpstr>
      <vt:lpstr>FinExN1</vt:lpstr>
      <vt:lpstr>FinExN1AA</vt:lpstr>
      <vt:lpstr>FinExN2</vt:lpstr>
      <vt:lpstr>FinExN2AA</vt:lpstr>
      <vt:lpstr>FinExNAA</vt:lpstr>
      <vt:lpstr>FL_N</vt:lpstr>
      <vt:lpstr>FL_N1</vt:lpstr>
      <vt:lpstr>FL_N2</vt:lpstr>
      <vt:lpstr>FS_N</vt:lpstr>
      <vt:lpstr>FS_N1</vt:lpstr>
      <vt:lpstr>FS_N2</vt:lpstr>
      <vt:lpstr>FT_N</vt:lpstr>
      <vt:lpstr>FT_N1</vt:lpstr>
      <vt:lpstr>FT_N2</vt:lpstr>
      <vt:lpstr>FW_N</vt:lpstr>
      <vt:lpstr>FW_N1</vt:lpstr>
      <vt:lpstr>FW_N2</vt:lpstr>
      <vt:lpstr>FX_N</vt:lpstr>
      <vt:lpstr>FX_N1</vt:lpstr>
      <vt:lpstr>FX_N2</vt:lpstr>
      <vt:lpstr>FY_N</vt:lpstr>
      <vt:lpstr>FY_N1</vt:lpstr>
      <vt:lpstr>FY_N2</vt:lpstr>
      <vt:lpstr>FZ_N1</vt:lpstr>
      <vt:lpstr>FZ_N2</vt:lpstr>
      <vt:lpstr>GA_N</vt:lpstr>
      <vt:lpstr>GA_N1</vt:lpstr>
      <vt:lpstr>GA_N2</vt:lpstr>
      <vt:lpstr>GB_N</vt:lpstr>
      <vt:lpstr>GB_N1</vt:lpstr>
      <vt:lpstr>GB_N2</vt:lpstr>
      <vt:lpstr>GC_N</vt:lpstr>
      <vt:lpstr>GC_N1</vt:lpstr>
      <vt:lpstr>GC_N2</vt:lpstr>
      <vt:lpstr>GD_N</vt:lpstr>
      <vt:lpstr>GD_N1</vt:lpstr>
      <vt:lpstr>GD_N2</vt:lpstr>
      <vt:lpstr>GE_N</vt:lpstr>
      <vt:lpstr>GE_N1</vt:lpstr>
      <vt:lpstr>GE_N2</vt:lpstr>
      <vt:lpstr>GF_N</vt:lpstr>
      <vt:lpstr>GF_N1</vt:lpstr>
      <vt:lpstr>GF_N2</vt:lpstr>
      <vt:lpstr>GG_N</vt:lpstr>
      <vt:lpstr>GG_N1</vt:lpstr>
      <vt:lpstr>GG_N2</vt:lpstr>
      <vt:lpstr>GH_N</vt:lpstr>
      <vt:lpstr>GH_N1</vt:lpstr>
      <vt:lpstr>GH_N2</vt:lpstr>
      <vt:lpstr>GI_N</vt:lpstr>
      <vt:lpstr>GI_N1</vt:lpstr>
      <vt:lpstr>GI_N2</vt:lpstr>
      <vt:lpstr>GJ_N</vt:lpstr>
      <vt:lpstr>GJ_N1</vt:lpstr>
      <vt:lpstr>GJ_N2</vt:lpstr>
      <vt:lpstr>GK_N</vt:lpstr>
      <vt:lpstr>GK_N1</vt:lpstr>
      <vt:lpstr>GK_N2</vt:lpstr>
      <vt:lpstr>GL_N</vt:lpstr>
      <vt:lpstr>GL_N1</vt:lpstr>
      <vt:lpstr>GL_N2</vt:lpstr>
      <vt:lpstr>GM_N</vt:lpstr>
      <vt:lpstr>GM_N1</vt:lpstr>
      <vt:lpstr>GM_N2</vt:lpstr>
      <vt:lpstr>GN_N</vt:lpstr>
      <vt:lpstr>GN_N1</vt:lpstr>
      <vt:lpstr>GN_N2</vt:lpstr>
      <vt:lpstr>GT_N</vt:lpstr>
      <vt:lpstr>GT_N1</vt:lpstr>
      <vt:lpstr>GT_N2</vt:lpstr>
      <vt:lpstr>GX_N</vt:lpstr>
      <vt:lpstr>GX_N1</vt:lpstr>
      <vt:lpstr>GX_N2</vt:lpstr>
      <vt:lpstr>GY_N</vt:lpstr>
      <vt:lpstr>GY_N1</vt:lpstr>
      <vt:lpstr>GY_N2</vt:lpstr>
      <vt:lpstr>GZ_N</vt:lpstr>
      <vt:lpstr>GZ_N1</vt:lpstr>
      <vt:lpstr>GZ_N2</vt:lpstr>
      <vt:lpstr>HA_N</vt:lpstr>
      <vt:lpstr>HA_N1</vt:lpstr>
      <vt:lpstr>HA_N2</vt:lpstr>
      <vt:lpstr>HB_N</vt:lpstr>
      <vt:lpstr>HB_N1</vt:lpstr>
      <vt:lpstr>HB_N2</vt:lpstr>
      <vt:lpstr>HD_N</vt:lpstr>
      <vt:lpstr>HD_N1</vt:lpstr>
      <vt:lpstr>HD_N2</vt:lpstr>
      <vt:lpstr>HE_N</vt:lpstr>
      <vt:lpstr>HE_N1</vt:lpstr>
      <vt:lpstr>HE_N2</vt:lpstr>
      <vt:lpstr>HF_N</vt:lpstr>
      <vt:lpstr>HF_N1</vt:lpstr>
      <vt:lpstr>HF_N2</vt:lpstr>
      <vt:lpstr>HG_N</vt:lpstr>
      <vt:lpstr>HG_N1</vt:lpstr>
      <vt:lpstr>HG_N2</vt:lpstr>
      <vt:lpstr>HH_N</vt:lpstr>
      <vt:lpstr>HH_N1</vt:lpstr>
      <vt:lpstr>HH_N2</vt:lpstr>
      <vt:lpstr>HI_N</vt:lpstr>
      <vt:lpstr>HI_N1</vt:lpstr>
      <vt:lpstr>HI_N2</vt:lpstr>
      <vt:lpstr>HJ_N</vt:lpstr>
      <vt:lpstr>HJ_N1</vt:lpstr>
      <vt:lpstr>HJ_N2</vt:lpstr>
      <vt:lpstr>HK_N</vt:lpstr>
      <vt:lpstr>HK_N1</vt:lpstr>
      <vt:lpstr>HK_N2</vt:lpstr>
      <vt:lpstr>HL_N</vt:lpstr>
      <vt:lpstr>HL_N1</vt:lpstr>
      <vt:lpstr>HL_N2</vt:lpstr>
      <vt:lpstr>HO_N</vt:lpstr>
      <vt:lpstr>HO_N1</vt:lpstr>
      <vt:lpstr>HO_N2</vt:lpstr>
      <vt:lpstr>HV_N</vt:lpstr>
      <vt:lpstr>HV_N1</vt:lpstr>
      <vt:lpstr>HV_N2</vt:lpstr>
      <vt:lpstr>M_C_N_13</vt:lpstr>
      <vt:lpstr>M_C_N_164</vt:lpstr>
      <vt:lpstr>M_C_N1_13</vt:lpstr>
      <vt:lpstr>M_C_N1_164</vt:lpstr>
      <vt:lpstr>MonnaieDG</vt:lpstr>
      <vt:lpstr>NbreMoisN</vt:lpstr>
      <vt:lpstr>NbreMoisN1</vt:lpstr>
      <vt:lpstr>NbreMoisN2</vt:lpstr>
      <vt:lpstr>NomAdht</vt:lpstr>
      <vt:lpstr>NomCabinet</vt:lpstr>
      <vt:lpstr>NumAdht</vt:lpstr>
      <vt:lpstr>NumCabinet</vt:lpstr>
      <vt:lpstr>PAS_MONTANT_BAL</vt:lpstr>
      <vt:lpstr>'Note d''actu'!Print_Area</vt:lpstr>
      <vt:lpstr>ProfessAdht</vt:lpstr>
      <vt:lpstr>PW_N</vt:lpstr>
      <vt:lpstr>PW_N1</vt:lpstr>
      <vt:lpstr>PW_N2</vt:lpstr>
      <vt:lpstr>QA_N</vt:lpstr>
      <vt:lpstr>QA_N1</vt:lpstr>
      <vt:lpstr>QA_N2</vt:lpstr>
      <vt:lpstr>R_1073</vt:lpstr>
      <vt:lpstr>R_1073_1</vt:lpstr>
      <vt:lpstr>R_1073_2</vt:lpstr>
      <vt:lpstr>R_1075</vt:lpstr>
      <vt:lpstr>R_1075_1</vt:lpstr>
      <vt:lpstr>R_1075_2</vt:lpstr>
      <vt:lpstr>R_1077</vt:lpstr>
      <vt:lpstr>R_1077_1</vt:lpstr>
      <vt:lpstr>R_1077_2</vt:lpstr>
      <vt:lpstr>R_1079</vt:lpstr>
      <vt:lpstr>R_1079_1</vt:lpstr>
      <vt:lpstr>R_1079_2</vt:lpstr>
      <vt:lpstr>R_1088</vt:lpstr>
      <vt:lpstr>R_1088_1</vt:lpstr>
      <vt:lpstr>R_1088_2</vt:lpstr>
      <vt:lpstr>R_1095</vt:lpstr>
      <vt:lpstr>R_1095_1</vt:lpstr>
      <vt:lpstr>R_1095_2</vt:lpstr>
      <vt:lpstr>R_1096</vt:lpstr>
      <vt:lpstr>R_1096_1</vt:lpstr>
      <vt:lpstr>R_1096_2</vt:lpstr>
      <vt:lpstr>R_1097</vt:lpstr>
      <vt:lpstr>R_1097_1</vt:lpstr>
      <vt:lpstr>R_1097_2</vt:lpstr>
      <vt:lpstr>R_1098</vt:lpstr>
      <vt:lpstr>R_1098_1</vt:lpstr>
      <vt:lpstr>R_1098_2</vt:lpstr>
      <vt:lpstr>R_1099</vt:lpstr>
      <vt:lpstr>R_1099_1</vt:lpstr>
      <vt:lpstr>R_1099_2</vt:lpstr>
      <vt:lpstr>R_11000</vt:lpstr>
      <vt:lpstr>R_11000_1</vt:lpstr>
      <vt:lpstr>R_11000_2</vt:lpstr>
      <vt:lpstr>R_11004</vt:lpstr>
      <vt:lpstr>R_11004_1</vt:lpstr>
      <vt:lpstr>R_11004_2</vt:lpstr>
      <vt:lpstr>R_11006</vt:lpstr>
      <vt:lpstr>R_11006_1</vt:lpstr>
      <vt:lpstr>R_11006_2</vt:lpstr>
      <vt:lpstr>R_11007</vt:lpstr>
      <vt:lpstr>R_11007_1</vt:lpstr>
      <vt:lpstr>R_11007_2</vt:lpstr>
      <vt:lpstr>R_11008</vt:lpstr>
      <vt:lpstr>R_11008_1</vt:lpstr>
      <vt:lpstr>R_11008_2</vt:lpstr>
      <vt:lpstr>R_11011</vt:lpstr>
      <vt:lpstr>R_11011_1</vt:lpstr>
      <vt:lpstr>R_11011_2</vt:lpstr>
      <vt:lpstr>R_11014</vt:lpstr>
      <vt:lpstr>R_11014_1</vt:lpstr>
      <vt:lpstr>R_11014_2</vt:lpstr>
      <vt:lpstr>R_11015</vt:lpstr>
      <vt:lpstr>R_11015_1</vt:lpstr>
      <vt:lpstr>R_11015_2</vt:lpstr>
      <vt:lpstr>R_11016</vt:lpstr>
      <vt:lpstr>R_11016_1</vt:lpstr>
      <vt:lpstr>R_11016_2</vt:lpstr>
      <vt:lpstr>R_11017</vt:lpstr>
      <vt:lpstr>R_11017_1</vt:lpstr>
      <vt:lpstr>R_11017_2</vt:lpstr>
      <vt:lpstr>R_11018</vt:lpstr>
      <vt:lpstr>R_11018_1</vt:lpstr>
      <vt:lpstr>R_11018_2</vt:lpstr>
      <vt:lpstr>R_11019</vt:lpstr>
      <vt:lpstr>R_11019_1</vt:lpstr>
      <vt:lpstr>R_11019_2</vt:lpstr>
      <vt:lpstr>R_11020</vt:lpstr>
      <vt:lpstr>R_11020_1</vt:lpstr>
      <vt:lpstr>R_11020_2</vt:lpstr>
      <vt:lpstr>R_11021</vt:lpstr>
      <vt:lpstr>R_11021_1</vt:lpstr>
      <vt:lpstr>R_11021_2</vt:lpstr>
      <vt:lpstr>R_11022</vt:lpstr>
      <vt:lpstr>R_11022_1</vt:lpstr>
      <vt:lpstr>R_11022_2</vt:lpstr>
      <vt:lpstr>R_11035</vt:lpstr>
      <vt:lpstr>R_11052</vt:lpstr>
      <vt:lpstr>R_11052_1</vt:lpstr>
      <vt:lpstr>R_11052_2</vt:lpstr>
      <vt:lpstr>R_11053</vt:lpstr>
      <vt:lpstr>R_11053_1</vt:lpstr>
      <vt:lpstr>R_11054</vt:lpstr>
      <vt:lpstr>R_11054_1</vt:lpstr>
      <vt:lpstr>R_11066</vt:lpstr>
      <vt:lpstr>R_11066_1</vt:lpstr>
      <vt:lpstr>R_11066_2</vt:lpstr>
      <vt:lpstr>R_11067</vt:lpstr>
      <vt:lpstr>R_11067_1</vt:lpstr>
      <vt:lpstr>R_11067_2</vt:lpstr>
      <vt:lpstr>R_11068</vt:lpstr>
      <vt:lpstr>R_11068_1</vt:lpstr>
      <vt:lpstr>R_11068_2</vt:lpstr>
      <vt:lpstr>R_11069</vt:lpstr>
      <vt:lpstr>R_11069_1</vt:lpstr>
      <vt:lpstr>R_11069_2</vt:lpstr>
      <vt:lpstr>R_11106</vt:lpstr>
      <vt:lpstr>R_11106_1</vt:lpstr>
      <vt:lpstr>R_11106_2</vt:lpstr>
      <vt:lpstr>R_11107</vt:lpstr>
      <vt:lpstr>R_11107_1</vt:lpstr>
      <vt:lpstr>R_11107_2</vt:lpstr>
      <vt:lpstr>R_11108</vt:lpstr>
      <vt:lpstr>R_11108_1</vt:lpstr>
      <vt:lpstr>R_11108_2</vt:lpstr>
      <vt:lpstr>R_1137</vt:lpstr>
      <vt:lpstr>R_1137_1</vt:lpstr>
      <vt:lpstr>R_1137_2</vt:lpstr>
      <vt:lpstr>R_1156</vt:lpstr>
      <vt:lpstr>R_1156_1</vt:lpstr>
      <vt:lpstr>R_1156_2</vt:lpstr>
      <vt:lpstr>R_1166</vt:lpstr>
      <vt:lpstr>R_1166_1</vt:lpstr>
      <vt:lpstr>R_1166_2</vt:lpstr>
      <vt:lpstr>R_1167</vt:lpstr>
      <vt:lpstr>R_1167_1</vt:lpstr>
      <vt:lpstr>R_1167_2</vt:lpstr>
      <vt:lpstr>R_1172</vt:lpstr>
      <vt:lpstr>R_1172_1</vt:lpstr>
      <vt:lpstr>R_1172_2</vt:lpstr>
      <vt:lpstr>R_1173</vt:lpstr>
      <vt:lpstr>R_1173_1</vt:lpstr>
      <vt:lpstr>R_1173_2</vt:lpstr>
      <vt:lpstr>R_1174</vt:lpstr>
      <vt:lpstr>R_1174_1</vt:lpstr>
      <vt:lpstr>R_1174_2</vt:lpstr>
      <vt:lpstr>R_1175</vt:lpstr>
      <vt:lpstr>R_1175_1</vt:lpstr>
      <vt:lpstr>R_1175_2</vt:lpstr>
      <vt:lpstr>R_1200</vt:lpstr>
      <vt:lpstr>R_1200_1</vt:lpstr>
      <vt:lpstr>R_1200_2</vt:lpstr>
      <vt:lpstr>R_1201</vt:lpstr>
      <vt:lpstr>R_1201_1</vt:lpstr>
      <vt:lpstr>R_1201_2</vt:lpstr>
      <vt:lpstr>R_1206</vt:lpstr>
      <vt:lpstr>R_1206_1</vt:lpstr>
      <vt:lpstr>R_1206_2</vt:lpstr>
      <vt:lpstr>R_1256</vt:lpstr>
      <vt:lpstr>R_1256_1</vt:lpstr>
      <vt:lpstr>R_1256_2</vt:lpstr>
      <vt:lpstr>R_1257</vt:lpstr>
      <vt:lpstr>R_1257_1</vt:lpstr>
      <vt:lpstr>R_1257_2</vt:lpstr>
      <vt:lpstr>R_1259</vt:lpstr>
      <vt:lpstr>R_1259_1</vt:lpstr>
      <vt:lpstr>R_1259_2</vt:lpstr>
      <vt:lpstr>R_1260</vt:lpstr>
      <vt:lpstr>R_1260_1</vt:lpstr>
      <vt:lpstr>R_1260_2</vt:lpstr>
      <vt:lpstr>R_1261</vt:lpstr>
      <vt:lpstr>R_1261_1</vt:lpstr>
      <vt:lpstr>R_1261_2</vt:lpstr>
      <vt:lpstr>R_1262</vt:lpstr>
      <vt:lpstr>R_1262_1</vt:lpstr>
      <vt:lpstr>R_1262_2</vt:lpstr>
      <vt:lpstr>R_1263</vt:lpstr>
      <vt:lpstr>R_1263_1</vt:lpstr>
      <vt:lpstr>R_1263_2</vt:lpstr>
      <vt:lpstr>R_1266</vt:lpstr>
      <vt:lpstr>R_1266_1</vt:lpstr>
      <vt:lpstr>R_1266_2</vt:lpstr>
      <vt:lpstr>R_1268</vt:lpstr>
      <vt:lpstr>R_1268_1</vt:lpstr>
      <vt:lpstr>R_1268_2</vt:lpstr>
      <vt:lpstr>R_1269</vt:lpstr>
      <vt:lpstr>R_1269_1</vt:lpstr>
      <vt:lpstr>R_1269_2</vt:lpstr>
      <vt:lpstr>R_1271</vt:lpstr>
      <vt:lpstr>R_1271_1</vt:lpstr>
      <vt:lpstr>R_1271_2</vt:lpstr>
      <vt:lpstr>R_1272</vt:lpstr>
      <vt:lpstr>R_1272_1</vt:lpstr>
      <vt:lpstr>R_1272_2</vt:lpstr>
      <vt:lpstr>R_1273</vt:lpstr>
      <vt:lpstr>R_1273_1</vt:lpstr>
      <vt:lpstr>R_1273_2</vt:lpstr>
      <vt:lpstr>R_1274</vt:lpstr>
      <vt:lpstr>R_1274_1</vt:lpstr>
      <vt:lpstr>R_1274_2</vt:lpstr>
      <vt:lpstr>R_1275</vt:lpstr>
      <vt:lpstr>R_1275_1</vt:lpstr>
      <vt:lpstr>R_1275_2</vt:lpstr>
      <vt:lpstr>R_1278</vt:lpstr>
      <vt:lpstr>R_1278_1</vt:lpstr>
      <vt:lpstr>R_1278_2</vt:lpstr>
      <vt:lpstr>R_1280</vt:lpstr>
      <vt:lpstr>R_1280_1</vt:lpstr>
      <vt:lpstr>R_1280_2</vt:lpstr>
      <vt:lpstr>R_1295</vt:lpstr>
      <vt:lpstr>R_1295_1</vt:lpstr>
      <vt:lpstr>R_1295_2</vt:lpstr>
      <vt:lpstr>R_1296</vt:lpstr>
      <vt:lpstr>R_1296_1</vt:lpstr>
      <vt:lpstr>R_1296_2</vt:lpstr>
      <vt:lpstr>R_1298</vt:lpstr>
      <vt:lpstr>R_1298_1</vt:lpstr>
      <vt:lpstr>R_1298_2</vt:lpstr>
      <vt:lpstr>R_1299</vt:lpstr>
      <vt:lpstr>R_1299_1</vt:lpstr>
      <vt:lpstr>R_1299_2</vt:lpstr>
      <vt:lpstr>R_1300</vt:lpstr>
      <vt:lpstr>R_1300_1</vt:lpstr>
      <vt:lpstr>R_1300_2</vt:lpstr>
      <vt:lpstr>R_1302</vt:lpstr>
      <vt:lpstr>R_1302_1</vt:lpstr>
      <vt:lpstr>R_1302_2</vt:lpstr>
      <vt:lpstr>R_1306</vt:lpstr>
      <vt:lpstr>R_1306_1</vt:lpstr>
      <vt:lpstr>R_1306_2</vt:lpstr>
      <vt:lpstr>R_1321</vt:lpstr>
      <vt:lpstr>R_1321_1</vt:lpstr>
      <vt:lpstr>R_1321_2</vt:lpstr>
      <vt:lpstr>R_1322</vt:lpstr>
      <vt:lpstr>R_1322_1</vt:lpstr>
      <vt:lpstr>R_1322_2</vt:lpstr>
      <vt:lpstr>R_1324</vt:lpstr>
      <vt:lpstr>R_1324_1</vt:lpstr>
      <vt:lpstr>R_1324_2</vt:lpstr>
      <vt:lpstr>R_1368</vt:lpstr>
      <vt:lpstr>R_1368_1</vt:lpstr>
      <vt:lpstr>R_1368_2</vt:lpstr>
      <vt:lpstr>R_1369</vt:lpstr>
      <vt:lpstr>R_1369_1</vt:lpstr>
      <vt:lpstr>R_1369_2</vt:lpstr>
      <vt:lpstr>R_1370</vt:lpstr>
      <vt:lpstr>R_1370_1</vt:lpstr>
      <vt:lpstr>R_1370_2</vt:lpstr>
      <vt:lpstr>R_1372</vt:lpstr>
      <vt:lpstr>R_1372_1</vt:lpstr>
      <vt:lpstr>R_1372_2</vt:lpstr>
      <vt:lpstr>R_1373</vt:lpstr>
      <vt:lpstr>R_1373_1</vt:lpstr>
      <vt:lpstr>R_1373_2</vt:lpstr>
      <vt:lpstr>R_1483</vt:lpstr>
      <vt:lpstr>R_1483_1</vt:lpstr>
      <vt:lpstr>R_1483_2</vt:lpstr>
      <vt:lpstr>R_1512</vt:lpstr>
      <vt:lpstr>R_1512_1</vt:lpstr>
      <vt:lpstr>R_1512_2</vt:lpstr>
      <vt:lpstr>R_1513</vt:lpstr>
      <vt:lpstr>R_1513_1</vt:lpstr>
      <vt:lpstr>R_1513_2</vt:lpstr>
      <vt:lpstr>R_1514</vt:lpstr>
      <vt:lpstr>R_1514_1</vt:lpstr>
      <vt:lpstr>R_1514_2</vt:lpstr>
      <vt:lpstr>R_1516</vt:lpstr>
      <vt:lpstr>R_1516_1</vt:lpstr>
      <vt:lpstr>R_1516_2</vt:lpstr>
      <vt:lpstr>R_1517</vt:lpstr>
      <vt:lpstr>R_1517_1</vt:lpstr>
      <vt:lpstr>R_1517_2</vt:lpstr>
      <vt:lpstr>R_1518</vt:lpstr>
      <vt:lpstr>R_1518_1</vt:lpstr>
      <vt:lpstr>R_1518_2</vt:lpstr>
      <vt:lpstr>R_1658</vt:lpstr>
      <vt:lpstr>R_1658_1</vt:lpstr>
      <vt:lpstr>R_1658_2</vt:lpstr>
      <vt:lpstr>R_1670</vt:lpstr>
      <vt:lpstr>R_1670_1</vt:lpstr>
      <vt:lpstr>R_1670_2</vt:lpstr>
      <vt:lpstr>R_1682</vt:lpstr>
      <vt:lpstr>R_1682_1</vt:lpstr>
      <vt:lpstr>R_1682_2</vt:lpstr>
      <vt:lpstr>R_17036</vt:lpstr>
      <vt:lpstr>R_17036_1</vt:lpstr>
      <vt:lpstr>R_17036_2</vt:lpstr>
      <vt:lpstr>R_17037</vt:lpstr>
      <vt:lpstr>R_17037_1</vt:lpstr>
      <vt:lpstr>R_17037_2</vt:lpstr>
      <vt:lpstr>R_17038</vt:lpstr>
      <vt:lpstr>R_17038_1</vt:lpstr>
      <vt:lpstr>R_17038_2</vt:lpstr>
      <vt:lpstr>R_17039</vt:lpstr>
      <vt:lpstr>R_17039_1</vt:lpstr>
      <vt:lpstr>R_17039_2</vt:lpstr>
      <vt:lpstr>R_17040</vt:lpstr>
      <vt:lpstr>R_17040_1</vt:lpstr>
      <vt:lpstr>R_17040_2</vt:lpstr>
      <vt:lpstr>R_17041</vt:lpstr>
      <vt:lpstr>R_17041_1</vt:lpstr>
      <vt:lpstr>R_17041_2</vt:lpstr>
      <vt:lpstr>R_17045</vt:lpstr>
      <vt:lpstr>R_17045_1</vt:lpstr>
      <vt:lpstr>R_17045_2</vt:lpstr>
      <vt:lpstr>R_17049</vt:lpstr>
      <vt:lpstr>R_17049_1</vt:lpstr>
      <vt:lpstr>R_17049_2</vt:lpstr>
      <vt:lpstr>R_17053</vt:lpstr>
      <vt:lpstr>R_17053_1</vt:lpstr>
      <vt:lpstr>R_17053_2</vt:lpstr>
      <vt:lpstr>R_17166</vt:lpstr>
      <vt:lpstr>R_17166_1</vt:lpstr>
      <vt:lpstr>R_17166_2</vt:lpstr>
      <vt:lpstr>R_17168</vt:lpstr>
      <vt:lpstr>R_17168_1</vt:lpstr>
      <vt:lpstr>R_17168_2</vt:lpstr>
      <vt:lpstr>R_17202</vt:lpstr>
      <vt:lpstr>R_17202_1</vt:lpstr>
      <vt:lpstr>R_17202_2</vt:lpstr>
      <vt:lpstr>R_17930</vt:lpstr>
      <vt:lpstr>R_17930_1</vt:lpstr>
      <vt:lpstr>R_17930_2</vt:lpstr>
      <vt:lpstr>R_17931</vt:lpstr>
      <vt:lpstr>R_17931_1</vt:lpstr>
      <vt:lpstr>R_17931_2</vt:lpstr>
      <vt:lpstr>R_17980</vt:lpstr>
      <vt:lpstr>R_17980_1</vt:lpstr>
      <vt:lpstr>R_17980_2</vt:lpstr>
      <vt:lpstr>R_18011</vt:lpstr>
      <vt:lpstr>R_18011_1</vt:lpstr>
      <vt:lpstr>R_18011_2</vt:lpstr>
      <vt:lpstr>R_18012</vt:lpstr>
      <vt:lpstr>R_18012_1</vt:lpstr>
      <vt:lpstr>R_18012_2</vt:lpstr>
      <vt:lpstr>R_18013</vt:lpstr>
      <vt:lpstr>R_18013_1</vt:lpstr>
      <vt:lpstr>R_18013_2</vt:lpstr>
      <vt:lpstr>R_18014</vt:lpstr>
      <vt:lpstr>R_18014_1</vt:lpstr>
      <vt:lpstr>R_18014_2</vt:lpstr>
      <vt:lpstr>R_18015</vt:lpstr>
      <vt:lpstr>R_18015_1</vt:lpstr>
      <vt:lpstr>R_18015_2</vt:lpstr>
      <vt:lpstr>R_18017</vt:lpstr>
      <vt:lpstr>R_18017_1</vt:lpstr>
      <vt:lpstr>R_18017_2</vt:lpstr>
      <vt:lpstr>R_1878</vt:lpstr>
      <vt:lpstr>R_1878_1</vt:lpstr>
      <vt:lpstr>R_1878_2</vt:lpstr>
      <vt:lpstr>R_208</vt:lpstr>
      <vt:lpstr>R_208_1</vt:lpstr>
      <vt:lpstr>R_208_2</vt:lpstr>
      <vt:lpstr>R_2082</vt:lpstr>
      <vt:lpstr>R_2082_1</vt:lpstr>
      <vt:lpstr>R_2082_2</vt:lpstr>
      <vt:lpstr>R_2097</vt:lpstr>
      <vt:lpstr>R_2097_1</vt:lpstr>
      <vt:lpstr>R_2097_2</vt:lpstr>
      <vt:lpstr>R_2098</vt:lpstr>
      <vt:lpstr>R_2098_1</vt:lpstr>
      <vt:lpstr>R_2098_2</vt:lpstr>
      <vt:lpstr>R_21</vt:lpstr>
      <vt:lpstr>R_21_1</vt:lpstr>
      <vt:lpstr>R_21_2</vt:lpstr>
      <vt:lpstr>R_2109</vt:lpstr>
      <vt:lpstr>R_2109_1</vt:lpstr>
      <vt:lpstr>R_2109_2</vt:lpstr>
      <vt:lpstr>R_2111</vt:lpstr>
      <vt:lpstr>R_2111_1</vt:lpstr>
      <vt:lpstr>R_2111_2</vt:lpstr>
      <vt:lpstr>R_2113</vt:lpstr>
      <vt:lpstr>R_2113_1</vt:lpstr>
      <vt:lpstr>R_2113_2</vt:lpstr>
      <vt:lpstr>R_2119</vt:lpstr>
      <vt:lpstr>R_2119_1</vt:lpstr>
      <vt:lpstr>R_2119_2</vt:lpstr>
      <vt:lpstr>R_212</vt:lpstr>
      <vt:lpstr>R_212_1</vt:lpstr>
      <vt:lpstr>R_212_2</vt:lpstr>
      <vt:lpstr>R_2122</vt:lpstr>
      <vt:lpstr>R_2122_1</vt:lpstr>
      <vt:lpstr>R_2122_2</vt:lpstr>
      <vt:lpstr>R_214</vt:lpstr>
      <vt:lpstr>R_214_1</vt:lpstr>
      <vt:lpstr>R_214_2</vt:lpstr>
      <vt:lpstr>R_218</vt:lpstr>
      <vt:lpstr>R_218_1</vt:lpstr>
      <vt:lpstr>R_218_2</vt:lpstr>
      <vt:lpstr>R_220</vt:lpstr>
      <vt:lpstr>R_220_1</vt:lpstr>
      <vt:lpstr>R_220_2</vt:lpstr>
      <vt:lpstr>R_235</vt:lpstr>
      <vt:lpstr>R_235_1</vt:lpstr>
      <vt:lpstr>R_235_2</vt:lpstr>
      <vt:lpstr>R_237</vt:lpstr>
      <vt:lpstr>R_237_1</vt:lpstr>
      <vt:lpstr>R_237_2</vt:lpstr>
      <vt:lpstr>R_239</vt:lpstr>
      <vt:lpstr>R_239_1</vt:lpstr>
      <vt:lpstr>R_239_2</vt:lpstr>
      <vt:lpstr>R_256</vt:lpstr>
      <vt:lpstr>R_256_1</vt:lpstr>
      <vt:lpstr>R_256_2</vt:lpstr>
      <vt:lpstr>R_257</vt:lpstr>
      <vt:lpstr>R_257_1</vt:lpstr>
      <vt:lpstr>R_257_2</vt:lpstr>
      <vt:lpstr>R_258</vt:lpstr>
      <vt:lpstr>R_258_1</vt:lpstr>
      <vt:lpstr>R_258_2</vt:lpstr>
      <vt:lpstr>R_266</vt:lpstr>
      <vt:lpstr>R_266_1</vt:lpstr>
      <vt:lpstr>R_266_2</vt:lpstr>
      <vt:lpstr>R_288</vt:lpstr>
      <vt:lpstr>R_288_1</vt:lpstr>
      <vt:lpstr>R_288_2</vt:lpstr>
      <vt:lpstr>R_300</vt:lpstr>
      <vt:lpstr>R_300_1</vt:lpstr>
      <vt:lpstr>R_300_2</vt:lpstr>
      <vt:lpstr>R_302</vt:lpstr>
      <vt:lpstr>R_302_1</vt:lpstr>
      <vt:lpstr>R_302_2</vt:lpstr>
      <vt:lpstr>R_3028</vt:lpstr>
      <vt:lpstr>R_3028_1</vt:lpstr>
      <vt:lpstr>R_3028_2</vt:lpstr>
      <vt:lpstr>R_3032</vt:lpstr>
      <vt:lpstr>R_3032_1</vt:lpstr>
      <vt:lpstr>R_3032_2</vt:lpstr>
      <vt:lpstr>R_308</vt:lpstr>
      <vt:lpstr>R_308_1</vt:lpstr>
      <vt:lpstr>R_308_2</vt:lpstr>
      <vt:lpstr>R_334</vt:lpstr>
      <vt:lpstr>R_334_1</vt:lpstr>
      <vt:lpstr>R_334_2</vt:lpstr>
      <vt:lpstr>R_339</vt:lpstr>
      <vt:lpstr>R_339_1</vt:lpstr>
      <vt:lpstr>R_339_2</vt:lpstr>
      <vt:lpstr>R_342</vt:lpstr>
      <vt:lpstr>R_342_1</vt:lpstr>
      <vt:lpstr>R_342_2</vt:lpstr>
      <vt:lpstr>R_374</vt:lpstr>
      <vt:lpstr>R_374_1</vt:lpstr>
      <vt:lpstr>R_374_2</vt:lpstr>
      <vt:lpstr>R_390</vt:lpstr>
      <vt:lpstr>R_390_1</vt:lpstr>
      <vt:lpstr>R_390_2</vt:lpstr>
      <vt:lpstr>R_391</vt:lpstr>
      <vt:lpstr>R_391_1</vt:lpstr>
      <vt:lpstr>R_391_2</vt:lpstr>
      <vt:lpstr>R_398</vt:lpstr>
      <vt:lpstr>R_398_1</vt:lpstr>
      <vt:lpstr>R_398_2</vt:lpstr>
      <vt:lpstr>R_403</vt:lpstr>
      <vt:lpstr>R_403_1</vt:lpstr>
      <vt:lpstr>R_403_2</vt:lpstr>
      <vt:lpstr>R_407</vt:lpstr>
      <vt:lpstr>R_407_1</vt:lpstr>
      <vt:lpstr>R_407_2</vt:lpstr>
      <vt:lpstr>R_408</vt:lpstr>
      <vt:lpstr>R_408_1</vt:lpstr>
      <vt:lpstr>R_408_2</vt:lpstr>
      <vt:lpstr>R_409</vt:lpstr>
      <vt:lpstr>R_409_1</vt:lpstr>
      <vt:lpstr>R_409_2</vt:lpstr>
      <vt:lpstr>R_410</vt:lpstr>
      <vt:lpstr>R_410_1</vt:lpstr>
      <vt:lpstr>R_410_2</vt:lpstr>
      <vt:lpstr>R_411</vt:lpstr>
      <vt:lpstr>R_411_1</vt:lpstr>
      <vt:lpstr>R_411_2</vt:lpstr>
      <vt:lpstr>R_413</vt:lpstr>
      <vt:lpstr>R_413_1</vt:lpstr>
      <vt:lpstr>R_413_2</vt:lpstr>
      <vt:lpstr>R_416</vt:lpstr>
      <vt:lpstr>R_416_1</vt:lpstr>
      <vt:lpstr>R_416_2</vt:lpstr>
      <vt:lpstr>R_423</vt:lpstr>
      <vt:lpstr>R_423_1</vt:lpstr>
      <vt:lpstr>R_423_2</vt:lpstr>
      <vt:lpstr>R_426</vt:lpstr>
      <vt:lpstr>R_426_1</vt:lpstr>
      <vt:lpstr>R_426_2</vt:lpstr>
      <vt:lpstr>R_429</vt:lpstr>
      <vt:lpstr>R_429_1</vt:lpstr>
      <vt:lpstr>R_429_2</vt:lpstr>
      <vt:lpstr>R_430</vt:lpstr>
      <vt:lpstr>R_430_1</vt:lpstr>
      <vt:lpstr>R_430_2</vt:lpstr>
      <vt:lpstr>R_431</vt:lpstr>
      <vt:lpstr>R_431_1</vt:lpstr>
      <vt:lpstr>R_431_2</vt:lpstr>
      <vt:lpstr>R_432</vt:lpstr>
      <vt:lpstr>R_432_1</vt:lpstr>
      <vt:lpstr>R_432_2</vt:lpstr>
      <vt:lpstr>R_433</vt:lpstr>
      <vt:lpstr>R_433_1</vt:lpstr>
      <vt:lpstr>R_433_2</vt:lpstr>
      <vt:lpstr>R_434</vt:lpstr>
      <vt:lpstr>R_434_1</vt:lpstr>
      <vt:lpstr>R_434_2</vt:lpstr>
      <vt:lpstr>R_436</vt:lpstr>
      <vt:lpstr>R_436_1</vt:lpstr>
      <vt:lpstr>R_436_2</vt:lpstr>
      <vt:lpstr>R_437</vt:lpstr>
      <vt:lpstr>R_437_1</vt:lpstr>
      <vt:lpstr>R_437_2</vt:lpstr>
      <vt:lpstr>R_438</vt:lpstr>
      <vt:lpstr>R_438_1</vt:lpstr>
      <vt:lpstr>R_438_2</vt:lpstr>
      <vt:lpstr>R_5501</vt:lpstr>
      <vt:lpstr>R_5501_1</vt:lpstr>
      <vt:lpstr>R_5501_2</vt:lpstr>
      <vt:lpstr>R_5503</vt:lpstr>
      <vt:lpstr>R_5503_1</vt:lpstr>
      <vt:lpstr>R_5503_2</vt:lpstr>
      <vt:lpstr>R_554</vt:lpstr>
      <vt:lpstr>R_554_1</vt:lpstr>
      <vt:lpstr>R_554_2</vt:lpstr>
      <vt:lpstr>R_578</vt:lpstr>
      <vt:lpstr>R_578_1</vt:lpstr>
      <vt:lpstr>R_578_2</vt:lpstr>
      <vt:lpstr>R_584</vt:lpstr>
      <vt:lpstr>R_584_1</vt:lpstr>
      <vt:lpstr>R_584_2</vt:lpstr>
      <vt:lpstr>R_585</vt:lpstr>
      <vt:lpstr>R_585_1</vt:lpstr>
      <vt:lpstr>R_585_2</vt:lpstr>
      <vt:lpstr>R_587</vt:lpstr>
      <vt:lpstr>R_587_1</vt:lpstr>
      <vt:lpstr>R_587_2</vt:lpstr>
      <vt:lpstr>R_5965</vt:lpstr>
      <vt:lpstr>R_5965_1</vt:lpstr>
      <vt:lpstr>R_5965_2</vt:lpstr>
      <vt:lpstr>R_602</vt:lpstr>
      <vt:lpstr>R_602_1</vt:lpstr>
      <vt:lpstr>R_602_2</vt:lpstr>
      <vt:lpstr>R_608</vt:lpstr>
      <vt:lpstr>R_608_1</vt:lpstr>
      <vt:lpstr>R_608_2</vt:lpstr>
      <vt:lpstr>R_612</vt:lpstr>
      <vt:lpstr>R_612_1</vt:lpstr>
      <vt:lpstr>R_612_2</vt:lpstr>
      <vt:lpstr>R_625</vt:lpstr>
      <vt:lpstr>R_625_1</vt:lpstr>
      <vt:lpstr>R_625_2</vt:lpstr>
      <vt:lpstr>R_640</vt:lpstr>
      <vt:lpstr>R_640_1</vt:lpstr>
      <vt:lpstr>R_640_2</vt:lpstr>
      <vt:lpstr>R_646</vt:lpstr>
      <vt:lpstr>R_646_1</vt:lpstr>
      <vt:lpstr>R_646_2</vt:lpstr>
      <vt:lpstr>R_652</vt:lpstr>
      <vt:lpstr>R_652_1</vt:lpstr>
      <vt:lpstr>R_652_2</vt:lpstr>
      <vt:lpstr>R_658</vt:lpstr>
      <vt:lpstr>R_658_1</vt:lpstr>
      <vt:lpstr>R_658_2</vt:lpstr>
      <vt:lpstr>R_662</vt:lpstr>
      <vt:lpstr>R_662_1</vt:lpstr>
      <vt:lpstr>R_662_2</vt:lpstr>
      <vt:lpstr>R_663</vt:lpstr>
      <vt:lpstr>R_663_1</vt:lpstr>
      <vt:lpstr>R_663_2</vt:lpstr>
      <vt:lpstr>R_664</vt:lpstr>
      <vt:lpstr>R_664_1</vt:lpstr>
      <vt:lpstr>R_664_2</vt:lpstr>
      <vt:lpstr>R_668</vt:lpstr>
      <vt:lpstr>R_668_1</vt:lpstr>
      <vt:lpstr>R_668_2</vt:lpstr>
      <vt:lpstr>R_672</vt:lpstr>
      <vt:lpstr>R_672_1</vt:lpstr>
      <vt:lpstr>R_672_2</vt:lpstr>
      <vt:lpstr>R_678</vt:lpstr>
      <vt:lpstr>R_678_1</vt:lpstr>
      <vt:lpstr>R_678_2</vt:lpstr>
      <vt:lpstr>R_702</vt:lpstr>
      <vt:lpstr>R_702_1</vt:lpstr>
      <vt:lpstr>R_702_2</vt:lpstr>
      <vt:lpstr>R_709</vt:lpstr>
      <vt:lpstr>R_709_1</vt:lpstr>
      <vt:lpstr>R_709_2</vt:lpstr>
      <vt:lpstr>R_7208</vt:lpstr>
      <vt:lpstr>R_7208_1</vt:lpstr>
      <vt:lpstr>R_7208_2</vt:lpstr>
      <vt:lpstr>R_7209</vt:lpstr>
      <vt:lpstr>R_7209_1</vt:lpstr>
      <vt:lpstr>R_7209_2</vt:lpstr>
      <vt:lpstr>R_7210</vt:lpstr>
      <vt:lpstr>R_7210_1</vt:lpstr>
      <vt:lpstr>R_7210_2</vt:lpstr>
      <vt:lpstr>R_7211</vt:lpstr>
      <vt:lpstr>R_7211_1</vt:lpstr>
      <vt:lpstr>R_7211_2</vt:lpstr>
      <vt:lpstr>R_7212</vt:lpstr>
      <vt:lpstr>R_7212_1</vt:lpstr>
      <vt:lpstr>R_7212_2</vt:lpstr>
      <vt:lpstr>R_722</vt:lpstr>
      <vt:lpstr>R_722_1</vt:lpstr>
      <vt:lpstr>R_722_2</vt:lpstr>
      <vt:lpstr>R_723</vt:lpstr>
      <vt:lpstr>R_723_1</vt:lpstr>
      <vt:lpstr>R_723_2</vt:lpstr>
      <vt:lpstr>R_728</vt:lpstr>
      <vt:lpstr>R_728_1</vt:lpstr>
      <vt:lpstr>R_728_2</vt:lpstr>
      <vt:lpstr>R_74</vt:lpstr>
      <vt:lpstr>R_74_1</vt:lpstr>
      <vt:lpstr>R_74_2</vt:lpstr>
      <vt:lpstr>R_750</vt:lpstr>
      <vt:lpstr>R_750_1</vt:lpstr>
      <vt:lpstr>R_750_2</vt:lpstr>
      <vt:lpstr>R_752</vt:lpstr>
      <vt:lpstr>R_752_1</vt:lpstr>
      <vt:lpstr>R_752_2</vt:lpstr>
      <vt:lpstr>R_774</vt:lpstr>
      <vt:lpstr>R_774_1</vt:lpstr>
      <vt:lpstr>R_774_2</vt:lpstr>
      <vt:lpstr>R_778</vt:lpstr>
      <vt:lpstr>R_778_1</vt:lpstr>
      <vt:lpstr>R_778_2</vt:lpstr>
      <vt:lpstr>R_820</vt:lpstr>
      <vt:lpstr>R_820_1</vt:lpstr>
      <vt:lpstr>R_820_2</vt:lpstr>
      <vt:lpstr>R_822</vt:lpstr>
      <vt:lpstr>R_822_1</vt:lpstr>
      <vt:lpstr>R_822_2</vt:lpstr>
      <vt:lpstr>R_824</vt:lpstr>
      <vt:lpstr>R_824_1</vt:lpstr>
      <vt:lpstr>R_824_2</vt:lpstr>
      <vt:lpstr>R_826</vt:lpstr>
      <vt:lpstr>R_826_1</vt:lpstr>
      <vt:lpstr>R_826_2</vt:lpstr>
      <vt:lpstr>R_835</vt:lpstr>
      <vt:lpstr>R_835_1</vt:lpstr>
      <vt:lpstr>R_835_2</vt:lpstr>
      <vt:lpstr>R_836</vt:lpstr>
      <vt:lpstr>R_836_1</vt:lpstr>
      <vt:lpstr>R_836_2</vt:lpstr>
      <vt:lpstr>R_847</vt:lpstr>
      <vt:lpstr>R_847_1</vt:lpstr>
      <vt:lpstr>R_847_2</vt:lpstr>
      <vt:lpstr>R_851</vt:lpstr>
      <vt:lpstr>R_851_1</vt:lpstr>
      <vt:lpstr>R_851_2</vt:lpstr>
      <vt:lpstr>R_89</vt:lpstr>
      <vt:lpstr>R_89_1</vt:lpstr>
      <vt:lpstr>R_89_2</vt:lpstr>
      <vt:lpstr>R_98</vt:lpstr>
      <vt:lpstr>R_98_1</vt:lpstr>
      <vt:lpstr>R_98_2</vt:lpstr>
      <vt:lpstr>R_9807</vt:lpstr>
      <vt:lpstr>R_9807_1</vt:lpstr>
      <vt:lpstr>R_9807_2</vt:lpstr>
      <vt:lpstr>R_9809</vt:lpstr>
      <vt:lpstr>R_9809_1</vt:lpstr>
      <vt:lpstr>R_9809_2</vt:lpstr>
      <vt:lpstr>R_9813</vt:lpstr>
      <vt:lpstr>R_9813_1</vt:lpstr>
      <vt:lpstr>R_9813_2</vt:lpstr>
      <vt:lpstr>R_9814</vt:lpstr>
      <vt:lpstr>R_9814_1</vt:lpstr>
      <vt:lpstr>R_9814_2</vt:lpstr>
      <vt:lpstr>R_9815</vt:lpstr>
      <vt:lpstr>R_9815_1</vt:lpstr>
      <vt:lpstr>R_9815_2</vt:lpstr>
      <vt:lpstr>R_9816</vt:lpstr>
      <vt:lpstr>R_9816_1</vt:lpstr>
      <vt:lpstr>R_9816_2</vt:lpstr>
      <vt:lpstr>R_9822</vt:lpstr>
      <vt:lpstr>R_9822_1</vt:lpstr>
      <vt:lpstr>R_9822_2</vt:lpstr>
      <vt:lpstr>R_9823</vt:lpstr>
      <vt:lpstr>R_9823_1</vt:lpstr>
      <vt:lpstr>R_9823_2</vt:lpstr>
      <vt:lpstr>R_9832</vt:lpstr>
      <vt:lpstr>R_9832_1</vt:lpstr>
      <vt:lpstr>R_9832_2</vt:lpstr>
      <vt:lpstr>R_9833</vt:lpstr>
      <vt:lpstr>R_9833_1</vt:lpstr>
      <vt:lpstr>R_9833_2</vt:lpstr>
      <vt:lpstr>R_9873</vt:lpstr>
      <vt:lpstr>R_9873_1</vt:lpstr>
      <vt:lpstr>R_9873_2</vt:lpstr>
      <vt:lpstr>Raisonsoc</vt:lpstr>
      <vt:lpstr>UB_N</vt:lpstr>
      <vt:lpstr>UB_N1</vt:lpstr>
      <vt:lpstr>UB_N2</vt:lpstr>
      <vt:lpstr>UT_N</vt:lpstr>
      <vt:lpstr>UT_N1</vt:lpstr>
      <vt:lpstr>UT_N2</vt:lpstr>
      <vt:lpstr>VilleAdht</vt:lpstr>
      <vt:lpstr>ZD_N</vt:lpstr>
      <vt:lpstr>ZD_N1</vt:lpstr>
      <vt:lpstr>ZD_N2</vt:lpstr>
      <vt:lpstr>ZE_N</vt:lpstr>
      <vt:lpstr>ZE_N1</vt:lpstr>
      <vt:lpstr>ZE_N2</vt:lpstr>
      <vt:lpstr>ZF_2151_N</vt:lpstr>
      <vt:lpstr>ZF_2151_N1</vt:lpstr>
      <vt:lpstr>ZF_2151_N2</vt:lpstr>
      <vt:lpstr>ZF_N</vt:lpstr>
      <vt:lpstr>ZG_N</vt:lpstr>
      <vt:lpstr>ZG_N1</vt:lpstr>
      <vt:lpstr>ZG_N2</vt:lpstr>
      <vt:lpstr>ZH_N</vt:lpstr>
      <vt:lpstr>ZH_N1</vt:lpstr>
      <vt:lpstr>ZH_N2</vt:lpstr>
      <vt:lpstr>ZI_N</vt:lpstr>
      <vt:lpstr>ZI_N1</vt:lpstr>
      <vt:lpstr>ZI_N2</vt:lpstr>
      <vt:lpstr>ZJ_N</vt:lpstr>
      <vt:lpstr>ZJ_N1</vt:lpstr>
      <vt:lpstr>ZJ_N2</vt:lpstr>
      <vt:lpstr>ZK_N</vt:lpstr>
      <vt:lpstr>ZK_N1</vt:lpstr>
      <vt:lpstr>ZK_N2</vt:lpstr>
      <vt:lpstr>ZL_N</vt:lpstr>
      <vt:lpstr>ZL_N1</vt:lpstr>
      <vt:lpstr>ZL_N2</vt:lpstr>
      <vt:lpstr>ZN_N1</vt:lpstr>
      <vt:lpstr>ZO_N</vt:lpstr>
      <vt:lpstr>ZO_N1</vt:lpstr>
      <vt:lpstr>ZO_N2</vt:lpstr>
      <vt:lpstr>'A_Analyse des Charges NEX'!Zone_d_impression</vt:lpstr>
      <vt:lpstr>'A_Baromètre exploitation NEX'!Zone_d_impression</vt:lpstr>
      <vt:lpstr>'A_Bilan NEX'!Zone_d_impression</vt:lpstr>
      <vt:lpstr>'A_Caractéristiques de votre ex'!Zone_d_impression</vt:lpstr>
      <vt:lpstr>'A_Commentaire p1 NEX'!Zone_d_impression</vt:lpstr>
      <vt:lpstr>'A_Commentaire p2 NEX'!Zone_d_impression</vt:lpstr>
      <vt:lpstr>'A_Commentaire p3'!Zone_d_impression</vt:lpstr>
      <vt:lpstr>'A_Commentaire p4'!Zone_d_impression</vt:lpstr>
      <vt:lpstr>'A_Compte Résultat &amp; SIG NEX '!Zone_d_impression</vt:lpstr>
      <vt:lpstr>'A_Evolution chges'!Zone_d_impression</vt:lpstr>
      <vt:lpstr>'A_Page garde'!Zone_d_impression</vt:lpstr>
      <vt:lpstr>'A_Points forts faibles NEX'!Zone_d_impression</vt:lpstr>
      <vt:lpstr>A_Présentation!Zone_d_impression</vt:lpstr>
      <vt:lpstr>'A_Ratios NEX'!Zone_d_impression</vt:lpstr>
      <vt:lpstr>A_Rendts!Zone_d_impression</vt:lpstr>
      <vt:lpstr>'A_Résult à Trésor'!Zone_d_impression</vt:lpstr>
      <vt:lpstr>'A_Sommaire NEX'!Zone_d_impression</vt:lpstr>
      <vt:lpstr>'A_Variat fds de R'!Zone_d_impression</vt:lpstr>
      <vt:lpstr>'Analyse des Charges NEX'!Zone_d_impression</vt:lpstr>
      <vt:lpstr>'Baromètre exploitation NEX'!Zone_d_impression</vt:lpstr>
      <vt:lpstr>'Bilan 1EX'!Zone_d_impression</vt:lpstr>
      <vt:lpstr>'Bilan 2EX'!Zone_d_impression</vt:lpstr>
      <vt:lpstr>'Bilan NEX'!Zone_d_impression</vt:lpstr>
      <vt:lpstr>'Caractéristiques de votre explo'!Zone_d_impression</vt:lpstr>
      <vt:lpstr>'Commentaire p1 NEX'!Zone_d_impression</vt:lpstr>
      <vt:lpstr>'Commentaire p2 NEX'!Zone_d_impression</vt:lpstr>
      <vt:lpstr>'Commentaire p3'!Zone_d_impression</vt:lpstr>
      <vt:lpstr>'Commentaire p4'!Zone_d_impression</vt:lpstr>
      <vt:lpstr>'Commentairep1 1EX'!Zone_d_impression</vt:lpstr>
      <vt:lpstr>'Commentairep2 1EX'!Zone_d_impression</vt:lpstr>
      <vt:lpstr>'Compte Résultat &amp; SIG 1EX'!Zone_d_impression</vt:lpstr>
      <vt:lpstr>'Compte Résultat &amp; SIG 2EX'!Zone_d_impression</vt:lpstr>
      <vt:lpstr>'Compte Résultat &amp; SIG NEX'!Zone_d_impression</vt:lpstr>
      <vt:lpstr>'Evolution chges'!Zone_d_impression</vt:lpstr>
      <vt:lpstr>Exploit.Moyenne!Zone_d_impression</vt:lpstr>
      <vt:lpstr>'Page garde'!Zone_d_impression</vt:lpstr>
      <vt:lpstr>'Points forts faibles 1EX'!Zone_d_impression</vt:lpstr>
      <vt:lpstr>'Points forts faibles NEX'!Zone_d_impression</vt:lpstr>
      <vt:lpstr>Présentation!Zone_d_impression</vt:lpstr>
      <vt:lpstr>'Prévention 1'!Zone_d_impression</vt:lpstr>
      <vt:lpstr>'Prévention 2'!Zone_d_impression</vt:lpstr>
      <vt:lpstr>'Ratios 1EX'!Zone_d_impression</vt:lpstr>
      <vt:lpstr>'Ratios 2EX'!Zone_d_impression</vt:lpstr>
      <vt:lpstr>'Ratios NEX'!Zone_d_impression</vt:lpstr>
      <vt:lpstr>Rendts!Zone_d_impression</vt:lpstr>
      <vt:lpstr>'Rendts (3)'!Zone_d_impression</vt:lpstr>
      <vt:lpstr>'Résult à Trésor'!Zone_d_impression</vt:lpstr>
      <vt:lpstr>'Sommaire 1EX'!Zone_d_impression</vt:lpstr>
      <vt:lpstr>'Sommaire NEX'!Zone_d_impression</vt:lpstr>
      <vt:lpstr>'Variat fds de R'!Zone_d_impression</vt:lpstr>
      <vt:lpstr>ZQ_N</vt:lpstr>
      <vt:lpstr>ZQ_N1</vt:lpstr>
      <vt:lpstr>ZQ_N2</vt:lpstr>
      <vt:lpstr>ZQ_N2cor</vt:lpstr>
      <vt:lpstr>Données!ZR_9903</vt:lpstr>
      <vt:lpstr>Données!ZR_9903_1</vt:lpstr>
    </vt:vector>
  </TitlesOfParts>
  <Company>Cegid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Vidal Christophe</dc:creator>
  <cp:lastModifiedBy>Libre Service</cp:lastModifiedBy>
  <cp:lastPrinted>2017-11-15T10:25:11Z</cp:lastPrinted>
  <dcterms:created xsi:type="dcterms:W3CDTF">1999-05-12T14:03:31Z</dcterms:created>
  <dcterms:modified xsi:type="dcterms:W3CDTF">2017-12-18T15:30:51Z</dcterms:modified>
</cp:coreProperties>
</file>

<file path=userCustomization/customUI.xml><?xml version="1.0" encoding="utf-8"?>
<mso:customUI xmlns:doc="http://schemas.microsoft.com/office/2006/01/customui/currentDocument" xmlns:mso="http://schemas.microsoft.com/office/2006/01/customui">
  <mso:ribbon>
    <mso:qat>
      <mso:documentControls>
        <mso:button idQ="doc:ThisWorkbook.Verif_1" visible="true" label="ThisWorkbook.Verif" onAction="ThisWorkbook.Verif" imageMso="HappyFace"/>
      </mso:documentControls>
    </mso:qat>
  </mso:ribbon>
</mso:customUI>
</file>