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7.xml" ContentType="application/vnd.ms-office.activeX+xml"/>
  <Override PartName="/xl/activeX/activeX17.bin" ContentType="application/vnd.ms-office.activeX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xim\Desktop\"/>
    </mc:Choice>
  </mc:AlternateContent>
  <xr:revisionPtr revIDLastSave="0" documentId="13_ncr:1_{4A951CCA-A595-49F4-9D6C-391DCB474F63}" xr6:coauthVersionLast="47" xr6:coauthVersionMax="47" xr10:uidLastSave="{00000000-0000-0000-0000-000000000000}"/>
  <bookViews>
    <workbookView xWindow="-120" yWindow="-120" windowWidth="29040" windowHeight="15840" tabRatio="802" firstSheet="2" activeTab="2" xr2:uid="{00000000-000D-0000-FFFF-FFFF00000000}"/>
  </bookViews>
  <sheets>
    <sheet name="DP" sheetId="26" state="hidden" r:id="rId1"/>
    <sheet name="DT" sheetId="27" state="hidden" r:id="rId2"/>
    <sheet name="Infos générales" sheetId="23" r:id="rId3"/>
    <sheet name="Classement pour tableau final" sheetId="3" r:id="rId4"/>
  </sheets>
  <definedNames>
    <definedName name="_xlnm._FilterDatabase" localSheetId="0" hidden="1">DP!$I$9:$M$9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N3" i="27" l="1"/>
  <c r="AN4" i="27"/>
  <c r="AN5" i="27"/>
  <c r="AN6" i="27"/>
  <c r="AN7" i="27"/>
  <c r="AN8" i="27"/>
  <c r="AN9" i="27"/>
  <c r="AN10" i="27"/>
  <c r="AN11" i="27"/>
  <c r="AN2" i="27"/>
  <c r="AN15" i="27"/>
  <c r="AN16" i="27"/>
  <c r="AN17" i="27"/>
  <c r="AN18" i="27"/>
  <c r="AN19" i="27"/>
  <c r="AN20" i="27"/>
  <c r="AN21" i="27"/>
  <c r="AN22" i="27"/>
  <c r="AN23" i="27"/>
  <c r="AN14" i="27"/>
  <c r="AN27" i="27"/>
  <c r="AN28" i="27"/>
  <c r="AN29" i="27"/>
  <c r="AN30" i="27"/>
  <c r="AN31" i="27"/>
  <c r="AN32" i="27"/>
  <c r="AN33" i="27"/>
  <c r="AN34" i="27"/>
  <c r="AN35" i="27"/>
  <c r="AN26" i="27"/>
  <c r="AN39" i="27"/>
  <c r="AN40" i="27"/>
  <c r="AN41" i="27"/>
  <c r="AN42" i="27"/>
  <c r="AN43" i="27"/>
  <c r="AN44" i="27"/>
  <c r="AN45" i="27"/>
  <c r="AN46" i="27"/>
  <c r="AN47" i="27"/>
  <c r="AN38" i="27"/>
  <c r="AN51" i="27"/>
  <c r="AN52" i="27"/>
  <c r="AN53" i="27"/>
  <c r="AN54" i="27"/>
  <c r="AN55" i="27"/>
  <c r="AN56" i="27"/>
  <c r="AN57" i="27"/>
  <c r="AN58" i="27"/>
  <c r="AN59" i="27"/>
  <c r="AN50" i="27"/>
  <c r="AN63" i="27"/>
  <c r="AN64" i="27"/>
  <c r="AN65" i="27"/>
  <c r="AN66" i="27"/>
  <c r="AN67" i="27"/>
  <c r="AN68" i="27"/>
  <c r="AN69" i="27"/>
  <c r="AN70" i="27"/>
  <c r="AN71" i="27"/>
  <c r="AN62" i="27"/>
  <c r="AN75" i="27"/>
  <c r="AN76" i="27"/>
  <c r="AN77" i="27"/>
  <c r="AN78" i="27"/>
  <c r="AN79" i="27"/>
  <c r="AN80" i="27"/>
  <c r="AN81" i="27"/>
  <c r="AN82" i="27"/>
  <c r="AN83" i="27"/>
  <c r="AN87" i="27"/>
  <c r="AN88" i="27"/>
  <c r="AN89" i="27"/>
  <c r="AN90" i="27"/>
  <c r="AN91" i="27"/>
  <c r="AN92" i="27"/>
  <c r="AN93" i="27"/>
  <c r="AN94" i="27"/>
  <c r="AN95" i="27"/>
  <c r="AN86" i="27"/>
  <c r="AJ133" i="27" l="1"/>
  <c r="AJ132" i="27"/>
  <c r="AJ134" i="27" l="1"/>
  <c r="AJ135" i="27" l="1"/>
  <c r="AJ136" i="27" l="1"/>
  <c r="AJ137" i="27" l="1"/>
  <c r="AJ138" i="27" l="1"/>
  <c r="AJ139" i="27" l="1"/>
  <c r="C2" i="23"/>
  <c r="AJ140" i="27" l="1"/>
  <c r="AJ141" i="27" l="1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AJ142" i="27" l="1"/>
  <c r="AJ143" i="27" l="1"/>
  <c r="AJ144" i="27" l="1"/>
  <c r="AJ145" i="27" l="1"/>
  <c r="AJ146" i="27" l="1"/>
  <c r="AJ147" i="27" l="1"/>
  <c r="AJ148" i="27" l="1"/>
  <c r="AJ149" i="27" l="1"/>
  <c r="F23" i="26"/>
  <c r="F27" i="26"/>
  <c r="F28" i="26"/>
  <c r="F29" i="26"/>
  <c r="F30" i="26"/>
  <c r="F31" i="26"/>
  <c r="F32" i="26"/>
  <c r="F33" i="26"/>
  <c r="F34" i="26"/>
  <c r="F35" i="26"/>
  <c r="F36" i="26"/>
  <c r="F37" i="26"/>
  <c r="F38" i="26"/>
  <c r="F39" i="26"/>
  <c r="F40" i="26"/>
  <c r="F41" i="26"/>
  <c r="F42" i="26"/>
  <c r="F43" i="26"/>
  <c r="F44" i="26"/>
  <c r="F45" i="26"/>
  <c r="F46" i="26"/>
  <c r="F47" i="26"/>
  <c r="F48" i="26"/>
  <c r="F49" i="26"/>
  <c r="F50" i="26"/>
  <c r="F51" i="26"/>
  <c r="F52" i="26"/>
  <c r="F53" i="26"/>
  <c r="F54" i="26"/>
  <c r="F55" i="26"/>
  <c r="F56" i="26"/>
  <c r="F57" i="26"/>
  <c r="F58" i="26"/>
  <c r="F59" i="26"/>
  <c r="F60" i="26"/>
  <c r="F61" i="26"/>
  <c r="F62" i="26"/>
  <c r="F63" i="26"/>
  <c r="F64" i="26"/>
  <c r="F65" i="26"/>
  <c r="F66" i="26"/>
  <c r="F67" i="26"/>
  <c r="F68" i="26"/>
  <c r="F69" i="26"/>
  <c r="F70" i="26"/>
  <c r="F71" i="26"/>
  <c r="F72" i="26"/>
  <c r="F73" i="26"/>
  <c r="F74" i="26"/>
  <c r="F75" i="26"/>
  <c r="F76" i="26"/>
  <c r="F77" i="26"/>
  <c r="F78" i="26"/>
  <c r="F79" i="26"/>
  <c r="F80" i="26"/>
  <c r="F81" i="26"/>
  <c r="F82" i="26"/>
  <c r="F83" i="26"/>
  <c r="F84" i="26"/>
  <c r="F85" i="26"/>
  <c r="F86" i="26"/>
  <c r="F87" i="26"/>
  <c r="F88" i="26"/>
  <c r="F89" i="26"/>
  <c r="F90" i="26"/>
  <c r="F91" i="26"/>
  <c r="F92" i="26"/>
  <c r="F93" i="26"/>
  <c r="F94" i="26"/>
  <c r="F95" i="26"/>
  <c r="F96" i="26"/>
  <c r="F97" i="26"/>
  <c r="F98" i="26"/>
  <c r="F99" i="26"/>
  <c r="F100" i="26"/>
  <c r="F101" i="26"/>
  <c r="F102" i="26"/>
  <c r="F103" i="26"/>
  <c r="F104" i="26"/>
  <c r="F105" i="26"/>
  <c r="F106" i="26"/>
  <c r="F107" i="26"/>
  <c r="F108" i="26"/>
  <c r="F109" i="26"/>
  <c r="F110" i="26"/>
  <c r="F111" i="26"/>
  <c r="F112" i="26"/>
  <c r="F113" i="26"/>
  <c r="F114" i="26"/>
  <c r="F115" i="26"/>
  <c r="F116" i="26"/>
  <c r="F117" i="26"/>
  <c r="F118" i="26"/>
  <c r="F119" i="26"/>
  <c r="F120" i="26"/>
  <c r="F121" i="26"/>
  <c r="F122" i="26"/>
  <c r="F123" i="26"/>
  <c r="F124" i="26"/>
  <c r="F125" i="26"/>
  <c r="F126" i="26"/>
  <c r="F127" i="26"/>
  <c r="F128" i="26"/>
  <c r="F129" i="26"/>
  <c r="F130" i="26"/>
  <c r="F131" i="26"/>
  <c r="F132" i="26"/>
  <c r="F133" i="26"/>
  <c r="F134" i="26"/>
  <c r="F135" i="26"/>
  <c r="F136" i="26"/>
  <c r="F137" i="26"/>
  <c r="F138" i="26"/>
  <c r="F139" i="26"/>
  <c r="F140" i="26"/>
  <c r="F141" i="26"/>
  <c r="F142" i="26"/>
  <c r="F143" i="26"/>
  <c r="F144" i="26"/>
  <c r="F145" i="26"/>
  <c r="F146" i="26"/>
  <c r="F147" i="26"/>
  <c r="F148" i="26"/>
  <c r="F149" i="26"/>
  <c r="F150" i="26"/>
  <c r="F151" i="26"/>
  <c r="F152" i="26"/>
  <c r="F153" i="26"/>
  <c r="F154" i="26"/>
  <c r="F155" i="26"/>
  <c r="F156" i="26"/>
  <c r="F157" i="26"/>
  <c r="F158" i="26"/>
  <c r="F159" i="26"/>
  <c r="F160" i="26"/>
  <c r="F161" i="26"/>
  <c r="F162" i="26"/>
  <c r="F163" i="26"/>
  <c r="F164" i="26"/>
  <c r="F165" i="26"/>
  <c r="F166" i="26"/>
  <c r="F167" i="26"/>
  <c r="F168" i="26"/>
  <c r="F169" i="26"/>
  <c r="F170" i="26"/>
  <c r="F171" i="26"/>
  <c r="F172" i="26"/>
  <c r="F173" i="26"/>
  <c r="F174" i="26"/>
  <c r="F175" i="26"/>
  <c r="F176" i="26"/>
  <c r="F177" i="26"/>
  <c r="F178" i="26"/>
  <c r="F179" i="26"/>
  <c r="F180" i="26"/>
  <c r="F181" i="26"/>
  <c r="F182" i="26"/>
  <c r="F183" i="26"/>
  <c r="F184" i="26"/>
  <c r="F185" i="26"/>
  <c r="F186" i="26"/>
  <c r="F187" i="26"/>
  <c r="F188" i="26"/>
  <c r="F189" i="26"/>
  <c r="F190" i="26"/>
  <c r="F191" i="26"/>
  <c r="F192" i="26"/>
  <c r="F193" i="26"/>
  <c r="F194" i="26"/>
  <c r="F195" i="26"/>
  <c r="F196" i="26"/>
  <c r="F197" i="26"/>
  <c r="F198" i="26"/>
  <c r="F199" i="26"/>
  <c r="F200" i="26"/>
  <c r="F201" i="26"/>
  <c r="F202" i="26"/>
  <c r="F203" i="26"/>
  <c r="F204" i="26"/>
  <c r="F205" i="26"/>
  <c r="F206" i="26"/>
  <c r="F207" i="26"/>
  <c r="F208" i="26"/>
  <c r="F209" i="26"/>
  <c r="F210" i="26"/>
  <c r="F211" i="26"/>
  <c r="F212" i="26"/>
  <c r="F213" i="26"/>
  <c r="F214" i="26"/>
  <c r="F215" i="26"/>
  <c r="F216" i="26"/>
  <c r="F217" i="26"/>
  <c r="F218" i="26"/>
  <c r="F219" i="26"/>
  <c r="F220" i="26"/>
  <c r="F221" i="26"/>
  <c r="F222" i="26"/>
  <c r="F223" i="26"/>
  <c r="F224" i="26"/>
  <c r="F225" i="26"/>
  <c r="F226" i="26"/>
  <c r="F227" i="26"/>
  <c r="F228" i="26"/>
  <c r="F229" i="26"/>
  <c r="F230" i="26"/>
  <c r="F231" i="26"/>
  <c r="F232" i="26"/>
  <c r="F233" i="26"/>
  <c r="F234" i="26"/>
  <c r="F235" i="26"/>
  <c r="F236" i="26"/>
  <c r="F237" i="26"/>
  <c r="F238" i="26"/>
  <c r="F239" i="26"/>
  <c r="F240" i="26"/>
  <c r="F241" i="26"/>
  <c r="F242" i="26"/>
  <c r="F243" i="26"/>
  <c r="F244" i="26"/>
  <c r="F245" i="26"/>
  <c r="F246" i="26"/>
  <c r="F247" i="26"/>
  <c r="F248" i="26"/>
  <c r="F249" i="26"/>
  <c r="F250" i="26"/>
  <c r="F251" i="26"/>
  <c r="F252" i="26"/>
  <c r="F253" i="26"/>
  <c r="F254" i="26"/>
  <c r="F255" i="26"/>
  <c r="F256" i="26"/>
  <c r="F257" i="26"/>
  <c r="F258" i="26"/>
  <c r="F259" i="26"/>
  <c r="F260" i="26"/>
  <c r="F261" i="26"/>
  <c r="F262" i="26"/>
  <c r="F263" i="26"/>
  <c r="F264" i="26"/>
  <c r="F265" i="26"/>
  <c r="AJ150" i="27" l="1"/>
  <c r="F10" i="26"/>
  <c r="F17" i="26"/>
  <c r="F24" i="26"/>
  <c r="F22" i="26"/>
  <c r="F25" i="26"/>
  <c r="F18" i="26"/>
  <c r="F14" i="26"/>
  <c r="F21" i="26"/>
  <c r="F13" i="26"/>
  <c r="F12" i="26"/>
  <c r="F19" i="26"/>
  <c r="F15" i="26"/>
  <c r="F11" i="26"/>
  <c r="F26" i="26"/>
  <c r="F20" i="26"/>
  <c r="F16" i="26"/>
  <c r="G11" i="26"/>
  <c r="G12" i="26"/>
  <c r="G13" i="26"/>
  <c r="G14" i="26"/>
  <c r="G15" i="26"/>
  <c r="G16" i="26"/>
  <c r="G17" i="26"/>
  <c r="G18" i="26"/>
  <c r="G19" i="26"/>
  <c r="G20" i="26"/>
  <c r="G21" i="26"/>
  <c r="G22" i="26"/>
  <c r="G23" i="26"/>
  <c r="G24" i="26"/>
  <c r="G25" i="26"/>
  <c r="G26" i="26"/>
  <c r="G27" i="26"/>
  <c r="G28" i="26"/>
  <c r="G29" i="26"/>
  <c r="G30" i="26"/>
  <c r="G31" i="26"/>
  <c r="G32" i="26"/>
  <c r="G33" i="26"/>
  <c r="G34" i="26"/>
  <c r="G35" i="26"/>
  <c r="G36" i="26"/>
  <c r="G37" i="26"/>
  <c r="G38" i="26"/>
  <c r="G39" i="26"/>
  <c r="G40" i="26"/>
  <c r="G41" i="26"/>
  <c r="G42" i="26"/>
  <c r="G43" i="26"/>
  <c r="G44" i="26"/>
  <c r="G45" i="26"/>
  <c r="G46" i="26"/>
  <c r="G47" i="26"/>
  <c r="G48" i="26"/>
  <c r="G49" i="26"/>
  <c r="G50" i="26"/>
  <c r="G51" i="26"/>
  <c r="G52" i="26"/>
  <c r="G53" i="26"/>
  <c r="G54" i="26"/>
  <c r="G55" i="26"/>
  <c r="G56" i="26"/>
  <c r="G57" i="26"/>
  <c r="G58" i="26"/>
  <c r="G59" i="26"/>
  <c r="G60" i="26"/>
  <c r="G61" i="26"/>
  <c r="G62" i="26"/>
  <c r="G63" i="26"/>
  <c r="G64" i="26"/>
  <c r="G65" i="26"/>
  <c r="G66" i="26"/>
  <c r="G67" i="26"/>
  <c r="G68" i="26"/>
  <c r="G69" i="26"/>
  <c r="G70" i="26"/>
  <c r="G71" i="26"/>
  <c r="G72" i="26"/>
  <c r="G73" i="26"/>
  <c r="G74" i="26"/>
  <c r="G75" i="26"/>
  <c r="G76" i="26"/>
  <c r="G77" i="26"/>
  <c r="G78" i="26"/>
  <c r="G79" i="26"/>
  <c r="G80" i="26"/>
  <c r="G81" i="26"/>
  <c r="G82" i="26"/>
  <c r="G83" i="26"/>
  <c r="G84" i="26"/>
  <c r="G85" i="26"/>
  <c r="G86" i="26"/>
  <c r="G87" i="26"/>
  <c r="G88" i="26"/>
  <c r="G89" i="26"/>
  <c r="G90" i="26"/>
  <c r="G91" i="26"/>
  <c r="G92" i="26"/>
  <c r="G93" i="26"/>
  <c r="G94" i="26"/>
  <c r="G95" i="26"/>
  <c r="G96" i="26"/>
  <c r="G97" i="26"/>
  <c r="G98" i="26"/>
  <c r="G99" i="26"/>
  <c r="G100" i="26"/>
  <c r="G101" i="26"/>
  <c r="G102" i="26"/>
  <c r="G103" i="26"/>
  <c r="G104" i="26"/>
  <c r="G105" i="26"/>
  <c r="G106" i="26"/>
  <c r="G107" i="26"/>
  <c r="G108" i="26"/>
  <c r="G109" i="26"/>
  <c r="G110" i="26"/>
  <c r="G111" i="26"/>
  <c r="G112" i="26"/>
  <c r="G113" i="26"/>
  <c r="G114" i="26"/>
  <c r="G115" i="26"/>
  <c r="G116" i="26"/>
  <c r="G117" i="26"/>
  <c r="G118" i="26"/>
  <c r="G119" i="26"/>
  <c r="G120" i="26"/>
  <c r="G121" i="26"/>
  <c r="G122" i="26"/>
  <c r="G123" i="26"/>
  <c r="G124" i="26"/>
  <c r="G125" i="26"/>
  <c r="G126" i="26"/>
  <c r="G127" i="26"/>
  <c r="G128" i="26"/>
  <c r="G129" i="26"/>
  <c r="G130" i="26"/>
  <c r="G131" i="26"/>
  <c r="G132" i="26"/>
  <c r="G133" i="26"/>
  <c r="G134" i="26"/>
  <c r="G135" i="26"/>
  <c r="G136" i="26"/>
  <c r="G137" i="26"/>
  <c r="G138" i="26"/>
  <c r="G139" i="26"/>
  <c r="G140" i="26"/>
  <c r="G141" i="26"/>
  <c r="G142" i="26"/>
  <c r="G143" i="26"/>
  <c r="G144" i="26"/>
  <c r="G145" i="26"/>
  <c r="G146" i="26"/>
  <c r="G147" i="26"/>
  <c r="G148" i="26"/>
  <c r="G149" i="26"/>
  <c r="G150" i="26"/>
  <c r="G151" i="26"/>
  <c r="G152" i="26"/>
  <c r="G153" i="26"/>
  <c r="G154" i="26"/>
  <c r="G155" i="26"/>
  <c r="G156" i="26"/>
  <c r="G157" i="26"/>
  <c r="G158" i="26"/>
  <c r="G159" i="26"/>
  <c r="G160" i="26"/>
  <c r="G161" i="26"/>
  <c r="G162" i="26"/>
  <c r="G163" i="26"/>
  <c r="G164" i="26"/>
  <c r="G165" i="26"/>
  <c r="G166" i="26"/>
  <c r="G167" i="26"/>
  <c r="G168" i="26"/>
  <c r="G169" i="26"/>
  <c r="G170" i="26"/>
  <c r="G171" i="26"/>
  <c r="G172" i="26"/>
  <c r="G173" i="26"/>
  <c r="G174" i="26"/>
  <c r="G175" i="26"/>
  <c r="G176" i="26"/>
  <c r="G177" i="26"/>
  <c r="G178" i="26"/>
  <c r="G179" i="26"/>
  <c r="G180" i="26"/>
  <c r="G181" i="26"/>
  <c r="G182" i="26"/>
  <c r="G183" i="26"/>
  <c r="G184" i="26"/>
  <c r="G185" i="26"/>
  <c r="G186" i="26"/>
  <c r="G187" i="26"/>
  <c r="G188" i="26"/>
  <c r="G189" i="26"/>
  <c r="G190" i="26"/>
  <c r="G191" i="26"/>
  <c r="G192" i="26"/>
  <c r="G193" i="26"/>
  <c r="G194" i="26"/>
  <c r="G195" i="26"/>
  <c r="G196" i="26"/>
  <c r="G197" i="26"/>
  <c r="G198" i="26"/>
  <c r="G199" i="26"/>
  <c r="G200" i="26"/>
  <c r="G201" i="26"/>
  <c r="G202" i="26"/>
  <c r="G203" i="26"/>
  <c r="G204" i="26"/>
  <c r="G205" i="26"/>
  <c r="G206" i="26"/>
  <c r="G207" i="26"/>
  <c r="G208" i="26"/>
  <c r="G209" i="26"/>
  <c r="G210" i="26"/>
  <c r="G211" i="26"/>
  <c r="G212" i="26"/>
  <c r="G213" i="26"/>
  <c r="G214" i="26"/>
  <c r="G215" i="26"/>
  <c r="G216" i="26"/>
  <c r="G217" i="26"/>
  <c r="G218" i="26"/>
  <c r="G219" i="26"/>
  <c r="G220" i="26"/>
  <c r="G221" i="26"/>
  <c r="G222" i="26"/>
  <c r="G223" i="26"/>
  <c r="G224" i="26"/>
  <c r="G225" i="26"/>
  <c r="G226" i="26"/>
  <c r="G227" i="26"/>
  <c r="G228" i="26"/>
  <c r="G229" i="26"/>
  <c r="G230" i="26"/>
  <c r="G231" i="26"/>
  <c r="G232" i="26"/>
  <c r="G233" i="26"/>
  <c r="G234" i="26"/>
  <c r="G235" i="26"/>
  <c r="G236" i="26"/>
  <c r="G237" i="26"/>
  <c r="G238" i="26"/>
  <c r="G239" i="26"/>
  <c r="G240" i="26"/>
  <c r="G241" i="26"/>
  <c r="G242" i="26"/>
  <c r="G243" i="26"/>
  <c r="G244" i="26"/>
  <c r="G245" i="26"/>
  <c r="G246" i="26"/>
  <c r="G247" i="26"/>
  <c r="G248" i="26"/>
  <c r="G249" i="26"/>
  <c r="G250" i="26"/>
  <c r="G251" i="26"/>
  <c r="G252" i="26"/>
  <c r="G253" i="26"/>
  <c r="G254" i="26"/>
  <c r="G255" i="26"/>
  <c r="G256" i="26"/>
  <c r="G257" i="26"/>
  <c r="G258" i="26"/>
  <c r="G259" i="26"/>
  <c r="G260" i="26"/>
  <c r="G261" i="26"/>
  <c r="G262" i="26"/>
  <c r="G263" i="26"/>
  <c r="G264" i="26"/>
  <c r="G265" i="26"/>
  <c r="G10" i="26"/>
  <c r="AJ151" i="27" l="1"/>
  <c r="AJ152" i="27" l="1"/>
  <c r="AJ153" i="27" l="1"/>
  <c r="B24" i="26"/>
  <c r="D24" i="26"/>
  <c r="C25" i="3" s="1"/>
  <c r="E24" i="26"/>
  <c r="B25" i="26"/>
  <c r="D25" i="26"/>
  <c r="C26" i="3" s="1"/>
  <c r="E25" i="26"/>
  <c r="B26" i="26"/>
  <c r="D26" i="26"/>
  <c r="C27" i="3" s="1"/>
  <c r="E26" i="26"/>
  <c r="B27" i="26"/>
  <c r="D27" i="26"/>
  <c r="C28" i="3" s="1"/>
  <c r="E27" i="26"/>
  <c r="B28" i="26"/>
  <c r="D28" i="26"/>
  <c r="C29" i="3" s="1"/>
  <c r="E28" i="26"/>
  <c r="B29" i="26"/>
  <c r="D29" i="26"/>
  <c r="C30" i="3" s="1"/>
  <c r="E29" i="26"/>
  <c r="B30" i="26"/>
  <c r="D30" i="26"/>
  <c r="C31" i="3" s="1"/>
  <c r="E30" i="26"/>
  <c r="B31" i="26"/>
  <c r="D31" i="26"/>
  <c r="C32" i="3" s="1"/>
  <c r="E31" i="26"/>
  <c r="B32" i="26"/>
  <c r="D32" i="26"/>
  <c r="C33" i="3" s="1"/>
  <c r="E32" i="26"/>
  <c r="B33" i="26"/>
  <c r="D33" i="26"/>
  <c r="C34" i="3" s="1"/>
  <c r="E33" i="26"/>
  <c r="B34" i="26"/>
  <c r="D34" i="26"/>
  <c r="C35" i="3" s="1"/>
  <c r="E34" i="26"/>
  <c r="B35" i="26"/>
  <c r="D35" i="26"/>
  <c r="C36" i="3" s="1"/>
  <c r="E35" i="26"/>
  <c r="B36" i="26"/>
  <c r="D36" i="26"/>
  <c r="C37" i="3" s="1"/>
  <c r="E36" i="26"/>
  <c r="B37" i="26"/>
  <c r="D37" i="26"/>
  <c r="C38" i="3" s="1"/>
  <c r="E37" i="26"/>
  <c r="B38" i="26"/>
  <c r="D38" i="26"/>
  <c r="C39" i="3" s="1"/>
  <c r="E38" i="26"/>
  <c r="B39" i="26"/>
  <c r="D39" i="26"/>
  <c r="C40" i="3" s="1"/>
  <c r="E39" i="26"/>
  <c r="B40" i="26"/>
  <c r="D40" i="26"/>
  <c r="C41" i="3" s="1"/>
  <c r="E40" i="26"/>
  <c r="B41" i="26"/>
  <c r="D41" i="26"/>
  <c r="C42" i="3" s="1"/>
  <c r="E41" i="26"/>
  <c r="B42" i="26"/>
  <c r="D42" i="26"/>
  <c r="C43" i="3" s="1"/>
  <c r="E42" i="26"/>
  <c r="B43" i="26"/>
  <c r="D43" i="26"/>
  <c r="C44" i="3" s="1"/>
  <c r="E43" i="26"/>
  <c r="B44" i="26"/>
  <c r="D44" i="26"/>
  <c r="C45" i="3" s="1"/>
  <c r="E44" i="26"/>
  <c r="B45" i="26"/>
  <c r="D45" i="26"/>
  <c r="C46" i="3" s="1"/>
  <c r="E45" i="26"/>
  <c r="B46" i="26"/>
  <c r="D46" i="26"/>
  <c r="C47" i="3" s="1"/>
  <c r="E46" i="26"/>
  <c r="B47" i="26"/>
  <c r="D47" i="26"/>
  <c r="C48" i="3" s="1"/>
  <c r="E47" i="26"/>
  <c r="B48" i="26"/>
  <c r="D48" i="26"/>
  <c r="C49" i="3" s="1"/>
  <c r="E48" i="26"/>
  <c r="B49" i="26"/>
  <c r="D49" i="26"/>
  <c r="C50" i="3" s="1"/>
  <c r="E49" i="26"/>
  <c r="B50" i="26"/>
  <c r="D50" i="26"/>
  <c r="C51" i="3" s="1"/>
  <c r="E50" i="26"/>
  <c r="B51" i="26"/>
  <c r="D51" i="26"/>
  <c r="C52" i="3" s="1"/>
  <c r="E51" i="26"/>
  <c r="B52" i="26"/>
  <c r="D52" i="26"/>
  <c r="C53" i="3" s="1"/>
  <c r="E52" i="26"/>
  <c r="B53" i="26"/>
  <c r="D53" i="26"/>
  <c r="C54" i="3" s="1"/>
  <c r="E53" i="26"/>
  <c r="B54" i="26"/>
  <c r="D54" i="26"/>
  <c r="C55" i="3" s="1"/>
  <c r="E54" i="26"/>
  <c r="B55" i="26"/>
  <c r="D55" i="26"/>
  <c r="C56" i="3" s="1"/>
  <c r="E55" i="26"/>
  <c r="B56" i="26"/>
  <c r="D56" i="26"/>
  <c r="C57" i="3" s="1"/>
  <c r="E56" i="26"/>
  <c r="B57" i="26"/>
  <c r="D57" i="26"/>
  <c r="C58" i="3" s="1"/>
  <c r="E57" i="26"/>
  <c r="B58" i="26"/>
  <c r="D58" i="26"/>
  <c r="C59" i="3" s="1"/>
  <c r="E58" i="26"/>
  <c r="B59" i="26"/>
  <c r="D59" i="26"/>
  <c r="C60" i="3" s="1"/>
  <c r="E59" i="26"/>
  <c r="B60" i="26"/>
  <c r="D60" i="26"/>
  <c r="C61" i="3" s="1"/>
  <c r="E60" i="26"/>
  <c r="B61" i="26"/>
  <c r="D61" i="26"/>
  <c r="C62" i="3" s="1"/>
  <c r="E61" i="26"/>
  <c r="B62" i="26"/>
  <c r="D62" i="26"/>
  <c r="C63" i="3" s="1"/>
  <c r="E62" i="26"/>
  <c r="B63" i="26"/>
  <c r="D63" i="26"/>
  <c r="C64" i="3" s="1"/>
  <c r="E63" i="26"/>
  <c r="B64" i="26"/>
  <c r="D64" i="26"/>
  <c r="C65" i="3" s="1"/>
  <c r="E64" i="26"/>
  <c r="B65" i="26"/>
  <c r="D65" i="26"/>
  <c r="C66" i="3" s="1"/>
  <c r="E65" i="26"/>
  <c r="B66" i="26"/>
  <c r="D66" i="26"/>
  <c r="C67" i="3" s="1"/>
  <c r="E66" i="26"/>
  <c r="B67" i="26"/>
  <c r="D67" i="26"/>
  <c r="C68" i="3" s="1"/>
  <c r="E67" i="26"/>
  <c r="B68" i="26"/>
  <c r="D68" i="26"/>
  <c r="C69" i="3" s="1"/>
  <c r="E68" i="26"/>
  <c r="B69" i="26"/>
  <c r="D69" i="26"/>
  <c r="C70" i="3" s="1"/>
  <c r="E69" i="26"/>
  <c r="B70" i="26"/>
  <c r="D70" i="26"/>
  <c r="C71" i="3" s="1"/>
  <c r="E70" i="26"/>
  <c r="B71" i="26"/>
  <c r="D71" i="26"/>
  <c r="C72" i="3" s="1"/>
  <c r="E71" i="26"/>
  <c r="B72" i="26"/>
  <c r="D72" i="26"/>
  <c r="C73" i="3" s="1"/>
  <c r="E72" i="26"/>
  <c r="B73" i="26"/>
  <c r="D73" i="26"/>
  <c r="C74" i="3" s="1"/>
  <c r="E73" i="26"/>
  <c r="B74" i="26"/>
  <c r="D74" i="26"/>
  <c r="E74" i="26"/>
  <c r="B75" i="26"/>
  <c r="D75" i="26"/>
  <c r="E75" i="26"/>
  <c r="B76" i="26"/>
  <c r="D76" i="26"/>
  <c r="E76" i="26"/>
  <c r="B77" i="26"/>
  <c r="D77" i="26"/>
  <c r="E77" i="26"/>
  <c r="B78" i="26"/>
  <c r="D78" i="26"/>
  <c r="E78" i="26"/>
  <c r="B79" i="26"/>
  <c r="D79" i="26"/>
  <c r="E79" i="26"/>
  <c r="B80" i="26"/>
  <c r="D80" i="26"/>
  <c r="E80" i="26"/>
  <c r="B81" i="26"/>
  <c r="D81" i="26"/>
  <c r="E81" i="26"/>
  <c r="B82" i="26"/>
  <c r="D82" i="26"/>
  <c r="E82" i="26"/>
  <c r="B83" i="26"/>
  <c r="D83" i="26"/>
  <c r="E83" i="26"/>
  <c r="B84" i="26"/>
  <c r="D84" i="26"/>
  <c r="E84" i="26"/>
  <c r="B85" i="26"/>
  <c r="D85" i="26"/>
  <c r="E85" i="26"/>
  <c r="B86" i="26"/>
  <c r="D86" i="26"/>
  <c r="E86" i="26"/>
  <c r="B87" i="26"/>
  <c r="D87" i="26"/>
  <c r="E87" i="26"/>
  <c r="B88" i="26"/>
  <c r="D88" i="26"/>
  <c r="E88" i="26"/>
  <c r="B89" i="26"/>
  <c r="D89" i="26"/>
  <c r="E89" i="26"/>
  <c r="B90" i="26"/>
  <c r="D90" i="26"/>
  <c r="E90" i="26"/>
  <c r="B91" i="26"/>
  <c r="D91" i="26"/>
  <c r="E91" i="26"/>
  <c r="B92" i="26"/>
  <c r="D92" i="26"/>
  <c r="E92" i="26"/>
  <c r="B93" i="26"/>
  <c r="D93" i="26"/>
  <c r="E93" i="26"/>
  <c r="B94" i="26"/>
  <c r="D94" i="26"/>
  <c r="E94" i="26"/>
  <c r="B95" i="26"/>
  <c r="D95" i="26"/>
  <c r="E95" i="26"/>
  <c r="B96" i="26"/>
  <c r="D96" i="26"/>
  <c r="E96" i="26"/>
  <c r="B97" i="26"/>
  <c r="D97" i="26"/>
  <c r="E97" i="26"/>
  <c r="B98" i="26"/>
  <c r="D98" i="26"/>
  <c r="E98" i="26"/>
  <c r="B99" i="26"/>
  <c r="D99" i="26"/>
  <c r="E99" i="26"/>
  <c r="B100" i="26"/>
  <c r="D100" i="26"/>
  <c r="E100" i="26"/>
  <c r="B101" i="26"/>
  <c r="D101" i="26"/>
  <c r="E101" i="26"/>
  <c r="B102" i="26"/>
  <c r="D102" i="26"/>
  <c r="E102" i="26"/>
  <c r="B103" i="26"/>
  <c r="D103" i="26"/>
  <c r="E103" i="26"/>
  <c r="B104" i="26"/>
  <c r="D104" i="26"/>
  <c r="E104" i="26"/>
  <c r="B105" i="26"/>
  <c r="D105" i="26"/>
  <c r="E105" i="26"/>
  <c r="B106" i="26"/>
  <c r="D106" i="26"/>
  <c r="E106" i="26"/>
  <c r="B107" i="26"/>
  <c r="D107" i="26"/>
  <c r="E107" i="26"/>
  <c r="B108" i="26"/>
  <c r="D108" i="26"/>
  <c r="E108" i="26"/>
  <c r="B109" i="26"/>
  <c r="D109" i="26"/>
  <c r="E109" i="26"/>
  <c r="B110" i="26"/>
  <c r="D110" i="26"/>
  <c r="E110" i="26"/>
  <c r="B111" i="26"/>
  <c r="D111" i="26"/>
  <c r="E111" i="26"/>
  <c r="B112" i="26"/>
  <c r="D112" i="26"/>
  <c r="E112" i="26"/>
  <c r="B113" i="26"/>
  <c r="D113" i="26"/>
  <c r="E113" i="26"/>
  <c r="B114" i="26"/>
  <c r="D114" i="26"/>
  <c r="E114" i="26"/>
  <c r="B115" i="26"/>
  <c r="D115" i="26"/>
  <c r="E115" i="26"/>
  <c r="B116" i="26"/>
  <c r="D116" i="26"/>
  <c r="E116" i="26"/>
  <c r="B117" i="26"/>
  <c r="D117" i="26"/>
  <c r="E117" i="26"/>
  <c r="B118" i="26"/>
  <c r="D118" i="26"/>
  <c r="E118" i="26"/>
  <c r="B119" i="26"/>
  <c r="D119" i="26"/>
  <c r="E119" i="26"/>
  <c r="B120" i="26"/>
  <c r="D120" i="26"/>
  <c r="E120" i="26"/>
  <c r="B121" i="26"/>
  <c r="D121" i="26"/>
  <c r="E121" i="26"/>
  <c r="B122" i="26"/>
  <c r="D122" i="26"/>
  <c r="E122" i="26"/>
  <c r="B123" i="26"/>
  <c r="D123" i="26"/>
  <c r="E123" i="26"/>
  <c r="B124" i="26"/>
  <c r="D124" i="26"/>
  <c r="E124" i="26"/>
  <c r="B125" i="26"/>
  <c r="D125" i="26"/>
  <c r="E125" i="26"/>
  <c r="B126" i="26"/>
  <c r="D126" i="26"/>
  <c r="E126" i="26"/>
  <c r="B127" i="26"/>
  <c r="D127" i="26"/>
  <c r="E127" i="26"/>
  <c r="B128" i="26"/>
  <c r="D128" i="26"/>
  <c r="E128" i="26"/>
  <c r="B129" i="26"/>
  <c r="D129" i="26"/>
  <c r="E129" i="26"/>
  <c r="B130" i="26"/>
  <c r="D130" i="26"/>
  <c r="E130" i="26"/>
  <c r="B131" i="26"/>
  <c r="D131" i="26"/>
  <c r="E131" i="26"/>
  <c r="B132" i="26"/>
  <c r="D132" i="26"/>
  <c r="E132" i="26"/>
  <c r="B133" i="26"/>
  <c r="D133" i="26"/>
  <c r="E133" i="26"/>
  <c r="B134" i="26"/>
  <c r="D134" i="26"/>
  <c r="E134" i="26"/>
  <c r="B135" i="26"/>
  <c r="D135" i="26"/>
  <c r="E135" i="26"/>
  <c r="B136" i="26"/>
  <c r="D136" i="26"/>
  <c r="E136" i="26"/>
  <c r="B137" i="26"/>
  <c r="D137" i="26"/>
  <c r="E137" i="26"/>
  <c r="B138" i="26"/>
  <c r="D138" i="26"/>
  <c r="E138" i="26"/>
  <c r="B139" i="26"/>
  <c r="D139" i="26"/>
  <c r="E139" i="26"/>
  <c r="B140" i="26"/>
  <c r="D140" i="26"/>
  <c r="E140" i="26"/>
  <c r="B141" i="26"/>
  <c r="D141" i="26"/>
  <c r="E141" i="26"/>
  <c r="B142" i="26"/>
  <c r="D142" i="26"/>
  <c r="E142" i="26"/>
  <c r="B143" i="26"/>
  <c r="D143" i="26"/>
  <c r="E143" i="26"/>
  <c r="B144" i="26"/>
  <c r="D144" i="26"/>
  <c r="E144" i="26"/>
  <c r="B145" i="26"/>
  <c r="D145" i="26"/>
  <c r="E145" i="26"/>
  <c r="B146" i="26"/>
  <c r="D146" i="26"/>
  <c r="E146" i="26"/>
  <c r="B147" i="26"/>
  <c r="D147" i="26"/>
  <c r="E147" i="26"/>
  <c r="B148" i="26"/>
  <c r="D148" i="26"/>
  <c r="E148" i="26"/>
  <c r="B149" i="26"/>
  <c r="D149" i="26"/>
  <c r="E149" i="26"/>
  <c r="B150" i="26"/>
  <c r="D150" i="26"/>
  <c r="E150" i="26"/>
  <c r="B151" i="26"/>
  <c r="D151" i="26"/>
  <c r="E151" i="26"/>
  <c r="B152" i="26"/>
  <c r="D152" i="26"/>
  <c r="E152" i="26"/>
  <c r="B153" i="26"/>
  <c r="D153" i="26"/>
  <c r="E153" i="26"/>
  <c r="B154" i="26"/>
  <c r="D154" i="26"/>
  <c r="E154" i="26"/>
  <c r="B155" i="26"/>
  <c r="D155" i="26"/>
  <c r="E155" i="26"/>
  <c r="B156" i="26"/>
  <c r="D156" i="26"/>
  <c r="E156" i="26"/>
  <c r="B157" i="26"/>
  <c r="D157" i="26"/>
  <c r="E157" i="26"/>
  <c r="B158" i="26"/>
  <c r="D158" i="26"/>
  <c r="E158" i="26"/>
  <c r="B159" i="26"/>
  <c r="D159" i="26"/>
  <c r="E159" i="26"/>
  <c r="B160" i="26"/>
  <c r="D160" i="26"/>
  <c r="E160" i="26"/>
  <c r="B161" i="26"/>
  <c r="D161" i="26"/>
  <c r="E161" i="26"/>
  <c r="B162" i="26"/>
  <c r="D162" i="26"/>
  <c r="E162" i="26"/>
  <c r="B163" i="26"/>
  <c r="D163" i="26"/>
  <c r="E163" i="26"/>
  <c r="B164" i="26"/>
  <c r="D164" i="26"/>
  <c r="E164" i="26"/>
  <c r="B165" i="26"/>
  <c r="D165" i="26"/>
  <c r="E165" i="26"/>
  <c r="B166" i="26"/>
  <c r="D166" i="26"/>
  <c r="E166" i="26"/>
  <c r="B167" i="26"/>
  <c r="D167" i="26"/>
  <c r="E167" i="26"/>
  <c r="B168" i="26"/>
  <c r="D168" i="26"/>
  <c r="E168" i="26"/>
  <c r="B169" i="26"/>
  <c r="D169" i="26"/>
  <c r="E169" i="26"/>
  <c r="B170" i="26"/>
  <c r="D170" i="26"/>
  <c r="E170" i="26"/>
  <c r="B171" i="26"/>
  <c r="D171" i="26"/>
  <c r="E171" i="26"/>
  <c r="B172" i="26"/>
  <c r="D172" i="26"/>
  <c r="E172" i="26"/>
  <c r="B173" i="26"/>
  <c r="D173" i="26"/>
  <c r="E173" i="26"/>
  <c r="B174" i="26"/>
  <c r="D174" i="26"/>
  <c r="E174" i="26"/>
  <c r="B175" i="26"/>
  <c r="D175" i="26"/>
  <c r="E175" i="26"/>
  <c r="B176" i="26"/>
  <c r="D176" i="26"/>
  <c r="E176" i="26"/>
  <c r="B177" i="26"/>
  <c r="D177" i="26"/>
  <c r="E177" i="26"/>
  <c r="B178" i="26"/>
  <c r="D178" i="26"/>
  <c r="E178" i="26"/>
  <c r="B179" i="26"/>
  <c r="D179" i="26"/>
  <c r="E179" i="26"/>
  <c r="B180" i="26"/>
  <c r="D180" i="26"/>
  <c r="E180" i="26"/>
  <c r="B181" i="26"/>
  <c r="D181" i="26"/>
  <c r="E181" i="26"/>
  <c r="B182" i="26"/>
  <c r="D182" i="26"/>
  <c r="E182" i="26"/>
  <c r="B183" i="26"/>
  <c r="D183" i="26"/>
  <c r="E183" i="26"/>
  <c r="B184" i="26"/>
  <c r="D184" i="26"/>
  <c r="E184" i="26"/>
  <c r="B185" i="26"/>
  <c r="D185" i="26"/>
  <c r="E185" i="26"/>
  <c r="B186" i="26"/>
  <c r="D186" i="26"/>
  <c r="E186" i="26"/>
  <c r="B187" i="26"/>
  <c r="D187" i="26"/>
  <c r="E187" i="26"/>
  <c r="B188" i="26"/>
  <c r="D188" i="26"/>
  <c r="E188" i="26"/>
  <c r="B189" i="26"/>
  <c r="D189" i="26"/>
  <c r="E189" i="26"/>
  <c r="B190" i="26"/>
  <c r="D190" i="26"/>
  <c r="E190" i="26"/>
  <c r="B191" i="26"/>
  <c r="D191" i="26"/>
  <c r="E191" i="26"/>
  <c r="B192" i="26"/>
  <c r="D192" i="26"/>
  <c r="E192" i="26"/>
  <c r="B193" i="26"/>
  <c r="D193" i="26"/>
  <c r="E193" i="26"/>
  <c r="B194" i="26"/>
  <c r="D194" i="26"/>
  <c r="E194" i="26"/>
  <c r="B195" i="26"/>
  <c r="D195" i="26"/>
  <c r="E195" i="26"/>
  <c r="B196" i="26"/>
  <c r="D196" i="26"/>
  <c r="E196" i="26"/>
  <c r="B197" i="26"/>
  <c r="D197" i="26"/>
  <c r="E197" i="26"/>
  <c r="B198" i="26"/>
  <c r="D198" i="26"/>
  <c r="E198" i="26"/>
  <c r="B199" i="26"/>
  <c r="D199" i="26"/>
  <c r="E199" i="26"/>
  <c r="B200" i="26"/>
  <c r="D200" i="26"/>
  <c r="E200" i="26"/>
  <c r="B201" i="26"/>
  <c r="D201" i="26"/>
  <c r="E201" i="26"/>
  <c r="B202" i="26"/>
  <c r="D202" i="26"/>
  <c r="E202" i="26"/>
  <c r="B203" i="26"/>
  <c r="D203" i="26"/>
  <c r="E203" i="26"/>
  <c r="B204" i="26"/>
  <c r="D204" i="26"/>
  <c r="E204" i="26"/>
  <c r="B205" i="26"/>
  <c r="D205" i="26"/>
  <c r="E205" i="26"/>
  <c r="B206" i="26"/>
  <c r="D206" i="26"/>
  <c r="E206" i="26"/>
  <c r="B207" i="26"/>
  <c r="D207" i="26"/>
  <c r="E207" i="26"/>
  <c r="B208" i="26"/>
  <c r="D208" i="26"/>
  <c r="E208" i="26"/>
  <c r="B209" i="26"/>
  <c r="D209" i="26"/>
  <c r="E209" i="26"/>
  <c r="B210" i="26"/>
  <c r="D210" i="26"/>
  <c r="E210" i="26"/>
  <c r="B211" i="26"/>
  <c r="D211" i="26"/>
  <c r="E211" i="26"/>
  <c r="B212" i="26"/>
  <c r="D212" i="26"/>
  <c r="E212" i="26"/>
  <c r="B213" i="26"/>
  <c r="D213" i="26"/>
  <c r="E213" i="26"/>
  <c r="B214" i="26"/>
  <c r="D214" i="26"/>
  <c r="E214" i="26"/>
  <c r="B215" i="26"/>
  <c r="D215" i="26"/>
  <c r="E215" i="26"/>
  <c r="B216" i="26"/>
  <c r="D216" i="26"/>
  <c r="E216" i="26"/>
  <c r="B217" i="26"/>
  <c r="D217" i="26"/>
  <c r="E217" i="26"/>
  <c r="B218" i="26"/>
  <c r="D218" i="26"/>
  <c r="E218" i="26"/>
  <c r="B219" i="26"/>
  <c r="D219" i="26"/>
  <c r="E219" i="26"/>
  <c r="B220" i="26"/>
  <c r="D220" i="26"/>
  <c r="E220" i="26"/>
  <c r="B221" i="26"/>
  <c r="D221" i="26"/>
  <c r="E221" i="26"/>
  <c r="B222" i="26"/>
  <c r="D222" i="26"/>
  <c r="E222" i="26"/>
  <c r="B223" i="26"/>
  <c r="D223" i="26"/>
  <c r="E223" i="26"/>
  <c r="B224" i="26"/>
  <c r="D224" i="26"/>
  <c r="E224" i="26"/>
  <c r="B225" i="26"/>
  <c r="D225" i="26"/>
  <c r="E225" i="26"/>
  <c r="B226" i="26"/>
  <c r="D226" i="26"/>
  <c r="E226" i="26"/>
  <c r="B227" i="26"/>
  <c r="D227" i="26"/>
  <c r="E227" i="26"/>
  <c r="B228" i="26"/>
  <c r="D228" i="26"/>
  <c r="E228" i="26"/>
  <c r="B229" i="26"/>
  <c r="D229" i="26"/>
  <c r="E229" i="26"/>
  <c r="B230" i="26"/>
  <c r="D230" i="26"/>
  <c r="E230" i="26"/>
  <c r="B231" i="26"/>
  <c r="D231" i="26"/>
  <c r="E231" i="26"/>
  <c r="B232" i="26"/>
  <c r="D232" i="26"/>
  <c r="E232" i="26"/>
  <c r="B233" i="26"/>
  <c r="D233" i="26"/>
  <c r="E233" i="26"/>
  <c r="B234" i="26"/>
  <c r="D234" i="26"/>
  <c r="E234" i="26"/>
  <c r="B235" i="26"/>
  <c r="D235" i="26"/>
  <c r="E235" i="26"/>
  <c r="B236" i="26"/>
  <c r="D236" i="26"/>
  <c r="E236" i="26"/>
  <c r="B237" i="26"/>
  <c r="D237" i="26"/>
  <c r="E237" i="26"/>
  <c r="B238" i="26"/>
  <c r="D238" i="26"/>
  <c r="E238" i="26"/>
  <c r="B239" i="26"/>
  <c r="D239" i="26"/>
  <c r="E239" i="26"/>
  <c r="B240" i="26"/>
  <c r="D240" i="26"/>
  <c r="E240" i="26"/>
  <c r="B241" i="26"/>
  <c r="D241" i="26"/>
  <c r="E241" i="26"/>
  <c r="B242" i="26"/>
  <c r="D242" i="26"/>
  <c r="E242" i="26"/>
  <c r="B243" i="26"/>
  <c r="D243" i="26"/>
  <c r="E243" i="26"/>
  <c r="B244" i="26"/>
  <c r="D244" i="26"/>
  <c r="E244" i="26"/>
  <c r="B245" i="26"/>
  <c r="D245" i="26"/>
  <c r="E245" i="26"/>
  <c r="B246" i="26"/>
  <c r="D246" i="26"/>
  <c r="E246" i="26"/>
  <c r="B247" i="26"/>
  <c r="D247" i="26"/>
  <c r="E247" i="26"/>
  <c r="B248" i="26"/>
  <c r="D248" i="26"/>
  <c r="E248" i="26"/>
  <c r="B249" i="26"/>
  <c r="D249" i="26"/>
  <c r="E249" i="26"/>
  <c r="B250" i="26"/>
  <c r="D250" i="26"/>
  <c r="E250" i="26"/>
  <c r="B251" i="26"/>
  <c r="D251" i="26"/>
  <c r="E251" i="26"/>
  <c r="B252" i="26"/>
  <c r="D252" i="26"/>
  <c r="E252" i="26"/>
  <c r="B253" i="26"/>
  <c r="D253" i="26"/>
  <c r="E253" i="26"/>
  <c r="B254" i="26"/>
  <c r="D254" i="26"/>
  <c r="E254" i="26"/>
  <c r="B255" i="26"/>
  <c r="D255" i="26"/>
  <c r="E255" i="26"/>
  <c r="B256" i="26"/>
  <c r="D256" i="26"/>
  <c r="E256" i="26"/>
  <c r="B257" i="26"/>
  <c r="D257" i="26"/>
  <c r="E257" i="26"/>
  <c r="B258" i="26"/>
  <c r="D258" i="26"/>
  <c r="E258" i="26"/>
  <c r="B259" i="26"/>
  <c r="D259" i="26"/>
  <c r="E259" i="26"/>
  <c r="B260" i="26"/>
  <c r="D260" i="26"/>
  <c r="E260" i="26"/>
  <c r="B261" i="26"/>
  <c r="D261" i="26"/>
  <c r="E261" i="26"/>
  <c r="B262" i="26"/>
  <c r="D262" i="26"/>
  <c r="E262" i="26"/>
  <c r="B263" i="26"/>
  <c r="D263" i="26"/>
  <c r="E263" i="26"/>
  <c r="B264" i="26"/>
  <c r="D264" i="26"/>
  <c r="E264" i="26"/>
  <c r="B265" i="26"/>
  <c r="D265" i="26"/>
  <c r="E265" i="26"/>
  <c r="B11" i="26"/>
  <c r="D11" i="26"/>
  <c r="C12" i="3" s="1"/>
  <c r="E11" i="26"/>
  <c r="B12" i="26"/>
  <c r="D12" i="26"/>
  <c r="C13" i="3" s="1"/>
  <c r="E12" i="26"/>
  <c r="B13" i="26"/>
  <c r="D13" i="26"/>
  <c r="C14" i="3" s="1"/>
  <c r="E13" i="26"/>
  <c r="B14" i="26"/>
  <c r="D14" i="26"/>
  <c r="C15" i="3" s="1"/>
  <c r="E14" i="26"/>
  <c r="B15" i="26"/>
  <c r="D15" i="26"/>
  <c r="C16" i="3" s="1"/>
  <c r="E15" i="26"/>
  <c r="B16" i="26"/>
  <c r="D16" i="26"/>
  <c r="C17" i="3" s="1"/>
  <c r="E16" i="26"/>
  <c r="B17" i="26"/>
  <c r="D17" i="26"/>
  <c r="C18" i="3" s="1"/>
  <c r="E17" i="26"/>
  <c r="B18" i="26"/>
  <c r="D18" i="26"/>
  <c r="C19" i="3" s="1"/>
  <c r="E18" i="26"/>
  <c r="B19" i="26"/>
  <c r="D19" i="26"/>
  <c r="C20" i="3" s="1"/>
  <c r="E19" i="26"/>
  <c r="B20" i="26"/>
  <c r="D20" i="26"/>
  <c r="C21" i="3" s="1"/>
  <c r="E20" i="26"/>
  <c r="B21" i="26"/>
  <c r="D21" i="26"/>
  <c r="C22" i="3" s="1"/>
  <c r="E21" i="26"/>
  <c r="B22" i="26"/>
  <c r="D22" i="26"/>
  <c r="C23" i="3" s="1"/>
  <c r="E22" i="26"/>
  <c r="B23" i="26"/>
  <c r="D23" i="26"/>
  <c r="C24" i="3" s="1"/>
  <c r="E23" i="26"/>
  <c r="D10" i="26"/>
  <c r="E10" i="26"/>
  <c r="B10" i="26"/>
  <c r="AJ154" i="27" l="1"/>
  <c r="C11" i="3"/>
  <c r="AJ155" i="27" l="1"/>
  <c r="AJ156" i="27" l="1"/>
  <c r="AJ157" i="27" l="1"/>
  <c r="AJ158" i="27" l="1"/>
  <c r="AJ159" i="27" l="1"/>
  <c r="AJ160" i="27" l="1"/>
  <c r="B8" i="23"/>
  <c r="K8" i="23" s="1"/>
  <c r="N10" i="23"/>
  <c r="N9" i="23"/>
  <c r="N8" i="23"/>
  <c r="N7" i="23"/>
  <c r="AJ161" i="27" l="1"/>
  <c r="J10" i="23"/>
  <c r="L10" i="23" s="1"/>
  <c r="I9" i="23"/>
  <c r="K7" i="23"/>
  <c r="I10" i="23"/>
  <c r="I7" i="23"/>
  <c r="J9" i="23"/>
  <c r="L9" i="23" s="1"/>
  <c r="K10" i="23"/>
  <c r="J7" i="23"/>
  <c r="L7" i="23" s="1"/>
  <c r="J8" i="23"/>
  <c r="L8" i="23" s="1"/>
  <c r="I8" i="23"/>
  <c r="K9" i="23"/>
  <c r="AG132" i="27"/>
  <c r="AJ162" i="27" l="1"/>
  <c r="AG133" i="27"/>
  <c r="AJ163" i="27" l="1"/>
  <c r="AG134" i="27"/>
  <c r="AJ164" i="27" l="1"/>
  <c r="AG135" i="27"/>
  <c r="C27" i="26"/>
  <c r="C29" i="26"/>
  <c r="C28" i="26"/>
  <c r="C240" i="26"/>
  <c r="C122" i="26"/>
  <c r="C236" i="26"/>
  <c r="C13" i="26"/>
  <c r="C30" i="26"/>
  <c r="C32" i="26"/>
  <c r="C34" i="26"/>
  <c r="C36" i="26"/>
  <c r="C38" i="26"/>
  <c r="C40" i="26"/>
  <c r="C42" i="26"/>
  <c r="C44" i="26"/>
  <c r="C46" i="26"/>
  <c r="C48" i="26"/>
  <c r="C50" i="26"/>
  <c r="C52" i="26"/>
  <c r="C54" i="26"/>
  <c r="C56" i="26"/>
  <c r="C58" i="26"/>
  <c r="C60" i="26"/>
  <c r="C62" i="26"/>
  <c r="C64" i="26"/>
  <c r="C66" i="26"/>
  <c r="C68" i="26"/>
  <c r="C70" i="26"/>
  <c r="C72" i="26"/>
  <c r="C74" i="26"/>
  <c r="C76" i="26"/>
  <c r="C78" i="26"/>
  <c r="C80" i="26"/>
  <c r="C82" i="26"/>
  <c r="C84" i="26"/>
  <c r="C86" i="26"/>
  <c r="C88" i="26"/>
  <c r="C90" i="26"/>
  <c r="C92" i="26"/>
  <c r="C94" i="26"/>
  <c r="C96" i="26"/>
  <c r="C98" i="26"/>
  <c r="C100" i="26"/>
  <c r="C102" i="26"/>
  <c r="C104" i="26"/>
  <c r="C106" i="26"/>
  <c r="C108" i="26"/>
  <c r="C110" i="26"/>
  <c r="C112" i="26"/>
  <c r="C114" i="26"/>
  <c r="C116" i="26"/>
  <c r="C118" i="26"/>
  <c r="C120" i="26"/>
  <c r="C123" i="26"/>
  <c r="C125" i="26"/>
  <c r="C127" i="26"/>
  <c r="C129" i="26"/>
  <c r="C131" i="26"/>
  <c r="C133" i="26"/>
  <c r="C135" i="26"/>
  <c r="C137" i="26"/>
  <c r="C139" i="26"/>
  <c r="C141" i="26"/>
  <c r="C143" i="26"/>
  <c r="C145" i="26"/>
  <c r="C147" i="26"/>
  <c r="C149" i="26"/>
  <c r="C151" i="26"/>
  <c r="C153" i="26"/>
  <c r="C155" i="26"/>
  <c r="C157" i="26"/>
  <c r="C159" i="26"/>
  <c r="C161" i="26"/>
  <c r="C163" i="26"/>
  <c r="C165" i="26"/>
  <c r="C167" i="26"/>
  <c r="C169" i="26"/>
  <c r="C171" i="26"/>
  <c r="C173" i="26"/>
  <c r="C175" i="26"/>
  <c r="C177" i="26"/>
  <c r="C179" i="26"/>
  <c r="C181" i="26"/>
  <c r="C31" i="26"/>
  <c r="C35" i="26"/>
  <c r="C39" i="26"/>
  <c r="C43" i="26"/>
  <c r="C47" i="26"/>
  <c r="C51" i="26"/>
  <c r="C55" i="26"/>
  <c r="C59" i="26"/>
  <c r="C63" i="26"/>
  <c r="C67" i="26"/>
  <c r="C71" i="26"/>
  <c r="C75" i="26"/>
  <c r="C79" i="26"/>
  <c r="C83" i="26"/>
  <c r="C87" i="26"/>
  <c r="C91" i="26"/>
  <c r="C95" i="26"/>
  <c r="C99" i="26"/>
  <c r="C103" i="26"/>
  <c r="C107" i="26"/>
  <c r="C111" i="26"/>
  <c r="C115" i="26"/>
  <c r="C119" i="26"/>
  <c r="C124" i="26"/>
  <c r="C128" i="26"/>
  <c r="C132" i="26"/>
  <c r="C136" i="26"/>
  <c r="C140" i="26"/>
  <c r="C144" i="26"/>
  <c r="C148" i="26"/>
  <c r="C152" i="26"/>
  <c r="C156" i="26"/>
  <c r="C160" i="26"/>
  <c r="C164" i="26"/>
  <c r="C168" i="26"/>
  <c r="C172" i="26"/>
  <c r="C176" i="26"/>
  <c r="C180" i="26"/>
  <c r="C183" i="26"/>
  <c r="C185" i="26"/>
  <c r="C187" i="26"/>
  <c r="C189" i="26"/>
  <c r="C191" i="26"/>
  <c r="C193" i="26"/>
  <c r="C195" i="26"/>
  <c r="C197" i="26"/>
  <c r="C199" i="26"/>
  <c r="C201" i="26"/>
  <c r="C203" i="26"/>
  <c r="C205" i="26"/>
  <c r="C207" i="26"/>
  <c r="C209" i="26"/>
  <c r="C211" i="26"/>
  <c r="C213" i="26"/>
  <c r="C215" i="26"/>
  <c r="C217" i="26"/>
  <c r="C219" i="26"/>
  <c r="C221" i="26"/>
  <c r="C223" i="26"/>
  <c r="C225" i="26"/>
  <c r="C227" i="26"/>
  <c r="C229" i="26"/>
  <c r="C231" i="26"/>
  <c r="C233" i="26"/>
  <c r="C235" i="26"/>
  <c r="C238" i="26"/>
  <c r="C241" i="26"/>
  <c r="C243" i="26"/>
  <c r="C245" i="26"/>
  <c r="C247" i="26"/>
  <c r="C249" i="26"/>
  <c r="C251" i="26"/>
  <c r="C253" i="26"/>
  <c r="C255" i="26"/>
  <c r="C257" i="26"/>
  <c r="C259" i="26"/>
  <c r="C261" i="26"/>
  <c r="C263" i="26"/>
  <c r="C265" i="26"/>
  <c r="C37" i="26"/>
  <c r="C45" i="26"/>
  <c r="C53" i="26"/>
  <c r="C61" i="26"/>
  <c r="C69" i="26"/>
  <c r="C77" i="26"/>
  <c r="C85" i="26"/>
  <c r="C93" i="26"/>
  <c r="C101" i="26"/>
  <c r="C109" i="26"/>
  <c r="C117" i="26"/>
  <c r="C126" i="26"/>
  <c r="C134" i="26"/>
  <c r="C142" i="26"/>
  <c r="C150" i="26"/>
  <c r="C158" i="26"/>
  <c r="C166" i="26"/>
  <c r="C174" i="26"/>
  <c r="C182" i="26"/>
  <c r="C186" i="26"/>
  <c r="C190" i="26"/>
  <c r="C194" i="26"/>
  <c r="C198" i="26"/>
  <c r="C202" i="26"/>
  <c r="C206" i="26"/>
  <c r="C210" i="26"/>
  <c r="C214" i="26"/>
  <c r="C218" i="26"/>
  <c r="C222" i="26"/>
  <c r="C226" i="26"/>
  <c r="C230" i="26"/>
  <c r="C234" i="26"/>
  <c r="C239" i="26"/>
  <c r="C244" i="26"/>
  <c r="C248" i="26"/>
  <c r="C252" i="26"/>
  <c r="C256" i="26"/>
  <c r="C260" i="26"/>
  <c r="C264" i="26"/>
  <c r="C33" i="26"/>
  <c r="C41" i="26"/>
  <c r="C49" i="26"/>
  <c r="C57" i="26"/>
  <c r="C65" i="26"/>
  <c r="C73" i="26"/>
  <c r="C81" i="26"/>
  <c r="C89" i="26"/>
  <c r="C97" i="26"/>
  <c r="C105" i="26"/>
  <c r="C113" i="26"/>
  <c r="C121" i="26"/>
  <c r="C130" i="26"/>
  <c r="C138" i="26"/>
  <c r="C146" i="26"/>
  <c r="C154" i="26"/>
  <c r="C162" i="26"/>
  <c r="C170" i="26"/>
  <c r="C178" i="26"/>
  <c r="C184" i="26"/>
  <c r="C188" i="26"/>
  <c r="C192" i="26"/>
  <c r="C196" i="26"/>
  <c r="C200" i="26"/>
  <c r="C204" i="26"/>
  <c r="C208" i="26"/>
  <c r="C212" i="26"/>
  <c r="C216" i="26"/>
  <c r="C220" i="26"/>
  <c r="C224" i="26"/>
  <c r="C228" i="26"/>
  <c r="C232" i="26"/>
  <c r="C237" i="26"/>
  <c r="C242" i="26"/>
  <c r="C246" i="26"/>
  <c r="C250" i="26"/>
  <c r="C254" i="26"/>
  <c r="C258" i="26"/>
  <c r="C262" i="26"/>
  <c r="N6" i="23"/>
  <c r="N5" i="23"/>
  <c r="N4" i="23"/>
  <c r="N3" i="23"/>
  <c r="M2" i="23"/>
  <c r="C8" i="23"/>
  <c r="H2" i="23"/>
  <c r="AJ165" i="27" l="1"/>
  <c r="AG136" i="27"/>
  <c r="C26" i="26"/>
  <c r="O6" i="23"/>
  <c r="Q6" i="23" s="1"/>
  <c r="P10" i="23"/>
  <c r="O10" i="23"/>
  <c r="Q10" i="23" s="1"/>
  <c r="P9" i="23"/>
  <c r="O9" i="23"/>
  <c r="Q9" i="23" s="1"/>
  <c r="P8" i="23"/>
  <c r="O8" i="23"/>
  <c r="Q8" i="23" s="1"/>
  <c r="P7" i="23"/>
  <c r="O7" i="23"/>
  <c r="Q7" i="23" s="1"/>
  <c r="C11" i="26"/>
  <c r="C15" i="26"/>
  <c r="C21" i="26"/>
  <c r="C23" i="26"/>
  <c r="C17" i="26"/>
  <c r="C25" i="26"/>
  <c r="C20" i="26"/>
  <c r="C12" i="26"/>
  <c r="C10" i="26"/>
  <c r="C22" i="26"/>
  <c r="C14" i="26"/>
  <c r="C24" i="26"/>
  <c r="C16" i="26"/>
  <c r="C19" i="26"/>
  <c r="C18" i="26"/>
  <c r="I3" i="23"/>
  <c r="K3" i="23"/>
  <c r="I4" i="23"/>
  <c r="K4" i="23"/>
  <c r="I5" i="23"/>
  <c r="K5" i="23"/>
  <c r="I6" i="23"/>
  <c r="K6" i="23"/>
  <c r="P3" i="23"/>
  <c r="P4" i="23"/>
  <c r="P5" i="23"/>
  <c r="P6" i="23"/>
  <c r="J3" i="23"/>
  <c r="L3" i="23" s="1"/>
  <c r="J4" i="23"/>
  <c r="L4" i="23" s="1"/>
  <c r="J5" i="23"/>
  <c r="L5" i="23" s="1"/>
  <c r="J6" i="23"/>
  <c r="L6" i="23" s="1"/>
  <c r="O3" i="23"/>
  <c r="Q3" i="23" s="1"/>
  <c r="O4" i="23"/>
  <c r="Q4" i="23" s="1"/>
  <c r="O5" i="23"/>
  <c r="Q5" i="23" s="1"/>
  <c r="AJ166" i="27" l="1"/>
  <c r="AG137" i="27"/>
  <c r="AJ167" i="27" l="1"/>
  <c r="AG138" i="27"/>
  <c r="AJ168" i="27" l="1"/>
  <c r="AG139" i="27"/>
  <c r="AJ169" i="27" l="1"/>
  <c r="AG140" i="27"/>
  <c r="AJ170" i="27" l="1"/>
  <c r="AG141" i="27"/>
  <c r="AJ171" i="27" l="1"/>
  <c r="AG142" i="27"/>
  <c r="AJ172" i="27" l="1"/>
  <c r="AG143" i="27"/>
  <c r="AJ173" i="27" l="1"/>
  <c r="AG144" i="27"/>
  <c r="AJ174" i="27" l="1"/>
  <c r="AG145" i="27"/>
  <c r="AJ175" i="27" l="1"/>
  <c r="AG146" i="27"/>
  <c r="AJ176" i="27" l="1"/>
  <c r="AG147" i="27"/>
  <c r="AJ177" i="27" l="1"/>
  <c r="AG148" i="27"/>
  <c r="AJ178" i="27" l="1"/>
  <c r="AG149" i="27"/>
  <c r="AJ179" i="27" l="1"/>
  <c r="AG150" i="27"/>
  <c r="AJ180" i="27" l="1"/>
  <c r="AG151" i="27"/>
  <c r="AJ181" i="27" l="1"/>
  <c r="AG152" i="27"/>
  <c r="AJ182" i="27" l="1"/>
  <c r="AG153" i="27"/>
  <c r="AJ183" i="27" l="1"/>
  <c r="AG154" i="27"/>
  <c r="AJ184" i="27" l="1"/>
  <c r="AG155" i="27"/>
  <c r="AJ185" i="27" l="1"/>
  <c r="AG156" i="27"/>
  <c r="AJ186" i="27" l="1"/>
  <c r="AG157" i="27"/>
  <c r="AJ187" i="27" l="1"/>
  <c r="AG158" i="27"/>
  <c r="AJ188" i="27" l="1"/>
  <c r="AG159" i="27"/>
  <c r="AJ189" i="27" l="1"/>
  <c r="AG160" i="27"/>
  <c r="AJ190" i="27" l="1"/>
  <c r="AG161" i="27"/>
  <c r="AJ191" i="27" l="1"/>
  <c r="AG162" i="27"/>
  <c r="AJ192" i="27" l="1"/>
  <c r="AG163" i="27"/>
  <c r="AJ193" i="27" l="1"/>
  <c r="AG164" i="27"/>
  <c r="AJ195" i="27" l="1"/>
  <c r="AJ194" i="27"/>
  <c r="AG165" i="27"/>
  <c r="AG166" i="27" l="1"/>
  <c r="T266" i="3"/>
  <c r="S266" i="3"/>
  <c r="R266" i="3"/>
  <c r="Q266" i="3"/>
  <c r="T265" i="3"/>
  <c r="S265" i="3"/>
  <c r="R265" i="3"/>
  <c r="Q265" i="3"/>
  <c r="T264" i="3"/>
  <c r="S264" i="3"/>
  <c r="R264" i="3"/>
  <c r="Q264" i="3"/>
  <c r="T263" i="3"/>
  <c r="S263" i="3"/>
  <c r="R263" i="3"/>
  <c r="Q263" i="3"/>
  <c r="T262" i="3"/>
  <c r="S262" i="3"/>
  <c r="R262" i="3"/>
  <c r="Q262" i="3"/>
  <c r="T261" i="3"/>
  <c r="S261" i="3"/>
  <c r="R261" i="3"/>
  <c r="Q261" i="3"/>
  <c r="T260" i="3"/>
  <c r="S260" i="3"/>
  <c r="R260" i="3"/>
  <c r="Q260" i="3"/>
  <c r="T259" i="3"/>
  <c r="S259" i="3"/>
  <c r="R259" i="3"/>
  <c r="Q259" i="3"/>
  <c r="T258" i="3"/>
  <c r="S258" i="3"/>
  <c r="R258" i="3"/>
  <c r="Q258" i="3"/>
  <c r="T257" i="3"/>
  <c r="S257" i="3"/>
  <c r="R257" i="3"/>
  <c r="Q257" i="3"/>
  <c r="T256" i="3"/>
  <c r="S256" i="3"/>
  <c r="R256" i="3"/>
  <c r="Q256" i="3"/>
  <c r="T255" i="3"/>
  <c r="S255" i="3"/>
  <c r="R255" i="3"/>
  <c r="Q255" i="3"/>
  <c r="T254" i="3"/>
  <c r="S254" i="3"/>
  <c r="R254" i="3"/>
  <c r="Q254" i="3"/>
  <c r="T253" i="3"/>
  <c r="S253" i="3"/>
  <c r="R253" i="3"/>
  <c r="Q253" i="3"/>
  <c r="T252" i="3"/>
  <c r="S252" i="3"/>
  <c r="R252" i="3"/>
  <c r="Q252" i="3"/>
  <c r="T251" i="3"/>
  <c r="S251" i="3"/>
  <c r="R251" i="3"/>
  <c r="Q251" i="3"/>
  <c r="T250" i="3"/>
  <c r="S250" i="3"/>
  <c r="R250" i="3"/>
  <c r="Q250" i="3"/>
  <c r="T249" i="3"/>
  <c r="S249" i="3"/>
  <c r="R249" i="3"/>
  <c r="Q249" i="3"/>
  <c r="T248" i="3"/>
  <c r="S248" i="3"/>
  <c r="R248" i="3"/>
  <c r="Q248" i="3"/>
  <c r="T247" i="3"/>
  <c r="S247" i="3"/>
  <c r="R247" i="3"/>
  <c r="Q247" i="3"/>
  <c r="T246" i="3"/>
  <c r="S246" i="3"/>
  <c r="R246" i="3"/>
  <c r="Q246" i="3"/>
  <c r="T245" i="3"/>
  <c r="S245" i="3"/>
  <c r="R245" i="3"/>
  <c r="Q245" i="3"/>
  <c r="T244" i="3"/>
  <c r="S244" i="3"/>
  <c r="R244" i="3"/>
  <c r="Q244" i="3"/>
  <c r="T243" i="3"/>
  <c r="S243" i="3"/>
  <c r="R243" i="3"/>
  <c r="Q243" i="3"/>
  <c r="T242" i="3"/>
  <c r="S242" i="3"/>
  <c r="R242" i="3"/>
  <c r="Q242" i="3"/>
  <c r="T241" i="3"/>
  <c r="S241" i="3"/>
  <c r="R241" i="3"/>
  <c r="Q241" i="3"/>
  <c r="T240" i="3"/>
  <c r="S240" i="3"/>
  <c r="R240" i="3"/>
  <c r="Q240" i="3"/>
  <c r="T239" i="3"/>
  <c r="S239" i="3"/>
  <c r="R239" i="3"/>
  <c r="Q239" i="3"/>
  <c r="T238" i="3"/>
  <c r="S238" i="3"/>
  <c r="R238" i="3"/>
  <c r="Q238" i="3"/>
  <c r="T237" i="3"/>
  <c r="S237" i="3"/>
  <c r="R237" i="3"/>
  <c r="Q237" i="3"/>
  <c r="T236" i="3"/>
  <c r="S236" i="3"/>
  <c r="R236" i="3"/>
  <c r="Q236" i="3"/>
  <c r="T235" i="3"/>
  <c r="S235" i="3"/>
  <c r="R235" i="3"/>
  <c r="Q235" i="3"/>
  <c r="T234" i="3"/>
  <c r="S234" i="3"/>
  <c r="R234" i="3"/>
  <c r="Q234" i="3"/>
  <c r="T233" i="3"/>
  <c r="S233" i="3"/>
  <c r="R233" i="3"/>
  <c r="Q233" i="3"/>
  <c r="T232" i="3"/>
  <c r="S232" i="3"/>
  <c r="R232" i="3"/>
  <c r="Q232" i="3"/>
  <c r="T231" i="3"/>
  <c r="S231" i="3"/>
  <c r="R231" i="3"/>
  <c r="Q231" i="3"/>
  <c r="T230" i="3"/>
  <c r="S230" i="3"/>
  <c r="R230" i="3"/>
  <c r="Q230" i="3"/>
  <c r="T229" i="3"/>
  <c r="S229" i="3"/>
  <c r="R229" i="3"/>
  <c r="Q229" i="3"/>
  <c r="T228" i="3"/>
  <c r="S228" i="3"/>
  <c r="R228" i="3"/>
  <c r="Q228" i="3"/>
  <c r="T227" i="3"/>
  <c r="S227" i="3"/>
  <c r="R227" i="3"/>
  <c r="Q227" i="3"/>
  <c r="T226" i="3"/>
  <c r="S226" i="3"/>
  <c r="R226" i="3"/>
  <c r="Q226" i="3"/>
  <c r="T225" i="3"/>
  <c r="S225" i="3"/>
  <c r="R225" i="3"/>
  <c r="Q225" i="3"/>
  <c r="T224" i="3"/>
  <c r="S224" i="3"/>
  <c r="R224" i="3"/>
  <c r="Q224" i="3"/>
  <c r="T223" i="3"/>
  <c r="S223" i="3"/>
  <c r="R223" i="3"/>
  <c r="Q223" i="3"/>
  <c r="T222" i="3"/>
  <c r="S222" i="3"/>
  <c r="R222" i="3"/>
  <c r="Q222" i="3"/>
  <c r="T221" i="3"/>
  <c r="S221" i="3"/>
  <c r="R221" i="3"/>
  <c r="Q221" i="3"/>
  <c r="T220" i="3"/>
  <c r="S220" i="3"/>
  <c r="R220" i="3"/>
  <c r="Q220" i="3"/>
  <c r="T219" i="3"/>
  <c r="S219" i="3"/>
  <c r="R219" i="3"/>
  <c r="Q219" i="3"/>
  <c r="T218" i="3"/>
  <c r="S218" i="3"/>
  <c r="R218" i="3"/>
  <c r="Q218" i="3"/>
  <c r="T217" i="3"/>
  <c r="S217" i="3"/>
  <c r="R217" i="3"/>
  <c r="Q217" i="3"/>
  <c r="T216" i="3"/>
  <c r="S216" i="3"/>
  <c r="R216" i="3"/>
  <c r="Q216" i="3"/>
  <c r="T215" i="3"/>
  <c r="S215" i="3"/>
  <c r="R215" i="3"/>
  <c r="Q215" i="3"/>
  <c r="T214" i="3"/>
  <c r="S214" i="3"/>
  <c r="R214" i="3"/>
  <c r="Q214" i="3"/>
  <c r="T213" i="3"/>
  <c r="S213" i="3"/>
  <c r="R213" i="3"/>
  <c r="Q213" i="3"/>
  <c r="T212" i="3"/>
  <c r="S212" i="3"/>
  <c r="R212" i="3"/>
  <c r="Q212" i="3"/>
  <c r="T211" i="3"/>
  <c r="S211" i="3"/>
  <c r="R211" i="3"/>
  <c r="Q211" i="3"/>
  <c r="T210" i="3"/>
  <c r="S210" i="3"/>
  <c r="R210" i="3"/>
  <c r="Q210" i="3"/>
  <c r="T209" i="3"/>
  <c r="S209" i="3"/>
  <c r="R209" i="3"/>
  <c r="Q209" i="3"/>
  <c r="T208" i="3"/>
  <c r="S208" i="3"/>
  <c r="R208" i="3"/>
  <c r="Q208" i="3"/>
  <c r="T207" i="3"/>
  <c r="S207" i="3"/>
  <c r="R207" i="3"/>
  <c r="Q207" i="3"/>
  <c r="T206" i="3"/>
  <c r="S206" i="3"/>
  <c r="R206" i="3"/>
  <c r="Q206" i="3"/>
  <c r="T205" i="3"/>
  <c r="S205" i="3"/>
  <c r="R205" i="3"/>
  <c r="Q205" i="3"/>
  <c r="T204" i="3"/>
  <c r="S204" i="3"/>
  <c r="R204" i="3"/>
  <c r="Q204" i="3"/>
  <c r="T203" i="3"/>
  <c r="S203" i="3"/>
  <c r="R203" i="3"/>
  <c r="Q203" i="3"/>
  <c r="T202" i="3"/>
  <c r="S202" i="3"/>
  <c r="R202" i="3"/>
  <c r="Q202" i="3"/>
  <c r="T201" i="3"/>
  <c r="S201" i="3"/>
  <c r="R201" i="3"/>
  <c r="Q201" i="3"/>
  <c r="T200" i="3"/>
  <c r="S200" i="3"/>
  <c r="R200" i="3"/>
  <c r="Q200" i="3"/>
  <c r="T199" i="3"/>
  <c r="S199" i="3"/>
  <c r="R199" i="3"/>
  <c r="Q199" i="3"/>
  <c r="T198" i="3"/>
  <c r="S198" i="3"/>
  <c r="R198" i="3"/>
  <c r="Q198" i="3"/>
  <c r="T197" i="3"/>
  <c r="S197" i="3"/>
  <c r="R197" i="3"/>
  <c r="Q197" i="3"/>
  <c r="T196" i="3"/>
  <c r="S196" i="3"/>
  <c r="R196" i="3"/>
  <c r="Q196" i="3"/>
  <c r="T195" i="3"/>
  <c r="S195" i="3"/>
  <c r="R195" i="3"/>
  <c r="Q195" i="3"/>
  <c r="T194" i="3"/>
  <c r="S194" i="3"/>
  <c r="R194" i="3"/>
  <c r="Q194" i="3"/>
  <c r="T193" i="3"/>
  <c r="S193" i="3"/>
  <c r="R193" i="3"/>
  <c r="Q193" i="3"/>
  <c r="T192" i="3"/>
  <c r="S192" i="3"/>
  <c r="R192" i="3"/>
  <c r="Q192" i="3"/>
  <c r="T191" i="3"/>
  <c r="S191" i="3"/>
  <c r="R191" i="3"/>
  <c r="Q191" i="3"/>
  <c r="T190" i="3"/>
  <c r="S190" i="3"/>
  <c r="R190" i="3"/>
  <c r="Q190" i="3"/>
  <c r="T189" i="3"/>
  <c r="S189" i="3"/>
  <c r="R189" i="3"/>
  <c r="Q189" i="3"/>
  <c r="T188" i="3"/>
  <c r="S188" i="3"/>
  <c r="R188" i="3"/>
  <c r="Q188" i="3"/>
  <c r="T187" i="3"/>
  <c r="S187" i="3"/>
  <c r="R187" i="3"/>
  <c r="Q187" i="3"/>
  <c r="T186" i="3"/>
  <c r="S186" i="3"/>
  <c r="R186" i="3"/>
  <c r="Q186" i="3"/>
  <c r="T185" i="3"/>
  <c r="S185" i="3"/>
  <c r="R185" i="3"/>
  <c r="Q185" i="3"/>
  <c r="T184" i="3"/>
  <c r="S184" i="3"/>
  <c r="R184" i="3"/>
  <c r="Q184" i="3"/>
  <c r="T183" i="3"/>
  <c r="S183" i="3"/>
  <c r="R183" i="3"/>
  <c r="Q183" i="3"/>
  <c r="T182" i="3"/>
  <c r="S182" i="3"/>
  <c r="R182" i="3"/>
  <c r="Q182" i="3"/>
  <c r="T181" i="3"/>
  <c r="S181" i="3"/>
  <c r="R181" i="3"/>
  <c r="Q181" i="3"/>
  <c r="T180" i="3"/>
  <c r="S180" i="3"/>
  <c r="R180" i="3"/>
  <c r="Q180" i="3"/>
  <c r="T179" i="3"/>
  <c r="S179" i="3"/>
  <c r="R179" i="3"/>
  <c r="Q179" i="3"/>
  <c r="T178" i="3"/>
  <c r="S178" i="3"/>
  <c r="R178" i="3"/>
  <c r="Q178" i="3"/>
  <c r="T177" i="3"/>
  <c r="S177" i="3"/>
  <c r="R177" i="3"/>
  <c r="Q177" i="3"/>
  <c r="T176" i="3"/>
  <c r="S176" i="3"/>
  <c r="R176" i="3"/>
  <c r="Q176" i="3"/>
  <c r="T175" i="3"/>
  <c r="S175" i="3"/>
  <c r="R175" i="3"/>
  <c r="Q175" i="3"/>
  <c r="T174" i="3"/>
  <c r="S174" i="3"/>
  <c r="R174" i="3"/>
  <c r="Q174" i="3"/>
  <c r="T173" i="3"/>
  <c r="S173" i="3"/>
  <c r="R173" i="3"/>
  <c r="Q173" i="3"/>
  <c r="T172" i="3"/>
  <c r="S172" i="3"/>
  <c r="R172" i="3"/>
  <c r="Q172" i="3"/>
  <c r="T171" i="3"/>
  <c r="S171" i="3"/>
  <c r="R171" i="3"/>
  <c r="Q171" i="3"/>
  <c r="T170" i="3"/>
  <c r="S170" i="3"/>
  <c r="R170" i="3"/>
  <c r="Q170" i="3"/>
  <c r="T169" i="3"/>
  <c r="S169" i="3"/>
  <c r="R169" i="3"/>
  <c r="Q169" i="3"/>
  <c r="T168" i="3"/>
  <c r="S168" i="3"/>
  <c r="R168" i="3"/>
  <c r="Q168" i="3"/>
  <c r="T167" i="3"/>
  <c r="S167" i="3"/>
  <c r="R167" i="3"/>
  <c r="Q167" i="3"/>
  <c r="T166" i="3"/>
  <c r="S166" i="3"/>
  <c r="R166" i="3"/>
  <c r="Q166" i="3"/>
  <c r="T165" i="3"/>
  <c r="S165" i="3"/>
  <c r="R165" i="3"/>
  <c r="Q165" i="3"/>
  <c r="T164" i="3"/>
  <c r="S164" i="3"/>
  <c r="R164" i="3"/>
  <c r="Q164" i="3"/>
  <c r="T163" i="3"/>
  <c r="S163" i="3"/>
  <c r="R163" i="3"/>
  <c r="Q163" i="3"/>
  <c r="T162" i="3"/>
  <c r="S162" i="3"/>
  <c r="R162" i="3"/>
  <c r="Q162" i="3"/>
  <c r="T161" i="3"/>
  <c r="S161" i="3"/>
  <c r="R161" i="3"/>
  <c r="Q161" i="3"/>
  <c r="T160" i="3"/>
  <c r="S160" i="3"/>
  <c r="R160" i="3"/>
  <c r="Q160" i="3"/>
  <c r="T159" i="3"/>
  <c r="S159" i="3"/>
  <c r="R159" i="3"/>
  <c r="Q159" i="3"/>
  <c r="T158" i="3"/>
  <c r="S158" i="3"/>
  <c r="R158" i="3"/>
  <c r="Q158" i="3"/>
  <c r="T157" i="3"/>
  <c r="S157" i="3"/>
  <c r="R157" i="3"/>
  <c r="Q157" i="3"/>
  <c r="T156" i="3"/>
  <c r="S156" i="3"/>
  <c r="R156" i="3"/>
  <c r="Q156" i="3"/>
  <c r="T155" i="3"/>
  <c r="S155" i="3"/>
  <c r="R155" i="3"/>
  <c r="Q155" i="3"/>
  <c r="T154" i="3"/>
  <c r="S154" i="3"/>
  <c r="R154" i="3"/>
  <c r="Q154" i="3"/>
  <c r="T153" i="3"/>
  <c r="S153" i="3"/>
  <c r="R153" i="3"/>
  <c r="Q153" i="3"/>
  <c r="T152" i="3"/>
  <c r="S152" i="3"/>
  <c r="R152" i="3"/>
  <c r="Q152" i="3"/>
  <c r="T151" i="3"/>
  <c r="S151" i="3"/>
  <c r="R151" i="3"/>
  <c r="Q151" i="3"/>
  <c r="T150" i="3"/>
  <c r="S150" i="3"/>
  <c r="R150" i="3"/>
  <c r="Q150" i="3"/>
  <c r="T149" i="3"/>
  <c r="S149" i="3"/>
  <c r="R149" i="3"/>
  <c r="Q149" i="3"/>
  <c r="T148" i="3"/>
  <c r="S148" i="3"/>
  <c r="R148" i="3"/>
  <c r="Q148" i="3"/>
  <c r="T147" i="3"/>
  <c r="S147" i="3"/>
  <c r="R147" i="3"/>
  <c r="Q147" i="3"/>
  <c r="T146" i="3"/>
  <c r="S146" i="3"/>
  <c r="R146" i="3"/>
  <c r="Q146" i="3"/>
  <c r="T145" i="3"/>
  <c r="S145" i="3"/>
  <c r="R145" i="3"/>
  <c r="Q145" i="3"/>
  <c r="T144" i="3"/>
  <c r="S144" i="3"/>
  <c r="R144" i="3"/>
  <c r="Q144" i="3"/>
  <c r="T143" i="3"/>
  <c r="S143" i="3"/>
  <c r="R143" i="3"/>
  <c r="Q143" i="3"/>
  <c r="T142" i="3"/>
  <c r="S142" i="3"/>
  <c r="R142" i="3"/>
  <c r="Q142" i="3"/>
  <c r="T141" i="3"/>
  <c r="S141" i="3"/>
  <c r="R141" i="3"/>
  <c r="Q141" i="3"/>
  <c r="T140" i="3"/>
  <c r="S140" i="3"/>
  <c r="R140" i="3"/>
  <c r="Q140" i="3"/>
  <c r="T139" i="3"/>
  <c r="S139" i="3"/>
  <c r="R139" i="3"/>
  <c r="Q139" i="3"/>
  <c r="T138" i="3"/>
  <c r="S138" i="3"/>
  <c r="R138" i="3"/>
  <c r="Q138" i="3"/>
  <c r="T137" i="3"/>
  <c r="S137" i="3"/>
  <c r="R137" i="3"/>
  <c r="Q137" i="3"/>
  <c r="T136" i="3"/>
  <c r="S136" i="3"/>
  <c r="R136" i="3"/>
  <c r="Q136" i="3"/>
  <c r="T135" i="3"/>
  <c r="S135" i="3"/>
  <c r="R135" i="3"/>
  <c r="Q135" i="3"/>
  <c r="T134" i="3"/>
  <c r="S134" i="3"/>
  <c r="R134" i="3"/>
  <c r="Q134" i="3"/>
  <c r="T133" i="3"/>
  <c r="S133" i="3"/>
  <c r="R133" i="3"/>
  <c r="Q133" i="3"/>
  <c r="T132" i="3"/>
  <c r="S132" i="3"/>
  <c r="R132" i="3"/>
  <c r="Q132" i="3"/>
  <c r="T131" i="3"/>
  <c r="S131" i="3"/>
  <c r="R131" i="3"/>
  <c r="Q131" i="3"/>
  <c r="T130" i="3"/>
  <c r="S130" i="3"/>
  <c r="R130" i="3"/>
  <c r="Q130" i="3"/>
  <c r="T129" i="3"/>
  <c r="S129" i="3"/>
  <c r="R129" i="3"/>
  <c r="Q129" i="3"/>
  <c r="T128" i="3"/>
  <c r="S128" i="3"/>
  <c r="R128" i="3"/>
  <c r="Q128" i="3"/>
  <c r="T127" i="3"/>
  <c r="S127" i="3"/>
  <c r="R127" i="3"/>
  <c r="Q127" i="3"/>
  <c r="T126" i="3"/>
  <c r="S126" i="3"/>
  <c r="R126" i="3"/>
  <c r="Q126" i="3"/>
  <c r="T125" i="3"/>
  <c r="S125" i="3"/>
  <c r="R125" i="3"/>
  <c r="Q125" i="3"/>
  <c r="T124" i="3"/>
  <c r="S124" i="3"/>
  <c r="R124" i="3"/>
  <c r="Q124" i="3"/>
  <c r="T123" i="3"/>
  <c r="S123" i="3"/>
  <c r="R123" i="3"/>
  <c r="Q123" i="3"/>
  <c r="T122" i="3"/>
  <c r="S122" i="3"/>
  <c r="R122" i="3"/>
  <c r="Q122" i="3"/>
  <c r="T121" i="3"/>
  <c r="S121" i="3"/>
  <c r="R121" i="3"/>
  <c r="Q121" i="3"/>
  <c r="T120" i="3"/>
  <c r="S120" i="3"/>
  <c r="R120" i="3"/>
  <c r="Q120" i="3"/>
  <c r="T119" i="3"/>
  <c r="S119" i="3"/>
  <c r="R119" i="3"/>
  <c r="Q119" i="3"/>
  <c r="T118" i="3"/>
  <c r="S118" i="3"/>
  <c r="R118" i="3"/>
  <c r="Q118" i="3"/>
  <c r="T117" i="3"/>
  <c r="S117" i="3"/>
  <c r="R117" i="3"/>
  <c r="Q117" i="3"/>
  <c r="T116" i="3"/>
  <c r="S116" i="3"/>
  <c r="R116" i="3"/>
  <c r="Q116" i="3"/>
  <c r="T115" i="3"/>
  <c r="S115" i="3"/>
  <c r="R115" i="3"/>
  <c r="Q115" i="3"/>
  <c r="T114" i="3"/>
  <c r="S114" i="3"/>
  <c r="R114" i="3"/>
  <c r="Q114" i="3"/>
  <c r="T113" i="3"/>
  <c r="S113" i="3"/>
  <c r="R113" i="3"/>
  <c r="Q113" i="3"/>
  <c r="T112" i="3"/>
  <c r="S112" i="3"/>
  <c r="R112" i="3"/>
  <c r="Q112" i="3"/>
  <c r="T111" i="3"/>
  <c r="S111" i="3"/>
  <c r="R111" i="3"/>
  <c r="Q111" i="3"/>
  <c r="T110" i="3"/>
  <c r="S110" i="3"/>
  <c r="R110" i="3"/>
  <c r="Q110" i="3"/>
  <c r="T109" i="3"/>
  <c r="S109" i="3"/>
  <c r="R109" i="3"/>
  <c r="Q109" i="3"/>
  <c r="T108" i="3"/>
  <c r="S108" i="3"/>
  <c r="R108" i="3"/>
  <c r="Q108" i="3"/>
  <c r="T107" i="3"/>
  <c r="S107" i="3"/>
  <c r="R107" i="3"/>
  <c r="Q107" i="3"/>
  <c r="T106" i="3"/>
  <c r="S106" i="3"/>
  <c r="R106" i="3"/>
  <c r="Q106" i="3"/>
  <c r="T105" i="3"/>
  <c r="S105" i="3"/>
  <c r="R105" i="3"/>
  <c r="Q105" i="3"/>
  <c r="T104" i="3"/>
  <c r="S104" i="3"/>
  <c r="R104" i="3"/>
  <c r="Q104" i="3"/>
  <c r="T103" i="3"/>
  <c r="S103" i="3"/>
  <c r="R103" i="3"/>
  <c r="T102" i="3"/>
  <c r="S102" i="3"/>
  <c r="R102" i="3"/>
  <c r="Q102" i="3"/>
  <c r="T101" i="3"/>
  <c r="S101" i="3"/>
  <c r="R101" i="3"/>
  <c r="T100" i="3"/>
  <c r="S100" i="3"/>
  <c r="R100" i="3"/>
  <c r="Q100" i="3"/>
  <c r="T99" i="3"/>
  <c r="S99" i="3"/>
  <c r="R99" i="3"/>
  <c r="T98" i="3"/>
  <c r="S98" i="3"/>
  <c r="R98" i="3"/>
  <c r="Q98" i="3"/>
  <c r="T97" i="3"/>
  <c r="S97" i="3"/>
  <c r="R97" i="3"/>
  <c r="T96" i="3"/>
  <c r="S96" i="3"/>
  <c r="R96" i="3"/>
  <c r="Q96" i="3"/>
  <c r="T95" i="3"/>
  <c r="S95" i="3"/>
  <c r="R95" i="3"/>
  <c r="T94" i="3"/>
  <c r="S94" i="3"/>
  <c r="R94" i="3"/>
  <c r="Q94" i="3"/>
  <c r="T93" i="3"/>
  <c r="S93" i="3"/>
  <c r="R93" i="3"/>
  <c r="T92" i="3"/>
  <c r="S92" i="3"/>
  <c r="R92" i="3"/>
  <c r="Q92" i="3"/>
  <c r="T91" i="3"/>
  <c r="S91" i="3"/>
  <c r="R91" i="3"/>
  <c r="T90" i="3"/>
  <c r="S90" i="3"/>
  <c r="R90" i="3"/>
  <c r="Q90" i="3"/>
  <c r="T89" i="3"/>
  <c r="S89" i="3"/>
  <c r="R89" i="3"/>
  <c r="T88" i="3"/>
  <c r="S88" i="3"/>
  <c r="R88" i="3"/>
  <c r="Q88" i="3"/>
  <c r="T87" i="3"/>
  <c r="S87" i="3"/>
  <c r="R87" i="3"/>
  <c r="T86" i="3"/>
  <c r="S86" i="3"/>
  <c r="R86" i="3"/>
  <c r="Q86" i="3"/>
  <c r="T85" i="3"/>
  <c r="S85" i="3"/>
  <c r="R85" i="3"/>
  <c r="T84" i="3"/>
  <c r="S84" i="3"/>
  <c r="R84" i="3"/>
  <c r="Q84" i="3"/>
  <c r="T83" i="3"/>
  <c r="S83" i="3"/>
  <c r="R83" i="3"/>
  <c r="T82" i="3"/>
  <c r="S82" i="3"/>
  <c r="R82" i="3"/>
  <c r="Q82" i="3"/>
  <c r="T81" i="3"/>
  <c r="S81" i="3"/>
  <c r="R81" i="3"/>
  <c r="Q81" i="3"/>
  <c r="T80" i="3"/>
  <c r="S80" i="3"/>
  <c r="R80" i="3"/>
  <c r="Q80" i="3"/>
  <c r="T79" i="3"/>
  <c r="S79" i="3"/>
  <c r="R79" i="3"/>
  <c r="Q79" i="3"/>
  <c r="T78" i="3"/>
  <c r="S78" i="3"/>
  <c r="R78" i="3"/>
  <c r="Q78" i="3"/>
  <c r="T77" i="3"/>
  <c r="S77" i="3"/>
  <c r="R77" i="3"/>
  <c r="Q77" i="3"/>
  <c r="T76" i="3"/>
  <c r="S76" i="3"/>
  <c r="R76" i="3"/>
  <c r="Q76" i="3"/>
  <c r="T75" i="3"/>
  <c r="S75" i="3"/>
  <c r="R75" i="3"/>
  <c r="Q75" i="3"/>
  <c r="T74" i="3"/>
  <c r="S74" i="3"/>
  <c r="R74" i="3"/>
  <c r="Q74" i="3"/>
  <c r="T73" i="3"/>
  <c r="S73" i="3"/>
  <c r="R73" i="3"/>
  <c r="Q73" i="3"/>
  <c r="T72" i="3"/>
  <c r="S72" i="3"/>
  <c r="R72" i="3"/>
  <c r="Q72" i="3"/>
  <c r="T71" i="3"/>
  <c r="S71" i="3"/>
  <c r="R71" i="3"/>
  <c r="Q71" i="3"/>
  <c r="T70" i="3"/>
  <c r="S70" i="3"/>
  <c r="R70" i="3"/>
  <c r="Q70" i="3"/>
  <c r="T69" i="3"/>
  <c r="S69" i="3"/>
  <c r="R69" i="3"/>
  <c r="Q69" i="3"/>
  <c r="T68" i="3"/>
  <c r="S68" i="3"/>
  <c r="R68" i="3"/>
  <c r="Q68" i="3"/>
  <c r="T67" i="3"/>
  <c r="S67" i="3"/>
  <c r="R67" i="3"/>
  <c r="Q67" i="3"/>
  <c r="T66" i="3"/>
  <c r="S66" i="3"/>
  <c r="R66" i="3"/>
  <c r="Q66" i="3"/>
  <c r="T65" i="3"/>
  <c r="S65" i="3"/>
  <c r="R65" i="3"/>
  <c r="Q65" i="3"/>
  <c r="T64" i="3"/>
  <c r="S64" i="3"/>
  <c r="R64" i="3"/>
  <c r="Q64" i="3"/>
  <c r="T63" i="3"/>
  <c r="S63" i="3"/>
  <c r="R63" i="3"/>
  <c r="Q63" i="3"/>
  <c r="T62" i="3"/>
  <c r="S62" i="3"/>
  <c r="R62" i="3"/>
  <c r="Q62" i="3"/>
  <c r="T61" i="3"/>
  <c r="S61" i="3"/>
  <c r="R61" i="3"/>
  <c r="Q61" i="3"/>
  <c r="T60" i="3"/>
  <c r="S60" i="3"/>
  <c r="R60" i="3"/>
  <c r="Q60" i="3"/>
  <c r="T59" i="3"/>
  <c r="S59" i="3"/>
  <c r="R59" i="3"/>
  <c r="Q59" i="3"/>
  <c r="T58" i="3"/>
  <c r="S58" i="3"/>
  <c r="R58" i="3"/>
  <c r="Q58" i="3"/>
  <c r="T57" i="3"/>
  <c r="S57" i="3"/>
  <c r="R57" i="3"/>
  <c r="Q57" i="3"/>
  <c r="T56" i="3"/>
  <c r="S56" i="3"/>
  <c r="R56" i="3"/>
  <c r="Q56" i="3"/>
  <c r="T55" i="3"/>
  <c r="S55" i="3"/>
  <c r="R55" i="3"/>
  <c r="Q55" i="3"/>
  <c r="T54" i="3"/>
  <c r="S54" i="3"/>
  <c r="R54" i="3"/>
  <c r="Q54" i="3"/>
  <c r="T53" i="3"/>
  <c r="S53" i="3"/>
  <c r="R53" i="3"/>
  <c r="Q53" i="3"/>
  <c r="T52" i="3"/>
  <c r="S52" i="3"/>
  <c r="R52" i="3"/>
  <c r="Q52" i="3"/>
  <c r="T51" i="3"/>
  <c r="S51" i="3"/>
  <c r="R51" i="3"/>
  <c r="Q51" i="3"/>
  <c r="T50" i="3"/>
  <c r="S50" i="3"/>
  <c r="R50" i="3"/>
  <c r="Q50" i="3"/>
  <c r="T49" i="3"/>
  <c r="S49" i="3"/>
  <c r="R49" i="3"/>
  <c r="Q49" i="3"/>
  <c r="T48" i="3"/>
  <c r="S48" i="3"/>
  <c r="R48" i="3"/>
  <c r="Q48" i="3"/>
  <c r="T47" i="3"/>
  <c r="S47" i="3"/>
  <c r="R47" i="3"/>
  <c r="Q47" i="3"/>
  <c r="T46" i="3"/>
  <c r="S46" i="3"/>
  <c r="R46" i="3"/>
  <c r="Q46" i="3"/>
  <c r="T45" i="3"/>
  <c r="S45" i="3"/>
  <c r="R45" i="3"/>
  <c r="Q45" i="3"/>
  <c r="T44" i="3"/>
  <c r="S44" i="3"/>
  <c r="R44" i="3"/>
  <c r="Q44" i="3"/>
  <c r="T43" i="3"/>
  <c r="S43" i="3"/>
  <c r="R43" i="3"/>
  <c r="Q43" i="3"/>
  <c r="T42" i="3"/>
  <c r="S42" i="3"/>
  <c r="R42" i="3"/>
  <c r="Q42" i="3"/>
  <c r="T41" i="3"/>
  <c r="S41" i="3"/>
  <c r="R41" i="3"/>
  <c r="Q41" i="3"/>
  <c r="T40" i="3"/>
  <c r="S40" i="3"/>
  <c r="R40" i="3"/>
  <c r="Q40" i="3"/>
  <c r="T39" i="3"/>
  <c r="S39" i="3"/>
  <c r="R39" i="3"/>
  <c r="Q39" i="3"/>
  <c r="T38" i="3"/>
  <c r="S38" i="3"/>
  <c r="R38" i="3"/>
  <c r="Q38" i="3"/>
  <c r="T37" i="3"/>
  <c r="S37" i="3"/>
  <c r="R37" i="3"/>
  <c r="Q37" i="3"/>
  <c r="T36" i="3"/>
  <c r="S36" i="3"/>
  <c r="R36" i="3"/>
  <c r="Q36" i="3"/>
  <c r="T35" i="3"/>
  <c r="S35" i="3"/>
  <c r="R35" i="3"/>
  <c r="Q35" i="3"/>
  <c r="T34" i="3"/>
  <c r="S34" i="3"/>
  <c r="R34" i="3"/>
  <c r="Q34" i="3"/>
  <c r="T33" i="3"/>
  <c r="S33" i="3"/>
  <c r="R33" i="3"/>
  <c r="Q33" i="3"/>
  <c r="T32" i="3"/>
  <c r="S32" i="3"/>
  <c r="R32" i="3"/>
  <c r="Q32" i="3"/>
  <c r="T31" i="3"/>
  <c r="S31" i="3"/>
  <c r="R31" i="3"/>
  <c r="Q31" i="3"/>
  <c r="T30" i="3"/>
  <c r="S30" i="3"/>
  <c r="R30" i="3"/>
  <c r="Q30" i="3"/>
  <c r="T29" i="3"/>
  <c r="S29" i="3"/>
  <c r="R29" i="3"/>
  <c r="Q29" i="3"/>
  <c r="T28" i="3"/>
  <c r="S28" i="3"/>
  <c r="R28" i="3"/>
  <c r="Q28" i="3"/>
  <c r="T27" i="3"/>
  <c r="S27" i="3"/>
  <c r="R27" i="3"/>
  <c r="Q27" i="3"/>
  <c r="T26" i="3"/>
  <c r="S26" i="3"/>
  <c r="R26" i="3"/>
  <c r="Q26" i="3"/>
  <c r="T25" i="3"/>
  <c r="S25" i="3"/>
  <c r="R25" i="3"/>
  <c r="Q25" i="3"/>
  <c r="T24" i="3"/>
  <c r="S24" i="3"/>
  <c r="R24" i="3"/>
  <c r="Q24" i="3"/>
  <c r="T23" i="3"/>
  <c r="S23" i="3"/>
  <c r="R23" i="3"/>
  <c r="Q23" i="3"/>
  <c r="T22" i="3"/>
  <c r="S22" i="3"/>
  <c r="R22" i="3"/>
  <c r="Q22" i="3"/>
  <c r="T21" i="3"/>
  <c r="S21" i="3"/>
  <c r="R21" i="3"/>
  <c r="Q21" i="3"/>
  <c r="T20" i="3"/>
  <c r="S20" i="3"/>
  <c r="R20" i="3"/>
  <c r="Q20" i="3"/>
  <c r="T19" i="3"/>
  <c r="S19" i="3"/>
  <c r="R19" i="3"/>
  <c r="Q19" i="3"/>
  <c r="T18" i="3"/>
  <c r="S18" i="3"/>
  <c r="R18" i="3"/>
  <c r="Q18" i="3"/>
  <c r="T17" i="3"/>
  <c r="S17" i="3"/>
  <c r="R17" i="3"/>
  <c r="Q17" i="3"/>
  <c r="T16" i="3"/>
  <c r="S16" i="3"/>
  <c r="R16" i="3"/>
  <c r="Q16" i="3"/>
  <c r="T15" i="3"/>
  <c r="S15" i="3"/>
  <c r="R15" i="3"/>
  <c r="Q15" i="3"/>
  <c r="T14" i="3"/>
  <c r="S14" i="3"/>
  <c r="R14" i="3"/>
  <c r="Q14" i="3"/>
  <c r="T13" i="3"/>
  <c r="S13" i="3"/>
  <c r="R13" i="3"/>
  <c r="Q13" i="3"/>
  <c r="T12" i="3"/>
  <c r="S12" i="3"/>
  <c r="R12" i="3"/>
  <c r="Q12" i="3"/>
  <c r="Q11" i="3"/>
  <c r="T11" i="3"/>
  <c r="S11" i="3"/>
  <c r="R11" i="3"/>
  <c r="AG167" i="27" l="1"/>
  <c r="O57" i="3"/>
  <c r="O59" i="3"/>
  <c r="O61" i="3"/>
  <c r="O63" i="3"/>
  <c r="O65" i="3"/>
  <c r="O67" i="3"/>
  <c r="O69" i="3"/>
  <c r="O71" i="3"/>
  <c r="O82" i="3"/>
  <c r="O74" i="3"/>
  <c r="O73" i="3"/>
  <c r="O13" i="3"/>
  <c r="O15" i="3"/>
  <c r="O17" i="3"/>
  <c r="O19" i="3"/>
  <c r="O21" i="3"/>
  <c r="O23" i="3"/>
  <c r="O25" i="3"/>
  <c r="O27" i="3"/>
  <c r="O29" i="3"/>
  <c r="O31" i="3"/>
  <c r="O33" i="3"/>
  <c r="O35" i="3"/>
  <c r="O37" i="3"/>
  <c r="O39" i="3"/>
  <c r="O41" i="3"/>
  <c r="O43" i="3"/>
  <c r="O45" i="3"/>
  <c r="O47" i="3"/>
  <c r="O49" i="3"/>
  <c r="O51" i="3"/>
  <c r="O53" i="3"/>
  <c r="O55" i="3"/>
  <c r="O76" i="3"/>
  <c r="O78" i="3"/>
  <c r="O80" i="3"/>
  <c r="O83" i="3"/>
  <c r="O85" i="3"/>
  <c r="O87" i="3"/>
  <c r="O89" i="3"/>
  <c r="O91" i="3"/>
  <c r="O93" i="3"/>
  <c r="O95" i="3"/>
  <c r="O97" i="3"/>
  <c r="O99" i="3"/>
  <c r="O101" i="3"/>
  <c r="O103" i="3"/>
  <c r="O105" i="3"/>
  <c r="O107" i="3"/>
  <c r="O109" i="3"/>
  <c r="O111" i="3"/>
  <c r="O113" i="3"/>
  <c r="O115" i="3"/>
  <c r="O117" i="3"/>
  <c r="O119" i="3"/>
  <c r="O121" i="3"/>
  <c r="O123" i="3"/>
  <c r="O125" i="3"/>
  <c r="O127" i="3"/>
  <c r="O129" i="3"/>
  <c r="O131" i="3"/>
  <c r="O133" i="3"/>
  <c r="O135" i="3"/>
  <c r="O137" i="3"/>
  <c r="O139" i="3"/>
  <c r="O141" i="3"/>
  <c r="O11" i="3"/>
  <c r="O265" i="3"/>
  <c r="O263" i="3"/>
  <c r="O261" i="3"/>
  <c r="O259" i="3"/>
  <c r="O257" i="3"/>
  <c r="O255" i="3"/>
  <c r="O253" i="3"/>
  <c r="O251" i="3"/>
  <c r="O249" i="3"/>
  <c r="O247" i="3"/>
  <c r="O244" i="3"/>
  <c r="O242" i="3"/>
  <c r="O240" i="3"/>
  <c r="O238" i="3"/>
  <c r="O236" i="3"/>
  <c r="O234" i="3"/>
  <c r="O232" i="3"/>
  <c r="O230" i="3"/>
  <c r="O228" i="3"/>
  <c r="O226" i="3"/>
  <c r="O224" i="3"/>
  <c r="O222" i="3"/>
  <c r="O220" i="3"/>
  <c r="O218" i="3"/>
  <c r="O215" i="3"/>
  <c r="O213" i="3"/>
  <c r="O211" i="3"/>
  <c r="O209" i="3"/>
  <c r="O207" i="3"/>
  <c r="O205" i="3"/>
  <c r="O203" i="3"/>
  <c r="O201" i="3"/>
  <c r="O199" i="3"/>
  <c r="O197" i="3"/>
  <c r="O195" i="3"/>
  <c r="O193" i="3"/>
  <c r="O191" i="3"/>
  <c r="O189" i="3"/>
  <c r="O187" i="3"/>
  <c r="O185" i="3"/>
  <c r="O183" i="3"/>
  <c r="O181" i="3"/>
  <c r="O179" i="3"/>
  <c r="O177" i="3"/>
  <c r="O175" i="3"/>
  <c r="O173" i="3"/>
  <c r="O171" i="3"/>
  <c r="O169" i="3"/>
  <c r="O167" i="3"/>
  <c r="O165" i="3"/>
  <c r="O163" i="3"/>
  <c r="O161" i="3"/>
  <c r="O159" i="3"/>
  <c r="O157" i="3"/>
  <c r="O155" i="3"/>
  <c r="O153" i="3"/>
  <c r="O151" i="3"/>
  <c r="O149" i="3"/>
  <c r="O147" i="3"/>
  <c r="O145" i="3"/>
  <c r="O143" i="3"/>
  <c r="O12" i="3"/>
  <c r="O14" i="3"/>
  <c r="O16" i="3"/>
  <c r="O18" i="3"/>
  <c r="O20" i="3"/>
  <c r="O22" i="3"/>
  <c r="O24" i="3"/>
  <c r="O26" i="3"/>
  <c r="O28" i="3"/>
  <c r="O30" i="3"/>
  <c r="O32" i="3"/>
  <c r="O34" i="3"/>
  <c r="O36" i="3"/>
  <c r="O38" i="3"/>
  <c r="O40" i="3"/>
  <c r="O42" i="3"/>
  <c r="O44" i="3"/>
  <c r="O46" i="3"/>
  <c r="O48" i="3"/>
  <c r="O50" i="3"/>
  <c r="O52" i="3"/>
  <c r="O54" i="3"/>
  <c r="O56" i="3"/>
  <c r="O58" i="3"/>
  <c r="O60" i="3"/>
  <c r="O62" i="3"/>
  <c r="O64" i="3"/>
  <c r="O66" i="3"/>
  <c r="O68" i="3"/>
  <c r="O70" i="3"/>
  <c r="O72" i="3"/>
  <c r="O75" i="3"/>
  <c r="O77" i="3"/>
  <c r="O79" i="3"/>
  <c r="O81" i="3"/>
  <c r="Q83" i="3"/>
  <c r="O84" i="3"/>
  <c r="Q85" i="3"/>
  <c r="O86" i="3"/>
  <c r="Q87" i="3"/>
  <c r="O88" i="3"/>
  <c r="Q89" i="3"/>
  <c r="O90" i="3"/>
  <c r="Q91" i="3"/>
  <c r="O92" i="3"/>
  <c r="Q93" i="3"/>
  <c r="O94" i="3"/>
  <c r="Q95" i="3"/>
  <c r="O96" i="3"/>
  <c r="Q97" i="3"/>
  <c r="O98" i="3"/>
  <c r="Q99" i="3"/>
  <c r="O100" i="3"/>
  <c r="Q101" i="3"/>
  <c r="O102" i="3"/>
  <c r="Q103" i="3"/>
  <c r="O104" i="3"/>
  <c r="O106" i="3"/>
  <c r="O108" i="3"/>
  <c r="O110" i="3"/>
  <c r="O112" i="3"/>
  <c r="O114" i="3"/>
  <c r="O116" i="3"/>
  <c r="O118" i="3"/>
  <c r="O120" i="3"/>
  <c r="O122" i="3"/>
  <c r="O124" i="3"/>
  <c r="O126" i="3"/>
  <c r="O128" i="3"/>
  <c r="O130" i="3"/>
  <c r="O132" i="3"/>
  <c r="O134" i="3"/>
  <c r="O136" i="3"/>
  <c r="O138" i="3"/>
  <c r="O140" i="3"/>
  <c r="O142" i="3"/>
  <c r="O144" i="3"/>
  <c r="O146" i="3"/>
  <c r="O148" i="3"/>
  <c r="O150" i="3"/>
  <c r="O152" i="3"/>
  <c r="O154" i="3"/>
  <c r="O156" i="3"/>
  <c r="O158" i="3"/>
  <c r="O160" i="3"/>
  <c r="O162" i="3"/>
  <c r="O164" i="3"/>
  <c r="O166" i="3"/>
  <c r="O168" i="3"/>
  <c r="O170" i="3"/>
  <c r="O172" i="3"/>
  <c r="O174" i="3"/>
  <c r="O176" i="3"/>
  <c r="O178" i="3"/>
  <c r="O180" i="3"/>
  <c r="O182" i="3"/>
  <c r="O184" i="3"/>
  <c r="O186" i="3"/>
  <c r="O188" i="3"/>
  <c r="O190" i="3"/>
  <c r="O192" i="3"/>
  <c r="O194" i="3"/>
  <c r="O196" i="3"/>
  <c r="O198" i="3"/>
  <c r="O200" i="3"/>
  <c r="O202" i="3"/>
  <c r="O204" i="3"/>
  <c r="O206" i="3"/>
  <c r="O208" i="3"/>
  <c r="O210" i="3"/>
  <c r="O212" i="3"/>
  <c r="O214" i="3"/>
  <c r="O216" i="3"/>
  <c r="O217" i="3"/>
  <c r="O219" i="3"/>
  <c r="O221" i="3"/>
  <c r="O223" i="3"/>
  <c r="O225" i="3"/>
  <c r="O227" i="3"/>
  <c r="O229" i="3"/>
  <c r="O231" i="3"/>
  <c r="O233" i="3"/>
  <c r="O235" i="3"/>
  <c r="O237" i="3"/>
  <c r="O239" i="3"/>
  <c r="O241" i="3"/>
  <c r="O243" i="3"/>
  <c r="O245" i="3"/>
  <c r="O246" i="3"/>
  <c r="O248" i="3"/>
  <c r="O250" i="3"/>
  <c r="O252" i="3"/>
  <c r="O254" i="3"/>
  <c r="O256" i="3"/>
  <c r="O258" i="3"/>
  <c r="O260" i="3"/>
  <c r="O262" i="3"/>
  <c r="O264" i="3"/>
  <c r="O266" i="3"/>
  <c r="AG168" i="27" l="1"/>
  <c r="N260" i="3"/>
  <c r="P260" i="3"/>
  <c r="N252" i="3"/>
  <c r="P252" i="3"/>
  <c r="N245" i="3"/>
  <c r="P245" i="3"/>
  <c r="N266" i="3"/>
  <c r="P266" i="3"/>
  <c r="N262" i="3"/>
  <c r="P262" i="3"/>
  <c r="N258" i="3"/>
  <c r="P258" i="3"/>
  <c r="N254" i="3"/>
  <c r="P254" i="3"/>
  <c r="N250" i="3"/>
  <c r="P250" i="3"/>
  <c r="N246" i="3"/>
  <c r="P246" i="3"/>
  <c r="N243" i="3"/>
  <c r="P243" i="3"/>
  <c r="N239" i="3"/>
  <c r="P239" i="3"/>
  <c r="N235" i="3"/>
  <c r="P235" i="3"/>
  <c r="N231" i="3"/>
  <c r="P231" i="3"/>
  <c r="N227" i="3"/>
  <c r="P227" i="3"/>
  <c r="N223" i="3"/>
  <c r="P223" i="3"/>
  <c r="N219" i="3"/>
  <c r="P219" i="3"/>
  <c r="N216" i="3"/>
  <c r="P216" i="3"/>
  <c r="N212" i="3"/>
  <c r="P212" i="3"/>
  <c r="N208" i="3"/>
  <c r="P208" i="3"/>
  <c r="N204" i="3"/>
  <c r="P204" i="3"/>
  <c r="N200" i="3"/>
  <c r="P200" i="3"/>
  <c r="N196" i="3"/>
  <c r="P196" i="3"/>
  <c r="N192" i="3"/>
  <c r="P192" i="3"/>
  <c r="N188" i="3"/>
  <c r="P188" i="3"/>
  <c r="N184" i="3"/>
  <c r="P184" i="3"/>
  <c r="N180" i="3"/>
  <c r="P180" i="3"/>
  <c r="N176" i="3"/>
  <c r="P176" i="3"/>
  <c r="N172" i="3"/>
  <c r="P172" i="3"/>
  <c r="N168" i="3"/>
  <c r="P168" i="3"/>
  <c r="N164" i="3"/>
  <c r="P164" i="3"/>
  <c r="N160" i="3"/>
  <c r="P160" i="3"/>
  <c r="N156" i="3"/>
  <c r="P156" i="3"/>
  <c r="N152" i="3"/>
  <c r="P152" i="3"/>
  <c r="N148" i="3"/>
  <c r="P148" i="3"/>
  <c r="N144" i="3"/>
  <c r="P144" i="3"/>
  <c r="N140" i="3"/>
  <c r="P140" i="3"/>
  <c r="N136" i="3"/>
  <c r="P136" i="3"/>
  <c r="N132" i="3"/>
  <c r="P132" i="3"/>
  <c r="N128" i="3"/>
  <c r="P128" i="3"/>
  <c r="N124" i="3"/>
  <c r="P124" i="3"/>
  <c r="N120" i="3"/>
  <c r="P120" i="3"/>
  <c r="N116" i="3"/>
  <c r="P116" i="3"/>
  <c r="N112" i="3"/>
  <c r="P112" i="3"/>
  <c r="N108" i="3"/>
  <c r="P108" i="3"/>
  <c r="P104" i="3"/>
  <c r="N104" i="3"/>
  <c r="P102" i="3"/>
  <c r="N102" i="3"/>
  <c r="P100" i="3"/>
  <c r="N100" i="3"/>
  <c r="P98" i="3"/>
  <c r="N98" i="3"/>
  <c r="P96" i="3"/>
  <c r="N96" i="3"/>
  <c r="P94" i="3"/>
  <c r="N94" i="3"/>
  <c r="P92" i="3"/>
  <c r="N92" i="3"/>
  <c r="P90" i="3"/>
  <c r="N90" i="3"/>
  <c r="P88" i="3"/>
  <c r="N88" i="3"/>
  <c r="P86" i="3"/>
  <c r="N86" i="3"/>
  <c r="P84" i="3"/>
  <c r="N84" i="3"/>
  <c r="N81" i="3"/>
  <c r="P81" i="3"/>
  <c r="N77" i="3"/>
  <c r="P77" i="3"/>
  <c r="N72" i="3"/>
  <c r="P72" i="3"/>
  <c r="N68" i="3"/>
  <c r="P68" i="3"/>
  <c r="N64" i="3"/>
  <c r="P64" i="3"/>
  <c r="N60" i="3"/>
  <c r="P60" i="3"/>
  <c r="N56" i="3"/>
  <c r="P56" i="3"/>
  <c r="N52" i="3"/>
  <c r="P52" i="3"/>
  <c r="N48" i="3"/>
  <c r="P48" i="3"/>
  <c r="N44" i="3"/>
  <c r="P44" i="3"/>
  <c r="N40" i="3"/>
  <c r="P40" i="3"/>
  <c r="N36" i="3"/>
  <c r="P36" i="3"/>
  <c r="N32" i="3"/>
  <c r="P32" i="3"/>
  <c r="N28" i="3"/>
  <c r="P28" i="3"/>
  <c r="N24" i="3"/>
  <c r="P24" i="3"/>
  <c r="N20" i="3"/>
  <c r="P20" i="3"/>
  <c r="N16" i="3"/>
  <c r="P16" i="3"/>
  <c r="N12" i="3"/>
  <c r="P12" i="3"/>
  <c r="N145" i="3"/>
  <c r="P145" i="3"/>
  <c r="N149" i="3"/>
  <c r="P149" i="3"/>
  <c r="N153" i="3"/>
  <c r="P153" i="3"/>
  <c r="N157" i="3"/>
  <c r="P157" i="3"/>
  <c r="N161" i="3"/>
  <c r="P161" i="3"/>
  <c r="N165" i="3"/>
  <c r="P165" i="3"/>
  <c r="N169" i="3"/>
  <c r="P169" i="3"/>
  <c r="N173" i="3"/>
  <c r="P173" i="3"/>
  <c r="N177" i="3"/>
  <c r="P177" i="3"/>
  <c r="N181" i="3"/>
  <c r="P181" i="3"/>
  <c r="N185" i="3"/>
  <c r="P185" i="3"/>
  <c r="N189" i="3"/>
  <c r="P189" i="3"/>
  <c r="N193" i="3"/>
  <c r="P193" i="3"/>
  <c r="N197" i="3"/>
  <c r="P197" i="3"/>
  <c r="N201" i="3"/>
  <c r="P201" i="3"/>
  <c r="N205" i="3"/>
  <c r="P205" i="3"/>
  <c r="N209" i="3"/>
  <c r="P209" i="3"/>
  <c r="N213" i="3"/>
  <c r="P213" i="3"/>
  <c r="N218" i="3"/>
  <c r="P218" i="3"/>
  <c r="N222" i="3"/>
  <c r="P222" i="3"/>
  <c r="N226" i="3"/>
  <c r="P226" i="3"/>
  <c r="N230" i="3"/>
  <c r="P230" i="3"/>
  <c r="N234" i="3"/>
  <c r="P234" i="3"/>
  <c r="N238" i="3"/>
  <c r="P238" i="3"/>
  <c r="N242" i="3"/>
  <c r="P242" i="3"/>
  <c r="N247" i="3"/>
  <c r="P247" i="3"/>
  <c r="N251" i="3"/>
  <c r="P251" i="3"/>
  <c r="N255" i="3"/>
  <c r="P255" i="3"/>
  <c r="N259" i="3"/>
  <c r="P259" i="3"/>
  <c r="N263" i="3"/>
  <c r="P263" i="3"/>
  <c r="U266" i="3"/>
  <c r="U264" i="3"/>
  <c r="U262" i="3"/>
  <c r="U260" i="3"/>
  <c r="U258" i="3"/>
  <c r="U256" i="3"/>
  <c r="U254" i="3"/>
  <c r="U252" i="3"/>
  <c r="U250" i="3"/>
  <c r="U248" i="3"/>
  <c r="U246" i="3"/>
  <c r="U265" i="3"/>
  <c r="U263" i="3"/>
  <c r="U261" i="3"/>
  <c r="U259" i="3"/>
  <c r="U257" i="3"/>
  <c r="U255" i="3"/>
  <c r="U253" i="3"/>
  <c r="U251" i="3"/>
  <c r="U249" i="3"/>
  <c r="U247" i="3"/>
  <c r="U245" i="3"/>
  <c r="U243" i="3"/>
  <c r="U241" i="3"/>
  <c r="U239" i="3"/>
  <c r="U237" i="3"/>
  <c r="U235" i="3"/>
  <c r="U233" i="3"/>
  <c r="U231" i="3"/>
  <c r="U229" i="3"/>
  <c r="U227" i="3"/>
  <c r="U225" i="3"/>
  <c r="U223" i="3"/>
  <c r="U221" i="3"/>
  <c r="U219" i="3"/>
  <c r="U217" i="3"/>
  <c r="U244" i="3"/>
  <c r="U242" i="3"/>
  <c r="U240" i="3"/>
  <c r="U238" i="3"/>
  <c r="U236" i="3"/>
  <c r="U234" i="3"/>
  <c r="U232" i="3"/>
  <c r="U230" i="3"/>
  <c r="U228" i="3"/>
  <c r="U226" i="3"/>
  <c r="U224" i="3"/>
  <c r="U222" i="3"/>
  <c r="U220" i="3"/>
  <c r="U218" i="3"/>
  <c r="U216" i="3"/>
  <c r="U214" i="3"/>
  <c r="U212" i="3"/>
  <c r="U210" i="3"/>
  <c r="U208" i="3"/>
  <c r="U206" i="3"/>
  <c r="U204" i="3"/>
  <c r="U202" i="3"/>
  <c r="U200" i="3"/>
  <c r="U198" i="3"/>
  <c r="U196" i="3"/>
  <c r="U194" i="3"/>
  <c r="U192" i="3"/>
  <c r="U190" i="3"/>
  <c r="U188" i="3"/>
  <c r="U186" i="3"/>
  <c r="U184" i="3"/>
  <c r="U182" i="3"/>
  <c r="U180" i="3"/>
  <c r="U178" i="3"/>
  <c r="U176" i="3"/>
  <c r="U174" i="3"/>
  <c r="U172" i="3"/>
  <c r="U170" i="3"/>
  <c r="U168" i="3"/>
  <c r="U166" i="3"/>
  <c r="U164" i="3"/>
  <c r="U162" i="3"/>
  <c r="U160" i="3"/>
  <c r="U158" i="3"/>
  <c r="U156" i="3"/>
  <c r="U215" i="3"/>
  <c r="U213" i="3"/>
  <c r="U211" i="3"/>
  <c r="U209" i="3"/>
  <c r="U207" i="3"/>
  <c r="U205" i="3"/>
  <c r="U203" i="3"/>
  <c r="U201" i="3"/>
  <c r="U199" i="3"/>
  <c r="U197" i="3"/>
  <c r="U195" i="3"/>
  <c r="U193" i="3"/>
  <c r="U191" i="3"/>
  <c r="U189" i="3"/>
  <c r="U187" i="3"/>
  <c r="U185" i="3"/>
  <c r="U183" i="3"/>
  <c r="U181" i="3"/>
  <c r="U179" i="3"/>
  <c r="U177" i="3"/>
  <c r="U175" i="3"/>
  <c r="U173" i="3"/>
  <c r="U171" i="3"/>
  <c r="U169" i="3"/>
  <c r="U167" i="3"/>
  <c r="U165" i="3"/>
  <c r="U163" i="3"/>
  <c r="U161" i="3"/>
  <c r="U159" i="3"/>
  <c r="U157" i="3"/>
  <c r="U155" i="3"/>
  <c r="U154" i="3"/>
  <c r="U152" i="3"/>
  <c r="U150" i="3"/>
  <c r="U148" i="3"/>
  <c r="U146" i="3"/>
  <c r="U144" i="3"/>
  <c r="U142" i="3"/>
  <c r="U140" i="3"/>
  <c r="U138" i="3"/>
  <c r="U136" i="3"/>
  <c r="U134" i="3"/>
  <c r="U132" i="3"/>
  <c r="U130" i="3"/>
  <c r="U128" i="3"/>
  <c r="U126" i="3"/>
  <c r="U124" i="3"/>
  <c r="U122" i="3"/>
  <c r="U120" i="3"/>
  <c r="U118" i="3"/>
  <c r="U116" i="3"/>
  <c r="U114" i="3"/>
  <c r="U112" i="3"/>
  <c r="U110" i="3"/>
  <c r="U108" i="3"/>
  <c r="U106" i="3"/>
  <c r="U104" i="3"/>
  <c r="U102" i="3"/>
  <c r="U100" i="3"/>
  <c r="U98" i="3"/>
  <c r="U96" i="3"/>
  <c r="U94" i="3"/>
  <c r="U92" i="3"/>
  <c r="U90" i="3"/>
  <c r="U88" i="3"/>
  <c r="U86" i="3"/>
  <c r="U84" i="3"/>
  <c r="U81" i="3"/>
  <c r="U79" i="3"/>
  <c r="U77" i="3"/>
  <c r="U75" i="3"/>
  <c r="U153" i="3"/>
  <c r="U151" i="3"/>
  <c r="U149" i="3"/>
  <c r="U147" i="3"/>
  <c r="U145" i="3"/>
  <c r="U143" i="3"/>
  <c r="U141" i="3"/>
  <c r="U139" i="3"/>
  <c r="U137" i="3"/>
  <c r="U135" i="3"/>
  <c r="U133" i="3"/>
  <c r="U131" i="3"/>
  <c r="U129" i="3"/>
  <c r="U127" i="3"/>
  <c r="U125" i="3"/>
  <c r="U123" i="3"/>
  <c r="U121" i="3"/>
  <c r="U119" i="3"/>
  <c r="U117" i="3"/>
  <c r="U115" i="3"/>
  <c r="U113" i="3"/>
  <c r="U111" i="3"/>
  <c r="U109" i="3"/>
  <c r="U107" i="3"/>
  <c r="U105" i="3"/>
  <c r="U103" i="3"/>
  <c r="U101" i="3"/>
  <c r="U99" i="3"/>
  <c r="U97" i="3"/>
  <c r="U95" i="3"/>
  <c r="U93" i="3"/>
  <c r="U91" i="3"/>
  <c r="U89" i="3"/>
  <c r="U87" i="3"/>
  <c r="U85" i="3"/>
  <c r="U83" i="3"/>
  <c r="U82" i="3"/>
  <c r="U80" i="3"/>
  <c r="U78" i="3"/>
  <c r="U76" i="3"/>
  <c r="U74" i="3"/>
  <c r="U72" i="3"/>
  <c r="U70" i="3"/>
  <c r="U68" i="3"/>
  <c r="U66" i="3"/>
  <c r="U64" i="3"/>
  <c r="U62" i="3"/>
  <c r="U60" i="3"/>
  <c r="U58" i="3"/>
  <c r="U56" i="3"/>
  <c r="U54" i="3"/>
  <c r="U52" i="3"/>
  <c r="U50" i="3"/>
  <c r="U48" i="3"/>
  <c r="U46" i="3"/>
  <c r="U44" i="3"/>
  <c r="U42" i="3"/>
  <c r="U40" i="3"/>
  <c r="U38" i="3"/>
  <c r="U36" i="3"/>
  <c r="U34" i="3"/>
  <c r="U32" i="3"/>
  <c r="U30" i="3"/>
  <c r="U28" i="3"/>
  <c r="U26" i="3"/>
  <c r="U24" i="3"/>
  <c r="U22" i="3"/>
  <c r="U20" i="3"/>
  <c r="U18" i="3"/>
  <c r="U16" i="3"/>
  <c r="U14" i="3"/>
  <c r="U12" i="3"/>
  <c r="N11" i="3"/>
  <c r="P11" i="3"/>
  <c r="U11" i="3"/>
  <c r="U73" i="3"/>
  <c r="U71" i="3"/>
  <c r="U69" i="3"/>
  <c r="U67" i="3"/>
  <c r="U65" i="3"/>
  <c r="U63" i="3"/>
  <c r="U61" i="3"/>
  <c r="U59" i="3"/>
  <c r="U57" i="3"/>
  <c r="U55" i="3"/>
  <c r="U53" i="3"/>
  <c r="U51" i="3"/>
  <c r="U49" i="3"/>
  <c r="U47" i="3"/>
  <c r="U45" i="3"/>
  <c r="U43" i="3"/>
  <c r="U41" i="3"/>
  <c r="U39" i="3"/>
  <c r="U37" i="3"/>
  <c r="U35" i="3"/>
  <c r="U33" i="3"/>
  <c r="U31" i="3"/>
  <c r="U29" i="3"/>
  <c r="U27" i="3"/>
  <c r="U25" i="3"/>
  <c r="U23" i="3"/>
  <c r="U21" i="3"/>
  <c r="U19" i="3"/>
  <c r="U17" i="3"/>
  <c r="U15" i="3"/>
  <c r="U13" i="3"/>
  <c r="N139" i="3"/>
  <c r="P139" i="3"/>
  <c r="N135" i="3"/>
  <c r="P135" i="3"/>
  <c r="N131" i="3"/>
  <c r="P131" i="3"/>
  <c r="N127" i="3"/>
  <c r="P127" i="3"/>
  <c r="N123" i="3"/>
  <c r="P123" i="3"/>
  <c r="N119" i="3"/>
  <c r="P119" i="3"/>
  <c r="N115" i="3"/>
  <c r="P115" i="3"/>
  <c r="N111" i="3"/>
  <c r="P111" i="3"/>
  <c r="N107" i="3"/>
  <c r="P107" i="3"/>
  <c r="N103" i="3"/>
  <c r="P103" i="3"/>
  <c r="N99" i="3"/>
  <c r="P99" i="3"/>
  <c r="N95" i="3"/>
  <c r="P95" i="3"/>
  <c r="N91" i="3"/>
  <c r="P91" i="3"/>
  <c r="N87" i="3"/>
  <c r="P87" i="3"/>
  <c r="N83" i="3"/>
  <c r="P83" i="3"/>
  <c r="N78" i="3"/>
  <c r="P78" i="3"/>
  <c r="N55" i="3"/>
  <c r="P55" i="3"/>
  <c r="N51" i="3"/>
  <c r="P51" i="3"/>
  <c r="N47" i="3"/>
  <c r="P47" i="3"/>
  <c r="N43" i="3"/>
  <c r="P43" i="3"/>
  <c r="N39" i="3"/>
  <c r="P39" i="3"/>
  <c r="N35" i="3"/>
  <c r="P35" i="3"/>
  <c r="N31" i="3"/>
  <c r="P31" i="3"/>
  <c r="N27" i="3"/>
  <c r="P27" i="3"/>
  <c r="N23" i="3"/>
  <c r="P23" i="3"/>
  <c r="N19" i="3"/>
  <c r="P19" i="3"/>
  <c r="N15" i="3"/>
  <c r="P15" i="3"/>
  <c r="P74" i="3"/>
  <c r="P73" i="3"/>
  <c r="P71" i="3"/>
  <c r="P69" i="3"/>
  <c r="P67" i="3"/>
  <c r="P63" i="3"/>
  <c r="P59" i="3"/>
  <c r="P82" i="3"/>
  <c r="P65" i="3"/>
  <c r="P61" i="3"/>
  <c r="P57" i="3"/>
  <c r="N264" i="3"/>
  <c r="P264" i="3"/>
  <c r="N256" i="3"/>
  <c r="P256" i="3"/>
  <c r="N248" i="3"/>
  <c r="P248" i="3"/>
  <c r="N241" i="3"/>
  <c r="P241" i="3"/>
  <c r="N237" i="3"/>
  <c r="P237" i="3"/>
  <c r="N233" i="3"/>
  <c r="P233" i="3"/>
  <c r="N229" i="3"/>
  <c r="P229" i="3"/>
  <c r="N225" i="3"/>
  <c r="P225" i="3"/>
  <c r="N221" i="3"/>
  <c r="P221" i="3"/>
  <c r="N217" i="3"/>
  <c r="P217" i="3"/>
  <c r="N214" i="3"/>
  <c r="P214" i="3"/>
  <c r="N210" i="3"/>
  <c r="P210" i="3"/>
  <c r="N206" i="3"/>
  <c r="P206" i="3"/>
  <c r="N202" i="3"/>
  <c r="P202" i="3"/>
  <c r="N198" i="3"/>
  <c r="P198" i="3"/>
  <c r="N194" i="3"/>
  <c r="P194" i="3"/>
  <c r="N190" i="3"/>
  <c r="P190" i="3"/>
  <c r="N186" i="3"/>
  <c r="P186" i="3"/>
  <c r="N182" i="3"/>
  <c r="P182" i="3"/>
  <c r="N178" i="3"/>
  <c r="P178" i="3"/>
  <c r="N174" i="3"/>
  <c r="P174" i="3"/>
  <c r="N170" i="3"/>
  <c r="P170" i="3"/>
  <c r="N166" i="3"/>
  <c r="P166" i="3"/>
  <c r="N162" i="3"/>
  <c r="P162" i="3"/>
  <c r="N158" i="3"/>
  <c r="P158" i="3"/>
  <c r="N154" i="3"/>
  <c r="P154" i="3"/>
  <c r="N150" i="3"/>
  <c r="P150" i="3"/>
  <c r="N146" i="3"/>
  <c r="P146" i="3"/>
  <c r="N142" i="3"/>
  <c r="P142" i="3"/>
  <c r="N138" i="3"/>
  <c r="P138" i="3"/>
  <c r="N134" i="3"/>
  <c r="P134" i="3"/>
  <c r="N130" i="3"/>
  <c r="P130" i="3"/>
  <c r="N126" i="3"/>
  <c r="P126" i="3"/>
  <c r="N122" i="3"/>
  <c r="P122" i="3"/>
  <c r="N118" i="3"/>
  <c r="P118" i="3"/>
  <c r="N114" i="3"/>
  <c r="P114" i="3"/>
  <c r="N110" i="3"/>
  <c r="P110" i="3"/>
  <c r="N106" i="3"/>
  <c r="P106" i="3"/>
  <c r="N79" i="3"/>
  <c r="P79" i="3"/>
  <c r="N75" i="3"/>
  <c r="P75" i="3"/>
  <c r="N70" i="3"/>
  <c r="P70" i="3"/>
  <c r="N66" i="3"/>
  <c r="P66" i="3"/>
  <c r="N62" i="3"/>
  <c r="P62" i="3"/>
  <c r="N58" i="3"/>
  <c r="P58" i="3"/>
  <c r="N54" i="3"/>
  <c r="P54" i="3"/>
  <c r="N50" i="3"/>
  <c r="P50" i="3"/>
  <c r="N46" i="3"/>
  <c r="P46" i="3"/>
  <c r="N42" i="3"/>
  <c r="P42" i="3"/>
  <c r="N38" i="3"/>
  <c r="P38" i="3"/>
  <c r="N34" i="3"/>
  <c r="P34" i="3"/>
  <c r="N30" i="3"/>
  <c r="P30" i="3"/>
  <c r="N26" i="3"/>
  <c r="P26" i="3"/>
  <c r="N22" i="3"/>
  <c r="P22" i="3"/>
  <c r="N18" i="3"/>
  <c r="P18" i="3"/>
  <c r="N14" i="3"/>
  <c r="P14" i="3"/>
  <c r="N143" i="3"/>
  <c r="P143" i="3"/>
  <c r="N147" i="3"/>
  <c r="P147" i="3"/>
  <c r="N151" i="3"/>
  <c r="P151" i="3"/>
  <c r="N155" i="3"/>
  <c r="P155" i="3"/>
  <c r="N159" i="3"/>
  <c r="P159" i="3"/>
  <c r="N163" i="3"/>
  <c r="P163" i="3"/>
  <c r="N167" i="3"/>
  <c r="P167" i="3"/>
  <c r="N171" i="3"/>
  <c r="P171" i="3"/>
  <c r="N175" i="3"/>
  <c r="P175" i="3"/>
  <c r="N179" i="3"/>
  <c r="P179" i="3"/>
  <c r="N183" i="3"/>
  <c r="P183" i="3"/>
  <c r="N187" i="3"/>
  <c r="P187" i="3"/>
  <c r="N191" i="3"/>
  <c r="P191" i="3"/>
  <c r="N195" i="3"/>
  <c r="P195" i="3"/>
  <c r="N199" i="3"/>
  <c r="P199" i="3"/>
  <c r="N203" i="3"/>
  <c r="P203" i="3"/>
  <c r="N207" i="3"/>
  <c r="P207" i="3"/>
  <c r="N211" i="3"/>
  <c r="P211" i="3"/>
  <c r="N215" i="3"/>
  <c r="P215" i="3"/>
  <c r="N220" i="3"/>
  <c r="P220" i="3"/>
  <c r="N224" i="3"/>
  <c r="P224" i="3"/>
  <c r="N228" i="3"/>
  <c r="P228" i="3"/>
  <c r="N232" i="3"/>
  <c r="P232" i="3"/>
  <c r="N236" i="3"/>
  <c r="P236" i="3"/>
  <c r="N240" i="3"/>
  <c r="P240" i="3"/>
  <c r="N244" i="3"/>
  <c r="P244" i="3"/>
  <c r="N249" i="3"/>
  <c r="P249" i="3"/>
  <c r="N253" i="3"/>
  <c r="P253" i="3"/>
  <c r="N257" i="3"/>
  <c r="P257" i="3"/>
  <c r="N261" i="3"/>
  <c r="P261" i="3"/>
  <c r="N265" i="3"/>
  <c r="P265" i="3"/>
  <c r="N141" i="3"/>
  <c r="P141" i="3"/>
  <c r="N137" i="3"/>
  <c r="P137" i="3"/>
  <c r="N133" i="3"/>
  <c r="P133" i="3"/>
  <c r="N129" i="3"/>
  <c r="P129" i="3"/>
  <c r="N125" i="3"/>
  <c r="P125" i="3"/>
  <c r="N121" i="3"/>
  <c r="P121" i="3"/>
  <c r="N117" i="3"/>
  <c r="P117" i="3"/>
  <c r="N113" i="3"/>
  <c r="P113" i="3"/>
  <c r="N109" i="3"/>
  <c r="P109" i="3"/>
  <c r="N105" i="3"/>
  <c r="P105" i="3"/>
  <c r="N101" i="3"/>
  <c r="P101" i="3"/>
  <c r="N97" i="3"/>
  <c r="P97" i="3"/>
  <c r="N93" i="3"/>
  <c r="P93" i="3"/>
  <c r="N89" i="3"/>
  <c r="P89" i="3"/>
  <c r="N85" i="3"/>
  <c r="P85" i="3"/>
  <c r="N80" i="3"/>
  <c r="P80" i="3"/>
  <c r="N76" i="3"/>
  <c r="P76" i="3"/>
  <c r="N53" i="3"/>
  <c r="P53" i="3"/>
  <c r="N49" i="3"/>
  <c r="P49" i="3"/>
  <c r="N45" i="3"/>
  <c r="P45" i="3"/>
  <c r="N41" i="3"/>
  <c r="P41" i="3"/>
  <c r="N37" i="3"/>
  <c r="P37" i="3"/>
  <c r="N33" i="3"/>
  <c r="P33" i="3"/>
  <c r="N29" i="3"/>
  <c r="P29" i="3"/>
  <c r="N25" i="3"/>
  <c r="P25" i="3"/>
  <c r="N21" i="3"/>
  <c r="P21" i="3"/>
  <c r="N17" i="3"/>
  <c r="P17" i="3"/>
  <c r="N13" i="3"/>
  <c r="P13" i="3"/>
  <c r="N74" i="3"/>
  <c r="N73" i="3"/>
  <c r="N71" i="3"/>
  <c r="N69" i="3"/>
  <c r="N67" i="3"/>
  <c r="N63" i="3"/>
  <c r="N59" i="3"/>
  <c r="N82" i="3"/>
  <c r="N65" i="3"/>
  <c r="N61" i="3"/>
  <c r="N57" i="3"/>
  <c r="AG169" i="27" l="1"/>
  <c r="V13" i="3"/>
  <c r="W13" i="3"/>
  <c r="Z13" i="3" s="1"/>
  <c r="AB13" i="3" s="1"/>
  <c r="V17" i="3"/>
  <c r="W17" i="3"/>
  <c r="Z17" i="3" s="1"/>
  <c r="AB17" i="3" s="1"/>
  <c r="V21" i="3"/>
  <c r="W21" i="3"/>
  <c r="Z21" i="3" s="1"/>
  <c r="AB21" i="3" s="1"/>
  <c r="V25" i="3"/>
  <c r="W25" i="3"/>
  <c r="Z25" i="3" s="1"/>
  <c r="AB25" i="3" s="1"/>
  <c r="V29" i="3"/>
  <c r="W29" i="3"/>
  <c r="Z29" i="3" s="1"/>
  <c r="AB29" i="3" s="1"/>
  <c r="V33" i="3"/>
  <c r="W33" i="3"/>
  <c r="Z33" i="3" s="1"/>
  <c r="AB33" i="3" s="1"/>
  <c r="V37" i="3"/>
  <c r="W37" i="3"/>
  <c r="Z37" i="3" s="1"/>
  <c r="AB37" i="3" s="1"/>
  <c r="V41" i="3"/>
  <c r="W41" i="3"/>
  <c r="Z41" i="3" s="1"/>
  <c r="AB41" i="3" s="1"/>
  <c r="V45" i="3"/>
  <c r="W45" i="3"/>
  <c r="Z45" i="3" s="1"/>
  <c r="AB45" i="3" s="1"/>
  <c r="V49" i="3"/>
  <c r="W49" i="3"/>
  <c r="Z49" i="3" s="1"/>
  <c r="AB49" i="3" s="1"/>
  <c r="V53" i="3"/>
  <c r="W53" i="3"/>
  <c r="Z53" i="3" s="1"/>
  <c r="AB53" i="3" s="1"/>
  <c r="V57" i="3"/>
  <c r="W57" i="3"/>
  <c r="Z57" i="3" s="1"/>
  <c r="AB57" i="3" s="1"/>
  <c r="V61" i="3"/>
  <c r="W61" i="3"/>
  <c r="Z61" i="3" s="1"/>
  <c r="AB61" i="3" s="1"/>
  <c r="V65" i="3"/>
  <c r="W65" i="3"/>
  <c r="Z65" i="3" s="1"/>
  <c r="AB65" i="3" s="1"/>
  <c r="V69" i="3"/>
  <c r="W69" i="3"/>
  <c r="Z69" i="3" s="1"/>
  <c r="AB69" i="3" s="1"/>
  <c r="V73" i="3"/>
  <c r="W73" i="3"/>
  <c r="Z73" i="3" s="1"/>
  <c r="AB73" i="3" s="1"/>
  <c r="W12" i="3"/>
  <c r="Z12" i="3" s="1"/>
  <c r="AB12" i="3" s="1"/>
  <c r="V12" i="3"/>
  <c r="W16" i="3"/>
  <c r="Z16" i="3" s="1"/>
  <c r="AB16" i="3" s="1"/>
  <c r="V16" i="3"/>
  <c r="W20" i="3"/>
  <c r="Z20" i="3" s="1"/>
  <c r="AB20" i="3" s="1"/>
  <c r="V20" i="3"/>
  <c r="W24" i="3"/>
  <c r="Z24" i="3" s="1"/>
  <c r="AB24" i="3" s="1"/>
  <c r="V24" i="3"/>
  <c r="W28" i="3"/>
  <c r="Z28" i="3" s="1"/>
  <c r="AB28" i="3" s="1"/>
  <c r="V28" i="3"/>
  <c r="W32" i="3"/>
  <c r="Z32" i="3" s="1"/>
  <c r="AB32" i="3" s="1"/>
  <c r="V32" i="3"/>
  <c r="W36" i="3"/>
  <c r="Z36" i="3" s="1"/>
  <c r="AB36" i="3" s="1"/>
  <c r="V36" i="3"/>
  <c r="W40" i="3"/>
  <c r="Z40" i="3" s="1"/>
  <c r="AB40" i="3" s="1"/>
  <c r="V40" i="3"/>
  <c r="W44" i="3"/>
  <c r="Z44" i="3" s="1"/>
  <c r="AB44" i="3" s="1"/>
  <c r="V44" i="3"/>
  <c r="W48" i="3"/>
  <c r="Z48" i="3" s="1"/>
  <c r="AB48" i="3" s="1"/>
  <c r="V48" i="3"/>
  <c r="W52" i="3"/>
  <c r="Z52" i="3" s="1"/>
  <c r="AB52" i="3" s="1"/>
  <c r="V52" i="3"/>
  <c r="W56" i="3"/>
  <c r="Z56" i="3" s="1"/>
  <c r="AB56" i="3" s="1"/>
  <c r="V56" i="3"/>
  <c r="W60" i="3"/>
  <c r="Z60" i="3" s="1"/>
  <c r="AB60" i="3" s="1"/>
  <c r="V60" i="3"/>
  <c r="W64" i="3"/>
  <c r="Z64" i="3" s="1"/>
  <c r="AB64" i="3" s="1"/>
  <c r="V64" i="3"/>
  <c r="W68" i="3"/>
  <c r="Z68" i="3" s="1"/>
  <c r="AB68" i="3" s="1"/>
  <c r="V68" i="3"/>
  <c r="W72" i="3"/>
  <c r="Z72" i="3" s="1"/>
  <c r="AB72" i="3" s="1"/>
  <c r="V72" i="3"/>
  <c r="V76" i="3"/>
  <c r="W76" i="3"/>
  <c r="Z76" i="3" s="1"/>
  <c r="AB76" i="3" s="1"/>
  <c r="AA76" i="3" s="1"/>
  <c r="V80" i="3"/>
  <c r="W80" i="3"/>
  <c r="Z80" i="3" s="1"/>
  <c r="AB80" i="3" s="1"/>
  <c r="AA80" i="3" s="1"/>
  <c r="V83" i="3"/>
  <c r="W83" i="3"/>
  <c r="Z83" i="3" s="1"/>
  <c r="AB83" i="3" s="1"/>
  <c r="AA83" i="3" s="1"/>
  <c r="V87" i="3"/>
  <c r="W87" i="3"/>
  <c r="Z87" i="3" s="1"/>
  <c r="AB87" i="3" s="1"/>
  <c r="AA87" i="3" s="1"/>
  <c r="V91" i="3"/>
  <c r="W91" i="3"/>
  <c r="Z91" i="3" s="1"/>
  <c r="AB91" i="3" s="1"/>
  <c r="AA91" i="3" s="1"/>
  <c r="V95" i="3"/>
  <c r="W95" i="3"/>
  <c r="Z95" i="3" s="1"/>
  <c r="AB95" i="3" s="1"/>
  <c r="AA95" i="3" s="1"/>
  <c r="V99" i="3"/>
  <c r="W99" i="3"/>
  <c r="Z99" i="3" s="1"/>
  <c r="AB99" i="3" s="1"/>
  <c r="AA99" i="3" s="1"/>
  <c r="V103" i="3"/>
  <c r="W103" i="3"/>
  <c r="Z103" i="3" s="1"/>
  <c r="AB103" i="3" s="1"/>
  <c r="AA103" i="3" s="1"/>
  <c r="V107" i="3"/>
  <c r="W107" i="3"/>
  <c r="Z107" i="3" s="1"/>
  <c r="AB107" i="3" s="1"/>
  <c r="AA107" i="3" s="1"/>
  <c r="V111" i="3"/>
  <c r="W111" i="3"/>
  <c r="Z111" i="3" s="1"/>
  <c r="AB111" i="3" s="1"/>
  <c r="AA111" i="3" s="1"/>
  <c r="V115" i="3"/>
  <c r="W115" i="3"/>
  <c r="Z115" i="3" s="1"/>
  <c r="AB115" i="3" s="1"/>
  <c r="AA115" i="3" s="1"/>
  <c r="V119" i="3"/>
  <c r="W119" i="3"/>
  <c r="Z119" i="3" s="1"/>
  <c r="AB119" i="3" s="1"/>
  <c r="AA119" i="3" s="1"/>
  <c r="V123" i="3"/>
  <c r="W123" i="3"/>
  <c r="Z123" i="3" s="1"/>
  <c r="AB123" i="3" s="1"/>
  <c r="AA123" i="3" s="1"/>
  <c r="V127" i="3"/>
  <c r="W127" i="3"/>
  <c r="Z127" i="3" s="1"/>
  <c r="AB127" i="3" s="1"/>
  <c r="AA127" i="3" s="1"/>
  <c r="V131" i="3"/>
  <c r="W131" i="3"/>
  <c r="Z131" i="3" s="1"/>
  <c r="AB131" i="3" s="1"/>
  <c r="AA131" i="3" s="1"/>
  <c r="V135" i="3"/>
  <c r="W135" i="3"/>
  <c r="Z135" i="3" s="1"/>
  <c r="AB135" i="3" s="1"/>
  <c r="AA135" i="3" s="1"/>
  <c r="V139" i="3"/>
  <c r="W139" i="3"/>
  <c r="Z139" i="3" s="1"/>
  <c r="AB139" i="3" s="1"/>
  <c r="AA139" i="3" s="1"/>
  <c r="V143" i="3"/>
  <c r="W143" i="3"/>
  <c r="Z143" i="3" s="1"/>
  <c r="AB143" i="3" s="1"/>
  <c r="AA143" i="3" s="1"/>
  <c r="V147" i="3"/>
  <c r="W147" i="3"/>
  <c r="Z147" i="3" s="1"/>
  <c r="AB147" i="3" s="1"/>
  <c r="AA147" i="3" s="1"/>
  <c r="V151" i="3"/>
  <c r="W151" i="3"/>
  <c r="Z151" i="3" s="1"/>
  <c r="AB151" i="3" s="1"/>
  <c r="AA151" i="3" s="1"/>
  <c r="W75" i="3"/>
  <c r="Z75" i="3" s="1"/>
  <c r="AB75" i="3" s="1"/>
  <c r="AA75" i="3" s="1"/>
  <c r="V75" i="3"/>
  <c r="W79" i="3"/>
  <c r="Z79" i="3" s="1"/>
  <c r="AB79" i="3" s="1"/>
  <c r="AA79" i="3" s="1"/>
  <c r="V79" i="3"/>
  <c r="W84" i="3"/>
  <c r="Z84" i="3" s="1"/>
  <c r="AB84" i="3" s="1"/>
  <c r="AA84" i="3" s="1"/>
  <c r="V84" i="3"/>
  <c r="W88" i="3"/>
  <c r="Z88" i="3" s="1"/>
  <c r="AB88" i="3" s="1"/>
  <c r="AA88" i="3" s="1"/>
  <c r="V88" i="3"/>
  <c r="W92" i="3"/>
  <c r="Z92" i="3" s="1"/>
  <c r="AB92" i="3" s="1"/>
  <c r="AA92" i="3" s="1"/>
  <c r="V92" i="3"/>
  <c r="W96" i="3"/>
  <c r="Z96" i="3" s="1"/>
  <c r="AB96" i="3" s="1"/>
  <c r="AA96" i="3" s="1"/>
  <c r="V96" i="3"/>
  <c r="W100" i="3"/>
  <c r="Z100" i="3" s="1"/>
  <c r="AB100" i="3" s="1"/>
  <c r="AA100" i="3" s="1"/>
  <c r="V100" i="3"/>
  <c r="W104" i="3"/>
  <c r="Z104" i="3" s="1"/>
  <c r="AB104" i="3" s="1"/>
  <c r="AA104" i="3" s="1"/>
  <c r="V104" i="3"/>
  <c r="W108" i="3"/>
  <c r="Z108" i="3" s="1"/>
  <c r="AB108" i="3" s="1"/>
  <c r="AA108" i="3" s="1"/>
  <c r="V108" i="3"/>
  <c r="W112" i="3"/>
  <c r="Z112" i="3" s="1"/>
  <c r="AB112" i="3" s="1"/>
  <c r="AA112" i="3" s="1"/>
  <c r="V112" i="3"/>
  <c r="W116" i="3"/>
  <c r="Z116" i="3" s="1"/>
  <c r="AB116" i="3" s="1"/>
  <c r="AA116" i="3" s="1"/>
  <c r="V116" i="3"/>
  <c r="W120" i="3"/>
  <c r="Z120" i="3" s="1"/>
  <c r="AB120" i="3" s="1"/>
  <c r="AA120" i="3" s="1"/>
  <c r="V120" i="3"/>
  <c r="W124" i="3"/>
  <c r="Z124" i="3" s="1"/>
  <c r="AB124" i="3" s="1"/>
  <c r="AA124" i="3" s="1"/>
  <c r="V124" i="3"/>
  <c r="W128" i="3"/>
  <c r="Z128" i="3" s="1"/>
  <c r="AB128" i="3" s="1"/>
  <c r="AA128" i="3" s="1"/>
  <c r="V128" i="3"/>
  <c r="W132" i="3"/>
  <c r="Z132" i="3" s="1"/>
  <c r="AB132" i="3" s="1"/>
  <c r="AA132" i="3" s="1"/>
  <c r="V132" i="3"/>
  <c r="W136" i="3"/>
  <c r="Z136" i="3" s="1"/>
  <c r="AB136" i="3" s="1"/>
  <c r="AA136" i="3" s="1"/>
  <c r="V136" i="3"/>
  <c r="W140" i="3"/>
  <c r="Z140" i="3" s="1"/>
  <c r="AB140" i="3" s="1"/>
  <c r="AA140" i="3" s="1"/>
  <c r="V140" i="3"/>
  <c r="W144" i="3"/>
  <c r="Z144" i="3" s="1"/>
  <c r="AB144" i="3" s="1"/>
  <c r="AA144" i="3" s="1"/>
  <c r="V144" i="3"/>
  <c r="W148" i="3"/>
  <c r="Z148" i="3" s="1"/>
  <c r="AB148" i="3" s="1"/>
  <c r="AA148" i="3" s="1"/>
  <c r="V148" i="3"/>
  <c r="W152" i="3"/>
  <c r="Z152" i="3" s="1"/>
  <c r="AB152" i="3" s="1"/>
  <c r="AA152" i="3" s="1"/>
  <c r="V152" i="3"/>
  <c r="V155" i="3"/>
  <c r="W155" i="3"/>
  <c r="Z155" i="3" s="1"/>
  <c r="AB155" i="3" s="1"/>
  <c r="AA155" i="3" s="1"/>
  <c r="V159" i="3"/>
  <c r="W159" i="3"/>
  <c r="Z159" i="3" s="1"/>
  <c r="AB159" i="3" s="1"/>
  <c r="AA159" i="3" s="1"/>
  <c r="V163" i="3"/>
  <c r="W163" i="3"/>
  <c r="Z163" i="3" s="1"/>
  <c r="AB163" i="3" s="1"/>
  <c r="AA163" i="3" s="1"/>
  <c r="V167" i="3"/>
  <c r="W167" i="3"/>
  <c r="Z167" i="3" s="1"/>
  <c r="AB167" i="3" s="1"/>
  <c r="AA167" i="3" s="1"/>
  <c r="V171" i="3"/>
  <c r="W171" i="3"/>
  <c r="Z171" i="3" s="1"/>
  <c r="AB171" i="3" s="1"/>
  <c r="AA171" i="3" s="1"/>
  <c r="V175" i="3"/>
  <c r="W175" i="3"/>
  <c r="Z175" i="3" s="1"/>
  <c r="AB175" i="3" s="1"/>
  <c r="AA175" i="3" s="1"/>
  <c r="V179" i="3"/>
  <c r="W179" i="3"/>
  <c r="Z179" i="3" s="1"/>
  <c r="AB179" i="3" s="1"/>
  <c r="AA179" i="3" s="1"/>
  <c r="V183" i="3"/>
  <c r="W183" i="3"/>
  <c r="Z183" i="3" s="1"/>
  <c r="AB183" i="3" s="1"/>
  <c r="AA183" i="3" s="1"/>
  <c r="V187" i="3"/>
  <c r="W187" i="3"/>
  <c r="Z187" i="3" s="1"/>
  <c r="AB187" i="3" s="1"/>
  <c r="AA187" i="3" s="1"/>
  <c r="V191" i="3"/>
  <c r="W191" i="3"/>
  <c r="Z191" i="3" s="1"/>
  <c r="AB191" i="3" s="1"/>
  <c r="AA191" i="3" s="1"/>
  <c r="V195" i="3"/>
  <c r="W195" i="3"/>
  <c r="Z195" i="3" s="1"/>
  <c r="AB195" i="3" s="1"/>
  <c r="AA195" i="3" s="1"/>
  <c r="V199" i="3"/>
  <c r="W199" i="3"/>
  <c r="Z199" i="3" s="1"/>
  <c r="AB199" i="3" s="1"/>
  <c r="AA199" i="3" s="1"/>
  <c r="V203" i="3"/>
  <c r="W203" i="3"/>
  <c r="Z203" i="3" s="1"/>
  <c r="AB203" i="3" s="1"/>
  <c r="AA203" i="3" s="1"/>
  <c r="V207" i="3"/>
  <c r="W207" i="3"/>
  <c r="Z207" i="3" s="1"/>
  <c r="AB207" i="3" s="1"/>
  <c r="AA207" i="3" s="1"/>
  <c r="V211" i="3"/>
  <c r="W211" i="3"/>
  <c r="Z211" i="3" s="1"/>
  <c r="AB211" i="3" s="1"/>
  <c r="AA211" i="3" s="1"/>
  <c r="V215" i="3"/>
  <c r="W215" i="3"/>
  <c r="Z215" i="3" s="1"/>
  <c r="AB215" i="3" s="1"/>
  <c r="AA215" i="3" s="1"/>
  <c r="W158" i="3"/>
  <c r="Z158" i="3" s="1"/>
  <c r="AB158" i="3" s="1"/>
  <c r="AA158" i="3" s="1"/>
  <c r="V158" i="3"/>
  <c r="W162" i="3"/>
  <c r="Z162" i="3" s="1"/>
  <c r="AB162" i="3" s="1"/>
  <c r="AA162" i="3" s="1"/>
  <c r="V162" i="3"/>
  <c r="W166" i="3"/>
  <c r="Z166" i="3" s="1"/>
  <c r="AB166" i="3" s="1"/>
  <c r="AA166" i="3" s="1"/>
  <c r="V166" i="3"/>
  <c r="W170" i="3"/>
  <c r="Z170" i="3" s="1"/>
  <c r="AB170" i="3" s="1"/>
  <c r="AA170" i="3" s="1"/>
  <c r="V170" i="3"/>
  <c r="W174" i="3"/>
  <c r="Z174" i="3" s="1"/>
  <c r="AB174" i="3" s="1"/>
  <c r="AA174" i="3" s="1"/>
  <c r="V174" i="3"/>
  <c r="W178" i="3"/>
  <c r="Z178" i="3" s="1"/>
  <c r="AB178" i="3" s="1"/>
  <c r="AA178" i="3" s="1"/>
  <c r="V178" i="3"/>
  <c r="W182" i="3"/>
  <c r="Z182" i="3" s="1"/>
  <c r="AB182" i="3" s="1"/>
  <c r="AA182" i="3" s="1"/>
  <c r="V182" i="3"/>
  <c r="W186" i="3"/>
  <c r="Z186" i="3" s="1"/>
  <c r="AB186" i="3" s="1"/>
  <c r="AA186" i="3" s="1"/>
  <c r="V186" i="3"/>
  <c r="W190" i="3"/>
  <c r="Z190" i="3" s="1"/>
  <c r="AB190" i="3" s="1"/>
  <c r="AA190" i="3" s="1"/>
  <c r="V190" i="3"/>
  <c r="W194" i="3"/>
  <c r="Z194" i="3" s="1"/>
  <c r="AB194" i="3" s="1"/>
  <c r="AA194" i="3" s="1"/>
  <c r="V194" i="3"/>
  <c r="W198" i="3"/>
  <c r="Z198" i="3" s="1"/>
  <c r="AB198" i="3" s="1"/>
  <c r="AA198" i="3" s="1"/>
  <c r="V198" i="3"/>
  <c r="W202" i="3"/>
  <c r="Z202" i="3" s="1"/>
  <c r="AB202" i="3" s="1"/>
  <c r="AA202" i="3" s="1"/>
  <c r="V202" i="3"/>
  <c r="W206" i="3"/>
  <c r="Z206" i="3" s="1"/>
  <c r="AB206" i="3" s="1"/>
  <c r="AA206" i="3" s="1"/>
  <c r="V206" i="3"/>
  <c r="W210" i="3"/>
  <c r="Z210" i="3" s="1"/>
  <c r="AB210" i="3" s="1"/>
  <c r="AA210" i="3" s="1"/>
  <c r="V210" i="3"/>
  <c r="W214" i="3"/>
  <c r="Z214" i="3" s="1"/>
  <c r="AB214" i="3" s="1"/>
  <c r="AA214" i="3" s="1"/>
  <c r="V214" i="3"/>
  <c r="V218" i="3"/>
  <c r="W218" i="3"/>
  <c r="Z218" i="3" s="1"/>
  <c r="AB218" i="3" s="1"/>
  <c r="AA218" i="3" s="1"/>
  <c r="V222" i="3"/>
  <c r="W222" i="3"/>
  <c r="Z222" i="3" s="1"/>
  <c r="AB222" i="3" s="1"/>
  <c r="AA222" i="3" s="1"/>
  <c r="V226" i="3"/>
  <c r="W226" i="3"/>
  <c r="Z226" i="3" s="1"/>
  <c r="AB226" i="3" s="1"/>
  <c r="AA226" i="3" s="1"/>
  <c r="V230" i="3"/>
  <c r="W230" i="3"/>
  <c r="Z230" i="3" s="1"/>
  <c r="AB230" i="3" s="1"/>
  <c r="AA230" i="3" s="1"/>
  <c r="V234" i="3"/>
  <c r="W234" i="3"/>
  <c r="Z234" i="3" s="1"/>
  <c r="AB234" i="3" s="1"/>
  <c r="AA234" i="3" s="1"/>
  <c r="V238" i="3"/>
  <c r="W238" i="3"/>
  <c r="Z238" i="3" s="1"/>
  <c r="AB238" i="3" s="1"/>
  <c r="AA238" i="3" s="1"/>
  <c r="V242" i="3"/>
  <c r="W242" i="3"/>
  <c r="Z242" i="3" s="1"/>
  <c r="AB242" i="3" s="1"/>
  <c r="AA242" i="3" s="1"/>
  <c r="W217" i="3"/>
  <c r="Z217" i="3" s="1"/>
  <c r="AB217" i="3" s="1"/>
  <c r="AA217" i="3" s="1"/>
  <c r="V217" i="3"/>
  <c r="W221" i="3"/>
  <c r="Z221" i="3" s="1"/>
  <c r="AB221" i="3" s="1"/>
  <c r="AA221" i="3" s="1"/>
  <c r="V221" i="3"/>
  <c r="W225" i="3"/>
  <c r="Z225" i="3" s="1"/>
  <c r="AB225" i="3" s="1"/>
  <c r="AA225" i="3" s="1"/>
  <c r="V225" i="3"/>
  <c r="W229" i="3"/>
  <c r="Z229" i="3" s="1"/>
  <c r="AB229" i="3" s="1"/>
  <c r="AA229" i="3" s="1"/>
  <c r="V229" i="3"/>
  <c r="W233" i="3"/>
  <c r="Z233" i="3" s="1"/>
  <c r="AB233" i="3" s="1"/>
  <c r="AA233" i="3" s="1"/>
  <c r="V233" i="3"/>
  <c r="W237" i="3"/>
  <c r="Z237" i="3" s="1"/>
  <c r="AB237" i="3" s="1"/>
  <c r="AA237" i="3" s="1"/>
  <c r="V237" i="3"/>
  <c r="W241" i="3"/>
  <c r="Z241" i="3" s="1"/>
  <c r="AB241" i="3" s="1"/>
  <c r="AA241" i="3" s="1"/>
  <c r="V241" i="3"/>
  <c r="W245" i="3"/>
  <c r="Z245" i="3" s="1"/>
  <c r="AB245" i="3" s="1"/>
  <c r="AA245" i="3" s="1"/>
  <c r="V245" i="3"/>
  <c r="V249" i="3"/>
  <c r="W249" i="3"/>
  <c r="Z249" i="3" s="1"/>
  <c r="AB249" i="3" s="1"/>
  <c r="AA249" i="3" s="1"/>
  <c r="V253" i="3"/>
  <c r="W253" i="3"/>
  <c r="Z253" i="3" s="1"/>
  <c r="AB253" i="3" s="1"/>
  <c r="AA253" i="3" s="1"/>
  <c r="V257" i="3"/>
  <c r="W257" i="3"/>
  <c r="Z257" i="3" s="1"/>
  <c r="AB257" i="3" s="1"/>
  <c r="AA257" i="3" s="1"/>
  <c r="V261" i="3"/>
  <c r="W261" i="3"/>
  <c r="Z261" i="3" s="1"/>
  <c r="AB261" i="3" s="1"/>
  <c r="AA261" i="3" s="1"/>
  <c r="V265" i="3"/>
  <c r="W265" i="3"/>
  <c r="Z265" i="3" s="1"/>
  <c r="AB265" i="3" s="1"/>
  <c r="AA265" i="3" s="1"/>
  <c r="W248" i="3"/>
  <c r="Z248" i="3" s="1"/>
  <c r="AB248" i="3" s="1"/>
  <c r="AA248" i="3" s="1"/>
  <c r="V248" i="3"/>
  <c r="W252" i="3"/>
  <c r="Z252" i="3" s="1"/>
  <c r="AB252" i="3" s="1"/>
  <c r="AA252" i="3" s="1"/>
  <c r="V252" i="3"/>
  <c r="W256" i="3"/>
  <c r="Z256" i="3" s="1"/>
  <c r="AB256" i="3" s="1"/>
  <c r="AA256" i="3" s="1"/>
  <c r="V256" i="3"/>
  <c r="W260" i="3"/>
  <c r="Z260" i="3" s="1"/>
  <c r="AB260" i="3" s="1"/>
  <c r="AA260" i="3" s="1"/>
  <c r="V260" i="3"/>
  <c r="W264" i="3"/>
  <c r="Z264" i="3" s="1"/>
  <c r="AB264" i="3" s="1"/>
  <c r="AA264" i="3" s="1"/>
  <c r="V264" i="3"/>
  <c r="V15" i="3"/>
  <c r="W15" i="3"/>
  <c r="Z15" i="3" s="1"/>
  <c r="AB15" i="3" s="1"/>
  <c r="V19" i="3"/>
  <c r="W19" i="3"/>
  <c r="Z19" i="3" s="1"/>
  <c r="AB19" i="3" s="1"/>
  <c r="V23" i="3"/>
  <c r="W23" i="3"/>
  <c r="Z23" i="3" s="1"/>
  <c r="AB23" i="3" s="1"/>
  <c r="V27" i="3"/>
  <c r="W27" i="3"/>
  <c r="Z27" i="3" s="1"/>
  <c r="AB27" i="3" s="1"/>
  <c r="V31" i="3"/>
  <c r="W31" i="3"/>
  <c r="Z31" i="3" s="1"/>
  <c r="AB31" i="3" s="1"/>
  <c r="V35" i="3"/>
  <c r="W35" i="3"/>
  <c r="Z35" i="3" s="1"/>
  <c r="AB35" i="3" s="1"/>
  <c r="V39" i="3"/>
  <c r="W39" i="3"/>
  <c r="Z39" i="3" s="1"/>
  <c r="AB39" i="3" s="1"/>
  <c r="V43" i="3"/>
  <c r="W43" i="3"/>
  <c r="Z43" i="3" s="1"/>
  <c r="AB43" i="3" s="1"/>
  <c r="V47" i="3"/>
  <c r="W47" i="3"/>
  <c r="Z47" i="3" s="1"/>
  <c r="AB47" i="3" s="1"/>
  <c r="V51" i="3"/>
  <c r="W51" i="3"/>
  <c r="Z51" i="3" s="1"/>
  <c r="AB51" i="3" s="1"/>
  <c r="V55" i="3"/>
  <c r="W55" i="3"/>
  <c r="Z55" i="3" s="1"/>
  <c r="AB55" i="3" s="1"/>
  <c r="V59" i="3"/>
  <c r="W59" i="3"/>
  <c r="Z59" i="3" s="1"/>
  <c r="AB59" i="3" s="1"/>
  <c r="V63" i="3"/>
  <c r="W63" i="3"/>
  <c r="Z63" i="3" s="1"/>
  <c r="AB63" i="3" s="1"/>
  <c r="V67" i="3"/>
  <c r="W67" i="3"/>
  <c r="Z67" i="3" s="1"/>
  <c r="AB67" i="3" s="1"/>
  <c r="V71" i="3"/>
  <c r="W71" i="3"/>
  <c r="Z71" i="3" s="1"/>
  <c r="AB71" i="3" s="1"/>
  <c r="V11" i="3"/>
  <c r="W11" i="3"/>
  <c r="Z11" i="3" s="1"/>
  <c r="AB11" i="3" s="1"/>
  <c r="W14" i="3"/>
  <c r="Z14" i="3" s="1"/>
  <c r="AB14" i="3" s="1"/>
  <c r="V14" i="3"/>
  <c r="W18" i="3"/>
  <c r="Z18" i="3" s="1"/>
  <c r="AB18" i="3" s="1"/>
  <c r="V18" i="3"/>
  <c r="W22" i="3"/>
  <c r="Z22" i="3" s="1"/>
  <c r="AB22" i="3" s="1"/>
  <c r="V22" i="3"/>
  <c r="W26" i="3"/>
  <c r="Z26" i="3" s="1"/>
  <c r="AB26" i="3" s="1"/>
  <c r="V26" i="3"/>
  <c r="W30" i="3"/>
  <c r="Z30" i="3" s="1"/>
  <c r="AB30" i="3" s="1"/>
  <c r="V30" i="3"/>
  <c r="W34" i="3"/>
  <c r="Z34" i="3" s="1"/>
  <c r="AB34" i="3" s="1"/>
  <c r="V34" i="3"/>
  <c r="W38" i="3"/>
  <c r="Z38" i="3" s="1"/>
  <c r="AB38" i="3" s="1"/>
  <c r="V38" i="3"/>
  <c r="W42" i="3"/>
  <c r="Z42" i="3" s="1"/>
  <c r="AB42" i="3" s="1"/>
  <c r="V42" i="3"/>
  <c r="W46" i="3"/>
  <c r="Z46" i="3" s="1"/>
  <c r="AB46" i="3" s="1"/>
  <c r="V46" i="3"/>
  <c r="W50" i="3"/>
  <c r="Z50" i="3" s="1"/>
  <c r="AB50" i="3" s="1"/>
  <c r="V50" i="3"/>
  <c r="W54" i="3"/>
  <c r="Z54" i="3" s="1"/>
  <c r="AB54" i="3" s="1"/>
  <c r="V54" i="3"/>
  <c r="W58" i="3"/>
  <c r="Z58" i="3" s="1"/>
  <c r="AB58" i="3" s="1"/>
  <c r="V58" i="3"/>
  <c r="W62" i="3"/>
  <c r="Z62" i="3" s="1"/>
  <c r="AB62" i="3" s="1"/>
  <c r="V62" i="3"/>
  <c r="W66" i="3"/>
  <c r="Z66" i="3" s="1"/>
  <c r="AB66" i="3" s="1"/>
  <c r="V66" i="3"/>
  <c r="W70" i="3"/>
  <c r="Z70" i="3" s="1"/>
  <c r="AB70" i="3" s="1"/>
  <c r="V70" i="3"/>
  <c r="V74" i="3"/>
  <c r="W74" i="3"/>
  <c r="Z74" i="3" s="1"/>
  <c r="AB74" i="3" s="1"/>
  <c r="V78" i="3"/>
  <c r="W78" i="3"/>
  <c r="Z78" i="3" s="1"/>
  <c r="AB78" i="3" s="1"/>
  <c r="AA78" i="3" s="1"/>
  <c r="V82" i="3"/>
  <c r="W82" i="3"/>
  <c r="Z82" i="3" s="1"/>
  <c r="AB82" i="3" s="1"/>
  <c r="AA82" i="3" s="1"/>
  <c r="V85" i="3"/>
  <c r="W85" i="3"/>
  <c r="Z85" i="3" s="1"/>
  <c r="AB85" i="3" s="1"/>
  <c r="AA85" i="3" s="1"/>
  <c r="V89" i="3"/>
  <c r="W89" i="3"/>
  <c r="Z89" i="3" s="1"/>
  <c r="AB89" i="3" s="1"/>
  <c r="AA89" i="3" s="1"/>
  <c r="V93" i="3"/>
  <c r="W93" i="3"/>
  <c r="Z93" i="3" s="1"/>
  <c r="AB93" i="3" s="1"/>
  <c r="AA93" i="3" s="1"/>
  <c r="V97" i="3"/>
  <c r="W97" i="3"/>
  <c r="Z97" i="3" s="1"/>
  <c r="AB97" i="3" s="1"/>
  <c r="AA97" i="3" s="1"/>
  <c r="V101" i="3"/>
  <c r="W101" i="3"/>
  <c r="Z101" i="3" s="1"/>
  <c r="AB101" i="3" s="1"/>
  <c r="AA101" i="3" s="1"/>
  <c r="V105" i="3"/>
  <c r="W105" i="3"/>
  <c r="Z105" i="3" s="1"/>
  <c r="AB105" i="3" s="1"/>
  <c r="AA105" i="3" s="1"/>
  <c r="V109" i="3"/>
  <c r="W109" i="3"/>
  <c r="Z109" i="3" s="1"/>
  <c r="AB109" i="3" s="1"/>
  <c r="AA109" i="3" s="1"/>
  <c r="V113" i="3"/>
  <c r="W113" i="3"/>
  <c r="Z113" i="3" s="1"/>
  <c r="AB113" i="3" s="1"/>
  <c r="AA113" i="3" s="1"/>
  <c r="V117" i="3"/>
  <c r="W117" i="3"/>
  <c r="Z117" i="3" s="1"/>
  <c r="AB117" i="3" s="1"/>
  <c r="AA117" i="3" s="1"/>
  <c r="V121" i="3"/>
  <c r="W121" i="3"/>
  <c r="Z121" i="3" s="1"/>
  <c r="AB121" i="3" s="1"/>
  <c r="AA121" i="3" s="1"/>
  <c r="V125" i="3"/>
  <c r="W125" i="3"/>
  <c r="Z125" i="3" s="1"/>
  <c r="AB125" i="3" s="1"/>
  <c r="AA125" i="3" s="1"/>
  <c r="V129" i="3"/>
  <c r="W129" i="3"/>
  <c r="Z129" i="3" s="1"/>
  <c r="AB129" i="3" s="1"/>
  <c r="AA129" i="3" s="1"/>
  <c r="V133" i="3"/>
  <c r="W133" i="3"/>
  <c r="Z133" i="3" s="1"/>
  <c r="AB133" i="3" s="1"/>
  <c r="AA133" i="3" s="1"/>
  <c r="V137" i="3"/>
  <c r="W137" i="3"/>
  <c r="Z137" i="3" s="1"/>
  <c r="AB137" i="3" s="1"/>
  <c r="AA137" i="3" s="1"/>
  <c r="V141" i="3"/>
  <c r="W141" i="3"/>
  <c r="Z141" i="3" s="1"/>
  <c r="AB141" i="3" s="1"/>
  <c r="AA141" i="3" s="1"/>
  <c r="V145" i="3"/>
  <c r="W145" i="3"/>
  <c r="Z145" i="3" s="1"/>
  <c r="AB145" i="3" s="1"/>
  <c r="AA145" i="3" s="1"/>
  <c r="V149" i="3"/>
  <c r="W149" i="3"/>
  <c r="Z149" i="3" s="1"/>
  <c r="AB149" i="3" s="1"/>
  <c r="AA149" i="3" s="1"/>
  <c r="V153" i="3"/>
  <c r="W153" i="3"/>
  <c r="Z153" i="3" s="1"/>
  <c r="AB153" i="3" s="1"/>
  <c r="AA153" i="3" s="1"/>
  <c r="W77" i="3"/>
  <c r="Z77" i="3" s="1"/>
  <c r="AB77" i="3" s="1"/>
  <c r="AA77" i="3" s="1"/>
  <c r="V77" i="3"/>
  <c r="W81" i="3"/>
  <c r="Z81" i="3" s="1"/>
  <c r="AB81" i="3" s="1"/>
  <c r="AA81" i="3" s="1"/>
  <c r="V81" i="3"/>
  <c r="W86" i="3"/>
  <c r="Z86" i="3" s="1"/>
  <c r="AB86" i="3" s="1"/>
  <c r="AA86" i="3" s="1"/>
  <c r="V86" i="3"/>
  <c r="W90" i="3"/>
  <c r="Z90" i="3" s="1"/>
  <c r="AB90" i="3" s="1"/>
  <c r="AA90" i="3" s="1"/>
  <c r="V90" i="3"/>
  <c r="W94" i="3"/>
  <c r="Z94" i="3" s="1"/>
  <c r="AB94" i="3" s="1"/>
  <c r="AA94" i="3" s="1"/>
  <c r="V94" i="3"/>
  <c r="W98" i="3"/>
  <c r="Z98" i="3" s="1"/>
  <c r="AB98" i="3" s="1"/>
  <c r="AA98" i="3" s="1"/>
  <c r="V98" i="3"/>
  <c r="W102" i="3"/>
  <c r="Z102" i="3" s="1"/>
  <c r="AB102" i="3" s="1"/>
  <c r="AA102" i="3" s="1"/>
  <c r="V102" i="3"/>
  <c r="W106" i="3"/>
  <c r="Z106" i="3" s="1"/>
  <c r="AB106" i="3" s="1"/>
  <c r="AA106" i="3" s="1"/>
  <c r="V106" i="3"/>
  <c r="W110" i="3"/>
  <c r="Z110" i="3" s="1"/>
  <c r="AB110" i="3" s="1"/>
  <c r="AA110" i="3" s="1"/>
  <c r="V110" i="3"/>
  <c r="W114" i="3"/>
  <c r="Z114" i="3" s="1"/>
  <c r="AB114" i="3" s="1"/>
  <c r="AA114" i="3" s="1"/>
  <c r="V114" i="3"/>
  <c r="W118" i="3"/>
  <c r="Z118" i="3" s="1"/>
  <c r="AB118" i="3" s="1"/>
  <c r="AA118" i="3" s="1"/>
  <c r="V118" i="3"/>
  <c r="W122" i="3"/>
  <c r="Z122" i="3" s="1"/>
  <c r="AB122" i="3" s="1"/>
  <c r="AA122" i="3" s="1"/>
  <c r="V122" i="3"/>
  <c r="W126" i="3"/>
  <c r="Z126" i="3" s="1"/>
  <c r="AB126" i="3" s="1"/>
  <c r="AA126" i="3" s="1"/>
  <c r="V126" i="3"/>
  <c r="W130" i="3"/>
  <c r="Z130" i="3" s="1"/>
  <c r="AB130" i="3" s="1"/>
  <c r="AA130" i="3" s="1"/>
  <c r="V130" i="3"/>
  <c r="W134" i="3"/>
  <c r="Z134" i="3" s="1"/>
  <c r="AB134" i="3" s="1"/>
  <c r="AA134" i="3" s="1"/>
  <c r="V134" i="3"/>
  <c r="W138" i="3"/>
  <c r="Z138" i="3" s="1"/>
  <c r="AB138" i="3" s="1"/>
  <c r="AA138" i="3" s="1"/>
  <c r="V138" i="3"/>
  <c r="W142" i="3"/>
  <c r="Z142" i="3" s="1"/>
  <c r="AB142" i="3" s="1"/>
  <c r="AA142" i="3" s="1"/>
  <c r="V142" i="3"/>
  <c r="W146" i="3"/>
  <c r="Z146" i="3" s="1"/>
  <c r="AB146" i="3" s="1"/>
  <c r="AA146" i="3" s="1"/>
  <c r="V146" i="3"/>
  <c r="W150" i="3"/>
  <c r="Z150" i="3" s="1"/>
  <c r="AB150" i="3" s="1"/>
  <c r="AA150" i="3" s="1"/>
  <c r="V150" i="3"/>
  <c r="W154" i="3"/>
  <c r="Z154" i="3" s="1"/>
  <c r="AB154" i="3" s="1"/>
  <c r="AA154" i="3" s="1"/>
  <c r="V154" i="3"/>
  <c r="V157" i="3"/>
  <c r="W157" i="3"/>
  <c r="Z157" i="3" s="1"/>
  <c r="AB157" i="3" s="1"/>
  <c r="AA157" i="3" s="1"/>
  <c r="V161" i="3"/>
  <c r="W161" i="3"/>
  <c r="Z161" i="3" s="1"/>
  <c r="AB161" i="3" s="1"/>
  <c r="AA161" i="3" s="1"/>
  <c r="V165" i="3"/>
  <c r="W165" i="3"/>
  <c r="Z165" i="3" s="1"/>
  <c r="AB165" i="3" s="1"/>
  <c r="AA165" i="3" s="1"/>
  <c r="V169" i="3"/>
  <c r="W169" i="3"/>
  <c r="Z169" i="3" s="1"/>
  <c r="AB169" i="3" s="1"/>
  <c r="AA169" i="3" s="1"/>
  <c r="V173" i="3"/>
  <c r="W173" i="3"/>
  <c r="Z173" i="3" s="1"/>
  <c r="AB173" i="3" s="1"/>
  <c r="AA173" i="3" s="1"/>
  <c r="V177" i="3"/>
  <c r="W177" i="3"/>
  <c r="Z177" i="3" s="1"/>
  <c r="AB177" i="3" s="1"/>
  <c r="AA177" i="3" s="1"/>
  <c r="V181" i="3"/>
  <c r="W181" i="3"/>
  <c r="Z181" i="3" s="1"/>
  <c r="AB181" i="3" s="1"/>
  <c r="AA181" i="3" s="1"/>
  <c r="V185" i="3"/>
  <c r="W185" i="3"/>
  <c r="Z185" i="3" s="1"/>
  <c r="AB185" i="3" s="1"/>
  <c r="AA185" i="3" s="1"/>
  <c r="V189" i="3"/>
  <c r="W189" i="3"/>
  <c r="Z189" i="3" s="1"/>
  <c r="AB189" i="3" s="1"/>
  <c r="AA189" i="3" s="1"/>
  <c r="V193" i="3"/>
  <c r="W193" i="3"/>
  <c r="Z193" i="3" s="1"/>
  <c r="AB193" i="3" s="1"/>
  <c r="AA193" i="3" s="1"/>
  <c r="V197" i="3"/>
  <c r="W197" i="3"/>
  <c r="Z197" i="3" s="1"/>
  <c r="AB197" i="3" s="1"/>
  <c r="AA197" i="3" s="1"/>
  <c r="V201" i="3"/>
  <c r="W201" i="3"/>
  <c r="Z201" i="3" s="1"/>
  <c r="AB201" i="3" s="1"/>
  <c r="AA201" i="3" s="1"/>
  <c r="V205" i="3"/>
  <c r="W205" i="3"/>
  <c r="Z205" i="3" s="1"/>
  <c r="AB205" i="3" s="1"/>
  <c r="AA205" i="3" s="1"/>
  <c r="V209" i="3"/>
  <c r="W209" i="3"/>
  <c r="Z209" i="3" s="1"/>
  <c r="AB209" i="3" s="1"/>
  <c r="AA209" i="3" s="1"/>
  <c r="V213" i="3"/>
  <c r="W213" i="3"/>
  <c r="Z213" i="3" s="1"/>
  <c r="AB213" i="3" s="1"/>
  <c r="AA213" i="3" s="1"/>
  <c r="W156" i="3"/>
  <c r="Z156" i="3" s="1"/>
  <c r="AB156" i="3" s="1"/>
  <c r="AA156" i="3" s="1"/>
  <c r="V156" i="3"/>
  <c r="W160" i="3"/>
  <c r="Z160" i="3" s="1"/>
  <c r="AB160" i="3" s="1"/>
  <c r="AA160" i="3" s="1"/>
  <c r="V160" i="3"/>
  <c r="W164" i="3"/>
  <c r="Z164" i="3" s="1"/>
  <c r="AB164" i="3" s="1"/>
  <c r="AA164" i="3" s="1"/>
  <c r="V164" i="3"/>
  <c r="W168" i="3"/>
  <c r="Z168" i="3" s="1"/>
  <c r="AB168" i="3" s="1"/>
  <c r="AA168" i="3" s="1"/>
  <c r="V168" i="3"/>
  <c r="W172" i="3"/>
  <c r="Z172" i="3" s="1"/>
  <c r="AB172" i="3" s="1"/>
  <c r="AA172" i="3" s="1"/>
  <c r="V172" i="3"/>
  <c r="W176" i="3"/>
  <c r="Z176" i="3" s="1"/>
  <c r="AB176" i="3" s="1"/>
  <c r="AA176" i="3" s="1"/>
  <c r="V176" i="3"/>
  <c r="W180" i="3"/>
  <c r="Z180" i="3" s="1"/>
  <c r="AB180" i="3" s="1"/>
  <c r="AA180" i="3" s="1"/>
  <c r="V180" i="3"/>
  <c r="W184" i="3"/>
  <c r="Z184" i="3" s="1"/>
  <c r="AB184" i="3" s="1"/>
  <c r="AA184" i="3" s="1"/>
  <c r="V184" i="3"/>
  <c r="W188" i="3"/>
  <c r="Z188" i="3" s="1"/>
  <c r="AB188" i="3" s="1"/>
  <c r="AA188" i="3" s="1"/>
  <c r="V188" i="3"/>
  <c r="W192" i="3"/>
  <c r="Z192" i="3" s="1"/>
  <c r="AB192" i="3" s="1"/>
  <c r="AA192" i="3" s="1"/>
  <c r="V192" i="3"/>
  <c r="W196" i="3"/>
  <c r="Z196" i="3" s="1"/>
  <c r="AB196" i="3" s="1"/>
  <c r="AA196" i="3" s="1"/>
  <c r="V196" i="3"/>
  <c r="W200" i="3"/>
  <c r="Z200" i="3" s="1"/>
  <c r="AB200" i="3" s="1"/>
  <c r="AA200" i="3" s="1"/>
  <c r="V200" i="3"/>
  <c r="W204" i="3"/>
  <c r="Z204" i="3" s="1"/>
  <c r="AB204" i="3" s="1"/>
  <c r="AA204" i="3" s="1"/>
  <c r="V204" i="3"/>
  <c r="W208" i="3"/>
  <c r="Z208" i="3" s="1"/>
  <c r="AB208" i="3" s="1"/>
  <c r="AA208" i="3" s="1"/>
  <c r="V208" i="3"/>
  <c r="W212" i="3"/>
  <c r="Z212" i="3" s="1"/>
  <c r="AB212" i="3" s="1"/>
  <c r="AA212" i="3" s="1"/>
  <c r="V212" i="3"/>
  <c r="W216" i="3"/>
  <c r="Z216" i="3" s="1"/>
  <c r="AB216" i="3" s="1"/>
  <c r="AA216" i="3" s="1"/>
  <c r="V216" i="3"/>
  <c r="V220" i="3"/>
  <c r="W220" i="3"/>
  <c r="Z220" i="3" s="1"/>
  <c r="AB220" i="3" s="1"/>
  <c r="AA220" i="3" s="1"/>
  <c r="V224" i="3"/>
  <c r="W224" i="3"/>
  <c r="Z224" i="3" s="1"/>
  <c r="AB224" i="3" s="1"/>
  <c r="AA224" i="3" s="1"/>
  <c r="V228" i="3"/>
  <c r="W228" i="3"/>
  <c r="Z228" i="3" s="1"/>
  <c r="AB228" i="3" s="1"/>
  <c r="AA228" i="3" s="1"/>
  <c r="V232" i="3"/>
  <c r="W232" i="3"/>
  <c r="Z232" i="3" s="1"/>
  <c r="AB232" i="3" s="1"/>
  <c r="AA232" i="3" s="1"/>
  <c r="V236" i="3"/>
  <c r="W236" i="3"/>
  <c r="Z236" i="3" s="1"/>
  <c r="AB236" i="3" s="1"/>
  <c r="AA236" i="3" s="1"/>
  <c r="V240" i="3"/>
  <c r="W240" i="3"/>
  <c r="Z240" i="3" s="1"/>
  <c r="AB240" i="3" s="1"/>
  <c r="AA240" i="3" s="1"/>
  <c r="V244" i="3"/>
  <c r="W244" i="3"/>
  <c r="Z244" i="3" s="1"/>
  <c r="AB244" i="3" s="1"/>
  <c r="AA244" i="3" s="1"/>
  <c r="W219" i="3"/>
  <c r="Z219" i="3" s="1"/>
  <c r="AB219" i="3" s="1"/>
  <c r="AA219" i="3" s="1"/>
  <c r="V219" i="3"/>
  <c r="W223" i="3"/>
  <c r="Z223" i="3" s="1"/>
  <c r="AB223" i="3" s="1"/>
  <c r="AA223" i="3" s="1"/>
  <c r="V223" i="3"/>
  <c r="W227" i="3"/>
  <c r="Z227" i="3" s="1"/>
  <c r="AB227" i="3" s="1"/>
  <c r="AA227" i="3" s="1"/>
  <c r="V227" i="3"/>
  <c r="W231" i="3"/>
  <c r="Z231" i="3" s="1"/>
  <c r="AB231" i="3" s="1"/>
  <c r="AA231" i="3" s="1"/>
  <c r="V231" i="3"/>
  <c r="W235" i="3"/>
  <c r="Z235" i="3" s="1"/>
  <c r="AB235" i="3" s="1"/>
  <c r="AA235" i="3" s="1"/>
  <c r="V235" i="3"/>
  <c r="W239" i="3"/>
  <c r="Z239" i="3" s="1"/>
  <c r="AB239" i="3" s="1"/>
  <c r="AA239" i="3" s="1"/>
  <c r="V239" i="3"/>
  <c r="W243" i="3"/>
  <c r="Z243" i="3" s="1"/>
  <c r="AB243" i="3" s="1"/>
  <c r="AA243" i="3" s="1"/>
  <c r="V243" i="3"/>
  <c r="V247" i="3"/>
  <c r="W247" i="3"/>
  <c r="Z247" i="3" s="1"/>
  <c r="AB247" i="3" s="1"/>
  <c r="AA247" i="3" s="1"/>
  <c r="V251" i="3"/>
  <c r="W251" i="3"/>
  <c r="Z251" i="3" s="1"/>
  <c r="AB251" i="3" s="1"/>
  <c r="AA251" i="3" s="1"/>
  <c r="V255" i="3"/>
  <c r="W255" i="3"/>
  <c r="Z255" i="3" s="1"/>
  <c r="AB255" i="3" s="1"/>
  <c r="AA255" i="3" s="1"/>
  <c r="V259" i="3"/>
  <c r="W259" i="3"/>
  <c r="Z259" i="3" s="1"/>
  <c r="AB259" i="3" s="1"/>
  <c r="AA259" i="3" s="1"/>
  <c r="V263" i="3"/>
  <c r="W263" i="3"/>
  <c r="Z263" i="3" s="1"/>
  <c r="AB263" i="3" s="1"/>
  <c r="AA263" i="3" s="1"/>
  <c r="W246" i="3"/>
  <c r="Z246" i="3" s="1"/>
  <c r="AB246" i="3" s="1"/>
  <c r="AA246" i="3" s="1"/>
  <c r="V246" i="3"/>
  <c r="W250" i="3"/>
  <c r="Z250" i="3" s="1"/>
  <c r="AB250" i="3" s="1"/>
  <c r="AA250" i="3" s="1"/>
  <c r="V250" i="3"/>
  <c r="W254" i="3"/>
  <c r="Z254" i="3" s="1"/>
  <c r="AB254" i="3" s="1"/>
  <c r="AA254" i="3" s="1"/>
  <c r="V254" i="3"/>
  <c r="W258" i="3"/>
  <c r="Z258" i="3" s="1"/>
  <c r="AB258" i="3" s="1"/>
  <c r="AA258" i="3" s="1"/>
  <c r="V258" i="3"/>
  <c r="W262" i="3"/>
  <c r="Z262" i="3" s="1"/>
  <c r="AB262" i="3" s="1"/>
  <c r="AA262" i="3" s="1"/>
  <c r="V262" i="3"/>
  <c r="W266" i="3"/>
  <c r="Z266" i="3" s="1"/>
  <c r="AB266" i="3" s="1"/>
  <c r="AA266" i="3" s="1"/>
  <c r="V266" i="3"/>
  <c r="AG170" i="27" l="1"/>
  <c r="Z103" i="27"/>
  <c r="Z123" i="27"/>
  <c r="Z111" i="27"/>
  <c r="Z117" i="27"/>
  <c r="Z105" i="27"/>
  <c r="Z195" i="27"/>
  <c r="Z183" i="27"/>
  <c r="Z189" i="27"/>
  <c r="Z177" i="27"/>
  <c r="Z115" i="27"/>
  <c r="Z109" i="27"/>
  <c r="Z121" i="27"/>
  <c r="Z151" i="27"/>
  <c r="Z163" i="27"/>
  <c r="Z157" i="27"/>
  <c r="Z169" i="27"/>
  <c r="Z147" i="27"/>
  <c r="Z135" i="27"/>
  <c r="Z141" i="27"/>
  <c r="Z129" i="27"/>
  <c r="Z171" i="27"/>
  <c r="Z159" i="27"/>
  <c r="Z165" i="27"/>
  <c r="Z153" i="27"/>
  <c r="Z127" i="27"/>
  <c r="Z139" i="27"/>
  <c r="Z133" i="27"/>
  <c r="Z145" i="27"/>
  <c r="Z175" i="27"/>
  <c r="Z187" i="27"/>
  <c r="Z181" i="27"/>
  <c r="Z193" i="27"/>
  <c r="Z46" i="27"/>
  <c r="Z22" i="27"/>
  <c r="Z34" i="27"/>
  <c r="Z10" i="27"/>
  <c r="Z40" i="27"/>
  <c r="Z16" i="27"/>
  <c r="Z94" i="27"/>
  <c r="Z70" i="27"/>
  <c r="Z82" i="27"/>
  <c r="Z58" i="27"/>
  <c r="R68" i="27"/>
  <c r="Z88" i="27"/>
  <c r="Z64" i="27"/>
  <c r="Z8" i="27"/>
  <c r="Z32" i="27"/>
  <c r="Z20" i="27"/>
  <c r="Z44" i="27"/>
  <c r="Z14" i="27"/>
  <c r="Z38" i="27"/>
  <c r="Z56" i="27"/>
  <c r="Z80" i="27"/>
  <c r="Z68" i="27"/>
  <c r="Z92" i="27"/>
  <c r="Z62" i="27"/>
  <c r="Z86" i="27"/>
  <c r="R71" i="27"/>
  <c r="AA74" i="3"/>
  <c r="Z5" i="27"/>
  <c r="AA71" i="3"/>
  <c r="Z49" i="27"/>
  <c r="AA67" i="3"/>
  <c r="Z25" i="27"/>
  <c r="AA63" i="3"/>
  <c r="Z37" i="27"/>
  <c r="AA59" i="3"/>
  <c r="Z13" i="27"/>
  <c r="AA55" i="3"/>
  <c r="Z43" i="27"/>
  <c r="AA51" i="3"/>
  <c r="Z19" i="27"/>
  <c r="AA47" i="3"/>
  <c r="Z31" i="27"/>
  <c r="AA43" i="3"/>
  <c r="Z7" i="27"/>
  <c r="Z28" i="27"/>
  <c r="AA73" i="3"/>
  <c r="Z97" i="27"/>
  <c r="AA69" i="3"/>
  <c r="Z73" i="27"/>
  <c r="AA65" i="3"/>
  <c r="Z85" i="27"/>
  <c r="AA61" i="3"/>
  <c r="Z61" i="27"/>
  <c r="AA57" i="3"/>
  <c r="Z91" i="27"/>
  <c r="AA53" i="3"/>
  <c r="Z67" i="27"/>
  <c r="AA49" i="3"/>
  <c r="Z79" i="27"/>
  <c r="AA45" i="3"/>
  <c r="Z55" i="27"/>
  <c r="Z76" i="27"/>
  <c r="Z52" i="27"/>
  <c r="AA70" i="3"/>
  <c r="Z29" i="27"/>
  <c r="AA66" i="3"/>
  <c r="Z17" i="27"/>
  <c r="AA62" i="3"/>
  <c r="Z41" i="27"/>
  <c r="AA58" i="3"/>
  <c r="Z11" i="27"/>
  <c r="AA54" i="3"/>
  <c r="Z35" i="27"/>
  <c r="AA50" i="3"/>
  <c r="Z23" i="27"/>
  <c r="AA46" i="3"/>
  <c r="Z47" i="27"/>
  <c r="Z26" i="27"/>
  <c r="Z50" i="27"/>
  <c r="AA72" i="3"/>
  <c r="Z53" i="27"/>
  <c r="AA68" i="3"/>
  <c r="Z77" i="27"/>
  <c r="AA64" i="3"/>
  <c r="Z65" i="27"/>
  <c r="AA60" i="3"/>
  <c r="Z89" i="27"/>
  <c r="AA56" i="3"/>
  <c r="Z59" i="27"/>
  <c r="AA52" i="3"/>
  <c r="Z83" i="27"/>
  <c r="AA48" i="3"/>
  <c r="Z71" i="27"/>
  <c r="AA44" i="3"/>
  <c r="Z95" i="27"/>
  <c r="Z74" i="27"/>
  <c r="Z98" i="27"/>
  <c r="Z4" i="27"/>
  <c r="AA26" i="3"/>
  <c r="AA11" i="3"/>
  <c r="AA23" i="3"/>
  <c r="AA19" i="3"/>
  <c r="AA25" i="3"/>
  <c r="AA21" i="3"/>
  <c r="AA22" i="3"/>
  <c r="AA24" i="3"/>
  <c r="AA20" i="3"/>
  <c r="AA39" i="3"/>
  <c r="AA35" i="3"/>
  <c r="AA31" i="3"/>
  <c r="AA27" i="3"/>
  <c r="B7" i="27"/>
  <c r="AA15" i="3"/>
  <c r="AA41" i="3"/>
  <c r="AA37" i="3"/>
  <c r="AA33" i="3"/>
  <c r="AA29" i="3"/>
  <c r="B13" i="27"/>
  <c r="AA17" i="3"/>
  <c r="B10" i="27"/>
  <c r="AA13" i="3"/>
  <c r="AA42" i="3"/>
  <c r="AA38" i="3"/>
  <c r="AA34" i="3"/>
  <c r="AA30" i="3"/>
  <c r="AA18" i="3"/>
  <c r="B8" i="27"/>
  <c r="AA14" i="3"/>
  <c r="AA40" i="3"/>
  <c r="AA36" i="3"/>
  <c r="AA32" i="3"/>
  <c r="AA28" i="3"/>
  <c r="B11" i="27"/>
  <c r="AA16" i="3"/>
  <c r="B14" i="27"/>
  <c r="AA12" i="3"/>
  <c r="B4" i="27"/>
  <c r="P28" i="27"/>
  <c r="B5" i="27" l="1"/>
  <c r="R16" i="27"/>
  <c r="H17" i="27"/>
  <c r="H19" i="27"/>
  <c r="H7" i="27"/>
  <c r="H4" i="27"/>
  <c r="H20" i="27"/>
  <c r="H8" i="27"/>
  <c r="H16" i="27"/>
  <c r="H10" i="27"/>
  <c r="Q136" i="27"/>
  <c r="B20" i="27"/>
  <c r="H23" i="27"/>
  <c r="H11" i="27"/>
  <c r="H25" i="27"/>
  <c r="H13" i="27"/>
  <c r="H26" i="27"/>
  <c r="H14" i="27"/>
  <c r="H22" i="27"/>
  <c r="V105" i="27"/>
  <c r="Q130" i="27"/>
  <c r="P130" i="27"/>
  <c r="Q114" i="27"/>
  <c r="P114" i="27"/>
  <c r="Q131" i="27"/>
  <c r="P131" i="27"/>
  <c r="Q115" i="27"/>
  <c r="P115" i="27"/>
  <c r="Q126" i="27"/>
  <c r="P126" i="27"/>
  <c r="Q123" i="27"/>
  <c r="P123" i="27"/>
  <c r="Q121" i="27"/>
  <c r="P121" i="27"/>
  <c r="Q133" i="27"/>
  <c r="P133" i="27"/>
  <c r="AI173" i="27"/>
  <c r="AH173" i="27"/>
  <c r="AI189" i="27"/>
  <c r="AH189" i="27"/>
  <c r="AI175" i="27"/>
  <c r="AH175" i="27"/>
  <c r="AI191" i="27"/>
  <c r="AH191" i="27"/>
  <c r="AI177" i="27"/>
  <c r="AH177" i="27"/>
  <c r="AI193" i="27"/>
  <c r="AH193" i="27"/>
  <c r="AI179" i="27"/>
  <c r="AH179" i="27"/>
  <c r="AI195" i="27"/>
  <c r="AH195" i="27"/>
  <c r="AI165" i="27"/>
  <c r="AH165" i="27"/>
  <c r="AI181" i="27"/>
  <c r="AH181" i="27"/>
  <c r="AI167" i="27"/>
  <c r="AH167" i="27"/>
  <c r="AI183" i="27"/>
  <c r="AH183" i="27"/>
  <c r="AI169" i="27"/>
  <c r="AH169" i="27"/>
  <c r="AI185" i="27"/>
  <c r="AH185" i="27"/>
  <c r="AI171" i="27"/>
  <c r="AH171" i="27"/>
  <c r="AI187" i="27"/>
  <c r="AH187" i="27"/>
  <c r="AG171" i="27"/>
  <c r="B29" i="27"/>
  <c r="H38" i="27"/>
  <c r="H32" i="27"/>
  <c r="Z118" i="27"/>
  <c r="H43" i="27"/>
  <c r="H49" i="27"/>
  <c r="H52" i="27"/>
  <c r="Z180" i="27"/>
  <c r="H34" i="27"/>
  <c r="H40" i="27"/>
  <c r="Z132" i="27"/>
  <c r="B19" i="27"/>
  <c r="AB127" i="27"/>
  <c r="AB130" i="27"/>
  <c r="AB115" i="27"/>
  <c r="AB118" i="27"/>
  <c r="AB145" i="27"/>
  <c r="AB148" i="27"/>
  <c r="AB109" i="27"/>
  <c r="AB112" i="27"/>
  <c r="H50" i="27"/>
  <c r="H44" i="27"/>
  <c r="Z166" i="27"/>
  <c r="B23" i="27"/>
  <c r="H53" i="27"/>
  <c r="B26" i="27"/>
  <c r="Z190" i="27"/>
  <c r="H41" i="27"/>
  <c r="Z124" i="27"/>
  <c r="Z142" i="27"/>
  <c r="B28" i="27"/>
  <c r="Z162" i="27"/>
  <c r="Z156" i="27"/>
  <c r="B22" i="27"/>
  <c r="Z108" i="27"/>
  <c r="H47" i="27"/>
  <c r="Z184" i="27"/>
  <c r="Z160" i="27"/>
  <c r="Z154" i="27"/>
  <c r="Z136" i="27"/>
  <c r="Z112" i="27"/>
  <c r="Z106" i="27"/>
  <c r="B25" i="27"/>
  <c r="H46" i="27"/>
  <c r="Z186" i="27"/>
  <c r="Z192" i="27"/>
  <c r="H37" i="27"/>
  <c r="Z114" i="27"/>
  <c r="Z138" i="27"/>
  <c r="Z144" i="27"/>
  <c r="Z102" i="27"/>
  <c r="AB133" i="27"/>
  <c r="AB136" i="27"/>
  <c r="AB121" i="27"/>
  <c r="AB124" i="27"/>
  <c r="AB139" i="27"/>
  <c r="AB142" i="27"/>
  <c r="AB103" i="27"/>
  <c r="AB106" i="27"/>
  <c r="Z196" i="27"/>
  <c r="Z172" i="27"/>
  <c r="Z178" i="27"/>
  <c r="Z148" i="27"/>
  <c r="H35" i="27"/>
  <c r="Z130" i="27"/>
  <c r="Z150" i="27"/>
  <c r="Z174" i="27"/>
  <c r="Z168" i="27"/>
  <c r="Z126" i="27"/>
  <c r="Z120" i="27"/>
  <c r="H31" i="27"/>
  <c r="R76" i="27"/>
  <c r="R59" i="27"/>
  <c r="R56" i="27"/>
  <c r="R74" i="27"/>
  <c r="R62" i="27"/>
  <c r="R55" i="27"/>
  <c r="R65" i="27"/>
  <c r="R73" i="27"/>
  <c r="R70" i="27"/>
  <c r="P89" i="27"/>
  <c r="P98" i="27"/>
  <c r="P65" i="27"/>
  <c r="P74" i="27"/>
  <c r="P85" i="27"/>
  <c r="P82" i="27"/>
  <c r="P67" i="27"/>
  <c r="P58" i="27"/>
  <c r="P95" i="27"/>
  <c r="P83" i="27"/>
  <c r="P80" i="27"/>
  <c r="P71" i="27"/>
  <c r="P59" i="27"/>
  <c r="P56" i="27"/>
  <c r="P79" i="27"/>
  <c r="P97" i="27"/>
  <c r="P100" i="27"/>
  <c r="P61" i="27"/>
  <c r="P73" i="27"/>
  <c r="P76" i="27"/>
  <c r="P55" i="27"/>
  <c r="P101" i="27"/>
  <c r="P92" i="27"/>
  <c r="P77" i="27"/>
  <c r="P68" i="27"/>
  <c r="P91" i="27"/>
  <c r="P88" i="27"/>
  <c r="P64" i="27"/>
  <c r="P86" i="27"/>
  <c r="P62" i="27"/>
  <c r="P94" i="27"/>
  <c r="P70" i="27"/>
  <c r="R44" i="27"/>
  <c r="R19" i="27"/>
  <c r="R10" i="27"/>
  <c r="R50" i="27"/>
  <c r="R47" i="27"/>
  <c r="R38" i="27"/>
  <c r="R35" i="27"/>
  <c r="R49" i="27"/>
  <c r="R46" i="27"/>
  <c r="R37" i="27"/>
  <c r="R34" i="27"/>
  <c r="R17" i="27"/>
  <c r="R20" i="27"/>
  <c r="R5" i="27"/>
  <c r="R11" i="27"/>
  <c r="R14" i="27"/>
  <c r="AB49" i="27"/>
  <c r="AB43" i="27"/>
  <c r="AB37" i="27"/>
  <c r="AB31" i="27"/>
  <c r="AB25" i="27"/>
  <c r="AB19" i="27"/>
  <c r="AB13" i="27"/>
  <c r="AB7" i="27"/>
  <c r="AB4" i="27"/>
  <c r="AB46" i="27"/>
  <c r="AB40" i="27"/>
  <c r="AB34" i="27"/>
  <c r="AB28" i="27"/>
  <c r="AB22" i="27"/>
  <c r="AB16" i="27"/>
  <c r="AB10" i="27"/>
  <c r="AB29" i="27"/>
  <c r="AB41" i="27"/>
  <c r="AB35" i="27"/>
  <c r="AB47" i="27"/>
  <c r="AB32" i="27"/>
  <c r="AB44" i="27"/>
  <c r="AB38" i="27"/>
  <c r="AB50" i="27"/>
  <c r="AB5" i="27"/>
  <c r="AB17" i="27"/>
  <c r="AB11" i="27"/>
  <c r="AB23" i="27"/>
  <c r="AB8" i="27"/>
  <c r="AB20" i="27"/>
  <c r="AB14" i="27"/>
  <c r="AB26" i="27"/>
  <c r="D4" i="27"/>
  <c r="D8" i="27"/>
  <c r="D14" i="27"/>
  <c r="D5" i="27"/>
  <c r="D11" i="27"/>
  <c r="D7" i="27"/>
  <c r="D15" i="27"/>
  <c r="D12" i="27"/>
  <c r="P136" i="27" l="1"/>
  <c r="T20" i="27"/>
  <c r="T50" i="27"/>
  <c r="T32" i="27"/>
  <c r="T49" i="27"/>
  <c r="T47" i="27"/>
  <c r="T19" i="27"/>
  <c r="T43" i="27"/>
  <c r="P46" i="27"/>
  <c r="T44" i="27"/>
  <c r="I65" i="27"/>
  <c r="H65" i="27"/>
  <c r="I71" i="27"/>
  <c r="H71" i="27"/>
  <c r="I66" i="27"/>
  <c r="H66" i="27"/>
  <c r="I72" i="27"/>
  <c r="H72" i="27"/>
  <c r="E38" i="27"/>
  <c r="D38" i="27"/>
  <c r="V106" i="27"/>
  <c r="H5" i="27"/>
  <c r="P13" i="27"/>
  <c r="P32" i="27"/>
  <c r="T31" i="27"/>
  <c r="V5" i="27"/>
  <c r="T22" i="27"/>
  <c r="P43" i="27"/>
  <c r="P11" i="27"/>
  <c r="P35" i="27"/>
  <c r="P40" i="27"/>
  <c r="J57" i="27"/>
  <c r="J13" i="27"/>
  <c r="J26" i="27"/>
  <c r="J8" i="27"/>
  <c r="J19" i="27"/>
  <c r="F32" i="27"/>
  <c r="J7" i="27"/>
  <c r="J17" i="27"/>
  <c r="J4" i="27"/>
  <c r="J11" i="27"/>
  <c r="P8" i="27"/>
  <c r="P4" i="27"/>
  <c r="T38" i="27"/>
  <c r="T37" i="27"/>
  <c r="E39" i="27"/>
  <c r="D39" i="27"/>
  <c r="I67" i="27"/>
  <c r="H67" i="27"/>
  <c r="I69" i="27"/>
  <c r="H69" i="27"/>
  <c r="E37" i="27"/>
  <c r="D37" i="27"/>
  <c r="E36" i="27"/>
  <c r="D36" i="27"/>
  <c r="I70" i="27"/>
  <c r="H70" i="27"/>
  <c r="I68" i="27"/>
  <c r="H68" i="27"/>
  <c r="F44" i="27"/>
  <c r="T16" i="27"/>
  <c r="T23" i="27"/>
  <c r="P49" i="27"/>
  <c r="P5" i="27"/>
  <c r="P29" i="27"/>
  <c r="P22" i="27"/>
  <c r="P14" i="27"/>
  <c r="P10" i="27"/>
  <c r="J20" i="27"/>
  <c r="N57" i="27"/>
  <c r="J14" i="27"/>
  <c r="J25" i="27"/>
  <c r="R105" i="27"/>
  <c r="J10" i="27"/>
  <c r="J23" i="27"/>
  <c r="J5" i="27"/>
  <c r="J22" i="27"/>
  <c r="V19" i="27"/>
  <c r="Q118" i="27"/>
  <c r="P118" i="27"/>
  <c r="Q125" i="27"/>
  <c r="P125" i="27"/>
  <c r="Q135" i="27"/>
  <c r="P135" i="27"/>
  <c r="Q127" i="27"/>
  <c r="P127" i="27"/>
  <c r="Q132" i="27"/>
  <c r="P132" i="27"/>
  <c r="Q129" i="27"/>
  <c r="P129" i="27"/>
  <c r="Q116" i="27"/>
  <c r="P116" i="27"/>
  <c r="Q119" i="27"/>
  <c r="P119" i="27"/>
  <c r="Q128" i="27"/>
  <c r="P128" i="27"/>
  <c r="Q134" i="27"/>
  <c r="P134" i="27"/>
  <c r="Q120" i="27"/>
  <c r="P120" i="27"/>
  <c r="Q124" i="27"/>
  <c r="P124" i="27"/>
  <c r="Q122" i="27"/>
  <c r="P122" i="27"/>
  <c r="Q113" i="27"/>
  <c r="P113" i="27"/>
  <c r="AI170" i="27"/>
  <c r="AH170" i="27"/>
  <c r="AI194" i="27"/>
  <c r="AH194" i="27"/>
  <c r="AI163" i="27"/>
  <c r="AH163" i="27"/>
  <c r="AI157" i="27"/>
  <c r="AH157" i="27"/>
  <c r="AI151" i="27"/>
  <c r="AH151" i="27"/>
  <c r="AI153" i="27"/>
  <c r="AH153" i="27"/>
  <c r="AI164" i="27"/>
  <c r="AH164" i="27"/>
  <c r="AI184" i="27"/>
  <c r="AH184" i="27"/>
  <c r="AI166" i="27"/>
  <c r="AH166" i="27"/>
  <c r="AI186" i="27"/>
  <c r="AH186" i="27"/>
  <c r="AI188" i="27"/>
  <c r="AH188" i="27"/>
  <c r="AI178" i="27"/>
  <c r="AH178" i="27"/>
  <c r="AI174" i="27"/>
  <c r="AH174" i="27"/>
  <c r="AI155" i="27"/>
  <c r="AH155" i="27"/>
  <c r="AI149" i="27"/>
  <c r="AH149" i="27"/>
  <c r="AI159" i="27"/>
  <c r="AH159" i="27"/>
  <c r="AI161" i="27"/>
  <c r="AH161" i="27"/>
  <c r="AI168" i="27"/>
  <c r="AH168" i="27"/>
  <c r="AI192" i="27"/>
  <c r="AH192" i="27"/>
  <c r="AI190" i="27"/>
  <c r="AH190" i="27"/>
  <c r="AI148" i="27"/>
  <c r="AH148" i="27"/>
  <c r="AI154" i="27"/>
  <c r="AH154" i="27"/>
  <c r="AI160" i="27"/>
  <c r="AH160" i="27"/>
  <c r="AI158" i="27"/>
  <c r="AH158" i="27"/>
  <c r="AI180" i="27"/>
  <c r="AH180" i="27"/>
  <c r="AI182" i="27"/>
  <c r="AH182" i="27"/>
  <c r="AI176" i="27"/>
  <c r="AH176" i="27"/>
  <c r="AI156" i="27"/>
  <c r="AH156" i="27"/>
  <c r="AI162" i="27"/>
  <c r="AH162" i="27"/>
  <c r="AI152" i="27"/>
  <c r="AH152" i="27"/>
  <c r="AI150" i="27"/>
  <c r="AH150" i="27"/>
  <c r="AI172" i="27"/>
  <c r="AH172" i="27"/>
  <c r="AG172" i="27"/>
  <c r="J31" i="27"/>
  <c r="AB114" i="27"/>
  <c r="AB138" i="27"/>
  <c r="AB102" i="27"/>
  <c r="AB120" i="27"/>
  <c r="J34" i="27"/>
  <c r="AB144" i="27"/>
  <c r="D22" i="27"/>
  <c r="D20" i="27"/>
  <c r="AB132" i="27"/>
  <c r="D19" i="27"/>
  <c r="J35" i="27"/>
  <c r="AB141" i="27"/>
  <c r="J40" i="27"/>
  <c r="AB111" i="27"/>
  <c r="AB135" i="27"/>
  <c r="AB126" i="27"/>
  <c r="AB123" i="27"/>
  <c r="AB108" i="27"/>
  <c r="AB147" i="27"/>
  <c r="J38" i="27"/>
  <c r="AB105" i="27"/>
  <c r="AB129" i="27"/>
  <c r="D23" i="27"/>
  <c r="AB117" i="27"/>
  <c r="J32" i="27"/>
  <c r="J41" i="27"/>
  <c r="J37" i="27"/>
  <c r="R77" i="27"/>
  <c r="R67" i="27"/>
  <c r="R58" i="27"/>
  <c r="R61" i="27"/>
  <c r="R64" i="27"/>
  <c r="P7" i="27"/>
  <c r="P47" i="27"/>
  <c r="P25" i="27"/>
  <c r="P20" i="27"/>
  <c r="T59" i="27"/>
  <c r="T61" i="27"/>
  <c r="P31" i="27"/>
  <c r="P37" i="27"/>
  <c r="P17" i="27"/>
  <c r="P41" i="27"/>
  <c r="P26" i="27"/>
  <c r="P16" i="27"/>
  <c r="P23" i="27"/>
  <c r="P50" i="27"/>
  <c r="P19" i="27"/>
  <c r="P44" i="27"/>
  <c r="P34" i="27"/>
  <c r="P38" i="27"/>
  <c r="T62" i="27"/>
  <c r="T55" i="27"/>
  <c r="T10" i="27"/>
  <c r="T11" i="27"/>
  <c r="F12" i="27"/>
  <c r="F8" i="27"/>
  <c r="F15" i="27"/>
  <c r="F5" i="27"/>
  <c r="V38" i="27"/>
  <c r="V32" i="27"/>
  <c r="V29" i="27"/>
  <c r="V35" i="27"/>
  <c r="V7" i="27"/>
  <c r="V13" i="27"/>
  <c r="V49" i="27"/>
  <c r="V44" i="27"/>
  <c r="V23" i="27"/>
  <c r="V25" i="27"/>
  <c r="V47" i="27"/>
  <c r="V50" i="27"/>
  <c r="V41" i="27"/>
  <c r="V17" i="27"/>
  <c r="AD8" i="27"/>
  <c r="AD20" i="27"/>
  <c r="AD17" i="27"/>
  <c r="AD19" i="27"/>
  <c r="AD7" i="27"/>
  <c r="AD13" i="27"/>
  <c r="AD5" i="27"/>
  <c r="AD23" i="27"/>
  <c r="AD14" i="27"/>
  <c r="AD11" i="27"/>
  <c r="AD26" i="27"/>
  <c r="AD25" i="27"/>
  <c r="AD10" i="27"/>
  <c r="AD16" i="27"/>
  <c r="AD22" i="27"/>
  <c r="F11" i="27"/>
  <c r="AB64" i="27"/>
  <c r="AB58" i="27"/>
  <c r="AB70" i="27"/>
  <c r="AB55" i="27"/>
  <c r="AB67" i="27"/>
  <c r="AB61" i="27"/>
  <c r="AB73" i="27"/>
  <c r="AB76" i="27"/>
  <c r="AB88" i="27"/>
  <c r="AB82" i="27"/>
  <c r="AB94" i="27"/>
  <c r="AB79" i="27"/>
  <c r="AB91" i="27"/>
  <c r="AB85" i="27"/>
  <c r="AB97" i="27"/>
  <c r="AB56" i="27"/>
  <c r="AD77" i="27"/>
  <c r="AB62" i="27"/>
  <c r="AB68" i="27"/>
  <c r="AB74" i="27"/>
  <c r="AB80" i="27"/>
  <c r="AB86" i="27"/>
  <c r="AB92" i="27"/>
  <c r="AB98" i="27"/>
  <c r="AB53" i="27"/>
  <c r="AB59" i="27"/>
  <c r="AB65" i="27"/>
  <c r="AB71" i="27"/>
  <c r="AB77" i="27"/>
  <c r="AB83" i="27"/>
  <c r="AB89" i="27"/>
  <c r="AB95" i="27"/>
  <c r="AB52" i="27"/>
  <c r="AD4" i="27"/>
  <c r="T7" i="27" l="1"/>
  <c r="D45" i="27"/>
  <c r="X16" i="27"/>
  <c r="T56" i="27"/>
  <c r="I63" i="27"/>
  <c r="H63" i="27"/>
  <c r="I62" i="27"/>
  <c r="H62" i="27"/>
  <c r="L7" i="27"/>
  <c r="L20" i="27"/>
  <c r="N58" i="27"/>
  <c r="R7" i="27"/>
  <c r="R13" i="27"/>
  <c r="R28" i="27"/>
  <c r="R4" i="27"/>
  <c r="L13" i="27"/>
  <c r="L23" i="27"/>
  <c r="F33" i="27"/>
  <c r="L11" i="27"/>
  <c r="R22" i="27"/>
  <c r="R31" i="27"/>
  <c r="L10" i="27"/>
  <c r="L8" i="27"/>
  <c r="R8" i="27"/>
  <c r="D49" i="27"/>
  <c r="I64" i="27"/>
  <c r="H64" i="27"/>
  <c r="I61" i="27"/>
  <c r="H61" i="27"/>
  <c r="L19" i="27"/>
  <c r="R32" i="27"/>
  <c r="R40" i="27"/>
  <c r="R26" i="27"/>
  <c r="R29" i="27"/>
  <c r="L4" i="27"/>
  <c r="L5" i="27"/>
  <c r="J58" i="27"/>
  <c r="R43" i="27"/>
  <c r="R23" i="27"/>
  <c r="V107" i="27"/>
  <c r="R25" i="27"/>
  <c r="L26" i="27"/>
  <c r="R106" i="27"/>
  <c r="L14" i="27"/>
  <c r="L24" i="27"/>
  <c r="F45" i="27"/>
  <c r="L17" i="27"/>
  <c r="L27" i="27"/>
  <c r="R41" i="27"/>
  <c r="J16" i="27"/>
  <c r="F4" i="27"/>
  <c r="F7" i="27"/>
  <c r="F14" i="27"/>
  <c r="E47" i="27"/>
  <c r="D47" i="27"/>
  <c r="E45" i="27"/>
  <c r="E51" i="27"/>
  <c r="D51" i="27"/>
  <c r="X25" i="27"/>
  <c r="X17" i="27"/>
  <c r="Q110" i="27"/>
  <c r="P110" i="27"/>
  <c r="Q117" i="27"/>
  <c r="P117" i="27"/>
  <c r="Q111" i="27"/>
  <c r="P111" i="27"/>
  <c r="Q109" i="27"/>
  <c r="P109" i="27"/>
  <c r="Q112" i="27"/>
  <c r="P112" i="27"/>
  <c r="AG173" i="27"/>
  <c r="L34" i="27"/>
  <c r="F23" i="27"/>
  <c r="AD103" i="27"/>
  <c r="AD124" i="27"/>
  <c r="AD112" i="27"/>
  <c r="AD118" i="27"/>
  <c r="L35" i="27"/>
  <c r="AD117" i="27"/>
  <c r="F20" i="27"/>
  <c r="L32" i="27"/>
  <c r="AD102" i="27"/>
  <c r="AD108" i="27"/>
  <c r="AD109" i="27"/>
  <c r="AD115" i="27"/>
  <c r="AD105" i="27"/>
  <c r="AD114" i="27"/>
  <c r="AD106" i="27"/>
  <c r="AD121" i="27"/>
  <c r="F19" i="27"/>
  <c r="F22" i="27"/>
  <c r="AD123" i="27"/>
  <c r="AD111" i="27"/>
  <c r="AD120" i="27"/>
  <c r="L31" i="27"/>
  <c r="T65" i="27"/>
  <c r="T64" i="27"/>
  <c r="T58" i="27"/>
  <c r="V59" i="27"/>
  <c r="V55" i="27"/>
  <c r="P107" i="27"/>
  <c r="V58" i="27"/>
  <c r="P108" i="27"/>
  <c r="V56" i="27"/>
  <c r="X7" i="27"/>
  <c r="AD88" i="27"/>
  <c r="AD82" i="27"/>
  <c r="AF88" i="27"/>
  <c r="AD95" i="27"/>
  <c r="AD89" i="27"/>
  <c r="AD83" i="27"/>
  <c r="AD91" i="27"/>
  <c r="AD50" i="27"/>
  <c r="AD38" i="27"/>
  <c r="AF13" i="27"/>
  <c r="AF7" i="27"/>
  <c r="AF14" i="27"/>
  <c r="AD37" i="27"/>
  <c r="AF8" i="27"/>
  <c r="AD41" i="27"/>
  <c r="AD43" i="27"/>
  <c r="AF11" i="27"/>
  <c r="AD29" i="27"/>
  <c r="AD97" i="27"/>
  <c r="AD85" i="27"/>
  <c r="AD79" i="27"/>
  <c r="AD98" i="27"/>
  <c r="AD92" i="27"/>
  <c r="AD86" i="27"/>
  <c r="AD80" i="27"/>
  <c r="AD94" i="27"/>
  <c r="AD44" i="27"/>
  <c r="AD32" i="27"/>
  <c r="AF10" i="27"/>
  <c r="AD46" i="27"/>
  <c r="AD47" i="27"/>
  <c r="AD34" i="27"/>
  <c r="AD35" i="27"/>
  <c r="AD49" i="27"/>
  <c r="AD40" i="27"/>
  <c r="AD31" i="27"/>
  <c r="AD76" i="27"/>
  <c r="AD28" i="27"/>
  <c r="AD70" i="27"/>
  <c r="AD67" i="27"/>
  <c r="AD74" i="27"/>
  <c r="AD68" i="27"/>
  <c r="AD71" i="27"/>
  <c r="AD65" i="27"/>
  <c r="AD73" i="27"/>
  <c r="AD64" i="27"/>
  <c r="AD62" i="27"/>
  <c r="AD56" i="27"/>
  <c r="AD59" i="27"/>
  <c r="AD53" i="27"/>
  <c r="AD61" i="27"/>
  <c r="AD55" i="27"/>
  <c r="AD58" i="27"/>
  <c r="AF4" i="27"/>
  <c r="AD52" i="27"/>
  <c r="V16" i="27" l="1"/>
  <c r="E49" i="27"/>
  <c r="E32" i="27"/>
  <c r="D32" i="27"/>
  <c r="E35" i="27"/>
  <c r="D35" i="27"/>
  <c r="L16" i="27"/>
  <c r="V108" i="27"/>
  <c r="N10" i="27"/>
  <c r="T46" i="27"/>
  <c r="N20" i="27"/>
  <c r="N26" i="27"/>
  <c r="T14" i="27"/>
  <c r="T25" i="27"/>
  <c r="N4" i="27"/>
  <c r="T26" i="27"/>
  <c r="T41" i="27"/>
  <c r="N8" i="27"/>
  <c r="T29" i="27"/>
  <c r="N13" i="27"/>
  <c r="N23" i="27"/>
  <c r="T4" i="27"/>
  <c r="T8" i="27"/>
  <c r="N59" i="27"/>
  <c r="N5" i="27"/>
  <c r="E34" i="27"/>
  <c r="D34" i="27"/>
  <c r="E33" i="27"/>
  <c r="D33" i="27"/>
  <c r="R107" i="27"/>
  <c r="J59" i="27"/>
  <c r="N27" i="27"/>
  <c r="F46" i="27"/>
  <c r="N14" i="27"/>
  <c r="N24" i="27"/>
  <c r="T35" i="27"/>
  <c r="N7" i="27"/>
  <c r="T40" i="27"/>
  <c r="T34" i="27"/>
  <c r="N17" i="27"/>
  <c r="T17" i="27"/>
  <c r="T13" i="27"/>
  <c r="F34" i="27"/>
  <c r="N11" i="27"/>
  <c r="T28" i="27"/>
  <c r="T5" i="27"/>
  <c r="N21" i="27"/>
  <c r="E50" i="27"/>
  <c r="D50" i="27"/>
  <c r="D44" i="27"/>
  <c r="E44" i="27"/>
  <c r="E46" i="27"/>
  <c r="D46" i="27"/>
  <c r="E48" i="27"/>
  <c r="D48" i="27"/>
  <c r="U106" i="27"/>
  <c r="T106" i="27"/>
  <c r="U114" i="27"/>
  <c r="T114" i="27"/>
  <c r="U119" i="27"/>
  <c r="T119" i="27"/>
  <c r="U113" i="27"/>
  <c r="T113" i="27"/>
  <c r="X32" i="27"/>
  <c r="X43" i="27"/>
  <c r="X47" i="27"/>
  <c r="X31" i="27"/>
  <c r="X49" i="27"/>
  <c r="X50" i="27"/>
  <c r="X38" i="27"/>
  <c r="X11" i="27"/>
  <c r="X37" i="27"/>
  <c r="X44" i="27"/>
  <c r="X23" i="27"/>
  <c r="X19" i="27"/>
  <c r="AI140" i="27"/>
  <c r="AH140" i="27"/>
  <c r="AI143" i="27"/>
  <c r="AH143" i="27"/>
  <c r="AI144" i="27"/>
  <c r="AH144" i="27"/>
  <c r="AI147" i="27"/>
  <c r="AH147" i="27"/>
  <c r="AI141" i="27"/>
  <c r="AH141" i="27"/>
  <c r="AI145" i="27"/>
  <c r="AH145" i="27"/>
  <c r="AI142" i="27"/>
  <c r="AH142" i="27"/>
  <c r="AI146" i="27"/>
  <c r="AH146" i="27"/>
  <c r="AG174" i="27"/>
  <c r="AF111" i="27"/>
  <c r="AF112" i="27"/>
  <c r="AF108" i="27"/>
  <c r="AF105" i="27"/>
  <c r="AF109" i="27"/>
  <c r="N34" i="27"/>
  <c r="N31" i="27"/>
  <c r="AF106" i="27"/>
  <c r="AF103" i="27"/>
  <c r="AF102" i="27"/>
  <c r="N35" i="27"/>
  <c r="N32" i="27"/>
  <c r="AF5" i="27"/>
  <c r="Q107" i="27"/>
  <c r="X58" i="27"/>
  <c r="X55" i="27"/>
  <c r="Q108" i="27"/>
  <c r="X59" i="27"/>
  <c r="X56" i="27"/>
  <c r="X5" i="27"/>
  <c r="AF29" i="27"/>
  <c r="AF46" i="27"/>
  <c r="AF38" i="27"/>
  <c r="AF25" i="27"/>
  <c r="AF43" i="27"/>
  <c r="AF49" i="27"/>
  <c r="AF41" i="27"/>
  <c r="AF97" i="27"/>
  <c r="AF92" i="27"/>
  <c r="AF86" i="27"/>
  <c r="AF80" i="27"/>
  <c r="AF40" i="27"/>
  <c r="AF23" i="27"/>
  <c r="AF35" i="27"/>
  <c r="AF34" i="27"/>
  <c r="AF32" i="27"/>
  <c r="AF26" i="27"/>
  <c r="AH8" i="27"/>
  <c r="AF50" i="27"/>
  <c r="AF79" i="27"/>
  <c r="AF85" i="27"/>
  <c r="AF91" i="27"/>
  <c r="AF65" i="27"/>
  <c r="AF70" i="27"/>
  <c r="AF71" i="27"/>
  <c r="AF22" i="27"/>
  <c r="AF20" i="27"/>
  <c r="AF31" i="27"/>
  <c r="AF19" i="27"/>
  <c r="AF37" i="27"/>
  <c r="AH7" i="27"/>
  <c r="AF47" i="27"/>
  <c r="AF77" i="27"/>
  <c r="AF95" i="27"/>
  <c r="AF89" i="27"/>
  <c r="AF98" i="27"/>
  <c r="AF17" i="27"/>
  <c r="AF16" i="27"/>
  <c r="AH11" i="27"/>
  <c r="AF44" i="27"/>
  <c r="AF83" i="27"/>
  <c r="AF82" i="27"/>
  <c r="AH88" i="27"/>
  <c r="AF94" i="27"/>
  <c r="AF67" i="27"/>
  <c r="AF68" i="27"/>
  <c r="AF73" i="27"/>
  <c r="AF74" i="27"/>
  <c r="AF28" i="27"/>
  <c r="AF76" i="27"/>
  <c r="AF64" i="27"/>
  <c r="AF55" i="27"/>
  <c r="AF53" i="27"/>
  <c r="AF56" i="27"/>
  <c r="AF58" i="27"/>
  <c r="AF62" i="27"/>
  <c r="AF59" i="27"/>
  <c r="AF61" i="27"/>
  <c r="AF52" i="27"/>
  <c r="M68" i="27" l="1"/>
  <c r="L68" i="27"/>
  <c r="F35" i="27"/>
  <c r="F47" i="27"/>
  <c r="L63" i="27"/>
  <c r="M63" i="27"/>
  <c r="V26" i="27"/>
  <c r="V14" i="27"/>
  <c r="M67" i="27"/>
  <c r="L67" i="27"/>
  <c r="I60" i="27"/>
  <c r="H60" i="27"/>
  <c r="I57" i="27"/>
  <c r="H57" i="27"/>
  <c r="I59" i="27"/>
  <c r="H59" i="27"/>
  <c r="V10" i="27"/>
  <c r="V8" i="27"/>
  <c r="V40" i="27"/>
  <c r="L70" i="27"/>
  <c r="M70" i="27"/>
  <c r="J60" i="27"/>
  <c r="M58" i="27"/>
  <c r="L58" i="27"/>
  <c r="V11" i="27"/>
  <c r="M60" i="27"/>
  <c r="L60" i="27"/>
  <c r="V20" i="27"/>
  <c r="V109" i="27"/>
  <c r="I58" i="27"/>
  <c r="H58" i="27"/>
  <c r="M62" i="27"/>
  <c r="L62" i="27"/>
  <c r="M66" i="27"/>
  <c r="L66" i="27"/>
  <c r="V37" i="27"/>
  <c r="V4" i="27"/>
  <c r="M69" i="27"/>
  <c r="L69" i="27"/>
  <c r="V34" i="27"/>
  <c r="V46" i="27"/>
  <c r="M61" i="27"/>
  <c r="L61" i="27"/>
  <c r="N16" i="27"/>
  <c r="C53" i="27"/>
  <c r="C46" i="27"/>
  <c r="C50" i="27"/>
  <c r="C44" i="27"/>
  <c r="C47" i="27"/>
  <c r="C51" i="27"/>
  <c r="C52" i="27"/>
  <c r="V28" i="27"/>
  <c r="V22" i="27"/>
  <c r="V31" i="27"/>
  <c r="M59" i="27"/>
  <c r="L59" i="27"/>
  <c r="L64" i="27"/>
  <c r="M64" i="27"/>
  <c r="L72" i="27"/>
  <c r="M72" i="27"/>
  <c r="R108" i="27"/>
  <c r="N60" i="27"/>
  <c r="L57" i="27"/>
  <c r="M57" i="27"/>
  <c r="M71" i="27"/>
  <c r="L71" i="27"/>
  <c r="V43" i="27"/>
  <c r="C35" i="27"/>
  <c r="C39" i="27"/>
  <c r="C40" i="27"/>
  <c r="C41" i="27"/>
  <c r="C34" i="27"/>
  <c r="C38" i="27"/>
  <c r="C32" i="27"/>
  <c r="U107" i="27"/>
  <c r="T107" i="27"/>
  <c r="U110" i="27"/>
  <c r="T110" i="27"/>
  <c r="U131" i="27"/>
  <c r="T131" i="27"/>
  <c r="U124" i="27"/>
  <c r="T124" i="27"/>
  <c r="U127" i="27"/>
  <c r="T127" i="27"/>
  <c r="U128" i="27"/>
  <c r="T128" i="27"/>
  <c r="U123" i="27"/>
  <c r="T123" i="27"/>
  <c r="U136" i="27"/>
  <c r="T136" i="27"/>
  <c r="U118" i="27"/>
  <c r="T118" i="27"/>
  <c r="U115" i="27"/>
  <c r="T115" i="27"/>
  <c r="U132" i="27"/>
  <c r="T132" i="27"/>
  <c r="U135" i="27"/>
  <c r="T135" i="27"/>
  <c r="U134" i="27"/>
  <c r="T134" i="27"/>
  <c r="Q106" i="27"/>
  <c r="P106" i="27"/>
  <c r="Q105" i="27"/>
  <c r="P105" i="27"/>
  <c r="AI136" i="27"/>
  <c r="AH136" i="27"/>
  <c r="AI137" i="27"/>
  <c r="AH137" i="27"/>
  <c r="AI139" i="27"/>
  <c r="AH139" i="27"/>
  <c r="AI138" i="27"/>
  <c r="AH138" i="27"/>
  <c r="AG175" i="27"/>
  <c r="AH103" i="27"/>
  <c r="AH102" i="27"/>
  <c r="AH105" i="27"/>
  <c r="AH106" i="27"/>
  <c r="AJ13" i="27"/>
  <c r="AH4" i="27"/>
  <c r="AH5" i="27"/>
  <c r="AE132" i="27"/>
  <c r="AH97" i="27"/>
  <c r="AH14" i="27"/>
  <c r="AH22" i="27"/>
  <c r="AH94" i="27"/>
  <c r="AJ8" i="27"/>
  <c r="AH23" i="27"/>
  <c r="AH70" i="27"/>
  <c r="AH89" i="27"/>
  <c r="AH83" i="27"/>
  <c r="AH35" i="27"/>
  <c r="AH31" i="27"/>
  <c r="AH40" i="27"/>
  <c r="AH86" i="27"/>
  <c r="AH98" i="27"/>
  <c r="AH50" i="27"/>
  <c r="AH20" i="27"/>
  <c r="AH43" i="27"/>
  <c r="AH62" i="27"/>
  <c r="AH59" i="27"/>
  <c r="AH74" i="27"/>
  <c r="AH65" i="27"/>
  <c r="AJ88" i="27"/>
  <c r="AH79" i="27"/>
  <c r="AH16" i="27"/>
  <c r="AH92" i="27"/>
  <c r="AH91" i="27"/>
  <c r="AH49" i="27"/>
  <c r="AH32" i="27"/>
  <c r="AH29" i="27"/>
  <c r="AH19" i="27"/>
  <c r="AH73" i="27"/>
  <c r="AH61" i="27"/>
  <c r="AH68" i="27"/>
  <c r="AH85" i="27"/>
  <c r="AH80" i="27"/>
  <c r="AH44" i="27"/>
  <c r="AH26" i="27"/>
  <c r="AH37" i="27"/>
  <c r="AH25" i="27"/>
  <c r="AH77" i="27"/>
  <c r="AH95" i="27"/>
  <c r="AH46" i="27"/>
  <c r="AH47" i="27"/>
  <c r="AH38" i="27"/>
  <c r="AH34" i="27"/>
  <c r="AH71" i="27"/>
  <c r="AH41" i="27"/>
  <c r="AH13" i="27"/>
  <c r="AH82" i="27"/>
  <c r="AH17" i="27"/>
  <c r="AH67" i="27"/>
  <c r="AH76" i="27"/>
  <c r="AH64" i="27"/>
  <c r="AH28" i="27"/>
  <c r="AH55" i="27"/>
  <c r="AH56" i="27"/>
  <c r="AH53" i="27"/>
  <c r="AH52" i="27"/>
  <c r="AH10" i="27"/>
  <c r="AH58" i="27"/>
  <c r="S89" i="27" l="1"/>
  <c r="S82" i="27"/>
  <c r="S80" i="27"/>
  <c r="S88" i="27"/>
  <c r="S83" i="27"/>
  <c r="R109" i="27"/>
  <c r="X46" i="27"/>
  <c r="X35" i="27"/>
  <c r="X8" i="27"/>
  <c r="X14" i="27"/>
  <c r="F36" i="27"/>
  <c r="C33" i="27" s="1"/>
  <c r="X22" i="27"/>
  <c r="M65" i="27"/>
  <c r="M44" i="27" s="1"/>
  <c r="L65" i="27"/>
  <c r="V110" i="27"/>
  <c r="N61" i="27"/>
  <c r="X34" i="27"/>
  <c r="X4" i="27"/>
  <c r="X20" i="27"/>
  <c r="X13" i="27"/>
  <c r="J61" i="27"/>
  <c r="X40" i="27"/>
  <c r="X10" i="27"/>
  <c r="X26" i="27"/>
  <c r="F48" i="27"/>
  <c r="X41" i="27"/>
  <c r="X29" i="27"/>
  <c r="X28" i="27"/>
  <c r="K50" i="27"/>
  <c r="K47" i="27"/>
  <c r="K52" i="27"/>
  <c r="K53" i="27"/>
  <c r="K44" i="27"/>
  <c r="K46" i="27"/>
  <c r="AE138" i="27"/>
  <c r="AG176" i="27"/>
  <c r="AJ102" i="27"/>
  <c r="AJ103" i="27"/>
  <c r="AJ105" i="27"/>
  <c r="AJ106" i="27"/>
  <c r="AF188" i="27"/>
  <c r="AE188" i="27"/>
  <c r="AF132" i="27"/>
  <c r="AJ5" i="27"/>
  <c r="AJ4" i="27"/>
  <c r="AJ7" i="27"/>
  <c r="AJ97" i="27"/>
  <c r="AJ47" i="27"/>
  <c r="AJ86" i="27"/>
  <c r="AJ29" i="27"/>
  <c r="AJ91" i="27"/>
  <c r="AJ22" i="27"/>
  <c r="AJ94" i="27"/>
  <c r="AJ11" i="27"/>
  <c r="AJ67" i="27"/>
  <c r="AJ61" i="27"/>
  <c r="AJ65" i="27"/>
  <c r="AJ40" i="27"/>
  <c r="AJ23" i="27"/>
  <c r="AJ80" i="27"/>
  <c r="AJ71" i="27"/>
  <c r="AJ92" i="27"/>
  <c r="AJ70" i="27"/>
  <c r="AJ35" i="27"/>
  <c r="AJ83" i="27"/>
  <c r="AJ59" i="27"/>
  <c r="AJ20" i="27"/>
  <c r="AJ32" i="27"/>
  <c r="AJ89" i="27"/>
  <c r="AJ16" i="27"/>
  <c r="AJ17" i="27"/>
  <c r="AJ98" i="27"/>
  <c r="AJ34" i="27"/>
  <c r="AJ85" i="27"/>
  <c r="AJ73" i="27"/>
  <c r="AJ25" i="27"/>
  <c r="AJ95" i="27"/>
  <c r="AJ64" i="27"/>
  <c r="AJ82" i="27"/>
  <c r="AJ37" i="27"/>
  <c r="AJ46" i="27"/>
  <c r="AJ26" i="27"/>
  <c r="AJ68" i="27"/>
  <c r="AJ31" i="27"/>
  <c r="AJ50" i="27"/>
  <c r="AJ77" i="27"/>
  <c r="AJ44" i="27"/>
  <c r="AJ28" i="27"/>
  <c r="AJ19" i="27"/>
  <c r="AJ14" i="27"/>
  <c r="AJ38" i="27"/>
  <c r="AJ76" i="27"/>
  <c r="AJ41" i="27"/>
  <c r="AJ79" i="27"/>
  <c r="AJ49" i="27"/>
  <c r="AJ74" i="27"/>
  <c r="AJ62" i="27"/>
  <c r="AJ43" i="27"/>
  <c r="AJ55" i="27"/>
  <c r="AJ52" i="27"/>
  <c r="AJ53" i="27"/>
  <c r="AJ56" i="27"/>
  <c r="AJ58" i="27"/>
  <c r="AJ10" i="27"/>
  <c r="M53" i="27" l="1"/>
  <c r="M52" i="27"/>
  <c r="M50" i="27"/>
  <c r="M47" i="27"/>
  <c r="U130" i="27"/>
  <c r="T130" i="27"/>
  <c r="T109" i="27"/>
  <c r="U109" i="27"/>
  <c r="U125" i="27"/>
  <c r="T125" i="27"/>
  <c r="F37" i="27"/>
  <c r="C36" i="27" s="1"/>
  <c r="U133" i="27"/>
  <c r="T133" i="27"/>
  <c r="T121" i="27"/>
  <c r="U121" i="27"/>
  <c r="U122" i="27"/>
  <c r="T122" i="27"/>
  <c r="F49" i="27"/>
  <c r="C48" i="27" s="1"/>
  <c r="N62" i="27"/>
  <c r="V111" i="27"/>
  <c r="U126" i="27"/>
  <c r="T126" i="27"/>
  <c r="R110" i="27"/>
  <c r="M46" i="27"/>
  <c r="T120" i="27"/>
  <c r="U120" i="27"/>
  <c r="J62" i="27"/>
  <c r="T111" i="27"/>
  <c r="U111" i="27"/>
  <c r="U105" i="27"/>
  <c r="T105" i="27"/>
  <c r="U112" i="27"/>
  <c r="T112" i="27"/>
  <c r="T129" i="27"/>
  <c r="U129" i="27"/>
  <c r="U116" i="27"/>
  <c r="T116" i="27"/>
  <c r="T117" i="27"/>
  <c r="U117" i="27"/>
  <c r="U108" i="27"/>
  <c r="T108" i="27"/>
  <c r="AI133" i="27"/>
  <c r="AH133" i="27"/>
  <c r="AI134" i="27"/>
  <c r="AH134" i="27"/>
  <c r="AI135" i="27"/>
  <c r="AH135" i="27"/>
  <c r="AI132" i="27"/>
  <c r="AH132" i="27"/>
  <c r="AF138" i="27"/>
  <c r="AG177" i="27"/>
  <c r="AF171" i="27"/>
  <c r="AE171" i="27"/>
  <c r="AF180" i="27"/>
  <c r="AE180" i="27"/>
  <c r="AF157" i="27"/>
  <c r="AE157" i="27"/>
  <c r="AF133" i="27"/>
  <c r="AE133" i="27"/>
  <c r="AF167" i="27"/>
  <c r="AE167" i="27"/>
  <c r="AF181" i="27"/>
  <c r="AE181" i="27"/>
  <c r="AF176" i="27"/>
  <c r="AE176" i="27"/>
  <c r="AF174" i="27"/>
  <c r="AE174" i="27"/>
  <c r="AF156" i="27"/>
  <c r="AE156" i="27"/>
  <c r="AF139" i="27"/>
  <c r="AE139" i="27"/>
  <c r="AF150" i="27"/>
  <c r="AE150" i="27"/>
  <c r="AF160" i="27"/>
  <c r="AE160" i="27"/>
  <c r="AF154" i="27"/>
  <c r="AE154" i="27"/>
  <c r="AF173" i="27"/>
  <c r="AE173" i="27"/>
  <c r="AF147" i="27"/>
  <c r="AE147" i="27"/>
  <c r="AF186" i="27"/>
  <c r="AE186" i="27"/>
  <c r="AF189" i="27"/>
  <c r="AE189" i="27"/>
  <c r="AF143" i="27"/>
  <c r="AE143" i="27"/>
  <c r="AF153" i="27"/>
  <c r="AE153" i="27"/>
  <c r="AF191" i="27"/>
  <c r="AE191" i="27"/>
  <c r="AF145" i="27"/>
  <c r="AE145" i="27"/>
  <c r="AF172" i="27"/>
  <c r="AE172" i="27"/>
  <c r="AF170" i="27"/>
  <c r="AE170" i="27"/>
  <c r="AF149" i="27"/>
  <c r="AE149" i="27"/>
  <c r="AF161" i="27"/>
  <c r="AE161" i="27"/>
  <c r="AF166" i="27"/>
  <c r="AE166" i="27"/>
  <c r="AF163" i="27"/>
  <c r="AE163" i="27"/>
  <c r="AF175" i="27"/>
  <c r="AE175" i="27"/>
  <c r="AF141" i="27"/>
  <c r="AE141" i="27"/>
  <c r="AF177" i="27"/>
  <c r="AE177" i="27"/>
  <c r="AF192" i="27"/>
  <c r="AE192" i="27"/>
  <c r="AF169" i="27"/>
  <c r="AE169" i="27"/>
  <c r="AF165" i="27"/>
  <c r="AE165" i="27"/>
  <c r="AF179" i="27"/>
  <c r="AE179" i="27"/>
  <c r="AF178" i="27"/>
  <c r="AE178" i="27"/>
  <c r="AF195" i="27"/>
  <c r="AE195" i="27"/>
  <c r="AF182" i="27"/>
  <c r="AE182" i="27"/>
  <c r="AF137" i="27"/>
  <c r="AE137" i="27"/>
  <c r="AF190" i="27"/>
  <c r="AE190" i="27"/>
  <c r="AF134" i="27"/>
  <c r="AE134" i="27"/>
  <c r="AF164" i="27"/>
  <c r="AE164" i="27"/>
  <c r="AF144" i="27"/>
  <c r="AE144" i="27"/>
  <c r="AF159" i="27"/>
  <c r="AE159" i="27"/>
  <c r="AF183" i="27"/>
  <c r="AE183" i="27"/>
  <c r="AF158" i="27"/>
  <c r="AE158" i="27"/>
  <c r="AF136" i="27"/>
  <c r="AE136" i="27"/>
  <c r="AF155" i="27"/>
  <c r="AE155" i="27"/>
  <c r="AF142" i="27"/>
  <c r="AE142" i="27"/>
  <c r="AF148" i="27"/>
  <c r="AE148" i="27"/>
  <c r="AF162" i="27"/>
  <c r="AE162" i="27"/>
  <c r="AF146" i="27"/>
  <c r="AE146" i="27"/>
  <c r="AF185" i="27"/>
  <c r="AE185" i="27"/>
  <c r="AF193" i="27"/>
  <c r="AE193" i="27"/>
  <c r="AF135" i="27"/>
  <c r="AE135" i="27"/>
  <c r="AF152" i="27"/>
  <c r="AE152" i="27"/>
  <c r="AF140" i="27"/>
  <c r="AE140" i="27"/>
  <c r="AF151" i="27"/>
  <c r="AE151" i="27"/>
  <c r="AF168" i="27"/>
  <c r="AE168" i="27"/>
  <c r="AF184" i="27"/>
  <c r="AE184" i="27"/>
  <c r="AF187" i="27"/>
  <c r="AE187" i="27"/>
  <c r="AF194" i="27"/>
  <c r="AE194" i="27"/>
  <c r="N63" i="27" l="1"/>
  <c r="S92" i="27"/>
  <c r="S94" i="27"/>
  <c r="S95" i="27"/>
  <c r="S100" i="27"/>
  <c r="S101" i="27"/>
  <c r="J63" i="27"/>
  <c r="R111" i="27"/>
  <c r="F39" i="27"/>
  <c r="F38" i="27"/>
  <c r="V112" i="27"/>
  <c r="F51" i="27"/>
  <c r="C49" i="27" s="1"/>
  <c r="F50" i="27"/>
  <c r="C45" i="27" s="1"/>
  <c r="AC181" i="27"/>
  <c r="AC177" i="27"/>
  <c r="AC179" i="27"/>
  <c r="AC184" i="27"/>
  <c r="AC178" i="27"/>
  <c r="AC176" i="27"/>
  <c r="AC180" i="27"/>
  <c r="AC182" i="27"/>
  <c r="AC183" i="27"/>
  <c r="AG178" i="27"/>
  <c r="AL19" i="27" l="1"/>
  <c r="AL15" i="27"/>
  <c r="AL17" i="27"/>
  <c r="AL20" i="27"/>
  <c r="AL16" i="27"/>
  <c r="AL23" i="27"/>
  <c r="AL22" i="27"/>
  <c r="AL14" i="27"/>
  <c r="AL21" i="27"/>
  <c r="C37" i="27"/>
  <c r="R112" i="27"/>
  <c r="AL18" i="27"/>
  <c r="V113" i="27"/>
  <c r="J64" i="27"/>
  <c r="N64" i="27"/>
  <c r="AG179" i="27"/>
  <c r="AM23" i="27" l="1"/>
  <c r="AM15" i="27"/>
  <c r="AL7" i="27"/>
  <c r="AL2" i="27"/>
  <c r="AL3" i="27"/>
  <c r="AL9" i="27"/>
  <c r="AL10" i="27"/>
  <c r="AL5" i="27"/>
  <c r="AL11" i="27"/>
  <c r="AL6" i="27"/>
  <c r="AL8" i="27"/>
  <c r="AL4" i="27"/>
  <c r="N65" i="27"/>
  <c r="AR15" i="27"/>
  <c r="AR14" i="27"/>
  <c r="AM14" i="27"/>
  <c r="AR20" i="27"/>
  <c r="AR21" i="27"/>
  <c r="AR23" i="27"/>
  <c r="AR22" i="27"/>
  <c r="AR17" i="27"/>
  <c r="AM19" i="27"/>
  <c r="AR19" i="27"/>
  <c r="AR18" i="27"/>
  <c r="AR16" i="27"/>
  <c r="AM20" i="27"/>
  <c r="J65" i="27"/>
  <c r="V114" i="27"/>
  <c r="R113" i="27"/>
  <c r="AM22" i="27"/>
  <c r="AM17" i="27"/>
  <c r="AM18" i="27"/>
  <c r="AM21" i="27"/>
  <c r="AM16" i="27"/>
  <c r="AG180" i="27"/>
  <c r="AM11" i="27" l="1"/>
  <c r="AT18" i="27"/>
  <c r="AS18" i="27"/>
  <c r="AT22" i="27"/>
  <c r="AS22" i="27"/>
  <c r="N66" i="27"/>
  <c r="AM3" i="27"/>
  <c r="R114" i="27"/>
  <c r="AS19" i="27"/>
  <c r="AT19" i="27"/>
  <c r="AS23" i="27"/>
  <c r="AT23" i="27"/>
  <c r="AS14" i="27"/>
  <c r="AT14" i="27"/>
  <c r="AM4" i="27"/>
  <c r="AM5" i="27"/>
  <c r="AR5" i="27"/>
  <c r="AM2" i="27"/>
  <c r="AR2" i="27"/>
  <c r="AR8" i="27"/>
  <c r="AR7" i="27"/>
  <c r="AR3" i="27"/>
  <c r="AR11" i="27"/>
  <c r="AR9" i="27"/>
  <c r="AR10" i="27"/>
  <c r="AR4" i="27"/>
  <c r="AR6" i="27"/>
  <c r="AS21" i="27"/>
  <c r="AT21" i="27"/>
  <c r="AS15" i="27"/>
  <c r="AT15" i="27"/>
  <c r="AM8" i="27"/>
  <c r="AM10" i="27"/>
  <c r="AM7" i="27"/>
  <c r="V115" i="27"/>
  <c r="AS16" i="27"/>
  <c r="AT16" i="27"/>
  <c r="AS17" i="27"/>
  <c r="AT17" i="27"/>
  <c r="AS20" i="27"/>
  <c r="AT20" i="27"/>
  <c r="AM6" i="27"/>
  <c r="AM9" i="27"/>
  <c r="J66" i="27"/>
  <c r="AG181" i="27"/>
  <c r="J67" i="27" l="1"/>
  <c r="K48" i="27" s="1"/>
  <c r="AU16" i="27"/>
  <c r="AT6" i="27"/>
  <c r="AS6" i="27"/>
  <c r="AT11" i="27"/>
  <c r="AS11" i="27"/>
  <c r="R115" i="27"/>
  <c r="AT4" i="27"/>
  <c r="AS4" i="27"/>
  <c r="AT3" i="27"/>
  <c r="AS3" i="27"/>
  <c r="AU14" i="27"/>
  <c r="AU19" i="27"/>
  <c r="AU22" i="27"/>
  <c r="AU17" i="27"/>
  <c r="AU21" i="27"/>
  <c r="AT10" i="27"/>
  <c r="AS10" i="27"/>
  <c r="AT7" i="27"/>
  <c r="AS7" i="27"/>
  <c r="AT5" i="27"/>
  <c r="AS5" i="27"/>
  <c r="V116" i="27"/>
  <c r="AU15" i="27"/>
  <c r="AS9" i="27"/>
  <c r="AT9" i="27"/>
  <c r="AT8" i="27"/>
  <c r="AS8" i="27"/>
  <c r="AU23" i="27"/>
  <c r="N67" i="27"/>
  <c r="AU18" i="27"/>
  <c r="AU20" i="27"/>
  <c r="AT2" i="27"/>
  <c r="AS2" i="27"/>
  <c r="AG182" i="27"/>
  <c r="AU2" i="27" l="1"/>
  <c r="V117" i="27"/>
  <c r="AU7" i="27"/>
  <c r="AU4" i="27"/>
  <c r="AU11" i="27"/>
  <c r="N68" i="27"/>
  <c r="AU8" i="27"/>
  <c r="AU5" i="27"/>
  <c r="AU10" i="27"/>
  <c r="AU9" i="27"/>
  <c r="AU3" i="27"/>
  <c r="R116" i="27"/>
  <c r="AU6" i="27"/>
  <c r="J68" i="27"/>
  <c r="AG183" i="27"/>
  <c r="J69" i="27" l="1"/>
  <c r="K45" i="27" s="1"/>
  <c r="N69" i="27"/>
  <c r="V118" i="27"/>
  <c r="R117" i="27"/>
  <c r="AG184" i="27"/>
  <c r="V119" i="27" l="1"/>
  <c r="R118" i="27"/>
  <c r="N70" i="27"/>
  <c r="M48" i="27" s="1"/>
  <c r="J70" i="27"/>
  <c r="AG185" i="27"/>
  <c r="N72" i="27" l="1"/>
  <c r="N71" i="27"/>
  <c r="M45" i="27" s="1"/>
  <c r="R119" i="27"/>
  <c r="J72" i="27"/>
  <c r="K51" i="27" s="1"/>
  <c r="J71" i="27"/>
  <c r="K49" i="27" s="1"/>
  <c r="V120" i="27"/>
  <c r="AG186" i="27"/>
  <c r="AL31" i="27" l="1"/>
  <c r="AL32" i="27"/>
  <c r="AL35" i="27"/>
  <c r="AL30" i="27"/>
  <c r="AL27" i="27"/>
  <c r="AL34" i="27"/>
  <c r="AL28" i="27"/>
  <c r="AL26" i="27"/>
  <c r="AL29" i="27"/>
  <c r="R120" i="27"/>
  <c r="AL33" i="27"/>
  <c r="V121" i="27"/>
  <c r="M51" i="27"/>
  <c r="M49" i="27"/>
  <c r="AG187" i="27"/>
  <c r="AL43" i="27" l="1"/>
  <c r="AL45" i="27"/>
  <c r="AL41" i="27"/>
  <c r="AL47" i="27"/>
  <c r="AL40" i="27"/>
  <c r="AL38" i="27"/>
  <c r="R121" i="27"/>
  <c r="V122" i="27"/>
  <c r="AL44" i="27"/>
  <c r="AL39" i="27"/>
  <c r="AL46" i="27"/>
  <c r="AL42" i="27"/>
  <c r="AG188" i="27"/>
  <c r="V123" i="27" l="1"/>
  <c r="R122" i="27"/>
  <c r="AG189" i="27"/>
  <c r="R123" i="27" l="1"/>
  <c r="V124" i="27"/>
  <c r="AG190" i="27"/>
  <c r="V125" i="27" l="1"/>
  <c r="R124" i="27"/>
  <c r="AG191" i="27"/>
  <c r="R125" i="27" l="1"/>
  <c r="V126" i="27"/>
  <c r="AG192" i="27"/>
  <c r="R126" i="27" l="1"/>
  <c r="V127" i="27"/>
  <c r="AG193" i="27"/>
  <c r="V128" i="27" l="1"/>
  <c r="R127" i="27"/>
  <c r="AG195" i="27"/>
  <c r="AG194" i="27"/>
  <c r="R128" i="27" l="1"/>
  <c r="S81" i="27" s="1"/>
  <c r="V129" i="27"/>
  <c r="AC190" i="27"/>
  <c r="AC195" i="27"/>
  <c r="AC187" i="27"/>
  <c r="AC191" i="27"/>
  <c r="AC192" i="27"/>
  <c r="AC193" i="27"/>
  <c r="AC188" i="27"/>
  <c r="AC194" i="27"/>
  <c r="AC196" i="27"/>
  <c r="AC189" i="27"/>
  <c r="V130" i="27" l="1"/>
  <c r="R129" i="27"/>
  <c r="AL88" i="27"/>
  <c r="AL93" i="27"/>
  <c r="AL90" i="27"/>
  <c r="AL87" i="27"/>
  <c r="AL92" i="27"/>
  <c r="AL94" i="27"/>
  <c r="AL95" i="27"/>
  <c r="AL91" i="27"/>
  <c r="AL89" i="27"/>
  <c r="AL86" i="27"/>
  <c r="R130" i="27" l="1"/>
  <c r="S87" i="27" s="1"/>
  <c r="V131" i="27"/>
  <c r="AR47" i="27"/>
  <c r="AT47" i="27" s="1"/>
  <c r="AR46" i="27"/>
  <c r="AT46" i="27" s="1"/>
  <c r="AR45" i="27"/>
  <c r="AT45" i="27" s="1"/>
  <c r="AR44" i="27"/>
  <c r="AT44" i="27" s="1"/>
  <c r="AR43" i="27"/>
  <c r="AT43" i="27" s="1"/>
  <c r="AR42" i="27"/>
  <c r="AT42" i="27" s="1"/>
  <c r="AR41" i="27"/>
  <c r="AT41" i="27" s="1"/>
  <c r="AR40" i="27"/>
  <c r="AT40" i="27" s="1"/>
  <c r="AR39" i="27"/>
  <c r="AT39" i="27" s="1"/>
  <c r="AR38" i="27"/>
  <c r="AT38" i="27" s="1"/>
  <c r="AM47" i="27"/>
  <c r="AM40" i="27"/>
  <c r="AM44" i="27"/>
  <c r="AM39" i="27"/>
  <c r="AM42" i="27"/>
  <c r="AM41" i="27"/>
  <c r="AM43" i="27"/>
  <c r="AM46" i="27"/>
  <c r="AM45" i="27"/>
  <c r="AM38" i="27"/>
  <c r="AM95" i="27"/>
  <c r="AM90" i="27"/>
  <c r="AM88" i="27"/>
  <c r="AR93" i="27"/>
  <c r="AR94" i="27"/>
  <c r="AR92" i="27"/>
  <c r="AM89" i="27"/>
  <c r="AR91" i="27"/>
  <c r="AR90" i="27"/>
  <c r="AM92" i="27"/>
  <c r="AR95" i="27"/>
  <c r="AM94" i="27"/>
  <c r="AM91" i="27"/>
  <c r="AM87" i="27"/>
  <c r="AR86" i="27"/>
  <c r="AR87" i="27"/>
  <c r="AM86" i="27"/>
  <c r="AM93" i="27"/>
  <c r="AR89" i="27"/>
  <c r="AR88" i="27"/>
  <c r="V132" i="27" l="1"/>
  <c r="R131" i="27"/>
  <c r="AU44" i="27"/>
  <c r="AU40" i="27"/>
  <c r="AU41" i="27"/>
  <c r="AU45" i="27"/>
  <c r="AU38" i="27"/>
  <c r="AU42" i="27"/>
  <c r="AU46" i="27"/>
  <c r="AU39" i="27"/>
  <c r="AU43" i="27"/>
  <c r="AU47" i="27"/>
  <c r="AS41" i="27"/>
  <c r="AS43" i="27"/>
  <c r="AS39" i="27"/>
  <c r="AS47" i="27"/>
  <c r="AS40" i="27"/>
  <c r="AS44" i="27"/>
  <c r="AS45" i="27"/>
  <c r="AS42" i="27"/>
  <c r="AS46" i="27"/>
  <c r="AS38" i="27"/>
  <c r="AT91" i="27"/>
  <c r="AS91" i="27"/>
  <c r="AT93" i="27"/>
  <c r="AS93" i="27"/>
  <c r="AT89" i="27"/>
  <c r="AS89" i="27"/>
  <c r="AS86" i="27"/>
  <c r="AT86" i="27"/>
  <c r="AS95" i="27"/>
  <c r="AT95" i="27"/>
  <c r="AS87" i="27"/>
  <c r="AT87" i="27"/>
  <c r="AT92" i="27"/>
  <c r="AS92" i="27"/>
  <c r="AS88" i="27"/>
  <c r="AT88" i="27"/>
  <c r="AS90" i="27"/>
  <c r="AT90" i="27"/>
  <c r="AS94" i="27"/>
  <c r="AT94" i="27"/>
  <c r="R132" i="27" l="1"/>
  <c r="V133" i="27"/>
  <c r="AU95" i="27"/>
  <c r="AU94" i="27"/>
  <c r="AU93" i="27"/>
  <c r="AU92" i="27"/>
  <c r="AU91" i="27"/>
  <c r="AU90" i="27"/>
  <c r="AU89" i="27"/>
  <c r="AU88" i="27"/>
  <c r="AU87" i="27"/>
  <c r="AU86" i="27"/>
  <c r="V134" i="27" l="1"/>
  <c r="R133" i="27"/>
  <c r="AC175" i="27"/>
  <c r="AN74" i="27"/>
  <c r="R134" i="27" l="1"/>
  <c r="V136" i="27"/>
  <c r="V135" i="27"/>
  <c r="AL78" i="27"/>
  <c r="AL81" i="27"/>
  <c r="AL79" i="27"/>
  <c r="AL75" i="27"/>
  <c r="AL83" i="27"/>
  <c r="AL74" i="27"/>
  <c r="AL77" i="27"/>
  <c r="AL82" i="27"/>
  <c r="AL80" i="27"/>
  <c r="AL76" i="27"/>
  <c r="S96" i="27" l="1"/>
  <c r="S98" i="27"/>
  <c r="S93" i="27"/>
  <c r="S97" i="27"/>
  <c r="S99" i="27"/>
  <c r="R136" i="27"/>
  <c r="R135" i="27"/>
  <c r="AR35" i="27"/>
  <c r="AT35" i="27" s="1"/>
  <c r="AR34" i="27"/>
  <c r="AT34" i="27" s="1"/>
  <c r="AR33" i="27"/>
  <c r="AT33" i="27" s="1"/>
  <c r="AR32" i="27"/>
  <c r="AT32" i="27" s="1"/>
  <c r="AR31" i="27"/>
  <c r="AT31" i="27" s="1"/>
  <c r="AR30" i="27"/>
  <c r="AT30" i="27" s="1"/>
  <c r="AR29" i="27"/>
  <c r="AT29" i="27" s="1"/>
  <c r="AR28" i="27"/>
  <c r="AR27" i="27"/>
  <c r="AT27" i="27" s="1"/>
  <c r="AR26" i="27"/>
  <c r="AT26" i="27" s="1"/>
  <c r="AU26" i="27" s="1"/>
  <c r="AM28" i="27"/>
  <c r="AM27" i="27"/>
  <c r="AM29" i="27"/>
  <c r="AM32" i="27"/>
  <c r="AM31" i="27"/>
  <c r="AM26" i="27"/>
  <c r="AM35" i="27"/>
  <c r="AM33" i="27"/>
  <c r="AM30" i="27"/>
  <c r="AM34" i="27"/>
  <c r="AM82" i="27"/>
  <c r="AM77" i="27"/>
  <c r="AM75" i="27"/>
  <c r="AM79" i="27"/>
  <c r="AM81" i="27"/>
  <c r="AM76" i="27"/>
  <c r="AR79" i="27"/>
  <c r="AR78" i="27"/>
  <c r="AR74" i="27"/>
  <c r="AR80" i="27"/>
  <c r="AR77" i="27"/>
  <c r="AR76" i="27"/>
  <c r="AR75" i="27"/>
  <c r="AR82" i="27"/>
  <c r="AR81" i="27"/>
  <c r="AR83" i="27"/>
  <c r="AM74" i="27"/>
  <c r="AM80" i="27"/>
  <c r="AM83" i="27"/>
  <c r="AM78" i="27"/>
  <c r="AL69" i="27" l="1"/>
  <c r="AL66" i="27"/>
  <c r="AL67" i="27"/>
  <c r="AL70" i="27"/>
  <c r="AL64" i="27"/>
  <c r="AL63" i="27"/>
  <c r="AL62" i="27"/>
  <c r="AL65" i="27"/>
  <c r="AL71" i="27"/>
  <c r="S84" i="27"/>
  <c r="S85" i="27"/>
  <c r="S86" i="27"/>
  <c r="AL68" i="27"/>
  <c r="AU33" i="27"/>
  <c r="AU30" i="27"/>
  <c r="AU34" i="27"/>
  <c r="AU32" i="27"/>
  <c r="AU29" i="27"/>
  <c r="AU27" i="27"/>
  <c r="AU31" i="27"/>
  <c r="AU35" i="27"/>
  <c r="AS28" i="27"/>
  <c r="AT28" i="27"/>
  <c r="AU28" i="27" s="1"/>
  <c r="AS32" i="27"/>
  <c r="AS29" i="27"/>
  <c r="AS33" i="27"/>
  <c r="AS30" i="27"/>
  <c r="AS34" i="27"/>
  <c r="AS27" i="27"/>
  <c r="AS31" i="27"/>
  <c r="AS35" i="27"/>
  <c r="AS26" i="27"/>
  <c r="AT82" i="27"/>
  <c r="AS82" i="27"/>
  <c r="AT80" i="27"/>
  <c r="AS80" i="27"/>
  <c r="AT75" i="27"/>
  <c r="AS75" i="27"/>
  <c r="AT74" i="27"/>
  <c r="AS74" i="27"/>
  <c r="AT83" i="27"/>
  <c r="AS83" i="27"/>
  <c r="AT76" i="27"/>
  <c r="AS76" i="27"/>
  <c r="AT78" i="27"/>
  <c r="AS78" i="27"/>
  <c r="AT81" i="27"/>
  <c r="AS81" i="27"/>
  <c r="AS77" i="27"/>
  <c r="AT77" i="27"/>
  <c r="AT79" i="27"/>
  <c r="AS79" i="27"/>
  <c r="AL56" i="27" l="1"/>
  <c r="AM65" i="27"/>
  <c r="AM69" i="27"/>
  <c r="AL54" i="27"/>
  <c r="AL53" i="27"/>
  <c r="AL58" i="27"/>
  <c r="AL51" i="27"/>
  <c r="AL50" i="27"/>
  <c r="AL52" i="27"/>
  <c r="AL59" i="27"/>
  <c r="AL57" i="27"/>
  <c r="AM63" i="27"/>
  <c r="AM66" i="27"/>
  <c r="AM68" i="27"/>
  <c r="AM71" i="27"/>
  <c r="AM64" i="27"/>
  <c r="AM70" i="27"/>
  <c r="AL55" i="27"/>
  <c r="AR71" i="27"/>
  <c r="AM62" i="27"/>
  <c r="AR70" i="27"/>
  <c r="AR62" i="27"/>
  <c r="AR63" i="27"/>
  <c r="AR64" i="27"/>
  <c r="AR67" i="27"/>
  <c r="AR65" i="27"/>
  <c r="AR69" i="27"/>
  <c r="AR66" i="27"/>
  <c r="AR68" i="27"/>
  <c r="AM67" i="27"/>
  <c r="AU78" i="27"/>
  <c r="AU81" i="27"/>
  <c r="AU76" i="27"/>
  <c r="AU74" i="27"/>
  <c r="AU80" i="27"/>
  <c r="AU77" i="27"/>
  <c r="AU79" i="27"/>
  <c r="AU83" i="27"/>
  <c r="AU75" i="27"/>
  <c r="AU82" i="27"/>
  <c r="AM59" i="27" l="1"/>
  <c r="AT69" i="27"/>
  <c r="AS69" i="27"/>
  <c r="AT63" i="27"/>
  <c r="AS63" i="27"/>
  <c r="AT71" i="27"/>
  <c r="AS71" i="27"/>
  <c r="AR56" i="27"/>
  <c r="AR51" i="27"/>
  <c r="AR52" i="27"/>
  <c r="AR53" i="27"/>
  <c r="AR55" i="27"/>
  <c r="AR50" i="27"/>
  <c r="AR54" i="27"/>
  <c r="AM50" i="27"/>
  <c r="AR57" i="27"/>
  <c r="AR59" i="27"/>
  <c r="AR58" i="27"/>
  <c r="AM54" i="27"/>
  <c r="AS65" i="27"/>
  <c r="AT65" i="27"/>
  <c r="AT62" i="27"/>
  <c r="AS62" i="27"/>
  <c r="AM55" i="27"/>
  <c r="AM57" i="27"/>
  <c r="AM51" i="27"/>
  <c r="AT68" i="27"/>
  <c r="AS68" i="27"/>
  <c r="AT67" i="27"/>
  <c r="AS67" i="27"/>
  <c r="AT70" i="27"/>
  <c r="AS70" i="27"/>
  <c r="AM58" i="27"/>
  <c r="AT66" i="27"/>
  <c r="AS66" i="27"/>
  <c r="AT64" i="27"/>
  <c r="AS64" i="27"/>
  <c r="AM56" i="27"/>
  <c r="AM52" i="27"/>
  <c r="AM53" i="27"/>
  <c r="AU66" i="27" l="1"/>
  <c r="AU62" i="27"/>
  <c r="AT58" i="27"/>
  <c r="AS58" i="27"/>
  <c r="AT54" i="27"/>
  <c r="AS54" i="27"/>
  <c r="AS52" i="27"/>
  <c r="AT52" i="27"/>
  <c r="AU71" i="27"/>
  <c r="AU69" i="27"/>
  <c r="AU67" i="27"/>
  <c r="AU65" i="27"/>
  <c r="AS59" i="27"/>
  <c r="AT59" i="27"/>
  <c r="AT50" i="27"/>
  <c r="AS50" i="27"/>
  <c r="AT51" i="27"/>
  <c r="AS51" i="27"/>
  <c r="AU64" i="27"/>
  <c r="AT57" i="27"/>
  <c r="AS57" i="27"/>
  <c r="AT55" i="27"/>
  <c r="AS55" i="27"/>
  <c r="AT56" i="27"/>
  <c r="AS56" i="27"/>
  <c r="AU63" i="27"/>
  <c r="AU70" i="27"/>
  <c r="AU68" i="27"/>
  <c r="AS53" i="27"/>
  <c r="AT53" i="27"/>
  <c r="AU55" i="27" l="1"/>
  <c r="AU53" i="27"/>
  <c r="AU59" i="27"/>
  <c r="AU57" i="27"/>
  <c r="AU54" i="27"/>
  <c r="AU56" i="27"/>
  <c r="AU51" i="27"/>
  <c r="AU52" i="27"/>
  <c r="AU50" i="27"/>
  <c r="AU58" i="2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  <author>Maxime BEL</author>
  </authors>
  <commentList>
    <comment ref="B1" authorId="0" shapeId="0" xr:uid="{00000000-0006-0000-0300-000001000000}">
      <text>
        <r>
          <rPr>
            <sz val="12"/>
            <color indexed="81"/>
            <rFont val="Tahoma"/>
            <family val="2"/>
          </rPr>
          <t>Titre du tournoi</t>
        </r>
      </text>
    </comment>
    <comment ref="E2" authorId="0" shapeId="0" xr:uid="{00000000-0006-0000-0300-000002000000}">
      <text>
        <r>
          <rPr>
            <sz val="8"/>
            <color indexed="81"/>
            <rFont val="Tahoma"/>
            <family val="2"/>
          </rPr>
          <t>Mettre un X pour un tournoi de double</t>
        </r>
      </text>
    </comment>
    <comment ref="B4" authorId="1" shapeId="0" xr:uid="{00000000-0006-0000-0300-000003000000}">
      <text>
        <r>
          <rPr>
            <sz val="9"/>
            <color indexed="81"/>
            <rFont val="Tahoma"/>
            <family val="2"/>
          </rPr>
          <t>Insérer date du tournoi</t>
        </r>
      </text>
    </comment>
    <comment ref="B5" authorId="1" shapeId="0" xr:uid="{00000000-0006-0000-0300-000004000000}">
      <text>
        <r>
          <rPr>
            <sz val="9"/>
            <color indexed="81"/>
            <rFont val="Tahoma"/>
            <family val="2"/>
          </rPr>
          <t>Insérer heure de début du tournoi.</t>
        </r>
      </text>
    </comment>
    <comment ref="B6" authorId="1" shapeId="0" xr:uid="{00000000-0006-0000-0300-000005000000}">
      <text>
        <r>
          <rPr>
            <sz val="9"/>
            <color indexed="81"/>
            <rFont val="Tahoma"/>
            <family val="2"/>
          </rPr>
          <t>Insérer heure de fin du tournoi.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Maxime BEL</author>
    <author>Auteur</author>
  </authors>
  <commentList>
    <comment ref="E10" authorId="0" shapeId="0" xr:uid="{00000000-0006-0000-0C00-000001000000}">
      <text>
        <r>
          <rPr>
            <sz val="9"/>
            <color indexed="81"/>
            <rFont val="Tahoma"/>
            <family val="2"/>
          </rPr>
          <t>Attention !
Mettre 999 dans les points perdu aux participants libres.
Cela améliorera le classement général pour le tableau final.</t>
        </r>
      </text>
    </comment>
    <comment ref="A11" authorId="1" shapeId="0" xr:uid="{00000000-0006-0000-0C00-000002000000}">
      <text>
        <r>
          <rPr>
            <sz val="9"/>
            <color indexed="81"/>
            <rFont val="Tahoma"/>
            <family val="2"/>
          </rPr>
          <t xml:space="preserve">Insérer le n° du joueur dans l'ordre des poules ou groupes.
Exemple : Poule 3j (1, 2, 3)   Poule 4j (5, 6, 7, 8) etc..
</t>
        </r>
      </text>
    </comment>
  </commentList>
</comments>
</file>

<file path=xl/sharedStrings.xml><?xml version="1.0" encoding="utf-8"?>
<sst xmlns="http://schemas.openxmlformats.org/spreadsheetml/2006/main" count="1308" uniqueCount="395">
  <si>
    <t>Tournoi :</t>
  </si>
  <si>
    <t xml:space="preserve">Genre : </t>
  </si>
  <si>
    <t>Simple</t>
  </si>
  <si>
    <t>Double</t>
  </si>
  <si>
    <t>Club :</t>
  </si>
  <si>
    <t>Poule de 3 joueurs :</t>
  </si>
  <si>
    <t>Date :</t>
  </si>
  <si>
    <t>Poule de 4 joueurs :</t>
  </si>
  <si>
    <t>Heure Début :</t>
  </si>
  <si>
    <t>Poule de 5 joueurs :</t>
  </si>
  <si>
    <t>Heure Fin :</t>
  </si>
  <si>
    <t>Poule de 6 joueurs :</t>
  </si>
  <si>
    <t>Nombre de participants :</t>
  </si>
  <si>
    <t>Poule de 3 paires :</t>
  </si>
  <si>
    <t>Poule de 4 paires :</t>
  </si>
  <si>
    <t>Poule de 5 paires :</t>
  </si>
  <si>
    <t>Poule de 6 paires :</t>
  </si>
  <si>
    <t>N°</t>
  </si>
  <si>
    <t xml:space="preserve">Né(e) le </t>
  </si>
  <si>
    <t>Catégorie</t>
  </si>
  <si>
    <t>Club</t>
  </si>
  <si>
    <t>Points</t>
  </si>
  <si>
    <t>Nom</t>
  </si>
  <si>
    <t>4 Joueurs</t>
  </si>
  <si>
    <t>8 Joueurs</t>
  </si>
  <si>
    <t>16 Joueurs</t>
  </si>
  <si>
    <t>32 Joueurs</t>
  </si>
  <si>
    <t>64 Joueurs</t>
  </si>
  <si>
    <t>128 Joueurs</t>
  </si>
  <si>
    <t>Cl</t>
  </si>
  <si>
    <t>Nom  / Prénom</t>
  </si>
  <si>
    <t>Sets</t>
  </si>
  <si>
    <t>Matchs</t>
  </si>
  <si>
    <t>Rangs</t>
  </si>
  <si>
    <t>:</t>
  </si>
  <si>
    <t>Participant 1</t>
  </si>
  <si>
    <t>Participant 2</t>
  </si>
  <si>
    <t>Participant 3</t>
  </si>
  <si>
    <t>Participant 4</t>
  </si>
  <si>
    <t>Participant 5</t>
  </si>
  <si>
    <t>Participant 6</t>
  </si>
  <si>
    <t>Participant 7</t>
  </si>
  <si>
    <t>Participant 8</t>
  </si>
  <si>
    <t>Participant 9</t>
  </si>
  <si>
    <t>Participant 10</t>
  </si>
  <si>
    <t>Participant 11</t>
  </si>
  <si>
    <t>Participant 12</t>
  </si>
  <si>
    <t>Participant 13</t>
  </si>
  <si>
    <t>Participant 14</t>
  </si>
  <si>
    <t>Participant 15</t>
  </si>
  <si>
    <t>Participant 16</t>
  </si>
  <si>
    <t>Participant 17</t>
  </si>
  <si>
    <t>Participant 18</t>
  </si>
  <si>
    <t>Participant 19</t>
  </si>
  <si>
    <t>Participant 20</t>
  </si>
  <si>
    <t>Participant 21</t>
  </si>
  <si>
    <t>Participant 22</t>
  </si>
  <si>
    <t>Participant 23</t>
  </si>
  <si>
    <t>Participant 24</t>
  </si>
  <si>
    <t>Participant 25</t>
  </si>
  <si>
    <t>Participant 26</t>
  </si>
  <si>
    <t>Participant 27</t>
  </si>
  <si>
    <t>Participant 28</t>
  </si>
  <si>
    <t>Participant 29</t>
  </si>
  <si>
    <t>Participant 30</t>
  </si>
  <si>
    <t>Participant 31</t>
  </si>
  <si>
    <t>Participant 32</t>
  </si>
  <si>
    <t>Participant 33</t>
  </si>
  <si>
    <t>Participant 34</t>
  </si>
  <si>
    <t>Participant 35</t>
  </si>
  <si>
    <t>Participant 36</t>
  </si>
  <si>
    <t>Participant 37</t>
  </si>
  <si>
    <t>Participant 38</t>
  </si>
  <si>
    <t>Participant 39</t>
  </si>
  <si>
    <t>Participant 40</t>
  </si>
  <si>
    <t>Participant 41</t>
  </si>
  <si>
    <t>Participant 42</t>
  </si>
  <si>
    <t>Participant 43</t>
  </si>
  <si>
    <t>Participant 44</t>
  </si>
  <si>
    <t>Participant 45</t>
  </si>
  <si>
    <t>Participant 46</t>
  </si>
  <si>
    <t>Participant 47</t>
  </si>
  <si>
    <t>Participant 48</t>
  </si>
  <si>
    <t>Participant 49</t>
  </si>
  <si>
    <t>Participant 50</t>
  </si>
  <si>
    <t>Participant 51</t>
  </si>
  <si>
    <t>Participant 52</t>
  </si>
  <si>
    <t>Participant 53</t>
  </si>
  <si>
    <t>Participant 54</t>
  </si>
  <si>
    <t>Participant 55</t>
  </si>
  <si>
    <t>Participant 56</t>
  </si>
  <si>
    <t>Participant 57</t>
  </si>
  <si>
    <t>Participant 58</t>
  </si>
  <si>
    <t>Participant 59</t>
  </si>
  <si>
    <t>Participant 60</t>
  </si>
  <si>
    <t>Participant 61</t>
  </si>
  <si>
    <t>Participant 62</t>
  </si>
  <si>
    <t>Participant 63</t>
  </si>
  <si>
    <t>Participant 64</t>
  </si>
  <si>
    <t>Participant 65</t>
  </si>
  <si>
    <t>Participant 66</t>
  </si>
  <si>
    <t>Participant 67</t>
  </si>
  <si>
    <t>Participant 68</t>
  </si>
  <si>
    <t>Participant 69</t>
  </si>
  <si>
    <t>Participant 70</t>
  </si>
  <si>
    <t>Participant 71</t>
  </si>
  <si>
    <t>Participant 72</t>
  </si>
  <si>
    <t>Participant 73</t>
  </si>
  <si>
    <t>Participant 74</t>
  </si>
  <si>
    <t>Participant 75</t>
  </si>
  <si>
    <t>Participant 76</t>
  </si>
  <si>
    <t>Participant 77</t>
  </si>
  <si>
    <t>Participant 78</t>
  </si>
  <si>
    <t>Participant 79</t>
  </si>
  <si>
    <t>Participant 80</t>
  </si>
  <si>
    <t>Participant 81</t>
  </si>
  <si>
    <t>Participant 82</t>
  </si>
  <si>
    <t>Participant 83</t>
  </si>
  <si>
    <t>Participant 84</t>
  </si>
  <si>
    <t>Participant 85</t>
  </si>
  <si>
    <t>Participant 86</t>
  </si>
  <si>
    <t>Participant 87</t>
  </si>
  <si>
    <t>Participant 88</t>
  </si>
  <si>
    <t>Participant 89</t>
  </si>
  <si>
    <t>Participant 90</t>
  </si>
  <si>
    <t>Participant 91</t>
  </si>
  <si>
    <t>Participant 92</t>
  </si>
  <si>
    <t>Participant 93</t>
  </si>
  <si>
    <t>Participant 94</t>
  </si>
  <si>
    <t>Participant 95</t>
  </si>
  <si>
    <t>Participant 96</t>
  </si>
  <si>
    <t>Participant 97</t>
  </si>
  <si>
    <t>Participant 98</t>
  </si>
  <si>
    <t>Participant 99</t>
  </si>
  <si>
    <t>Participant 100</t>
  </si>
  <si>
    <t>Participant 101</t>
  </si>
  <si>
    <t>Participant 102</t>
  </si>
  <si>
    <t>Participant 103</t>
  </si>
  <si>
    <t>Participant 104</t>
  </si>
  <si>
    <t>Participant 105</t>
  </si>
  <si>
    <t>Participant 106</t>
  </si>
  <si>
    <t>Participant 107</t>
  </si>
  <si>
    <t>Participant 108</t>
  </si>
  <si>
    <t>Participant 109</t>
  </si>
  <si>
    <t>Participant 110</t>
  </si>
  <si>
    <t>Participant 111</t>
  </si>
  <si>
    <t>Participant 112</t>
  </si>
  <si>
    <t>Participant 113</t>
  </si>
  <si>
    <t>Participant 114</t>
  </si>
  <si>
    <t>Participant 115</t>
  </si>
  <si>
    <t>Participant 116</t>
  </si>
  <si>
    <t>Participant 117</t>
  </si>
  <si>
    <t>Participant 118</t>
  </si>
  <si>
    <t>Participant 119</t>
  </si>
  <si>
    <t>Participant 120</t>
  </si>
  <si>
    <t>Participant 121</t>
  </si>
  <si>
    <t>Participant 122</t>
  </si>
  <si>
    <t>Participant 123</t>
  </si>
  <si>
    <t>Participant 124</t>
  </si>
  <si>
    <t>Participant 125</t>
  </si>
  <si>
    <t>Participant 126</t>
  </si>
  <si>
    <t>Participant 127</t>
  </si>
  <si>
    <t>Participant 128</t>
  </si>
  <si>
    <t>Participant 129</t>
  </si>
  <si>
    <t>Participant 130</t>
  </si>
  <si>
    <t>Participant 131</t>
  </si>
  <si>
    <t>Participant 132</t>
  </si>
  <si>
    <t>Participant 133</t>
  </si>
  <si>
    <t>Participant 134</t>
  </si>
  <si>
    <t>Participant 135</t>
  </si>
  <si>
    <t>Participant 136</t>
  </si>
  <si>
    <t>Participant 137</t>
  </si>
  <si>
    <t>Participant 138</t>
  </si>
  <si>
    <t>Participant 139</t>
  </si>
  <si>
    <t>Participant 140</t>
  </si>
  <si>
    <t>Participant 141</t>
  </si>
  <si>
    <t>Participant 142</t>
  </si>
  <si>
    <t>Participant 143</t>
  </si>
  <si>
    <t>Participant 144</t>
  </si>
  <si>
    <t>Participant 145</t>
  </si>
  <si>
    <t>Participant 146</t>
  </si>
  <si>
    <t>Participant 147</t>
  </si>
  <si>
    <t>Participant 148</t>
  </si>
  <si>
    <t>Participant 149</t>
  </si>
  <si>
    <t>Participant 150</t>
  </si>
  <si>
    <t>Participant 151</t>
  </si>
  <si>
    <t>Participant 152</t>
  </si>
  <si>
    <t>Participant 153</t>
  </si>
  <si>
    <t>Participant 154</t>
  </si>
  <si>
    <t>Participant 155</t>
  </si>
  <si>
    <t>Participant 156</t>
  </si>
  <si>
    <t>Participant 157</t>
  </si>
  <si>
    <t>Participant 158</t>
  </si>
  <si>
    <t>Participant 159</t>
  </si>
  <si>
    <t>Participant 160</t>
  </si>
  <si>
    <t>Participant 161</t>
  </si>
  <si>
    <t>Participant 162</t>
  </si>
  <si>
    <t>Participant 163</t>
  </si>
  <si>
    <t>Participant 164</t>
  </si>
  <si>
    <t>Participant 165</t>
  </si>
  <si>
    <t>Participant 166</t>
  </si>
  <si>
    <t>Participant 167</t>
  </si>
  <si>
    <t>Participant 168</t>
  </si>
  <si>
    <t>Participant 169</t>
  </si>
  <si>
    <t>Participant 170</t>
  </si>
  <si>
    <t>Participant 171</t>
  </si>
  <si>
    <t>Participant 172</t>
  </si>
  <si>
    <t>Participant 173</t>
  </si>
  <si>
    <t>Participant 174</t>
  </si>
  <si>
    <t>Participant 175</t>
  </si>
  <si>
    <t>Participant 176</t>
  </si>
  <si>
    <t>Participant 177</t>
  </si>
  <si>
    <t>Participant 178</t>
  </si>
  <si>
    <t>Participant 179</t>
  </si>
  <si>
    <t>Participant 180</t>
  </si>
  <si>
    <t>Participant 181</t>
  </si>
  <si>
    <t>Participant 182</t>
  </si>
  <si>
    <t>Participant 183</t>
  </si>
  <si>
    <t>Participant 184</t>
  </si>
  <si>
    <t>Participant 185</t>
  </si>
  <si>
    <t>Participant 186</t>
  </si>
  <si>
    <t>Participant 187</t>
  </si>
  <si>
    <t>Participant 188</t>
  </si>
  <si>
    <t>Participant 189</t>
  </si>
  <si>
    <t>Participant 190</t>
  </si>
  <si>
    <t>Participant 191</t>
  </si>
  <si>
    <t>Participant 192</t>
  </si>
  <si>
    <t>Participant 193</t>
  </si>
  <si>
    <t>Participant 194</t>
  </si>
  <si>
    <t>Participant 195</t>
  </si>
  <si>
    <t>Participant 196</t>
  </si>
  <si>
    <t>Participant 197</t>
  </si>
  <si>
    <t>Participant 198</t>
  </si>
  <si>
    <t>Participant 199</t>
  </si>
  <si>
    <t>Participant 200</t>
  </si>
  <si>
    <t>Participant 201</t>
  </si>
  <si>
    <t>Participant 202</t>
  </si>
  <si>
    <t>Participant 203</t>
  </si>
  <si>
    <t>Participant 204</t>
  </si>
  <si>
    <t>Participant 205</t>
  </si>
  <si>
    <t>Participant 206</t>
  </si>
  <si>
    <t>Participant 207</t>
  </si>
  <si>
    <t>Participant 208</t>
  </si>
  <si>
    <t>Participant 209</t>
  </si>
  <si>
    <t>Participant 210</t>
  </si>
  <si>
    <t>Participant 211</t>
  </si>
  <si>
    <t>Participant 212</t>
  </si>
  <si>
    <t>Participant 213</t>
  </si>
  <si>
    <t>Participant 214</t>
  </si>
  <si>
    <t>Participant 215</t>
  </si>
  <si>
    <t>Participant 216</t>
  </si>
  <si>
    <t>Participant 217</t>
  </si>
  <si>
    <t>Participant 218</t>
  </si>
  <si>
    <t>Participant 219</t>
  </si>
  <si>
    <t>Participant 220</t>
  </si>
  <si>
    <t>Participant 221</t>
  </si>
  <si>
    <t>Participant 222</t>
  </si>
  <si>
    <t>Participant 223</t>
  </si>
  <si>
    <t>Participant 224</t>
  </si>
  <si>
    <t>Participant 225</t>
  </si>
  <si>
    <t>Participant 226</t>
  </si>
  <si>
    <t>Participant 227</t>
  </si>
  <si>
    <t>Participant 228</t>
  </si>
  <si>
    <t>Participant 229</t>
  </si>
  <si>
    <t>Participant 230</t>
  </si>
  <si>
    <t>Participant 231</t>
  </si>
  <si>
    <t>Participant 232</t>
  </si>
  <si>
    <t>Participant 233</t>
  </si>
  <si>
    <t>Participant 234</t>
  </si>
  <si>
    <t>Participant 235</t>
  </si>
  <si>
    <t>Participant 236</t>
  </si>
  <si>
    <t>Participant 237</t>
  </si>
  <si>
    <t>Participant 238</t>
  </si>
  <si>
    <t>Participant 239</t>
  </si>
  <si>
    <t>Participant 240</t>
  </si>
  <si>
    <t>Participant 241</t>
  </si>
  <si>
    <t>Participant 242</t>
  </si>
  <si>
    <t>Participant 243</t>
  </si>
  <si>
    <t>Participant 244</t>
  </si>
  <si>
    <t>Participant 245</t>
  </si>
  <si>
    <t>Participant 246</t>
  </si>
  <si>
    <t>Participant 247</t>
  </si>
  <si>
    <t>Participant 248</t>
  </si>
  <si>
    <t>Participant 249</t>
  </si>
  <si>
    <t>Participant 250</t>
  </si>
  <si>
    <t>Participant 251</t>
  </si>
  <si>
    <t>Participant 252</t>
  </si>
  <si>
    <t>Participant 253</t>
  </si>
  <si>
    <t>Participant 254</t>
  </si>
  <si>
    <t>Participant 255</t>
  </si>
  <si>
    <t>Participant 256</t>
  </si>
  <si>
    <t>U9</t>
  </si>
  <si>
    <t>U11</t>
  </si>
  <si>
    <t>U13</t>
  </si>
  <si>
    <t>U15</t>
  </si>
  <si>
    <t>Elite</t>
  </si>
  <si>
    <t>Sierre</t>
  </si>
  <si>
    <t>Sion</t>
  </si>
  <si>
    <t>Grône</t>
  </si>
  <si>
    <t>Gampel-Steg</t>
  </si>
  <si>
    <t>Collombey-Muraz</t>
  </si>
  <si>
    <t>Dorénaz</t>
  </si>
  <si>
    <t>Martigny</t>
  </si>
  <si>
    <t>Stalden</t>
  </si>
  <si>
    <t>Zermatt</t>
  </si>
  <si>
    <t>Brig</t>
  </si>
  <si>
    <t>Nom &amp; Prénom</t>
  </si>
  <si>
    <t>Tableau Final 8 joueurs</t>
  </si>
  <si>
    <t>Tableau Final 16 joueurs</t>
  </si>
  <si>
    <t>Tableau Final 32 joueurs</t>
  </si>
  <si>
    <t>32èmes</t>
  </si>
  <si>
    <t>16èmes</t>
  </si>
  <si>
    <t>8èmes</t>
  </si>
  <si>
    <t>1/4</t>
  </si>
  <si>
    <t>1/2</t>
  </si>
  <si>
    <t>place 3-4</t>
  </si>
  <si>
    <t>place 17-32</t>
  </si>
  <si>
    <t>place 19-20</t>
  </si>
  <si>
    <t>place 9-16</t>
  </si>
  <si>
    <t>place 13-16</t>
  </si>
  <si>
    <t>place 15-16</t>
  </si>
  <si>
    <t>place 11-12</t>
  </si>
  <si>
    <t>place 5-8</t>
  </si>
  <si>
    <t>place 7-8</t>
  </si>
  <si>
    <t>place 25-32</t>
  </si>
  <si>
    <t>place 29-32</t>
  </si>
  <si>
    <t>place 31-32</t>
  </si>
  <si>
    <t>place 27-28</t>
  </si>
  <si>
    <t>place 21-24</t>
  </si>
  <si>
    <t>place 23-24</t>
  </si>
  <si>
    <t>place 5-6</t>
  </si>
  <si>
    <t>place 13-14</t>
  </si>
  <si>
    <t>Tableau Final 64 joueurs</t>
  </si>
  <si>
    <t>place 33-64</t>
  </si>
  <si>
    <t>Final</t>
  </si>
  <si>
    <t>place 35-36</t>
  </si>
  <si>
    <t>place 37-40</t>
  </si>
  <si>
    <t>place 39-40</t>
  </si>
  <si>
    <t>place 41-48</t>
  </si>
  <si>
    <t>place 43-44</t>
  </si>
  <si>
    <t>place 45-48</t>
  </si>
  <si>
    <t>place 47-48</t>
  </si>
  <si>
    <t>place 49-64</t>
  </si>
  <si>
    <t>place 51-52</t>
  </si>
  <si>
    <t>place 53-56</t>
  </si>
  <si>
    <t>place 55-56</t>
  </si>
  <si>
    <t>place 57-64</t>
  </si>
  <si>
    <t>place 59-60</t>
  </si>
  <si>
    <t>place 61-64</t>
  </si>
  <si>
    <t>place 63-64</t>
  </si>
  <si>
    <t xml:space="preserve">Club </t>
  </si>
  <si>
    <t>Ne pas oublier de mettre un " X " pour le nombre de participants
Si c'est des doubles, diviser par 2 le nombre de participants</t>
  </si>
  <si>
    <t>Finals (KO)</t>
  </si>
  <si>
    <t>Finals (Classement)</t>
  </si>
  <si>
    <t>Choix des poules :</t>
  </si>
  <si>
    <t>Ne pas oublier de faire des photos de chaques vainqueurs ainsi qu'une photo de groupe !
Pour la fin du championnat, une photo individuelle des vainqueurs, une photo de groupe des vainqueurs ainsi qu'une photo de l'ensemble des joueurs !</t>
  </si>
  <si>
    <t>Poule de 7 joueurs :</t>
  </si>
  <si>
    <t>Poule de 8 joueurs :</t>
  </si>
  <si>
    <t>Poule de 9 joueurs :</t>
  </si>
  <si>
    <t>Poule de 10 joueurs :</t>
  </si>
  <si>
    <t>Poule de 7 paires :</t>
  </si>
  <si>
    <t>Poule de 8 paires :</t>
  </si>
  <si>
    <t>Poule de 9 paires :</t>
  </si>
  <si>
    <t>Poule de 10 paires :</t>
  </si>
  <si>
    <t>Tableau Final 8 joueurs ko</t>
  </si>
  <si>
    <t>Tableau Final 16 joueurs ko</t>
  </si>
  <si>
    <t>Tableau Final 32 joueurs ko</t>
  </si>
  <si>
    <t>CTT Grône</t>
  </si>
  <si>
    <t>Tableau Final 64 joueurs Ko</t>
  </si>
  <si>
    <t>Clubs</t>
  </si>
  <si>
    <t>Classement équipes (64)</t>
  </si>
  <si>
    <t>Classement équipes (32)</t>
  </si>
  <si>
    <t>Classement  équipes (64 KO)</t>
  </si>
  <si>
    <t>Classement équipes (32 KO)</t>
  </si>
  <si>
    <t>Classement  Ko (points par équipes 32)</t>
  </si>
  <si>
    <t>Classement   (points par équipes 32)</t>
  </si>
  <si>
    <t>Classement (points par équipes 64)</t>
  </si>
  <si>
    <t>Classement  Ko (points par équipes 64)</t>
  </si>
  <si>
    <t>Classement équipes (16)</t>
  </si>
  <si>
    <t>Classement  équipes (16 KO)</t>
  </si>
  <si>
    <t>Classement équipes (8)</t>
  </si>
  <si>
    <t>Classement équipes (8 KO)</t>
  </si>
  <si>
    <t>Classement équipes (16 KO)</t>
  </si>
  <si>
    <t>Classement  Ko (points par équipes 16)</t>
  </si>
  <si>
    <t>Classement   (points par équipes 16)</t>
  </si>
  <si>
    <t>Classement  Ko (points par équipes8)</t>
  </si>
  <si>
    <t>Classement   (points par équipes 8)</t>
  </si>
  <si>
    <t>O40</t>
  </si>
  <si>
    <t>O50</t>
  </si>
  <si>
    <t>O60</t>
  </si>
  <si>
    <t>O70</t>
  </si>
  <si>
    <t>O80</t>
  </si>
  <si>
    <t>U19</t>
  </si>
  <si>
    <t>U17</t>
  </si>
  <si>
    <t>Tournoi non-licenciés U19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</si>
</sst>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;@"/>
    <numFmt numFmtId="165" formatCode="h:mm;@"/>
    <numFmt numFmtId="172" formatCode="yy"/>
  </numFmts>
  <fonts count="2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2"/>
      <color indexed="81"/>
      <name val="Tahoma"/>
      <family val="2"/>
    </font>
    <font>
      <sz val="11"/>
      <name val="Calibri"/>
      <family val="2"/>
      <scheme val="minor"/>
    </font>
    <font>
      <sz val="45"/>
      <color rgb="FFFF0000"/>
      <name val="Webdings"/>
      <family val="1"/>
      <charset val="2"/>
    </font>
    <font>
      <sz val="10"/>
      <color rgb="FFFF000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sz val="9"/>
      <color indexed="81"/>
      <name val="Tahoma"/>
      <family val="2"/>
    </font>
    <font>
      <sz val="12"/>
      <color rgb="FFFF0000"/>
      <name val="Calibri"/>
      <family val="2"/>
      <scheme val="minor"/>
    </font>
    <font>
      <sz val="48"/>
      <color rgb="FFFF0000"/>
      <name val="Webdings"/>
      <family val="1"/>
      <charset val="2"/>
    </font>
    <font>
      <sz val="14"/>
      <color theme="1"/>
      <name val="Times New Roman"/>
      <family val="1"/>
    </font>
    <font>
      <u/>
      <sz val="11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color indexed="81"/>
      <name val="Tahoma"/>
      <family val="2"/>
    </font>
    <font>
      <sz val="8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CDFFCF"/>
        <bgColor indexed="64"/>
      </patternFill>
    </fill>
    <fill>
      <patternFill patternType="solid">
        <fgColor rgb="FFCDD7FF"/>
        <bgColor indexed="64"/>
      </patternFill>
    </fill>
    <fill>
      <patternFill patternType="solid">
        <fgColor rgb="FFFF00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/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9" fillId="0" borderId="0"/>
    <xf numFmtId="0" fontId="10" fillId="0" borderId="0"/>
    <xf numFmtId="0" fontId="10" fillId="0" borderId="0"/>
  </cellStyleXfs>
  <cellXfs count="195">
    <xf numFmtId="0" fontId="0" fillId="0" borderId="0" xfId="0"/>
    <xf numFmtId="0" fontId="3" fillId="0" borderId="0" xfId="0" applyFont="1" applyAlignment="1" applyProtection="1">
      <alignment vertical="center"/>
    </xf>
    <xf numFmtId="0" fontId="3" fillId="0" borderId="0" xfId="0" applyFont="1" applyFill="1" applyBorder="1" applyAlignment="1" applyProtection="1">
      <alignment horizontal="center" vertical="center"/>
    </xf>
    <xf numFmtId="1" fontId="3" fillId="0" borderId="0" xfId="0" applyNumberFormat="1" applyFont="1" applyFill="1" applyBorder="1" applyAlignment="1" applyProtection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</xf>
    <xf numFmtId="0" fontId="3" fillId="0" borderId="0" xfId="0" applyFont="1" applyProtection="1"/>
    <xf numFmtId="0" fontId="3" fillId="0" borderId="2" xfId="0" applyFont="1" applyBorder="1" applyAlignment="1" applyProtection="1">
      <alignment vertical="center"/>
    </xf>
    <xf numFmtId="0" fontId="3" fillId="0" borderId="3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3" xfId="0" applyFont="1" applyFill="1" applyBorder="1" applyAlignment="1" applyProtection="1">
      <alignment horizontal="left" vertical="center"/>
    </xf>
    <xf numFmtId="0" fontId="3" fillId="0" borderId="4" xfId="0" applyFont="1" applyBorder="1" applyAlignment="1" applyProtection="1">
      <alignment vertical="center"/>
    </xf>
    <xf numFmtId="0" fontId="3" fillId="0" borderId="1" xfId="0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left" vertical="center"/>
    </xf>
    <xf numFmtId="0" fontId="4" fillId="0" borderId="0" xfId="0" applyFont="1" applyAlignment="1" applyProtection="1">
      <alignment horizontal="center" vertical="center"/>
    </xf>
    <xf numFmtId="0" fontId="3" fillId="0" borderId="1" xfId="0" applyFont="1" applyBorder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Alignment="1" applyProtection="1">
      <alignment horizontal="right" vertical="center" indent="2"/>
    </xf>
    <xf numFmtId="0" fontId="0" fillId="0" borderId="0" xfId="0" applyFill="1"/>
    <xf numFmtId="0" fontId="0" fillId="0" borderId="0" xfId="0" applyBorder="1"/>
    <xf numFmtId="0" fontId="0" fillId="0" borderId="0" xfId="0" applyBorder="1" applyProtection="1"/>
    <xf numFmtId="0" fontId="0" fillId="0" borderId="0" xfId="0" applyProtection="1"/>
    <xf numFmtId="0" fontId="0" fillId="0" borderId="6" xfId="0" applyBorder="1" applyProtection="1"/>
    <xf numFmtId="0" fontId="0" fillId="0" borderId="0" xfId="0" applyBorder="1" applyAlignment="1" applyProtection="1"/>
    <xf numFmtId="0" fontId="7" fillId="0" borderId="0" xfId="0" applyFont="1" applyBorder="1" applyAlignment="1" applyProtection="1">
      <alignment vertical="center"/>
    </xf>
    <xf numFmtId="0" fontId="8" fillId="0" borderId="0" xfId="0" applyFont="1" applyBorder="1" applyAlignment="1" applyProtection="1">
      <alignment vertical="center" wrapText="1"/>
    </xf>
    <xf numFmtId="0" fontId="0" fillId="0" borderId="0" xfId="0" applyFill="1" applyBorder="1" applyAlignment="1" applyProtection="1"/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center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0" fillId="2" borderId="1" xfId="0" applyFill="1" applyBorder="1" applyProtection="1"/>
    <xf numFmtId="0" fontId="0" fillId="0" borderId="0" xfId="0" applyAlignment="1" applyProtection="1">
      <alignment horizontal="left" indent="1"/>
    </xf>
    <xf numFmtId="0" fontId="0" fillId="0" borderId="14" xfId="0" applyBorder="1" applyAlignment="1" applyProtection="1">
      <alignment horizontal="left"/>
    </xf>
    <xf numFmtId="0" fontId="0" fillId="0" borderId="13" xfId="0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0" fillId="0" borderId="15" xfId="0" applyBorder="1" applyAlignment="1" applyProtection="1">
      <alignment horizontal="left"/>
    </xf>
    <xf numFmtId="0" fontId="0" fillId="0" borderId="18" xfId="0" applyBorder="1" applyAlignment="1" applyProtection="1">
      <alignment horizontal="left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17" fillId="0" borderId="0" xfId="0" applyFont="1" applyAlignment="1" applyProtection="1">
      <alignment horizontal="center"/>
    </xf>
    <xf numFmtId="0" fontId="17" fillId="2" borderId="0" xfId="0" applyFont="1" applyFill="1" applyAlignment="1" applyProtection="1">
      <alignment horizontal="center"/>
    </xf>
    <xf numFmtId="0" fontId="0" fillId="0" borderId="0" xfId="0" applyFont="1" applyProtection="1"/>
    <xf numFmtId="0" fontId="0" fillId="0" borderId="7" xfId="0" applyBorder="1"/>
    <xf numFmtId="0" fontId="0" fillId="0" borderId="5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1" fontId="0" fillId="0" borderId="10" xfId="0" applyNumberFormat="1" applyBorder="1"/>
    <xf numFmtId="0" fontId="0" fillId="0" borderId="2" xfId="0" applyBorder="1"/>
    <xf numFmtId="0" fontId="0" fillId="0" borderId="11" xfId="0" applyBorder="1"/>
    <xf numFmtId="1" fontId="0" fillId="0" borderId="0" xfId="0" applyNumberFormat="1" applyBorder="1"/>
    <xf numFmtId="0" fontId="1" fillId="0" borderId="7" xfId="0" applyFont="1" applyBorder="1"/>
    <xf numFmtId="0" fontId="1" fillId="0" borderId="9" xfId="0" applyFont="1" applyBorder="1"/>
    <xf numFmtId="0" fontId="1" fillId="0" borderId="0" xfId="0" applyFont="1" applyBorder="1"/>
    <xf numFmtId="0" fontId="1" fillId="0" borderId="0" xfId="0" quotePrefix="1" applyFont="1" applyBorder="1"/>
    <xf numFmtId="0" fontId="1" fillId="0" borderId="10" xfId="0" quotePrefix="1" applyFont="1" applyBorder="1"/>
    <xf numFmtId="0" fontId="1" fillId="0" borderId="16" xfId="0" applyFont="1" applyBorder="1"/>
    <xf numFmtId="0" fontId="0" fillId="0" borderId="17" xfId="0" applyBorder="1"/>
    <xf numFmtId="0" fontId="0" fillId="0" borderId="3" xfId="0" applyBorder="1"/>
    <xf numFmtId="0" fontId="1" fillId="0" borderId="9" xfId="0" quotePrefix="1" applyFont="1" applyBorder="1"/>
    <xf numFmtId="0" fontId="14" fillId="0" borderId="0" xfId="0" applyFont="1" applyBorder="1" applyAlignment="1" applyProtection="1">
      <alignment vertical="center" wrapText="1"/>
    </xf>
    <xf numFmtId="0" fontId="14" fillId="0" borderId="0" xfId="0" applyFont="1" applyBorder="1" applyAlignment="1" applyProtection="1">
      <alignment vertical="center"/>
    </xf>
    <xf numFmtId="0" fontId="3" fillId="0" borderId="3" xfId="0" applyFont="1" applyBorder="1" applyAlignment="1" applyProtection="1">
      <alignment vertical="center"/>
    </xf>
    <xf numFmtId="0" fontId="12" fillId="0" borderId="0" xfId="0" applyFont="1" applyBorder="1" applyAlignment="1" applyProtection="1">
      <alignment vertical="center"/>
    </xf>
    <xf numFmtId="0" fontId="3" fillId="0" borderId="9" xfId="0" applyFont="1" applyBorder="1" applyProtection="1"/>
    <xf numFmtId="0" fontId="3" fillId="0" borderId="10" xfId="0" applyFont="1" applyBorder="1" applyProtection="1"/>
    <xf numFmtId="0" fontId="3" fillId="0" borderId="2" xfId="0" applyFont="1" applyBorder="1" applyProtection="1"/>
    <xf numFmtId="0" fontId="3" fillId="0" borderId="12" xfId="0" applyFont="1" applyBorder="1" applyProtection="1"/>
    <xf numFmtId="0" fontId="3" fillId="0" borderId="17" xfId="0" applyFont="1" applyBorder="1" applyProtection="1"/>
    <xf numFmtId="0" fontId="3" fillId="0" borderId="3" xfId="0" applyFont="1" applyBorder="1" applyProtection="1"/>
    <xf numFmtId="0" fontId="3" fillId="0" borderId="0" xfId="0" applyFont="1" applyBorder="1" applyProtection="1"/>
    <xf numFmtId="0" fontId="3" fillId="0" borderId="11" xfId="0" applyFont="1" applyBorder="1" applyProtection="1"/>
    <xf numFmtId="0" fontId="12" fillId="0" borderId="16" xfId="0" applyFont="1" applyBorder="1" applyAlignment="1" applyProtection="1">
      <alignment horizontal="center"/>
    </xf>
    <xf numFmtId="0" fontId="18" fillId="0" borderId="0" xfId="0" applyFont="1" applyAlignment="1" applyProtection="1">
      <alignment vertical="center"/>
    </xf>
    <xf numFmtId="0" fontId="0" fillId="0" borderId="9" xfId="0" applyFill="1" applyBorder="1"/>
    <xf numFmtId="0" fontId="0" fillId="0" borderId="0" xfId="0" applyFill="1" applyBorder="1"/>
    <xf numFmtId="0" fontId="0" fillId="0" borderId="2" xfId="0" applyFill="1" applyBorder="1"/>
    <xf numFmtId="1" fontId="0" fillId="0" borderId="9" xfId="0" applyNumberFormat="1" applyFill="1" applyBorder="1"/>
    <xf numFmtId="0" fontId="0" fillId="0" borderId="7" xfId="0" applyFill="1" applyBorder="1"/>
    <xf numFmtId="0" fontId="0" fillId="0" borderId="5" xfId="0" applyFill="1" applyBorder="1"/>
    <xf numFmtId="0" fontId="0" fillId="0" borderId="8" xfId="0" applyFill="1" applyBorder="1"/>
    <xf numFmtId="0" fontId="0" fillId="0" borderId="10" xfId="0" applyFill="1" applyBorder="1"/>
    <xf numFmtId="0" fontId="1" fillId="0" borderId="9" xfId="0" applyFont="1" applyFill="1" applyBorder="1"/>
    <xf numFmtId="0" fontId="1" fillId="0" borderId="0" xfId="0" applyFont="1" applyFill="1" applyBorder="1"/>
    <xf numFmtId="0" fontId="1" fillId="0" borderId="0" xfId="0" quotePrefix="1" applyFont="1" applyFill="1" applyBorder="1"/>
    <xf numFmtId="0" fontId="1" fillId="0" borderId="10" xfId="0" applyFont="1" applyFill="1" applyBorder="1"/>
    <xf numFmtId="1" fontId="0" fillId="0" borderId="0" xfId="0" applyNumberFormat="1" applyFill="1" applyBorder="1"/>
    <xf numFmtId="1" fontId="0" fillId="0" borderId="10" xfId="0" applyNumberFormat="1" applyFill="1" applyBorder="1"/>
    <xf numFmtId="0" fontId="1" fillId="0" borderId="16" xfId="0" applyFont="1" applyFill="1" applyBorder="1"/>
    <xf numFmtId="0" fontId="0" fillId="0" borderId="17" xfId="0" applyFill="1" applyBorder="1"/>
    <xf numFmtId="0" fontId="1" fillId="0" borderId="7" xfId="0" applyFont="1" applyFill="1" applyBorder="1"/>
    <xf numFmtId="0" fontId="0" fillId="0" borderId="3" xfId="0" applyFill="1" applyBorder="1"/>
    <xf numFmtId="0" fontId="0" fillId="0" borderId="11" xfId="0" applyFill="1" applyBorder="1"/>
    <xf numFmtId="0" fontId="20" fillId="2" borderId="1" xfId="0" applyFont="1" applyFill="1" applyBorder="1" applyAlignment="1" applyProtection="1">
      <alignment horizontal="center" vertical="center"/>
      <protection locked="0"/>
    </xf>
    <xf numFmtId="0" fontId="20" fillId="2" borderId="1" xfId="0" applyFont="1" applyFill="1" applyBorder="1" applyAlignment="1" applyProtection="1">
      <alignment horizontal="center" vertical="center"/>
    </xf>
    <xf numFmtId="1" fontId="0" fillId="0" borderId="3" xfId="0" applyNumberFormat="1" applyBorder="1"/>
    <xf numFmtId="1" fontId="0" fillId="0" borderId="9" xfId="0" applyNumberFormat="1" applyBorder="1"/>
    <xf numFmtId="1" fontId="0" fillId="0" borderId="17" xfId="0" applyNumberFormat="1" applyBorder="1"/>
    <xf numFmtId="0" fontId="1" fillId="0" borderId="10" xfId="0" applyFont="1" applyBorder="1"/>
    <xf numFmtId="1" fontId="0" fillId="0" borderId="12" xfId="0" applyNumberFormat="1" applyBorder="1"/>
    <xf numFmtId="1" fontId="0" fillId="0" borderId="11" xfId="0" applyNumberFormat="1" applyBorder="1"/>
    <xf numFmtId="1" fontId="0" fillId="0" borderId="2" xfId="0" applyNumberFormat="1" applyBorder="1"/>
    <xf numFmtId="0" fontId="0" fillId="0" borderId="12" xfId="0" applyBorder="1"/>
    <xf numFmtId="0" fontId="16" fillId="0" borderId="0" xfId="0" applyFont="1" applyBorder="1" applyAlignment="1">
      <alignment vertical="center"/>
    </xf>
    <xf numFmtId="1" fontId="0" fillId="0" borderId="16" xfId="0" applyNumberFormat="1" applyBorder="1"/>
    <xf numFmtId="0" fontId="0" fillId="0" borderId="12" xfId="0" applyFill="1" applyBorder="1"/>
    <xf numFmtId="0" fontId="3" fillId="0" borderId="0" xfId="0" applyFont="1" applyAlignment="1" applyProtection="1">
      <alignment horizontal="left" vertical="center" indent="1"/>
    </xf>
    <xf numFmtId="0" fontId="3" fillId="0" borderId="0" xfId="0" applyFont="1" applyAlignment="1" applyProtection="1">
      <alignment horizontal="left" indent="1"/>
    </xf>
    <xf numFmtId="1" fontId="0" fillId="0" borderId="7" xfId="0" applyNumberFormat="1" applyFill="1" applyBorder="1"/>
    <xf numFmtId="1" fontId="0" fillId="0" borderId="7" xfId="0" applyNumberFormat="1" applyBorder="1"/>
    <xf numFmtId="1" fontId="0" fillId="0" borderId="8" xfId="0" applyNumberFormat="1" applyBorder="1"/>
    <xf numFmtId="0" fontId="0" fillId="0" borderId="0" xfId="0" applyFont="1" applyFill="1" applyBorder="1"/>
    <xf numFmtId="1" fontId="0" fillId="0" borderId="0" xfId="0" applyNumberFormat="1" applyFont="1" applyFill="1" applyBorder="1"/>
    <xf numFmtId="0" fontId="0" fillId="0" borderId="5" xfId="0" applyNumberFormat="1" applyFill="1" applyBorder="1"/>
    <xf numFmtId="0" fontId="0" fillId="0" borderId="0" xfId="0" applyNumberFormat="1" applyFill="1" applyBorder="1"/>
    <xf numFmtId="0" fontId="16" fillId="0" borderId="7" xfId="0" applyFont="1" applyBorder="1" applyAlignment="1">
      <alignment vertical="center"/>
    </xf>
    <xf numFmtId="0" fontId="16" fillId="0" borderId="9" xfId="0" applyFont="1" applyBorder="1" applyAlignment="1">
      <alignment vertical="center"/>
    </xf>
    <xf numFmtId="0" fontId="0" fillId="0" borderId="10" xfId="0" applyBorder="1" applyAlignment="1">
      <alignment horizontal="left"/>
    </xf>
    <xf numFmtId="0" fontId="0" fillId="0" borderId="10" xfId="0" applyFill="1" applyBorder="1" applyAlignment="1">
      <alignment horizontal="left"/>
    </xf>
    <xf numFmtId="1" fontId="0" fillId="0" borderId="10" xfId="0" applyNumberFormat="1" applyBorder="1" applyAlignment="1">
      <alignment horizontal="left"/>
    </xf>
    <xf numFmtId="1" fontId="0" fillId="0" borderId="10" xfId="0" applyNumberFormat="1" applyFill="1" applyBorder="1" applyAlignment="1">
      <alignment horizontal="left"/>
    </xf>
    <xf numFmtId="0" fontId="0" fillId="0" borderId="0" xfId="0" applyFont="1" applyAlignment="1" applyProtection="1">
      <alignment horizontal="center"/>
    </xf>
    <xf numFmtId="0" fontId="0" fillId="0" borderId="19" xfId="0" applyFont="1" applyBorder="1" applyProtection="1"/>
    <xf numFmtId="0" fontId="0" fillId="0" borderId="20" xfId="0" applyFont="1" applyBorder="1" applyProtection="1"/>
    <xf numFmtId="0" fontId="0" fillId="0" borderId="21" xfId="0" applyFont="1" applyBorder="1" applyProtection="1"/>
    <xf numFmtId="0" fontId="0" fillId="0" borderId="22" xfId="0" applyFont="1" applyBorder="1" applyProtection="1"/>
    <xf numFmtId="0" fontId="0" fillId="0" borderId="0" xfId="0" applyFont="1" applyBorder="1" applyProtection="1"/>
    <xf numFmtId="0" fontId="0" fillId="0" borderId="23" xfId="0" applyFont="1" applyBorder="1" applyProtection="1"/>
    <xf numFmtId="0" fontId="0" fillId="0" borderId="24" xfId="0" applyFont="1" applyBorder="1" applyProtection="1"/>
    <xf numFmtId="0" fontId="0" fillId="0" borderId="25" xfId="0" applyFont="1" applyBorder="1" applyProtection="1"/>
    <xf numFmtId="0" fontId="0" fillId="0" borderId="26" xfId="0" applyFont="1" applyBorder="1" applyProtection="1"/>
    <xf numFmtId="1" fontId="0" fillId="0" borderId="5" xfId="0" applyNumberFormat="1" applyBorder="1"/>
    <xf numFmtId="1" fontId="0" fillId="0" borderId="5" xfId="0" applyNumberFormat="1" applyBorder="1" applyAlignment="1">
      <alignment horizontal="left"/>
    </xf>
    <xf numFmtId="0" fontId="0" fillId="0" borderId="4" xfId="0" applyFill="1" applyBorder="1" applyAlignment="1"/>
    <xf numFmtId="0" fontId="0" fillId="0" borderId="6" xfId="0" applyFill="1" applyBorder="1" applyAlignment="1"/>
    <xf numFmtId="0" fontId="0" fillId="0" borderId="9" xfId="0" applyFill="1" applyBorder="1" applyAlignment="1"/>
    <xf numFmtId="0" fontId="0" fillId="0" borderId="0" xfId="0" applyFill="1" applyBorder="1" applyAlignment="1"/>
    <xf numFmtId="1" fontId="0" fillId="0" borderId="0" xfId="0" applyNumberFormat="1" applyBorder="1" applyAlignment="1">
      <alignment horizontal="left"/>
    </xf>
    <xf numFmtId="1" fontId="0" fillId="0" borderId="0" xfId="0" applyNumberFormat="1" applyFill="1" applyBorder="1" applyAlignment="1">
      <alignment horizontal="left"/>
    </xf>
    <xf numFmtId="0" fontId="0" fillId="0" borderId="8" xfId="0" applyFill="1" applyBorder="1" applyAlignment="1">
      <alignment horizontal="left"/>
    </xf>
    <xf numFmtId="0" fontId="0" fillId="0" borderId="12" xfId="0" applyFill="1" applyBorder="1" applyAlignment="1">
      <alignment horizontal="left"/>
    </xf>
    <xf numFmtId="0" fontId="0" fillId="0" borderId="28" xfId="0" applyFill="1" applyBorder="1" applyAlignment="1">
      <alignment horizontal="left"/>
    </xf>
    <xf numFmtId="0" fontId="0" fillId="0" borderId="29" xfId="0" applyFill="1" applyBorder="1" applyAlignment="1">
      <alignment horizontal="left"/>
    </xf>
    <xf numFmtId="0" fontId="0" fillId="0" borderId="30" xfId="0" applyFill="1" applyBorder="1" applyAlignment="1">
      <alignment horizontal="left"/>
    </xf>
    <xf numFmtId="0" fontId="0" fillId="0" borderId="12" xfId="0" applyBorder="1" applyAlignment="1">
      <alignment horizontal="left"/>
    </xf>
    <xf numFmtId="0" fontId="6" fillId="0" borderId="1" xfId="0" applyFont="1" applyFill="1" applyBorder="1" applyAlignment="1" applyProtection="1">
      <alignment horizontal="center"/>
    </xf>
    <xf numFmtId="0" fontId="6" fillId="0" borderId="1" xfId="0" applyFont="1" applyFill="1" applyBorder="1" applyAlignment="1" applyProtection="1">
      <alignment horizontal="left"/>
    </xf>
    <xf numFmtId="14" fontId="6" fillId="0" borderId="1" xfId="0" applyNumberFormat="1" applyFont="1" applyFill="1" applyBorder="1" applyAlignment="1" applyProtection="1">
      <alignment horizontal="center"/>
    </xf>
    <xf numFmtId="172" fontId="6" fillId="0" borderId="1" xfId="0" applyNumberFormat="1" applyFont="1" applyFill="1" applyBorder="1" applyAlignment="1" applyProtection="1">
      <alignment horizontal="center"/>
    </xf>
    <xf numFmtId="0" fontId="6" fillId="0" borderId="1" xfId="0" applyFont="1" applyFill="1" applyBorder="1" applyProtection="1"/>
    <xf numFmtId="0" fontId="6" fillId="0" borderId="0" xfId="0" applyFont="1" applyFill="1" applyBorder="1" applyAlignment="1" applyProtection="1">
      <alignment horizontal="center"/>
    </xf>
    <xf numFmtId="0" fontId="6" fillId="0" borderId="0" xfId="0" applyFont="1" applyFill="1" applyProtection="1"/>
    <xf numFmtId="0" fontId="6" fillId="0" borderId="0" xfId="0" applyFont="1" applyFill="1" applyAlignment="1" applyProtection="1">
      <alignment horizontal="center"/>
    </xf>
    <xf numFmtId="0" fontId="0" fillId="0" borderId="4" xfId="0" applyFont="1" applyFill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27" xfId="0" applyFill="1" applyBorder="1" applyAlignment="1">
      <alignment horizontal="center"/>
    </xf>
    <xf numFmtId="165" fontId="3" fillId="0" borderId="14" xfId="0" applyNumberFormat="1" applyFont="1" applyBorder="1" applyAlignment="1" applyProtection="1">
      <alignment horizontal="left" vertical="center"/>
      <protection locked="0"/>
    </xf>
    <xf numFmtId="0" fontId="12" fillId="0" borderId="7" xfId="0" applyFont="1" applyBorder="1" applyAlignment="1" applyProtection="1">
      <alignment horizontal="center"/>
    </xf>
    <xf numFmtId="0" fontId="12" fillId="0" borderId="8" xfId="0" applyFont="1" applyBorder="1" applyAlignment="1" applyProtection="1">
      <alignment horizontal="center"/>
    </xf>
    <xf numFmtId="0" fontId="12" fillId="0" borderId="5" xfId="0" applyFont="1" applyBorder="1" applyAlignment="1" applyProtection="1">
      <alignment horizontal="center"/>
    </xf>
    <xf numFmtId="0" fontId="3" fillId="3" borderId="4" xfId="0" applyFont="1" applyFill="1" applyBorder="1" applyAlignment="1" applyProtection="1">
      <alignment horizontal="center" vertical="center"/>
    </xf>
    <xf numFmtId="0" fontId="3" fillId="3" borderId="13" xfId="0" applyFont="1" applyFill="1" applyBorder="1" applyAlignment="1" applyProtection="1">
      <alignment horizontal="center" vertical="center"/>
    </xf>
    <xf numFmtId="0" fontId="3" fillId="3" borderId="6" xfId="0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left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164" fontId="3" fillId="0" borderId="14" xfId="0" applyNumberFormat="1" applyFont="1" applyBorder="1" applyAlignment="1" applyProtection="1">
      <alignment horizontal="left" vertical="center"/>
      <protection locked="0"/>
    </xf>
    <xf numFmtId="0" fontId="19" fillId="0" borderId="0" xfId="0" applyFont="1" applyAlignment="1" applyProtection="1">
      <alignment horizontal="center" vertical="center" wrapText="1"/>
    </xf>
    <xf numFmtId="0" fontId="11" fillId="0" borderId="0" xfId="0" applyFont="1" applyAlignment="1" applyProtection="1">
      <alignment horizontal="center" vertical="center" wrapText="1"/>
    </xf>
    <xf numFmtId="0" fontId="0" fillId="0" borderId="1" xfId="0" applyBorder="1" applyAlignment="1" applyProtection="1">
      <alignment horizontal="left"/>
    </xf>
    <xf numFmtId="0" fontId="0" fillId="0" borderId="4" xfId="0" applyBorder="1" applyAlignment="1" applyProtection="1">
      <alignment horizontal="left"/>
    </xf>
    <xf numFmtId="0" fontId="8" fillId="0" borderId="7" xfId="0" applyFont="1" applyBorder="1" applyAlignment="1" applyProtection="1">
      <alignment horizontal="center" vertical="center" wrapText="1"/>
    </xf>
    <xf numFmtId="0" fontId="8" fillId="0" borderId="5" xfId="0" applyFont="1" applyBorder="1" applyAlignment="1" applyProtection="1">
      <alignment horizontal="center" vertical="center" wrapText="1"/>
    </xf>
    <xf numFmtId="0" fontId="8" fillId="0" borderId="8" xfId="0" applyFont="1" applyBorder="1" applyAlignment="1" applyProtection="1">
      <alignment horizontal="center" vertical="center" wrapText="1"/>
    </xf>
    <xf numFmtId="0" fontId="8" fillId="0" borderId="9" xfId="0" applyFont="1" applyBorder="1" applyAlignment="1" applyProtection="1">
      <alignment horizontal="center" vertical="center" wrapText="1"/>
    </xf>
    <xf numFmtId="0" fontId="8" fillId="0" borderId="0" xfId="0" applyFont="1" applyBorder="1" applyAlignment="1" applyProtection="1">
      <alignment horizontal="center" vertical="center" wrapText="1"/>
    </xf>
    <xf numFmtId="0" fontId="8" fillId="0" borderId="10" xfId="0" applyFont="1" applyBorder="1" applyAlignment="1" applyProtection="1">
      <alignment horizontal="center" vertical="center" wrapText="1"/>
    </xf>
    <xf numFmtId="0" fontId="8" fillId="0" borderId="2" xfId="0" applyFont="1" applyBorder="1" applyAlignment="1" applyProtection="1">
      <alignment horizontal="center" vertical="center" wrapText="1"/>
    </xf>
    <xf numFmtId="0" fontId="8" fillId="0" borderId="11" xfId="0" applyFont="1" applyBorder="1" applyAlignment="1" applyProtection="1">
      <alignment horizontal="center" vertical="center" wrapText="1"/>
    </xf>
    <xf numFmtId="0" fontId="8" fillId="0" borderId="12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15" fillId="0" borderId="7" xfId="0" applyFont="1" applyBorder="1" applyAlignment="1" applyProtection="1">
      <alignment horizontal="center" vertical="center"/>
    </xf>
    <xf numFmtId="0" fontId="15" fillId="0" borderId="5" xfId="0" applyFont="1" applyBorder="1" applyAlignment="1" applyProtection="1">
      <alignment horizontal="center" vertical="center"/>
    </xf>
    <xf numFmtId="0" fontId="15" fillId="0" borderId="9" xfId="0" applyFont="1" applyBorder="1" applyAlignment="1" applyProtection="1">
      <alignment horizontal="center" vertical="center"/>
    </xf>
    <xf numFmtId="0" fontId="15" fillId="0" borderId="0" xfId="0" applyFont="1" applyBorder="1" applyAlignment="1" applyProtection="1">
      <alignment horizontal="center" vertical="center"/>
    </xf>
    <xf numFmtId="0" fontId="15" fillId="0" borderId="2" xfId="0" applyFont="1" applyBorder="1" applyAlignment="1" applyProtection="1">
      <alignment horizontal="center" vertical="center"/>
    </xf>
    <xf numFmtId="0" fontId="15" fillId="0" borderId="11" xfId="0" applyFont="1" applyBorder="1" applyAlignment="1" applyProtection="1">
      <alignment horizontal="center" vertical="center"/>
    </xf>
  </cellXfs>
  <cellStyles count="4">
    <cellStyle name="Normal" xfId="0" builtinId="0"/>
    <cellStyle name="Normal 2" xfId="1" xr:uid="{00000000-0005-0000-0000-000003000000}"/>
    <cellStyle name="Normal 3" xfId="3" xr:uid="{00000000-0005-0000-0000-000004000000}"/>
    <cellStyle name="Standard_6er" xfId="2" xr:uid="{00000000-0005-0000-0000-000005000000}"/>
  </cellStyles>
  <dxfs count="7"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fill>
        <patternFill patternType="none">
          <bgColor auto="1"/>
        </patternFill>
      </fill>
      <border>
        <left/>
        <right/>
        <top/>
        <bottom/>
        <vertical/>
        <horizontal/>
      </border>
    </dxf>
    <dxf>
      <font>
        <color theme="0"/>
      </font>
      <border>
        <left style="thin">
          <color auto="1"/>
        </left>
        <right/>
        <top/>
        <bottom/>
        <vertical/>
        <horizontal/>
      </border>
    </dxf>
    <dxf>
      <font>
        <color theme="0"/>
      </font>
      <border>
        <left/>
        <right style="thin">
          <color auto="1"/>
        </right>
        <top/>
        <bottom/>
        <vertical/>
        <horizontal/>
      </border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colors>
    <mruColors>
      <color rgb="FF7DB129"/>
      <color rgb="FF663300"/>
      <color rgb="FFE41CE4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fmlaLink="'Classement pour tableau final'!$J$3" lockText="1" noThreeD="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13" Type="http://schemas.openxmlformats.org/officeDocument/2006/relationships/image" Target="../media/image4.emf"/><Relationship Id="rId3" Type="http://schemas.openxmlformats.org/officeDocument/2006/relationships/image" Target="../media/image14.emf"/><Relationship Id="rId7" Type="http://schemas.openxmlformats.org/officeDocument/2006/relationships/image" Target="../media/image10.emf"/><Relationship Id="rId12" Type="http://schemas.openxmlformats.org/officeDocument/2006/relationships/image" Target="../media/image5.emf"/><Relationship Id="rId2" Type="http://schemas.openxmlformats.org/officeDocument/2006/relationships/image" Target="../media/image15.emf"/><Relationship Id="rId16" Type="http://schemas.openxmlformats.org/officeDocument/2006/relationships/image" Target="../media/image1.emf"/><Relationship Id="rId1" Type="http://schemas.openxmlformats.org/officeDocument/2006/relationships/image" Target="../media/image16.emf"/><Relationship Id="rId6" Type="http://schemas.openxmlformats.org/officeDocument/2006/relationships/image" Target="../media/image11.emf"/><Relationship Id="rId11" Type="http://schemas.openxmlformats.org/officeDocument/2006/relationships/image" Target="../media/image6.emf"/><Relationship Id="rId5" Type="http://schemas.openxmlformats.org/officeDocument/2006/relationships/image" Target="../media/image12.emf"/><Relationship Id="rId15" Type="http://schemas.openxmlformats.org/officeDocument/2006/relationships/image" Target="../media/image2.emf"/><Relationship Id="rId10" Type="http://schemas.openxmlformats.org/officeDocument/2006/relationships/image" Target="../media/image7.emf"/><Relationship Id="rId4" Type="http://schemas.openxmlformats.org/officeDocument/2006/relationships/image" Target="../media/image13.emf"/><Relationship Id="rId9" Type="http://schemas.openxmlformats.org/officeDocument/2006/relationships/image" Target="../media/image8.emf"/><Relationship Id="rId14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190500</xdr:colOff>
          <xdr:row>14</xdr:row>
          <xdr:rowOff>0</xdr:rowOff>
        </xdr:from>
        <xdr:to>
          <xdr:col>8</xdr:col>
          <xdr:colOff>171450</xdr:colOff>
          <xdr:row>15</xdr:row>
          <xdr:rowOff>9525</xdr:rowOff>
        </xdr:to>
        <xdr:sp macro="" textlink="">
          <xdr:nvSpPr>
            <xdr:cNvPr id="16385" name="CommandButton1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0000000-0008-0000-0300-00000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190500</xdr:colOff>
          <xdr:row>16</xdr:row>
          <xdr:rowOff>0</xdr:rowOff>
        </xdr:from>
        <xdr:to>
          <xdr:col>8</xdr:col>
          <xdr:colOff>171450</xdr:colOff>
          <xdr:row>17</xdr:row>
          <xdr:rowOff>9525</xdr:rowOff>
        </xdr:to>
        <xdr:sp macro="" textlink="">
          <xdr:nvSpPr>
            <xdr:cNvPr id="16386" name="CommandButton2" hidden="1">
              <a:extLst>
                <a:ext uri="{63B3BB69-23CF-44E3-9099-C40C66FF867C}">
                  <a14:compatExt spid="_x0000_s16386"/>
                </a:ext>
                <a:ext uri="{FF2B5EF4-FFF2-40B4-BE49-F238E27FC236}">
                  <a16:creationId xmlns:a16="http://schemas.microsoft.com/office/drawing/2014/main" id="{00000000-0008-0000-0300-00000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190500</xdr:colOff>
          <xdr:row>17</xdr:row>
          <xdr:rowOff>266700</xdr:rowOff>
        </xdr:from>
        <xdr:to>
          <xdr:col>8</xdr:col>
          <xdr:colOff>171450</xdr:colOff>
          <xdr:row>19</xdr:row>
          <xdr:rowOff>0</xdr:rowOff>
        </xdr:to>
        <xdr:sp macro="" textlink="">
          <xdr:nvSpPr>
            <xdr:cNvPr id="16387" name="CommandButton3" hidden="1">
              <a:extLst>
                <a:ext uri="{63B3BB69-23CF-44E3-9099-C40C66FF867C}">
                  <a14:compatExt spid="_x0000_s16387"/>
                </a:ext>
                <a:ext uri="{FF2B5EF4-FFF2-40B4-BE49-F238E27FC236}">
                  <a16:creationId xmlns:a16="http://schemas.microsoft.com/office/drawing/2014/main" id="{00000000-0008-0000-0300-00000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190500</xdr:colOff>
          <xdr:row>20</xdr:row>
          <xdr:rowOff>0</xdr:rowOff>
        </xdr:from>
        <xdr:to>
          <xdr:col>8</xdr:col>
          <xdr:colOff>171450</xdr:colOff>
          <xdr:row>21</xdr:row>
          <xdr:rowOff>9525</xdr:rowOff>
        </xdr:to>
        <xdr:sp macro="" textlink="">
          <xdr:nvSpPr>
            <xdr:cNvPr id="16388" name="CommandButton4" hidden="1">
              <a:extLst>
                <a:ext uri="{63B3BB69-23CF-44E3-9099-C40C66FF867C}">
                  <a14:compatExt spid="_x0000_s16388"/>
                </a:ext>
                <a:ext uri="{FF2B5EF4-FFF2-40B4-BE49-F238E27FC236}">
                  <a16:creationId xmlns:a16="http://schemas.microsoft.com/office/drawing/2014/main" id="{00000000-0008-0000-0300-00000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14</xdr:row>
          <xdr:rowOff>0</xdr:rowOff>
        </xdr:from>
        <xdr:to>
          <xdr:col>1</xdr:col>
          <xdr:colOff>476250</xdr:colOff>
          <xdr:row>15</xdr:row>
          <xdr:rowOff>9525</xdr:rowOff>
        </xdr:to>
        <xdr:sp macro="" textlink="">
          <xdr:nvSpPr>
            <xdr:cNvPr id="16389" name="CommandButton5" hidden="1">
              <a:extLst>
                <a:ext uri="{63B3BB69-23CF-44E3-9099-C40C66FF867C}">
                  <a14:compatExt spid="_x0000_s16389"/>
                </a:ext>
                <a:ext uri="{FF2B5EF4-FFF2-40B4-BE49-F238E27FC236}">
                  <a16:creationId xmlns:a16="http://schemas.microsoft.com/office/drawing/2014/main" id="{00000000-0008-0000-0300-00000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16</xdr:row>
          <xdr:rowOff>0</xdr:rowOff>
        </xdr:from>
        <xdr:to>
          <xdr:col>1</xdr:col>
          <xdr:colOff>476250</xdr:colOff>
          <xdr:row>17</xdr:row>
          <xdr:rowOff>9525</xdr:rowOff>
        </xdr:to>
        <xdr:sp macro="" textlink="">
          <xdr:nvSpPr>
            <xdr:cNvPr id="16390" name="CommandButton6" hidden="1">
              <a:extLst>
                <a:ext uri="{63B3BB69-23CF-44E3-9099-C40C66FF867C}">
                  <a14:compatExt spid="_x0000_s16390"/>
                </a:ext>
                <a:ext uri="{FF2B5EF4-FFF2-40B4-BE49-F238E27FC236}">
                  <a16:creationId xmlns:a16="http://schemas.microsoft.com/office/drawing/2014/main" id="{00000000-0008-0000-0300-00000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17</xdr:row>
          <xdr:rowOff>266700</xdr:rowOff>
        </xdr:from>
        <xdr:to>
          <xdr:col>1</xdr:col>
          <xdr:colOff>476250</xdr:colOff>
          <xdr:row>19</xdr:row>
          <xdr:rowOff>0</xdr:rowOff>
        </xdr:to>
        <xdr:sp macro="" textlink="">
          <xdr:nvSpPr>
            <xdr:cNvPr id="16391" name="CommandButton7" hidden="1">
              <a:extLst>
                <a:ext uri="{63B3BB69-23CF-44E3-9099-C40C66FF867C}">
                  <a14:compatExt spid="_x0000_s16391"/>
                </a:ext>
                <a:ext uri="{FF2B5EF4-FFF2-40B4-BE49-F238E27FC236}">
                  <a16:creationId xmlns:a16="http://schemas.microsoft.com/office/drawing/2014/main" id="{00000000-0008-0000-0300-000007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20</xdr:row>
          <xdr:rowOff>0</xdr:rowOff>
        </xdr:from>
        <xdr:to>
          <xdr:col>1</xdr:col>
          <xdr:colOff>476250</xdr:colOff>
          <xdr:row>21</xdr:row>
          <xdr:rowOff>9525</xdr:rowOff>
        </xdr:to>
        <xdr:sp macro="" textlink="">
          <xdr:nvSpPr>
            <xdr:cNvPr id="16392" name="CommandButton8" hidden="1">
              <a:extLst>
                <a:ext uri="{63B3BB69-23CF-44E3-9099-C40C66FF867C}">
                  <a14:compatExt spid="_x0000_s16392"/>
                </a:ext>
                <a:ext uri="{FF2B5EF4-FFF2-40B4-BE49-F238E27FC236}">
                  <a16:creationId xmlns:a16="http://schemas.microsoft.com/office/drawing/2014/main" id="{00000000-0008-0000-0300-000008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209550</xdr:colOff>
          <xdr:row>14</xdr:row>
          <xdr:rowOff>0</xdr:rowOff>
        </xdr:from>
        <xdr:to>
          <xdr:col>10</xdr:col>
          <xdr:colOff>1562100</xdr:colOff>
          <xdr:row>15</xdr:row>
          <xdr:rowOff>9525</xdr:rowOff>
        </xdr:to>
        <xdr:sp macro="" textlink="">
          <xdr:nvSpPr>
            <xdr:cNvPr id="16398" name="CommandButton9" hidden="1">
              <a:extLst>
                <a:ext uri="{63B3BB69-23CF-44E3-9099-C40C66FF867C}">
                  <a14:compatExt spid="_x0000_s16398"/>
                </a:ext>
                <a:ext uri="{FF2B5EF4-FFF2-40B4-BE49-F238E27FC236}">
                  <a16:creationId xmlns:a16="http://schemas.microsoft.com/office/drawing/2014/main" id="{00000000-0008-0000-0300-00000E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209550</xdr:colOff>
          <xdr:row>16</xdr:row>
          <xdr:rowOff>0</xdr:rowOff>
        </xdr:from>
        <xdr:to>
          <xdr:col>10</xdr:col>
          <xdr:colOff>1562100</xdr:colOff>
          <xdr:row>17</xdr:row>
          <xdr:rowOff>9525</xdr:rowOff>
        </xdr:to>
        <xdr:sp macro="" textlink="">
          <xdr:nvSpPr>
            <xdr:cNvPr id="16399" name="CommandButton10" hidden="1">
              <a:extLst>
                <a:ext uri="{63B3BB69-23CF-44E3-9099-C40C66FF867C}">
                  <a14:compatExt spid="_x0000_s16399"/>
                </a:ext>
                <a:ext uri="{FF2B5EF4-FFF2-40B4-BE49-F238E27FC236}">
                  <a16:creationId xmlns:a16="http://schemas.microsoft.com/office/drawing/2014/main" id="{00000000-0008-0000-0300-00000F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209550</xdr:colOff>
          <xdr:row>17</xdr:row>
          <xdr:rowOff>266700</xdr:rowOff>
        </xdr:from>
        <xdr:to>
          <xdr:col>10</xdr:col>
          <xdr:colOff>1562100</xdr:colOff>
          <xdr:row>19</xdr:row>
          <xdr:rowOff>0</xdr:rowOff>
        </xdr:to>
        <xdr:sp macro="" textlink="">
          <xdr:nvSpPr>
            <xdr:cNvPr id="16400" name="CommandButton11" hidden="1">
              <a:extLst>
                <a:ext uri="{63B3BB69-23CF-44E3-9099-C40C66FF867C}">
                  <a14:compatExt spid="_x0000_s16400"/>
                </a:ext>
                <a:ext uri="{FF2B5EF4-FFF2-40B4-BE49-F238E27FC236}">
                  <a16:creationId xmlns:a16="http://schemas.microsoft.com/office/drawing/2014/main" id="{00000000-0008-0000-0300-000010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209550</xdr:colOff>
          <xdr:row>20</xdr:row>
          <xdr:rowOff>0</xdr:rowOff>
        </xdr:from>
        <xdr:to>
          <xdr:col>10</xdr:col>
          <xdr:colOff>1562100</xdr:colOff>
          <xdr:row>21</xdr:row>
          <xdr:rowOff>9525</xdr:rowOff>
        </xdr:to>
        <xdr:sp macro="" textlink="">
          <xdr:nvSpPr>
            <xdr:cNvPr id="16401" name="CommandButton12" hidden="1">
              <a:extLst>
                <a:ext uri="{63B3BB69-23CF-44E3-9099-C40C66FF867C}">
                  <a14:compatExt spid="_x0000_s16401"/>
                </a:ext>
                <a:ext uri="{FF2B5EF4-FFF2-40B4-BE49-F238E27FC236}">
                  <a16:creationId xmlns:a16="http://schemas.microsoft.com/office/drawing/2014/main" id="{00000000-0008-0000-0300-000011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14</xdr:row>
          <xdr:rowOff>0</xdr:rowOff>
        </xdr:from>
        <xdr:to>
          <xdr:col>5</xdr:col>
          <xdr:colOff>66675</xdr:colOff>
          <xdr:row>15</xdr:row>
          <xdr:rowOff>9525</xdr:rowOff>
        </xdr:to>
        <xdr:sp macro="" textlink="">
          <xdr:nvSpPr>
            <xdr:cNvPr id="16402" name="CommandButton13" hidden="1">
              <a:extLst>
                <a:ext uri="{63B3BB69-23CF-44E3-9099-C40C66FF867C}">
                  <a14:compatExt spid="_x0000_s16402"/>
                </a:ext>
                <a:ext uri="{FF2B5EF4-FFF2-40B4-BE49-F238E27FC236}">
                  <a16:creationId xmlns:a16="http://schemas.microsoft.com/office/drawing/2014/main" id="{00000000-0008-0000-0300-000012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16</xdr:row>
          <xdr:rowOff>0</xdr:rowOff>
        </xdr:from>
        <xdr:to>
          <xdr:col>5</xdr:col>
          <xdr:colOff>66675</xdr:colOff>
          <xdr:row>17</xdr:row>
          <xdr:rowOff>9525</xdr:rowOff>
        </xdr:to>
        <xdr:sp macro="" textlink="">
          <xdr:nvSpPr>
            <xdr:cNvPr id="16403" name="CommandButton14" hidden="1">
              <a:extLst>
                <a:ext uri="{63B3BB69-23CF-44E3-9099-C40C66FF867C}">
                  <a14:compatExt spid="_x0000_s16403"/>
                </a:ext>
                <a:ext uri="{FF2B5EF4-FFF2-40B4-BE49-F238E27FC236}">
                  <a16:creationId xmlns:a16="http://schemas.microsoft.com/office/drawing/2014/main" id="{00000000-0008-0000-0300-000013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17</xdr:row>
          <xdr:rowOff>266700</xdr:rowOff>
        </xdr:from>
        <xdr:to>
          <xdr:col>5</xdr:col>
          <xdr:colOff>66675</xdr:colOff>
          <xdr:row>19</xdr:row>
          <xdr:rowOff>0</xdr:rowOff>
        </xdr:to>
        <xdr:sp macro="" textlink="">
          <xdr:nvSpPr>
            <xdr:cNvPr id="16404" name="CommandButton15" hidden="1">
              <a:extLst>
                <a:ext uri="{63B3BB69-23CF-44E3-9099-C40C66FF867C}">
                  <a14:compatExt spid="_x0000_s16404"/>
                </a:ext>
                <a:ext uri="{FF2B5EF4-FFF2-40B4-BE49-F238E27FC236}">
                  <a16:creationId xmlns:a16="http://schemas.microsoft.com/office/drawing/2014/main" id="{00000000-0008-0000-0300-000014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20</xdr:row>
          <xdr:rowOff>0</xdr:rowOff>
        </xdr:from>
        <xdr:to>
          <xdr:col>5</xdr:col>
          <xdr:colOff>66675</xdr:colOff>
          <xdr:row>21</xdr:row>
          <xdr:rowOff>9525</xdr:rowOff>
        </xdr:to>
        <xdr:sp macro="" textlink="">
          <xdr:nvSpPr>
            <xdr:cNvPr id="16405" name="CommandButton16" hidden="1">
              <a:extLst>
                <a:ext uri="{63B3BB69-23CF-44E3-9099-C40C66FF867C}">
                  <a14:compatExt spid="_x0000_s16405"/>
                </a:ext>
                <a:ext uri="{FF2B5EF4-FFF2-40B4-BE49-F238E27FC236}">
                  <a16:creationId xmlns:a16="http://schemas.microsoft.com/office/drawing/2014/main" id="{00000000-0008-0000-0300-000015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1828800</xdr:colOff>
          <xdr:row>8</xdr:row>
          <xdr:rowOff>266700</xdr:rowOff>
        </xdr:from>
        <xdr:to>
          <xdr:col>2</xdr:col>
          <xdr:colOff>333375</xdr:colOff>
          <xdr:row>10</xdr:row>
          <xdr:rowOff>0</xdr:rowOff>
        </xdr:to>
        <xdr:sp macro="" textlink="">
          <xdr:nvSpPr>
            <xdr:cNvPr id="16406" name="Check Box 22" hidden="1">
              <a:extLst>
                <a:ext uri="{63B3BB69-23CF-44E3-9099-C40C66FF867C}">
                  <a14:compatExt spid="_x0000_s16406"/>
                </a:ext>
                <a:ext uri="{FF2B5EF4-FFF2-40B4-BE49-F238E27FC236}">
                  <a16:creationId xmlns:a16="http://schemas.microsoft.com/office/drawing/2014/main" id="{00000000-0008-0000-0300-0000164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CH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8 joueurs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0</xdr:row>
          <xdr:rowOff>104775</xdr:rowOff>
        </xdr:from>
        <xdr:to>
          <xdr:col>2</xdr:col>
          <xdr:colOff>971550</xdr:colOff>
          <xdr:row>3</xdr:row>
          <xdr:rowOff>95250</xdr:rowOff>
        </xdr:to>
        <xdr:sp macro="" textlink="">
          <xdr:nvSpPr>
            <xdr:cNvPr id="38913" name="CommandButton1" hidden="1">
              <a:extLst>
                <a:ext uri="{63B3BB69-23CF-44E3-9099-C40C66FF867C}">
                  <a14:compatExt spid="_x0000_s38913"/>
                </a:ext>
                <a:ext uri="{FF2B5EF4-FFF2-40B4-BE49-F238E27FC236}">
                  <a16:creationId xmlns:a16="http://schemas.microsoft.com/office/drawing/2014/main" id="{00000000-0008-0000-0C00-0000019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18" Type="http://schemas.openxmlformats.org/officeDocument/2006/relationships/control" Target="../activeX/activeX8.xml"/><Relationship Id="rId26" Type="http://schemas.openxmlformats.org/officeDocument/2006/relationships/control" Target="../activeX/activeX12.xml"/><Relationship Id="rId3" Type="http://schemas.openxmlformats.org/officeDocument/2006/relationships/vmlDrawing" Target="../drawings/vmlDrawing1.vml"/><Relationship Id="rId21" Type="http://schemas.openxmlformats.org/officeDocument/2006/relationships/image" Target="../media/image9.emf"/><Relationship Id="rId34" Type="http://schemas.openxmlformats.org/officeDocument/2006/relationships/control" Target="../activeX/activeX16.x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17" Type="http://schemas.openxmlformats.org/officeDocument/2006/relationships/image" Target="../media/image7.emf"/><Relationship Id="rId25" Type="http://schemas.openxmlformats.org/officeDocument/2006/relationships/image" Target="../media/image11.emf"/><Relationship Id="rId33" Type="http://schemas.openxmlformats.org/officeDocument/2006/relationships/image" Target="../media/image15.emf"/><Relationship Id="rId2" Type="http://schemas.openxmlformats.org/officeDocument/2006/relationships/drawing" Target="../drawings/drawing1.xml"/><Relationship Id="rId16" Type="http://schemas.openxmlformats.org/officeDocument/2006/relationships/control" Target="../activeX/activeX7.xml"/><Relationship Id="rId20" Type="http://schemas.openxmlformats.org/officeDocument/2006/relationships/control" Target="../activeX/activeX9.xml"/><Relationship Id="rId29" Type="http://schemas.openxmlformats.org/officeDocument/2006/relationships/image" Target="../media/image13.emf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24" Type="http://schemas.openxmlformats.org/officeDocument/2006/relationships/control" Target="../activeX/activeX11.xml"/><Relationship Id="rId32" Type="http://schemas.openxmlformats.org/officeDocument/2006/relationships/control" Target="../activeX/activeX15.xml"/><Relationship Id="rId37" Type="http://schemas.openxmlformats.org/officeDocument/2006/relationships/comments" Target="../comments1.xml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23" Type="http://schemas.openxmlformats.org/officeDocument/2006/relationships/image" Target="../media/image10.emf"/><Relationship Id="rId28" Type="http://schemas.openxmlformats.org/officeDocument/2006/relationships/control" Target="../activeX/activeX13.xml"/><Relationship Id="rId36" Type="http://schemas.openxmlformats.org/officeDocument/2006/relationships/ctrlProp" Target="../ctrlProps/ctrlProp1.xml"/><Relationship Id="rId10" Type="http://schemas.openxmlformats.org/officeDocument/2006/relationships/control" Target="../activeX/activeX4.xml"/><Relationship Id="rId19" Type="http://schemas.openxmlformats.org/officeDocument/2006/relationships/image" Target="../media/image8.emf"/><Relationship Id="rId31" Type="http://schemas.openxmlformats.org/officeDocument/2006/relationships/image" Target="../media/image14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Relationship Id="rId22" Type="http://schemas.openxmlformats.org/officeDocument/2006/relationships/control" Target="../activeX/activeX10.xml"/><Relationship Id="rId27" Type="http://schemas.openxmlformats.org/officeDocument/2006/relationships/image" Target="../media/image12.emf"/><Relationship Id="rId30" Type="http://schemas.openxmlformats.org/officeDocument/2006/relationships/control" Target="../activeX/activeX14.xml"/><Relationship Id="rId35" Type="http://schemas.openxmlformats.org/officeDocument/2006/relationships/image" Target="../media/image16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mments" Target="../comments2.xml"/><Relationship Id="rId5" Type="http://schemas.openxmlformats.org/officeDocument/2006/relationships/image" Target="../media/image17.emf"/><Relationship Id="rId4" Type="http://schemas.openxmlformats.org/officeDocument/2006/relationships/control" Target="../activeX/activeX1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/>
  <dimension ref="A1:AR266"/>
  <sheetViews>
    <sheetView workbookViewId="0">
      <selection activeCell="C7" sqref="C7"/>
    </sheetView>
  </sheetViews>
  <sheetFormatPr baseColWidth="10" defaultRowHeight="15" x14ac:dyDescent="0.25"/>
  <cols>
    <col min="1" max="3" width="11.42578125" style="153"/>
    <col min="4" max="5" width="21.7109375" style="153" customWidth="1"/>
    <col min="6" max="7" width="33" style="153" customWidth="1"/>
    <col min="8" max="8" width="11.42578125" customWidth="1"/>
    <col min="9" max="9" width="16.85546875" bestFit="1" customWidth="1"/>
    <col min="10" max="12" width="11.42578125" customWidth="1"/>
    <col min="13" max="15" width="8.5703125" customWidth="1"/>
    <col min="45" max="16384" width="11.42578125" style="153"/>
  </cols>
  <sheetData>
    <row r="1" spans="1:9" x14ac:dyDescent="0.25">
      <c r="A1" s="152" t="s">
        <v>291</v>
      </c>
      <c r="B1" s="152">
        <v>0</v>
      </c>
      <c r="C1" s="152">
        <v>8</v>
      </c>
      <c r="E1" s="152" t="s">
        <v>295</v>
      </c>
      <c r="F1" s="152">
        <v>19</v>
      </c>
      <c r="G1" s="152">
        <v>40</v>
      </c>
    </row>
    <row r="2" spans="1:9" x14ac:dyDescent="0.25">
      <c r="A2" s="152" t="s">
        <v>292</v>
      </c>
      <c r="B2" s="152">
        <v>9</v>
      </c>
      <c r="C2" s="152">
        <v>10</v>
      </c>
      <c r="E2" s="152" t="s">
        <v>387</v>
      </c>
      <c r="F2" s="152">
        <v>41</v>
      </c>
      <c r="G2" s="152">
        <v>50</v>
      </c>
    </row>
    <row r="3" spans="1:9" x14ac:dyDescent="0.25">
      <c r="A3" s="152" t="s">
        <v>293</v>
      </c>
      <c r="B3" s="152">
        <v>11</v>
      </c>
      <c r="C3" s="152">
        <v>12</v>
      </c>
      <c r="E3" s="152" t="s">
        <v>388</v>
      </c>
      <c r="F3" s="152">
        <v>51</v>
      </c>
      <c r="G3" s="152">
        <v>60</v>
      </c>
    </row>
    <row r="4" spans="1:9" x14ac:dyDescent="0.25">
      <c r="A4" s="152" t="s">
        <v>294</v>
      </c>
      <c r="B4" s="152">
        <v>13</v>
      </c>
      <c r="C4" s="152">
        <v>14</v>
      </c>
      <c r="E4" s="152" t="s">
        <v>389</v>
      </c>
      <c r="F4" s="152">
        <v>61</v>
      </c>
      <c r="G4" s="152">
        <v>70</v>
      </c>
    </row>
    <row r="5" spans="1:9" x14ac:dyDescent="0.25">
      <c r="A5" s="152" t="s">
        <v>393</v>
      </c>
      <c r="B5" s="152">
        <v>15</v>
      </c>
      <c r="C5" s="152">
        <v>16</v>
      </c>
      <c r="E5" s="152" t="s">
        <v>390</v>
      </c>
      <c r="F5" s="152">
        <v>71</v>
      </c>
      <c r="G5" s="152">
        <v>80</v>
      </c>
    </row>
    <row r="6" spans="1:9" x14ac:dyDescent="0.25">
      <c r="A6" s="154" t="s">
        <v>392</v>
      </c>
      <c r="B6" s="154">
        <v>17</v>
      </c>
      <c r="C6" s="154">
        <v>18</v>
      </c>
      <c r="E6" s="154" t="s">
        <v>391</v>
      </c>
      <c r="F6" s="154">
        <v>81</v>
      </c>
      <c r="G6" s="154">
        <v>90</v>
      </c>
    </row>
    <row r="9" spans="1:9" ht="15" customHeight="1" x14ac:dyDescent="0.25">
      <c r="A9" s="147" t="s">
        <v>17</v>
      </c>
      <c r="B9" s="147" t="s">
        <v>18</v>
      </c>
      <c r="C9" s="147" t="s">
        <v>19</v>
      </c>
      <c r="D9" s="147" t="s">
        <v>306</v>
      </c>
      <c r="E9" s="147" t="s">
        <v>20</v>
      </c>
      <c r="F9" s="147" t="s">
        <v>22</v>
      </c>
      <c r="G9" s="147" t="s">
        <v>350</v>
      </c>
    </row>
    <row r="10" spans="1:9" ht="15" customHeight="1" x14ac:dyDescent="0.25">
      <c r="A10" s="148">
        <v>1</v>
      </c>
      <c r="B10" s="149" t="e">
        <f>#REF!</f>
        <v>#REF!</v>
      </c>
      <c r="C10" s="150" t="e">
        <f>#REF!</f>
        <v>#REF!</v>
      </c>
      <c r="D10" s="151" t="e">
        <f>#REF!&amp;" "&amp;#REF!</f>
        <v>#REF!</v>
      </c>
      <c r="E10" s="151" t="e">
        <f>#REF!</f>
        <v>#REF!</v>
      </c>
      <c r="F10" s="151" t="e">
        <f>#REF!&amp;" / "&amp;#REF!</f>
        <v>#REF!</v>
      </c>
      <c r="G10" s="151" t="e">
        <f>#REF!&amp;" / "&amp;#REF!</f>
        <v>#REF!</v>
      </c>
    </row>
    <row r="11" spans="1:9" ht="15" customHeight="1" x14ac:dyDescent="0.25">
      <c r="A11" s="148">
        <v>2</v>
      </c>
      <c r="B11" s="149" t="e">
        <f>#REF!</f>
        <v>#REF!</v>
      </c>
      <c r="C11" s="150" t="e">
        <f>#REF!</f>
        <v>#REF!</v>
      </c>
      <c r="D11" s="151" t="e">
        <f>#REF!&amp;" "&amp;#REF!</f>
        <v>#REF!</v>
      </c>
      <c r="E11" s="151" t="e">
        <f>#REF!</f>
        <v>#REF!</v>
      </c>
      <c r="F11" s="151" t="e">
        <f>#REF!&amp;" / "&amp;#REF!</f>
        <v>#REF!</v>
      </c>
      <c r="G11" s="151" t="e">
        <f>#REF!&amp;" / "&amp;#REF!</f>
        <v>#REF!</v>
      </c>
    </row>
    <row r="12" spans="1:9" ht="15" customHeight="1" x14ac:dyDescent="0.25">
      <c r="A12" s="148">
        <v>3</v>
      </c>
      <c r="B12" s="149" t="e">
        <f>#REF!</f>
        <v>#REF!</v>
      </c>
      <c r="C12" s="150" t="e">
        <f>#REF!</f>
        <v>#REF!</v>
      </c>
      <c r="D12" s="151" t="e">
        <f>#REF!&amp;" "&amp;#REF!</f>
        <v>#REF!</v>
      </c>
      <c r="E12" s="151" t="e">
        <f>#REF!</f>
        <v>#REF!</v>
      </c>
      <c r="F12" s="151" t="e">
        <f>#REF!&amp;" / "&amp;#REF!</f>
        <v>#REF!</v>
      </c>
      <c r="G12" s="151" t="e">
        <f>#REF!&amp;" / "&amp;#REF!</f>
        <v>#REF!</v>
      </c>
      <c r="I12" s="153"/>
    </row>
    <row r="13" spans="1:9" ht="15" customHeight="1" x14ac:dyDescent="0.25">
      <c r="A13" s="148">
        <v>4</v>
      </c>
      <c r="B13" s="149" t="e">
        <f>#REF!</f>
        <v>#REF!</v>
      </c>
      <c r="C13" s="150" t="e">
        <f>#REF!</f>
        <v>#REF!</v>
      </c>
      <c r="D13" s="151" t="e">
        <f>#REF!&amp;" "&amp;#REF!</f>
        <v>#REF!</v>
      </c>
      <c r="E13" s="151" t="e">
        <f>#REF!</f>
        <v>#REF!</v>
      </c>
      <c r="F13" s="151" t="e">
        <f>#REF!&amp;" / "&amp;#REF!</f>
        <v>#REF!</v>
      </c>
      <c r="G13" s="151" t="e">
        <f>#REF!&amp;" / "&amp;#REF!</f>
        <v>#REF!</v>
      </c>
    </row>
    <row r="14" spans="1:9" ht="15" customHeight="1" x14ac:dyDescent="0.25">
      <c r="A14" s="148">
        <v>5</v>
      </c>
      <c r="B14" s="149" t="e">
        <f>#REF!</f>
        <v>#REF!</v>
      </c>
      <c r="C14" s="150" t="e">
        <f>#REF!</f>
        <v>#REF!</v>
      </c>
      <c r="D14" s="151" t="e">
        <f>#REF!&amp;" "&amp;#REF!</f>
        <v>#REF!</v>
      </c>
      <c r="E14" s="151" t="e">
        <f>#REF!</f>
        <v>#REF!</v>
      </c>
      <c r="F14" s="151" t="e">
        <f>#REF!&amp;" / "&amp;#REF!</f>
        <v>#REF!</v>
      </c>
      <c r="G14" s="151" t="e">
        <f>#REF!&amp;" / "&amp;#REF!</f>
        <v>#REF!</v>
      </c>
    </row>
    <row r="15" spans="1:9" ht="15" customHeight="1" x14ac:dyDescent="0.25">
      <c r="A15" s="148">
        <v>6</v>
      </c>
      <c r="B15" s="149" t="e">
        <f>#REF!</f>
        <v>#REF!</v>
      </c>
      <c r="C15" s="150" t="e">
        <f>#REF!</f>
        <v>#REF!</v>
      </c>
      <c r="D15" s="151" t="e">
        <f>#REF!&amp;" "&amp;#REF!</f>
        <v>#REF!</v>
      </c>
      <c r="E15" s="151" t="e">
        <f>#REF!</f>
        <v>#REF!</v>
      </c>
      <c r="F15" s="151" t="e">
        <f>#REF!&amp;" / "&amp;#REF!</f>
        <v>#REF!</v>
      </c>
      <c r="G15" s="151" t="e">
        <f>#REF!&amp;" / "&amp;#REF!</f>
        <v>#REF!</v>
      </c>
    </row>
    <row r="16" spans="1:9" ht="15" customHeight="1" x14ac:dyDescent="0.25">
      <c r="A16" s="148">
        <v>7</v>
      </c>
      <c r="B16" s="149" t="e">
        <f>#REF!</f>
        <v>#REF!</v>
      </c>
      <c r="C16" s="150" t="e">
        <f>#REF!</f>
        <v>#REF!</v>
      </c>
      <c r="D16" s="151" t="e">
        <f>#REF!&amp;" "&amp;#REF!</f>
        <v>#REF!</v>
      </c>
      <c r="E16" s="151" t="e">
        <f>#REF!</f>
        <v>#REF!</v>
      </c>
      <c r="F16" s="151" t="e">
        <f>#REF!&amp;" / "&amp;#REF!</f>
        <v>#REF!</v>
      </c>
      <c r="G16" s="151" t="e">
        <f>#REF!&amp;" / "&amp;#REF!</f>
        <v>#REF!</v>
      </c>
    </row>
    <row r="17" spans="1:7" ht="15" customHeight="1" x14ac:dyDescent="0.25">
      <c r="A17" s="148">
        <v>8</v>
      </c>
      <c r="B17" s="149" t="e">
        <f>#REF!</f>
        <v>#REF!</v>
      </c>
      <c r="C17" s="150" t="e">
        <f>#REF!</f>
        <v>#REF!</v>
      </c>
      <c r="D17" s="151" t="e">
        <f>#REF!&amp;" "&amp;#REF!</f>
        <v>#REF!</v>
      </c>
      <c r="E17" s="151" t="e">
        <f>#REF!</f>
        <v>#REF!</v>
      </c>
      <c r="F17" s="151" t="e">
        <f>#REF!&amp;" / "&amp;#REF!</f>
        <v>#REF!</v>
      </c>
      <c r="G17" s="151" t="e">
        <f>#REF!&amp;" / "&amp;#REF!</f>
        <v>#REF!</v>
      </c>
    </row>
    <row r="18" spans="1:7" ht="15" customHeight="1" x14ac:dyDescent="0.25">
      <c r="A18" s="148">
        <v>9</v>
      </c>
      <c r="B18" s="149" t="e">
        <f>#REF!</f>
        <v>#REF!</v>
      </c>
      <c r="C18" s="150" t="e">
        <f>#REF!</f>
        <v>#REF!</v>
      </c>
      <c r="D18" s="151" t="e">
        <f>#REF!&amp;" "&amp;#REF!</f>
        <v>#REF!</v>
      </c>
      <c r="E18" s="151" t="e">
        <f>#REF!</f>
        <v>#REF!</v>
      </c>
      <c r="F18" s="151" t="e">
        <f>#REF!&amp;" / "&amp;#REF!</f>
        <v>#REF!</v>
      </c>
      <c r="G18" s="151" t="e">
        <f>#REF!&amp;" / "&amp;#REF!</f>
        <v>#REF!</v>
      </c>
    </row>
    <row r="19" spans="1:7" ht="15" customHeight="1" x14ac:dyDescent="0.25">
      <c r="A19" s="148">
        <v>10</v>
      </c>
      <c r="B19" s="149" t="e">
        <f>#REF!</f>
        <v>#REF!</v>
      </c>
      <c r="C19" s="150" t="e">
        <f>#REF!</f>
        <v>#REF!</v>
      </c>
      <c r="D19" s="151" t="e">
        <f>#REF!&amp;" "&amp;#REF!</f>
        <v>#REF!</v>
      </c>
      <c r="E19" s="151" t="e">
        <f>#REF!</f>
        <v>#REF!</v>
      </c>
      <c r="F19" s="151" t="e">
        <f>#REF!&amp;" / "&amp;#REF!</f>
        <v>#REF!</v>
      </c>
      <c r="G19" s="151" t="e">
        <f>#REF!&amp;" / "&amp;#REF!</f>
        <v>#REF!</v>
      </c>
    </row>
    <row r="20" spans="1:7" ht="15" customHeight="1" x14ac:dyDescent="0.25">
      <c r="A20" s="148">
        <v>11</v>
      </c>
      <c r="B20" s="149" t="e">
        <f>#REF!</f>
        <v>#REF!</v>
      </c>
      <c r="C20" s="150" t="e">
        <f>#REF!</f>
        <v>#REF!</v>
      </c>
      <c r="D20" s="151" t="e">
        <f>#REF!&amp;" "&amp;#REF!</f>
        <v>#REF!</v>
      </c>
      <c r="E20" s="151" t="e">
        <f>#REF!</f>
        <v>#REF!</v>
      </c>
      <c r="F20" s="151" t="e">
        <f>#REF!&amp;" / "&amp;#REF!</f>
        <v>#REF!</v>
      </c>
      <c r="G20" s="151" t="e">
        <f>#REF!&amp;" / "&amp;#REF!</f>
        <v>#REF!</v>
      </c>
    </row>
    <row r="21" spans="1:7" ht="15" customHeight="1" x14ac:dyDescent="0.25">
      <c r="A21" s="148">
        <v>12</v>
      </c>
      <c r="B21" s="149" t="e">
        <f>#REF!</f>
        <v>#REF!</v>
      </c>
      <c r="C21" s="150" t="e">
        <f>#REF!</f>
        <v>#REF!</v>
      </c>
      <c r="D21" s="151" t="e">
        <f>#REF!&amp;" "&amp;#REF!</f>
        <v>#REF!</v>
      </c>
      <c r="E21" s="151" t="e">
        <f>#REF!</f>
        <v>#REF!</v>
      </c>
      <c r="F21" s="151" t="e">
        <f>#REF!&amp;" / "&amp;#REF!</f>
        <v>#REF!</v>
      </c>
      <c r="G21" s="151" t="e">
        <f>#REF!&amp;" / "&amp;#REF!</f>
        <v>#REF!</v>
      </c>
    </row>
    <row r="22" spans="1:7" ht="15" customHeight="1" x14ac:dyDescent="0.25">
      <c r="A22" s="148">
        <v>13</v>
      </c>
      <c r="B22" s="149" t="e">
        <f>#REF!</f>
        <v>#REF!</v>
      </c>
      <c r="C22" s="150" t="e">
        <f>#REF!</f>
        <v>#REF!</v>
      </c>
      <c r="D22" s="151" t="e">
        <f>#REF!&amp;" "&amp;#REF!</f>
        <v>#REF!</v>
      </c>
      <c r="E22" s="151" t="e">
        <f>#REF!</f>
        <v>#REF!</v>
      </c>
      <c r="F22" s="151" t="e">
        <f>#REF!&amp;" / "&amp;#REF!</f>
        <v>#REF!</v>
      </c>
      <c r="G22" s="151" t="e">
        <f>#REF!&amp;" / "&amp;#REF!</f>
        <v>#REF!</v>
      </c>
    </row>
    <row r="23" spans="1:7" ht="15" customHeight="1" x14ac:dyDescent="0.25">
      <c r="A23" s="148">
        <v>14</v>
      </c>
      <c r="B23" s="149" t="e">
        <f>#REF!</f>
        <v>#REF!</v>
      </c>
      <c r="C23" s="150" t="e">
        <f>#REF!</f>
        <v>#REF!</v>
      </c>
      <c r="D23" s="151" t="e">
        <f>#REF!&amp;" "&amp;#REF!</f>
        <v>#REF!</v>
      </c>
      <c r="E23" s="151" t="e">
        <f>#REF!</f>
        <v>#REF!</v>
      </c>
      <c r="F23" s="151" t="e">
        <f>#REF!&amp;" / "&amp;#REF!</f>
        <v>#REF!</v>
      </c>
      <c r="G23" s="151" t="e">
        <f>#REF!&amp;" / "&amp;#REF!</f>
        <v>#REF!</v>
      </c>
    </row>
    <row r="24" spans="1:7" ht="15" customHeight="1" x14ac:dyDescent="0.25">
      <c r="A24" s="148">
        <v>15</v>
      </c>
      <c r="B24" s="149" t="e">
        <f>#REF!</f>
        <v>#REF!</v>
      </c>
      <c r="C24" s="150" t="e">
        <f>#REF!</f>
        <v>#REF!</v>
      </c>
      <c r="D24" s="151" t="e">
        <f>#REF!&amp;" "&amp;#REF!</f>
        <v>#REF!</v>
      </c>
      <c r="E24" s="151" t="e">
        <f>#REF!</f>
        <v>#REF!</v>
      </c>
      <c r="F24" s="151" t="e">
        <f>#REF!&amp;" / "&amp;#REF!</f>
        <v>#REF!</v>
      </c>
      <c r="G24" s="151" t="e">
        <f>#REF!&amp;" / "&amp;#REF!</f>
        <v>#REF!</v>
      </c>
    </row>
    <row r="25" spans="1:7" ht="15" customHeight="1" x14ac:dyDescent="0.25">
      <c r="A25" s="148">
        <v>16</v>
      </c>
      <c r="B25" s="149" t="e">
        <f>#REF!</f>
        <v>#REF!</v>
      </c>
      <c r="C25" s="150" t="e">
        <f>#REF!</f>
        <v>#REF!</v>
      </c>
      <c r="D25" s="151" t="e">
        <f>#REF!&amp;" "&amp;#REF!</f>
        <v>#REF!</v>
      </c>
      <c r="E25" s="151" t="e">
        <f>#REF!</f>
        <v>#REF!</v>
      </c>
      <c r="F25" s="151" t="e">
        <f>#REF!&amp;" / "&amp;#REF!</f>
        <v>#REF!</v>
      </c>
      <c r="G25" s="151" t="e">
        <f>#REF!&amp;" / "&amp;#REF!</f>
        <v>#REF!</v>
      </c>
    </row>
    <row r="26" spans="1:7" ht="15" customHeight="1" x14ac:dyDescent="0.25">
      <c r="A26" s="148">
        <v>17</v>
      </c>
      <c r="B26" s="149" t="e">
        <f>#REF!</f>
        <v>#REF!</v>
      </c>
      <c r="C26" s="150" t="e">
        <f>#REF!</f>
        <v>#REF!</v>
      </c>
      <c r="D26" s="151" t="e">
        <f>#REF!&amp;" "&amp;#REF!</f>
        <v>#REF!</v>
      </c>
      <c r="E26" s="151" t="e">
        <f>#REF!</f>
        <v>#REF!</v>
      </c>
      <c r="F26" s="151" t="e">
        <f>#REF!&amp;" / "&amp;#REF!</f>
        <v>#REF!</v>
      </c>
      <c r="G26" s="151" t="e">
        <f>#REF!&amp;" / "&amp;#REF!</f>
        <v>#REF!</v>
      </c>
    </row>
    <row r="27" spans="1:7" ht="15" customHeight="1" x14ac:dyDescent="0.25">
      <c r="A27" s="148">
        <v>18</v>
      </c>
      <c r="B27" s="149" t="e">
        <f>#REF!</f>
        <v>#REF!</v>
      </c>
      <c r="C27" s="150" t="e">
        <f>#REF!</f>
        <v>#REF!</v>
      </c>
      <c r="D27" s="151" t="e">
        <f>#REF!&amp;" "&amp;#REF!</f>
        <v>#REF!</v>
      </c>
      <c r="E27" s="151" t="e">
        <f>#REF!</f>
        <v>#REF!</v>
      </c>
      <c r="F27" s="151" t="e">
        <f>#REF!&amp;" / "&amp;#REF!</f>
        <v>#REF!</v>
      </c>
      <c r="G27" s="151" t="e">
        <f>#REF!&amp;" / "&amp;#REF!</f>
        <v>#REF!</v>
      </c>
    </row>
    <row r="28" spans="1:7" ht="15" customHeight="1" x14ac:dyDescent="0.25">
      <c r="A28" s="148">
        <v>19</v>
      </c>
      <c r="B28" s="149" t="e">
        <f>#REF!</f>
        <v>#REF!</v>
      </c>
      <c r="C28" s="150" t="e">
        <f>#REF!</f>
        <v>#REF!</v>
      </c>
      <c r="D28" s="151" t="e">
        <f>#REF!&amp;" "&amp;#REF!</f>
        <v>#REF!</v>
      </c>
      <c r="E28" s="151" t="e">
        <f>#REF!</f>
        <v>#REF!</v>
      </c>
      <c r="F28" s="151" t="e">
        <f>#REF!&amp;" / "&amp;#REF!</f>
        <v>#REF!</v>
      </c>
      <c r="G28" s="151" t="e">
        <f>#REF!&amp;" / "&amp;#REF!</f>
        <v>#REF!</v>
      </c>
    </row>
    <row r="29" spans="1:7" ht="15" customHeight="1" x14ac:dyDescent="0.25">
      <c r="A29" s="148">
        <v>20</v>
      </c>
      <c r="B29" s="149" t="e">
        <f>#REF!</f>
        <v>#REF!</v>
      </c>
      <c r="C29" s="150" t="e">
        <f>#REF!</f>
        <v>#REF!</v>
      </c>
      <c r="D29" s="151" t="e">
        <f>#REF!&amp;" "&amp;#REF!</f>
        <v>#REF!</v>
      </c>
      <c r="E29" s="151" t="e">
        <f>#REF!</f>
        <v>#REF!</v>
      </c>
      <c r="F29" s="151" t="e">
        <f>#REF!&amp;" / "&amp;#REF!</f>
        <v>#REF!</v>
      </c>
      <c r="G29" s="151" t="e">
        <f>#REF!&amp;" / "&amp;#REF!</f>
        <v>#REF!</v>
      </c>
    </row>
    <row r="30" spans="1:7" ht="15" customHeight="1" x14ac:dyDescent="0.25">
      <c r="A30" s="148">
        <v>21</v>
      </c>
      <c r="B30" s="149" t="e">
        <f>#REF!</f>
        <v>#REF!</v>
      </c>
      <c r="C30" s="150" t="e">
        <f>#REF!</f>
        <v>#REF!</v>
      </c>
      <c r="D30" s="151" t="e">
        <f>#REF!&amp;" "&amp;#REF!</f>
        <v>#REF!</v>
      </c>
      <c r="E30" s="151" t="e">
        <f>#REF!</f>
        <v>#REF!</v>
      </c>
      <c r="F30" s="151" t="e">
        <f>#REF!&amp;" / "&amp;#REF!</f>
        <v>#REF!</v>
      </c>
      <c r="G30" s="151" t="e">
        <f>#REF!&amp;" / "&amp;#REF!</f>
        <v>#REF!</v>
      </c>
    </row>
    <row r="31" spans="1:7" x14ac:dyDescent="0.25">
      <c r="A31" s="148">
        <v>22</v>
      </c>
      <c r="B31" s="149" t="e">
        <f>#REF!</f>
        <v>#REF!</v>
      </c>
      <c r="C31" s="150" t="e">
        <f>#REF!</f>
        <v>#REF!</v>
      </c>
      <c r="D31" s="151" t="e">
        <f>#REF!&amp;" "&amp;#REF!</f>
        <v>#REF!</v>
      </c>
      <c r="E31" s="151" t="e">
        <f>#REF!</f>
        <v>#REF!</v>
      </c>
      <c r="F31" s="151" t="e">
        <f>#REF!&amp;" / "&amp;#REF!</f>
        <v>#REF!</v>
      </c>
      <c r="G31" s="151" t="e">
        <f>#REF!&amp;" / "&amp;#REF!</f>
        <v>#REF!</v>
      </c>
    </row>
    <row r="32" spans="1:7" x14ac:dyDescent="0.25">
      <c r="A32" s="148">
        <v>23</v>
      </c>
      <c r="B32" s="149" t="e">
        <f>#REF!</f>
        <v>#REF!</v>
      </c>
      <c r="C32" s="150" t="e">
        <f>#REF!</f>
        <v>#REF!</v>
      </c>
      <c r="D32" s="151" t="e">
        <f>#REF!&amp;" "&amp;#REF!</f>
        <v>#REF!</v>
      </c>
      <c r="E32" s="151" t="e">
        <f>#REF!</f>
        <v>#REF!</v>
      </c>
      <c r="F32" s="151" t="e">
        <f>#REF!&amp;" / "&amp;#REF!</f>
        <v>#REF!</v>
      </c>
      <c r="G32" s="151" t="e">
        <f>#REF!&amp;" / "&amp;#REF!</f>
        <v>#REF!</v>
      </c>
    </row>
    <row r="33" spans="1:7" x14ac:dyDescent="0.25">
      <c r="A33" s="148">
        <v>24</v>
      </c>
      <c r="B33" s="149" t="e">
        <f>#REF!</f>
        <v>#REF!</v>
      </c>
      <c r="C33" s="150" t="e">
        <f>#REF!</f>
        <v>#REF!</v>
      </c>
      <c r="D33" s="151" t="e">
        <f>#REF!&amp;" "&amp;#REF!</f>
        <v>#REF!</v>
      </c>
      <c r="E33" s="151" t="e">
        <f>#REF!</f>
        <v>#REF!</v>
      </c>
      <c r="F33" s="151" t="e">
        <f>#REF!&amp;" / "&amp;#REF!</f>
        <v>#REF!</v>
      </c>
      <c r="G33" s="151" t="e">
        <f>#REF!&amp;" / "&amp;#REF!</f>
        <v>#REF!</v>
      </c>
    </row>
    <row r="34" spans="1:7" x14ac:dyDescent="0.25">
      <c r="A34" s="148">
        <v>25</v>
      </c>
      <c r="B34" s="149" t="e">
        <f>#REF!</f>
        <v>#REF!</v>
      </c>
      <c r="C34" s="150" t="e">
        <f>#REF!</f>
        <v>#REF!</v>
      </c>
      <c r="D34" s="151" t="e">
        <f>#REF!&amp;" "&amp;#REF!</f>
        <v>#REF!</v>
      </c>
      <c r="E34" s="151" t="e">
        <f>#REF!</f>
        <v>#REF!</v>
      </c>
      <c r="F34" s="151" t="e">
        <f>#REF!&amp;" / "&amp;#REF!</f>
        <v>#REF!</v>
      </c>
      <c r="G34" s="151" t="e">
        <f>#REF!&amp;" / "&amp;#REF!</f>
        <v>#REF!</v>
      </c>
    </row>
    <row r="35" spans="1:7" x14ac:dyDescent="0.25">
      <c r="A35" s="148">
        <v>26</v>
      </c>
      <c r="B35" s="149" t="e">
        <f>#REF!</f>
        <v>#REF!</v>
      </c>
      <c r="C35" s="150" t="e">
        <f>#REF!</f>
        <v>#REF!</v>
      </c>
      <c r="D35" s="151" t="e">
        <f>#REF!&amp;" "&amp;#REF!</f>
        <v>#REF!</v>
      </c>
      <c r="E35" s="151" t="e">
        <f>#REF!</f>
        <v>#REF!</v>
      </c>
      <c r="F35" s="151" t="e">
        <f>#REF!&amp;" / "&amp;#REF!</f>
        <v>#REF!</v>
      </c>
      <c r="G35" s="151" t="e">
        <f>#REF!&amp;" / "&amp;#REF!</f>
        <v>#REF!</v>
      </c>
    </row>
    <row r="36" spans="1:7" x14ac:dyDescent="0.25">
      <c r="A36" s="148">
        <v>27</v>
      </c>
      <c r="B36" s="149" t="e">
        <f>#REF!</f>
        <v>#REF!</v>
      </c>
      <c r="C36" s="150" t="e">
        <f>#REF!</f>
        <v>#REF!</v>
      </c>
      <c r="D36" s="151" t="e">
        <f>#REF!&amp;" "&amp;#REF!</f>
        <v>#REF!</v>
      </c>
      <c r="E36" s="151" t="e">
        <f>#REF!</f>
        <v>#REF!</v>
      </c>
      <c r="F36" s="151" t="e">
        <f>#REF!&amp;" / "&amp;#REF!</f>
        <v>#REF!</v>
      </c>
      <c r="G36" s="151" t="e">
        <f>#REF!&amp;" / "&amp;#REF!</f>
        <v>#REF!</v>
      </c>
    </row>
    <row r="37" spans="1:7" x14ac:dyDescent="0.25">
      <c r="A37" s="148">
        <v>28</v>
      </c>
      <c r="B37" s="149" t="e">
        <f>#REF!</f>
        <v>#REF!</v>
      </c>
      <c r="C37" s="150" t="e">
        <f>#REF!</f>
        <v>#REF!</v>
      </c>
      <c r="D37" s="151" t="e">
        <f>#REF!&amp;" "&amp;#REF!</f>
        <v>#REF!</v>
      </c>
      <c r="E37" s="151" t="e">
        <f>#REF!</f>
        <v>#REF!</v>
      </c>
      <c r="F37" s="151" t="e">
        <f>#REF!&amp;" / "&amp;#REF!</f>
        <v>#REF!</v>
      </c>
      <c r="G37" s="151" t="e">
        <f>#REF!&amp;" / "&amp;#REF!</f>
        <v>#REF!</v>
      </c>
    </row>
    <row r="38" spans="1:7" x14ac:dyDescent="0.25">
      <c r="A38" s="148">
        <v>29</v>
      </c>
      <c r="B38" s="149" t="e">
        <f>#REF!</f>
        <v>#REF!</v>
      </c>
      <c r="C38" s="150" t="e">
        <f>#REF!</f>
        <v>#REF!</v>
      </c>
      <c r="D38" s="151" t="e">
        <f>#REF!&amp;" "&amp;#REF!</f>
        <v>#REF!</v>
      </c>
      <c r="E38" s="151" t="e">
        <f>#REF!</f>
        <v>#REF!</v>
      </c>
      <c r="F38" s="151" t="e">
        <f>#REF!&amp;" / "&amp;#REF!</f>
        <v>#REF!</v>
      </c>
      <c r="G38" s="151" t="e">
        <f>#REF!&amp;" / "&amp;#REF!</f>
        <v>#REF!</v>
      </c>
    </row>
    <row r="39" spans="1:7" x14ac:dyDescent="0.25">
      <c r="A39" s="148">
        <v>30</v>
      </c>
      <c r="B39" s="149" t="e">
        <f>#REF!</f>
        <v>#REF!</v>
      </c>
      <c r="C39" s="150" t="e">
        <f>#REF!</f>
        <v>#REF!</v>
      </c>
      <c r="D39" s="151" t="e">
        <f>#REF!&amp;" "&amp;#REF!</f>
        <v>#REF!</v>
      </c>
      <c r="E39" s="151" t="e">
        <f>#REF!</f>
        <v>#REF!</v>
      </c>
      <c r="F39" s="151" t="e">
        <f>#REF!&amp;" / "&amp;#REF!</f>
        <v>#REF!</v>
      </c>
      <c r="G39" s="151" t="e">
        <f>#REF!&amp;" / "&amp;#REF!</f>
        <v>#REF!</v>
      </c>
    </row>
    <row r="40" spans="1:7" x14ac:dyDescent="0.25">
      <c r="A40" s="148">
        <v>31</v>
      </c>
      <c r="B40" s="149" t="e">
        <f>#REF!</f>
        <v>#REF!</v>
      </c>
      <c r="C40" s="150" t="e">
        <f>#REF!</f>
        <v>#REF!</v>
      </c>
      <c r="D40" s="151" t="e">
        <f>#REF!&amp;" "&amp;#REF!</f>
        <v>#REF!</v>
      </c>
      <c r="E40" s="151" t="e">
        <f>#REF!</f>
        <v>#REF!</v>
      </c>
      <c r="F40" s="151" t="e">
        <f>#REF!&amp;" / "&amp;#REF!</f>
        <v>#REF!</v>
      </c>
      <c r="G40" s="151" t="e">
        <f>#REF!&amp;" / "&amp;#REF!</f>
        <v>#REF!</v>
      </c>
    </row>
    <row r="41" spans="1:7" x14ac:dyDescent="0.25">
      <c r="A41" s="148">
        <v>32</v>
      </c>
      <c r="B41" s="149" t="e">
        <f>#REF!</f>
        <v>#REF!</v>
      </c>
      <c r="C41" s="150" t="e">
        <f>#REF!</f>
        <v>#REF!</v>
      </c>
      <c r="D41" s="151" t="e">
        <f>#REF!&amp;" "&amp;#REF!</f>
        <v>#REF!</v>
      </c>
      <c r="E41" s="151" t="e">
        <f>#REF!</f>
        <v>#REF!</v>
      </c>
      <c r="F41" s="151" t="e">
        <f>#REF!&amp;" / "&amp;#REF!</f>
        <v>#REF!</v>
      </c>
      <c r="G41" s="151" t="e">
        <f>#REF!&amp;" / "&amp;#REF!</f>
        <v>#REF!</v>
      </c>
    </row>
    <row r="42" spans="1:7" x14ac:dyDescent="0.25">
      <c r="A42" s="148">
        <v>33</v>
      </c>
      <c r="B42" s="149" t="e">
        <f>#REF!</f>
        <v>#REF!</v>
      </c>
      <c r="C42" s="150" t="e">
        <f>#REF!</f>
        <v>#REF!</v>
      </c>
      <c r="D42" s="151" t="e">
        <f>#REF!&amp;" "&amp;#REF!</f>
        <v>#REF!</v>
      </c>
      <c r="E42" s="151" t="e">
        <f>#REF!</f>
        <v>#REF!</v>
      </c>
      <c r="F42" s="151" t="e">
        <f>#REF!&amp;" / "&amp;#REF!</f>
        <v>#REF!</v>
      </c>
      <c r="G42" s="151" t="e">
        <f>#REF!&amp;" / "&amp;#REF!</f>
        <v>#REF!</v>
      </c>
    </row>
    <row r="43" spans="1:7" x14ac:dyDescent="0.25">
      <c r="A43" s="148">
        <v>34</v>
      </c>
      <c r="B43" s="149" t="e">
        <f>#REF!</f>
        <v>#REF!</v>
      </c>
      <c r="C43" s="150" t="e">
        <f>#REF!</f>
        <v>#REF!</v>
      </c>
      <c r="D43" s="151" t="e">
        <f>#REF!&amp;" "&amp;#REF!</f>
        <v>#REF!</v>
      </c>
      <c r="E43" s="151" t="e">
        <f>#REF!</f>
        <v>#REF!</v>
      </c>
      <c r="F43" s="151" t="e">
        <f>#REF!&amp;" / "&amp;#REF!</f>
        <v>#REF!</v>
      </c>
      <c r="G43" s="151" t="e">
        <f>#REF!&amp;" / "&amp;#REF!</f>
        <v>#REF!</v>
      </c>
    </row>
    <row r="44" spans="1:7" x14ac:dyDescent="0.25">
      <c r="A44" s="148">
        <v>35</v>
      </c>
      <c r="B44" s="149" t="e">
        <f>#REF!</f>
        <v>#REF!</v>
      </c>
      <c r="C44" s="150" t="e">
        <f>#REF!</f>
        <v>#REF!</v>
      </c>
      <c r="D44" s="151" t="e">
        <f>#REF!&amp;" "&amp;#REF!</f>
        <v>#REF!</v>
      </c>
      <c r="E44" s="151" t="e">
        <f>#REF!</f>
        <v>#REF!</v>
      </c>
      <c r="F44" s="151" t="e">
        <f>#REF!&amp;" / "&amp;#REF!</f>
        <v>#REF!</v>
      </c>
      <c r="G44" s="151" t="e">
        <f>#REF!&amp;" / "&amp;#REF!</f>
        <v>#REF!</v>
      </c>
    </row>
    <row r="45" spans="1:7" x14ac:dyDescent="0.25">
      <c r="A45" s="148">
        <v>36</v>
      </c>
      <c r="B45" s="149" t="e">
        <f>#REF!</f>
        <v>#REF!</v>
      </c>
      <c r="C45" s="150" t="e">
        <f>#REF!</f>
        <v>#REF!</v>
      </c>
      <c r="D45" s="151" t="e">
        <f>#REF!&amp;" "&amp;#REF!</f>
        <v>#REF!</v>
      </c>
      <c r="E45" s="151" t="e">
        <f>#REF!</f>
        <v>#REF!</v>
      </c>
      <c r="F45" s="151" t="e">
        <f>#REF!&amp;" / "&amp;#REF!</f>
        <v>#REF!</v>
      </c>
      <c r="G45" s="151" t="e">
        <f>#REF!&amp;" / "&amp;#REF!</f>
        <v>#REF!</v>
      </c>
    </row>
    <row r="46" spans="1:7" x14ac:dyDescent="0.25">
      <c r="A46" s="148">
        <v>37</v>
      </c>
      <c r="B46" s="149" t="e">
        <f>#REF!</f>
        <v>#REF!</v>
      </c>
      <c r="C46" s="150" t="e">
        <f>#REF!</f>
        <v>#REF!</v>
      </c>
      <c r="D46" s="151" t="e">
        <f>#REF!&amp;" "&amp;#REF!</f>
        <v>#REF!</v>
      </c>
      <c r="E46" s="151" t="e">
        <f>#REF!</f>
        <v>#REF!</v>
      </c>
      <c r="F46" s="151" t="e">
        <f>#REF!&amp;" / "&amp;#REF!</f>
        <v>#REF!</v>
      </c>
      <c r="G46" s="151" t="e">
        <f>#REF!&amp;" / "&amp;#REF!</f>
        <v>#REF!</v>
      </c>
    </row>
    <row r="47" spans="1:7" x14ac:dyDescent="0.25">
      <c r="A47" s="148">
        <v>38</v>
      </c>
      <c r="B47" s="149" t="e">
        <f>#REF!</f>
        <v>#REF!</v>
      </c>
      <c r="C47" s="150" t="e">
        <f>#REF!</f>
        <v>#REF!</v>
      </c>
      <c r="D47" s="151" t="e">
        <f>#REF!&amp;" "&amp;#REF!</f>
        <v>#REF!</v>
      </c>
      <c r="E47" s="151" t="e">
        <f>#REF!</f>
        <v>#REF!</v>
      </c>
      <c r="F47" s="151" t="e">
        <f>#REF!&amp;" / "&amp;#REF!</f>
        <v>#REF!</v>
      </c>
      <c r="G47" s="151" t="e">
        <f>#REF!&amp;" / "&amp;#REF!</f>
        <v>#REF!</v>
      </c>
    </row>
    <row r="48" spans="1:7" x14ac:dyDescent="0.25">
      <c r="A48" s="148">
        <v>39</v>
      </c>
      <c r="B48" s="149" t="e">
        <f>#REF!</f>
        <v>#REF!</v>
      </c>
      <c r="C48" s="150" t="e">
        <f>#REF!</f>
        <v>#REF!</v>
      </c>
      <c r="D48" s="151" t="e">
        <f>#REF!&amp;" "&amp;#REF!</f>
        <v>#REF!</v>
      </c>
      <c r="E48" s="151" t="e">
        <f>#REF!</f>
        <v>#REF!</v>
      </c>
      <c r="F48" s="151" t="e">
        <f>#REF!&amp;" / "&amp;#REF!</f>
        <v>#REF!</v>
      </c>
      <c r="G48" s="151" t="e">
        <f>#REF!&amp;" / "&amp;#REF!</f>
        <v>#REF!</v>
      </c>
    </row>
    <row r="49" spans="1:7" x14ac:dyDescent="0.25">
      <c r="A49" s="148">
        <v>40</v>
      </c>
      <c r="B49" s="149" t="e">
        <f>#REF!</f>
        <v>#REF!</v>
      </c>
      <c r="C49" s="150" t="e">
        <f>#REF!</f>
        <v>#REF!</v>
      </c>
      <c r="D49" s="151" t="e">
        <f>#REF!&amp;" "&amp;#REF!</f>
        <v>#REF!</v>
      </c>
      <c r="E49" s="151" t="e">
        <f>#REF!</f>
        <v>#REF!</v>
      </c>
      <c r="F49" s="151" t="e">
        <f>#REF!&amp;" / "&amp;#REF!</f>
        <v>#REF!</v>
      </c>
      <c r="G49" s="151" t="e">
        <f>#REF!&amp;" / "&amp;#REF!</f>
        <v>#REF!</v>
      </c>
    </row>
    <row r="50" spans="1:7" x14ac:dyDescent="0.25">
      <c r="A50" s="148">
        <v>41</v>
      </c>
      <c r="B50" s="149" t="e">
        <f>#REF!</f>
        <v>#REF!</v>
      </c>
      <c r="C50" s="150" t="e">
        <f>#REF!</f>
        <v>#REF!</v>
      </c>
      <c r="D50" s="151" t="e">
        <f>#REF!&amp;" "&amp;#REF!</f>
        <v>#REF!</v>
      </c>
      <c r="E50" s="151" t="e">
        <f>#REF!</f>
        <v>#REF!</v>
      </c>
      <c r="F50" s="151" t="e">
        <f>#REF!&amp;" / "&amp;#REF!</f>
        <v>#REF!</v>
      </c>
      <c r="G50" s="151" t="e">
        <f>#REF!&amp;" / "&amp;#REF!</f>
        <v>#REF!</v>
      </c>
    </row>
    <row r="51" spans="1:7" x14ac:dyDescent="0.25">
      <c r="A51" s="148">
        <v>42</v>
      </c>
      <c r="B51" s="149" t="e">
        <f>#REF!</f>
        <v>#REF!</v>
      </c>
      <c r="C51" s="150" t="e">
        <f>#REF!</f>
        <v>#REF!</v>
      </c>
      <c r="D51" s="151" t="e">
        <f>#REF!&amp;" "&amp;#REF!</f>
        <v>#REF!</v>
      </c>
      <c r="E51" s="151" t="e">
        <f>#REF!</f>
        <v>#REF!</v>
      </c>
      <c r="F51" s="151" t="e">
        <f>#REF!&amp;" / "&amp;#REF!</f>
        <v>#REF!</v>
      </c>
      <c r="G51" s="151" t="e">
        <f>#REF!&amp;" / "&amp;#REF!</f>
        <v>#REF!</v>
      </c>
    </row>
    <row r="52" spans="1:7" x14ac:dyDescent="0.25">
      <c r="A52" s="148">
        <v>43</v>
      </c>
      <c r="B52" s="149" t="e">
        <f>#REF!</f>
        <v>#REF!</v>
      </c>
      <c r="C52" s="150" t="e">
        <f>#REF!</f>
        <v>#REF!</v>
      </c>
      <c r="D52" s="151" t="e">
        <f>#REF!&amp;" "&amp;#REF!</f>
        <v>#REF!</v>
      </c>
      <c r="E52" s="151" t="e">
        <f>#REF!</f>
        <v>#REF!</v>
      </c>
      <c r="F52" s="151" t="e">
        <f>#REF!&amp;" / "&amp;#REF!</f>
        <v>#REF!</v>
      </c>
      <c r="G52" s="151" t="e">
        <f>#REF!&amp;" / "&amp;#REF!</f>
        <v>#REF!</v>
      </c>
    </row>
    <row r="53" spans="1:7" x14ac:dyDescent="0.25">
      <c r="A53" s="148">
        <v>44</v>
      </c>
      <c r="B53" s="149" t="e">
        <f>#REF!</f>
        <v>#REF!</v>
      </c>
      <c r="C53" s="150" t="e">
        <f>#REF!</f>
        <v>#REF!</v>
      </c>
      <c r="D53" s="151" t="e">
        <f>#REF!&amp;" "&amp;#REF!</f>
        <v>#REF!</v>
      </c>
      <c r="E53" s="151" t="e">
        <f>#REF!</f>
        <v>#REF!</v>
      </c>
      <c r="F53" s="151" t="e">
        <f>#REF!&amp;" / "&amp;#REF!</f>
        <v>#REF!</v>
      </c>
      <c r="G53" s="151" t="e">
        <f>#REF!&amp;" / "&amp;#REF!</f>
        <v>#REF!</v>
      </c>
    </row>
    <row r="54" spans="1:7" x14ac:dyDescent="0.25">
      <c r="A54" s="148">
        <v>45</v>
      </c>
      <c r="B54" s="149" t="e">
        <f>#REF!</f>
        <v>#REF!</v>
      </c>
      <c r="C54" s="150" t="e">
        <f>#REF!</f>
        <v>#REF!</v>
      </c>
      <c r="D54" s="151" t="e">
        <f>#REF!&amp;" "&amp;#REF!</f>
        <v>#REF!</v>
      </c>
      <c r="E54" s="151" t="e">
        <f>#REF!</f>
        <v>#REF!</v>
      </c>
      <c r="F54" s="151" t="e">
        <f>#REF!&amp;" / "&amp;#REF!</f>
        <v>#REF!</v>
      </c>
      <c r="G54" s="151" t="e">
        <f>#REF!&amp;" / "&amp;#REF!</f>
        <v>#REF!</v>
      </c>
    </row>
    <row r="55" spans="1:7" x14ac:dyDescent="0.25">
      <c r="A55" s="148">
        <v>46</v>
      </c>
      <c r="B55" s="149" t="e">
        <f>#REF!</f>
        <v>#REF!</v>
      </c>
      <c r="C55" s="150" t="e">
        <f>#REF!</f>
        <v>#REF!</v>
      </c>
      <c r="D55" s="151" t="e">
        <f>#REF!&amp;" "&amp;#REF!</f>
        <v>#REF!</v>
      </c>
      <c r="E55" s="151" t="e">
        <f>#REF!</f>
        <v>#REF!</v>
      </c>
      <c r="F55" s="151" t="e">
        <f>#REF!&amp;" / "&amp;#REF!</f>
        <v>#REF!</v>
      </c>
      <c r="G55" s="151" t="e">
        <f>#REF!&amp;" / "&amp;#REF!</f>
        <v>#REF!</v>
      </c>
    </row>
    <row r="56" spans="1:7" x14ac:dyDescent="0.25">
      <c r="A56" s="148">
        <v>47</v>
      </c>
      <c r="B56" s="149" t="e">
        <f>#REF!</f>
        <v>#REF!</v>
      </c>
      <c r="C56" s="150" t="e">
        <f>#REF!</f>
        <v>#REF!</v>
      </c>
      <c r="D56" s="151" t="e">
        <f>#REF!&amp;" "&amp;#REF!</f>
        <v>#REF!</v>
      </c>
      <c r="E56" s="151" t="e">
        <f>#REF!</f>
        <v>#REF!</v>
      </c>
      <c r="F56" s="151" t="e">
        <f>#REF!&amp;" / "&amp;#REF!</f>
        <v>#REF!</v>
      </c>
      <c r="G56" s="151" t="e">
        <f>#REF!&amp;" / "&amp;#REF!</f>
        <v>#REF!</v>
      </c>
    </row>
    <row r="57" spans="1:7" x14ac:dyDescent="0.25">
      <c r="A57" s="148">
        <v>48</v>
      </c>
      <c r="B57" s="149" t="e">
        <f>#REF!</f>
        <v>#REF!</v>
      </c>
      <c r="C57" s="150" t="e">
        <f>#REF!</f>
        <v>#REF!</v>
      </c>
      <c r="D57" s="151" t="e">
        <f>#REF!&amp;" "&amp;#REF!</f>
        <v>#REF!</v>
      </c>
      <c r="E57" s="151" t="e">
        <f>#REF!</f>
        <v>#REF!</v>
      </c>
      <c r="F57" s="151" t="e">
        <f>#REF!&amp;" / "&amp;#REF!</f>
        <v>#REF!</v>
      </c>
      <c r="G57" s="151" t="e">
        <f>#REF!&amp;" / "&amp;#REF!</f>
        <v>#REF!</v>
      </c>
    </row>
    <row r="58" spans="1:7" x14ac:dyDescent="0.25">
      <c r="A58" s="148">
        <v>49</v>
      </c>
      <c r="B58" s="149" t="e">
        <f>#REF!</f>
        <v>#REF!</v>
      </c>
      <c r="C58" s="150" t="e">
        <f>#REF!</f>
        <v>#REF!</v>
      </c>
      <c r="D58" s="151" t="e">
        <f>#REF!&amp;" "&amp;#REF!</f>
        <v>#REF!</v>
      </c>
      <c r="E58" s="151" t="e">
        <f>#REF!</f>
        <v>#REF!</v>
      </c>
      <c r="F58" s="151" t="e">
        <f>#REF!&amp;" / "&amp;#REF!</f>
        <v>#REF!</v>
      </c>
      <c r="G58" s="151" t="e">
        <f>#REF!&amp;" / "&amp;#REF!</f>
        <v>#REF!</v>
      </c>
    </row>
    <row r="59" spans="1:7" x14ac:dyDescent="0.25">
      <c r="A59" s="148">
        <v>50</v>
      </c>
      <c r="B59" s="149" t="e">
        <f>#REF!</f>
        <v>#REF!</v>
      </c>
      <c r="C59" s="150" t="e">
        <f>#REF!</f>
        <v>#REF!</v>
      </c>
      <c r="D59" s="151" t="e">
        <f>#REF!&amp;" "&amp;#REF!</f>
        <v>#REF!</v>
      </c>
      <c r="E59" s="151" t="e">
        <f>#REF!</f>
        <v>#REF!</v>
      </c>
      <c r="F59" s="151" t="e">
        <f>#REF!&amp;" / "&amp;#REF!</f>
        <v>#REF!</v>
      </c>
      <c r="G59" s="151" t="e">
        <f>#REF!&amp;" / "&amp;#REF!</f>
        <v>#REF!</v>
      </c>
    </row>
    <row r="60" spans="1:7" x14ac:dyDescent="0.25">
      <c r="A60" s="148">
        <v>51</v>
      </c>
      <c r="B60" s="149" t="e">
        <f>#REF!</f>
        <v>#REF!</v>
      </c>
      <c r="C60" s="150" t="e">
        <f>#REF!</f>
        <v>#REF!</v>
      </c>
      <c r="D60" s="151" t="e">
        <f>#REF!&amp;" "&amp;#REF!</f>
        <v>#REF!</v>
      </c>
      <c r="E60" s="151" t="e">
        <f>#REF!</f>
        <v>#REF!</v>
      </c>
      <c r="F60" s="151" t="e">
        <f>#REF!&amp;" / "&amp;#REF!</f>
        <v>#REF!</v>
      </c>
      <c r="G60" s="151" t="e">
        <f>#REF!&amp;" / "&amp;#REF!</f>
        <v>#REF!</v>
      </c>
    </row>
    <row r="61" spans="1:7" x14ac:dyDescent="0.25">
      <c r="A61" s="148">
        <v>52</v>
      </c>
      <c r="B61" s="149" t="e">
        <f>#REF!</f>
        <v>#REF!</v>
      </c>
      <c r="C61" s="150" t="e">
        <f>#REF!</f>
        <v>#REF!</v>
      </c>
      <c r="D61" s="151" t="e">
        <f>#REF!&amp;" "&amp;#REF!</f>
        <v>#REF!</v>
      </c>
      <c r="E61" s="151" t="e">
        <f>#REF!</f>
        <v>#REF!</v>
      </c>
      <c r="F61" s="151" t="e">
        <f>#REF!&amp;" / "&amp;#REF!</f>
        <v>#REF!</v>
      </c>
      <c r="G61" s="151" t="e">
        <f>#REF!&amp;" / "&amp;#REF!</f>
        <v>#REF!</v>
      </c>
    </row>
    <row r="62" spans="1:7" x14ac:dyDescent="0.25">
      <c r="A62" s="148">
        <v>53</v>
      </c>
      <c r="B62" s="149" t="e">
        <f>#REF!</f>
        <v>#REF!</v>
      </c>
      <c r="C62" s="150" t="e">
        <f>#REF!</f>
        <v>#REF!</v>
      </c>
      <c r="D62" s="151" t="e">
        <f>#REF!&amp;" "&amp;#REF!</f>
        <v>#REF!</v>
      </c>
      <c r="E62" s="151" t="e">
        <f>#REF!</f>
        <v>#REF!</v>
      </c>
      <c r="F62" s="151" t="e">
        <f>#REF!&amp;" / "&amp;#REF!</f>
        <v>#REF!</v>
      </c>
      <c r="G62" s="151" t="e">
        <f>#REF!&amp;" / "&amp;#REF!</f>
        <v>#REF!</v>
      </c>
    </row>
    <row r="63" spans="1:7" x14ac:dyDescent="0.25">
      <c r="A63" s="148">
        <v>54</v>
      </c>
      <c r="B63" s="149" t="e">
        <f>#REF!</f>
        <v>#REF!</v>
      </c>
      <c r="C63" s="150" t="e">
        <f>#REF!</f>
        <v>#REF!</v>
      </c>
      <c r="D63" s="151" t="e">
        <f>#REF!&amp;" "&amp;#REF!</f>
        <v>#REF!</v>
      </c>
      <c r="E63" s="151" t="e">
        <f>#REF!</f>
        <v>#REF!</v>
      </c>
      <c r="F63" s="151" t="e">
        <f>#REF!&amp;" / "&amp;#REF!</f>
        <v>#REF!</v>
      </c>
      <c r="G63" s="151" t="e">
        <f>#REF!&amp;" / "&amp;#REF!</f>
        <v>#REF!</v>
      </c>
    </row>
    <row r="64" spans="1:7" x14ac:dyDescent="0.25">
      <c r="A64" s="148">
        <v>55</v>
      </c>
      <c r="B64" s="149" t="e">
        <f>#REF!</f>
        <v>#REF!</v>
      </c>
      <c r="C64" s="150" t="e">
        <f>#REF!</f>
        <v>#REF!</v>
      </c>
      <c r="D64" s="151" t="e">
        <f>#REF!&amp;" "&amp;#REF!</f>
        <v>#REF!</v>
      </c>
      <c r="E64" s="151" t="e">
        <f>#REF!</f>
        <v>#REF!</v>
      </c>
      <c r="F64" s="151" t="e">
        <f>#REF!&amp;" / "&amp;#REF!</f>
        <v>#REF!</v>
      </c>
      <c r="G64" s="151" t="e">
        <f>#REF!&amp;" / "&amp;#REF!</f>
        <v>#REF!</v>
      </c>
    </row>
    <row r="65" spans="1:7" x14ac:dyDescent="0.25">
      <c r="A65" s="148">
        <v>56</v>
      </c>
      <c r="B65" s="149" t="e">
        <f>#REF!</f>
        <v>#REF!</v>
      </c>
      <c r="C65" s="150" t="e">
        <f>#REF!</f>
        <v>#REF!</v>
      </c>
      <c r="D65" s="151" t="e">
        <f>#REF!&amp;" "&amp;#REF!</f>
        <v>#REF!</v>
      </c>
      <c r="E65" s="151" t="e">
        <f>#REF!</f>
        <v>#REF!</v>
      </c>
      <c r="F65" s="151" t="e">
        <f>#REF!&amp;" / "&amp;#REF!</f>
        <v>#REF!</v>
      </c>
      <c r="G65" s="151" t="e">
        <f>#REF!&amp;" / "&amp;#REF!</f>
        <v>#REF!</v>
      </c>
    </row>
    <row r="66" spans="1:7" x14ac:dyDescent="0.25">
      <c r="A66" s="148">
        <v>57</v>
      </c>
      <c r="B66" s="149" t="e">
        <f>#REF!</f>
        <v>#REF!</v>
      </c>
      <c r="C66" s="150" t="e">
        <f>#REF!</f>
        <v>#REF!</v>
      </c>
      <c r="D66" s="151" t="e">
        <f>#REF!&amp;" "&amp;#REF!</f>
        <v>#REF!</v>
      </c>
      <c r="E66" s="151" t="e">
        <f>#REF!</f>
        <v>#REF!</v>
      </c>
      <c r="F66" s="151" t="e">
        <f>#REF!&amp;" / "&amp;#REF!</f>
        <v>#REF!</v>
      </c>
      <c r="G66" s="151" t="e">
        <f>#REF!&amp;" / "&amp;#REF!</f>
        <v>#REF!</v>
      </c>
    </row>
    <row r="67" spans="1:7" x14ac:dyDescent="0.25">
      <c r="A67" s="148">
        <v>58</v>
      </c>
      <c r="B67" s="149" t="e">
        <f>#REF!</f>
        <v>#REF!</v>
      </c>
      <c r="C67" s="150" t="e">
        <f>#REF!</f>
        <v>#REF!</v>
      </c>
      <c r="D67" s="151" t="e">
        <f>#REF!&amp;" "&amp;#REF!</f>
        <v>#REF!</v>
      </c>
      <c r="E67" s="151" t="e">
        <f>#REF!</f>
        <v>#REF!</v>
      </c>
      <c r="F67" s="151" t="e">
        <f>#REF!&amp;" / "&amp;#REF!</f>
        <v>#REF!</v>
      </c>
      <c r="G67" s="151" t="e">
        <f>#REF!&amp;" / "&amp;#REF!</f>
        <v>#REF!</v>
      </c>
    </row>
    <row r="68" spans="1:7" x14ac:dyDescent="0.25">
      <c r="A68" s="148">
        <v>59</v>
      </c>
      <c r="B68" s="149" t="e">
        <f>#REF!</f>
        <v>#REF!</v>
      </c>
      <c r="C68" s="150" t="e">
        <f>#REF!</f>
        <v>#REF!</v>
      </c>
      <c r="D68" s="151" t="e">
        <f>#REF!&amp;" "&amp;#REF!</f>
        <v>#REF!</v>
      </c>
      <c r="E68" s="151" t="e">
        <f>#REF!</f>
        <v>#REF!</v>
      </c>
      <c r="F68" s="151" t="e">
        <f>#REF!&amp;" / "&amp;#REF!</f>
        <v>#REF!</v>
      </c>
      <c r="G68" s="151" t="e">
        <f>#REF!&amp;" / "&amp;#REF!</f>
        <v>#REF!</v>
      </c>
    </row>
    <row r="69" spans="1:7" x14ac:dyDescent="0.25">
      <c r="A69" s="148">
        <v>60</v>
      </c>
      <c r="B69" s="149" t="e">
        <f>#REF!</f>
        <v>#REF!</v>
      </c>
      <c r="C69" s="150" t="e">
        <f>#REF!</f>
        <v>#REF!</v>
      </c>
      <c r="D69" s="151" t="e">
        <f>#REF!&amp;" "&amp;#REF!</f>
        <v>#REF!</v>
      </c>
      <c r="E69" s="151" t="e">
        <f>#REF!</f>
        <v>#REF!</v>
      </c>
      <c r="F69" s="151" t="e">
        <f>#REF!&amp;" / "&amp;#REF!</f>
        <v>#REF!</v>
      </c>
      <c r="G69" s="151" t="e">
        <f>#REF!&amp;" / "&amp;#REF!</f>
        <v>#REF!</v>
      </c>
    </row>
    <row r="70" spans="1:7" x14ac:dyDescent="0.25">
      <c r="A70" s="148">
        <v>61</v>
      </c>
      <c r="B70" s="149" t="e">
        <f>#REF!</f>
        <v>#REF!</v>
      </c>
      <c r="C70" s="150" t="e">
        <f>#REF!</f>
        <v>#REF!</v>
      </c>
      <c r="D70" s="151" t="e">
        <f>#REF!&amp;" "&amp;#REF!</f>
        <v>#REF!</v>
      </c>
      <c r="E70" s="151" t="e">
        <f>#REF!</f>
        <v>#REF!</v>
      </c>
      <c r="F70" s="151" t="e">
        <f>#REF!&amp;" / "&amp;#REF!</f>
        <v>#REF!</v>
      </c>
      <c r="G70" s="151" t="e">
        <f>#REF!&amp;" / "&amp;#REF!</f>
        <v>#REF!</v>
      </c>
    </row>
    <row r="71" spans="1:7" x14ac:dyDescent="0.25">
      <c r="A71" s="148">
        <v>62</v>
      </c>
      <c r="B71" s="149" t="e">
        <f>#REF!</f>
        <v>#REF!</v>
      </c>
      <c r="C71" s="150" t="e">
        <f>#REF!</f>
        <v>#REF!</v>
      </c>
      <c r="D71" s="151" t="e">
        <f>#REF!&amp;" "&amp;#REF!</f>
        <v>#REF!</v>
      </c>
      <c r="E71" s="151" t="e">
        <f>#REF!</f>
        <v>#REF!</v>
      </c>
      <c r="F71" s="151" t="e">
        <f>#REF!&amp;" / "&amp;#REF!</f>
        <v>#REF!</v>
      </c>
      <c r="G71" s="151" t="e">
        <f>#REF!&amp;" / "&amp;#REF!</f>
        <v>#REF!</v>
      </c>
    </row>
    <row r="72" spans="1:7" x14ac:dyDescent="0.25">
      <c r="A72" s="148">
        <v>63</v>
      </c>
      <c r="B72" s="149" t="e">
        <f>#REF!</f>
        <v>#REF!</v>
      </c>
      <c r="C72" s="150" t="e">
        <f>#REF!</f>
        <v>#REF!</v>
      </c>
      <c r="D72" s="151" t="e">
        <f>#REF!&amp;" "&amp;#REF!</f>
        <v>#REF!</v>
      </c>
      <c r="E72" s="151" t="e">
        <f>#REF!</f>
        <v>#REF!</v>
      </c>
      <c r="F72" s="151" t="e">
        <f>#REF!&amp;" / "&amp;#REF!</f>
        <v>#REF!</v>
      </c>
      <c r="G72" s="151" t="e">
        <f>#REF!&amp;" / "&amp;#REF!</f>
        <v>#REF!</v>
      </c>
    </row>
    <row r="73" spans="1:7" x14ac:dyDescent="0.25">
      <c r="A73" s="148">
        <v>64</v>
      </c>
      <c r="B73" s="149" t="e">
        <f>#REF!</f>
        <v>#REF!</v>
      </c>
      <c r="C73" s="150" t="e">
        <f>#REF!</f>
        <v>#REF!</v>
      </c>
      <c r="D73" s="151" t="e">
        <f>#REF!&amp;" "&amp;#REF!</f>
        <v>#REF!</v>
      </c>
      <c r="E73" s="151" t="e">
        <f>#REF!</f>
        <v>#REF!</v>
      </c>
      <c r="F73" s="151" t="e">
        <f>#REF!&amp;" / "&amp;#REF!</f>
        <v>#REF!</v>
      </c>
      <c r="G73" s="151" t="e">
        <f>#REF!&amp;" / "&amp;#REF!</f>
        <v>#REF!</v>
      </c>
    </row>
    <row r="74" spans="1:7" x14ac:dyDescent="0.25">
      <c r="A74" s="148">
        <v>65</v>
      </c>
      <c r="B74" s="149" t="e">
        <f>#REF!</f>
        <v>#REF!</v>
      </c>
      <c r="C74" s="150" t="e">
        <f>#REF!</f>
        <v>#REF!</v>
      </c>
      <c r="D74" s="151" t="e">
        <f>#REF!&amp;" "&amp;#REF!</f>
        <v>#REF!</v>
      </c>
      <c r="E74" s="151" t="e">
        <f>#REF!</f>
        <v>#REF!</v>
      </c>
      <c r="F74" s="151" t="e">
        <f>#REF!&amp;" / "&amp;#REF!</f>
        <v>#REF!</v>
      </c>
      <c r="G74" s="151" t="e">
        <f>#REF!&amp;" / "&amp;#REF!</f>
        <v>#REF!</v>
      </c>
    </row>
    <row r="75" spans="1:7" x14ac:dyDescent="0.25">
      <c r="A75" s="148">
        <v>66</v>
      </c>
      <c r="B75" s="149" t="e">
        <f>#REF!</f>
        <v>#REF!</v>
      </c>
      <c r="C75" s="150" t="e">
        <f>#REF!</f>
        <v>#REF!</v>
      </c>
      <c r="D75" s="151" t="e">
        <f>#REF!&amp;" "&amp;#REF!</f>
        <v>#REF!</v>
      </c>
      <c r="E75" s="151" t="e">
        <f>#REF!</f>
        <v>#REF!</v>
      </c>
      <c r="F75" s="151" t="e">
        <f>#REF!&amp;" / "&amp;#REF!</f>
        <v>#REF!</v>
      </c>
      <c r="G75" s="151" t="e">
        <f>#REF!&amp;" / "&amp;#REF!</f>
        <v>#REF!</v>
      </c>
    </row>
    <row r="76" spans="1:7" x14ac:dyDescent="0.25">
      <c r="A76" s="148">
        <v>67</v>
      </c>
      <c r="B76" s="149" t="e">
        <f>#REF!</f>
        <v>#REF!</v>
      </c>
      <c r="C76" s="150" t="e">
        <f>#REF!</f>
        <v>#REF!</v>
      </c>
      <c r="D76" s="151" t="e">
        <f>#REF!&amp;" "&amp;#REF!</f>
        <v>#REF!</v>
      </c>
      <c r="E76" s="151" t="e">
        <f>#REF!</f>
        <v>#REF!</v>
      </c>
      <c r="F76" s="151" t="e">
        <f>#REF!&amp;" / "&amp;#REF!</f>
        <v>#REF!</v>
      </c>
      <c r="G76" s="151" t="e">
        <f>#REF!&amp;" / "&amp;#REF!</f>
        <v>#REF!</v>
      </c>
    </row>
    <row r="77" spans="1:7" x14ac:dyDescent="0.25">
      <c r="A77" s="148">
        <v>68</v>
      </c>
      <c r="B77" s="149" t="e">
        <f>#REF!</f>
        <v>#REF!</v>
      </c>
      <c r="C77" s="150" t="e">
        <f>#REF!</f>
        <v>#REF!</v>
      </c>
      <c r="D77" s="151" t="e">
        <f>#REF!&amp;" "&amp;#REF!</f>
        <v>#REF!</v>
      </c>
      <c r="E77" s="151" t="e">
        <f>#REF!</f>
        <v>#REF!</v>
      </c>
      <c r="F77" s="151" t="e">
        <f>#REF!&amp;" / "&amp;#REF!</f>
        <v>#REF!</v>
      </c>
      <c r="G77" s="151" t="e">
        <f>#REF!&amp;" / "&amp;#REF!</f>
        <v>#REF!</v>
      </c>
    </row>
    <row r="78" spans="1:7" x14ac:dyDescent="0.25">
      <c r="A78" s="148">
        <v>69</v>
      </c>
      <c r="B78" s="149" t="e">
        <f>#REF!</f>
        <v>#REF!</v>
      </c>
      <c r="C78" s="150" t="e">
        <f>#REF!</f>
        <v>#REF!</v>
      </c>
      <c r="D78" s="151" t="e">
        <f>#REF!&amp;" "&amp;#REF!</f>
        <v>#REF!</v>
      </c>
      <c r="E78" s="151" t="e">
        <f>#REF!</f>
        <v>#REF!</v>
      </c>
      <c r="F78" s="151" t="e">
        <f>#REF!&amp;" / "&amp;#REF!</f>
        <v>#REF!</v>
      </c>
      <c r="G78" s="151" t="e">
        <f>#REF!&amp;" / "&amp;#REF!</f>
        <v>#REF!</v>
      </c>
    </row>
    <row r="79" spans="1:7" x14ac:dyDescent="0.25">
      <c r="A79" s="148">
        <v>70</v>
      </c>
      <c r="B79" s="149" t="e">
        <f>#REF!</f>
        <v>#REF!</v>
      </c>
      <c r="C79" s="150" t="e">
        <f>#REF!</f>
        <v>#REF!</v>
      </c>
      <c r="D79" s="151" t="e">
        <f>#REF!&amp;" "&amp;#REF!</f>
        <v>#REF!</v>
      </c>
      <c r="E79" s="151" t="e">
        <f>#REF!</f>
        <v>#REF!</v>
      </c>
      <c r="F79" s="151" t="e">
        <f>#REF!&amp;" / "&amp;#REF!</f>
        <v>#REF!</v>
      </c>
      <c r="G79" s="151" t="e">
        <f>#REF!&amp;" / "&amp;#REF!</f>
        <v>#REF!</v>
      </c>
    </row>
    <row r="80" spans="1:7" x14ac:dyDescent="0.25">
      <c r="A80" s="148">
        <v>71</v>
      </c>
      <c r="B80" s="149" t="e">
        <f>#REF!</f>
        <v>#REF!</v>
      </c>
      <c r="C80" s="150" t="e">
        <f>#REF!</f>
        <v>#REF!</v>
      </c>
      <c r="D80" s="151" t="e">
        <f>#REF!&amp;" "&amp;#REF!</f>
        <v>#REF!</v>
      </c>
      <c r="E80" s="151" t="e">
        <f>#REF!</f>
        <v>#REF!</v>
      </c>
      <c r="F80" s="151" t="e">
        <f>#REF!&amp;" / "&amp;#REF!</f>
        <v>#REF!</v>
      </c>
      <c r="G80" s="151" t="e">
        <f>#REF!&amp;" / "&amp;#REF!</f>
        <v>#REF!</v>
      </c>
    </row>
    <row r="81" spans="1:7" x14ac:dyDescent="0.25">
      <c r="A81" s="148">
        <v>72</v>
      </c>
      <c r="B81" s="149" t="e">
        <f>#REF!</f>
        <v>#REF!</v>
      </c>
      <c r="C81" s="150" t="e">
        <f>#REF!</f>
        <v>#REF!</v>
      </c>
      <c r="D81" s="151" t="e">
        <f>#REF!&amp;" "&amp;#REF!</f>
        <v>#REF!</v>
      </c>
      <c r="E81" s="151" t="e">
        <f>#REF!</f>
        <v>#REF!</v>
      </c>
      <c r="F81" s="151" t="e">
        <f>#REF!&amp;" / "&amp;#REF!</f>
        <v>#REF!</v>
      </c>
      <c r="G81" s="151" t="e">
        <f>#REF!&amp;" / "&amp;#REF!</f>
        <v>#REF!</v>
      </c>
    </row>
    <row r="82" spans="1:7" x14ac:dyDescent="0.25">
      <c r="A82" s="148">
        <v>73</v>
      </c>
      <c r="B82" s="149" t="e">
        <f>#REF!</f>
        <v>#REF!</v>
      </c>
      <c r="C82" s="150" t="e">
        <f>#REF!</f>
        <v>#REF!</v>
      </c>
      <c r="D82" s="151" t="e">
        <f>#REF!&amp;" "&amp;#REF!</f>
        <v>#REF!</v>
      </c>
      <c r="E82" s="151" t="e">
        <f>#REF!</f>
        <v>#REF!</v>
      </c>
      <c r="F82" s="151" t="e">
        <f>#REF!&amp;" / "&amp;#REF!</f>
        <v>#REF!</v>
      </c>
      <c r="G82" s="151" t="e">
        <f>#REF!&amp;" / "&amp;#REF!</f>
        <v>#REF!</v>
      </c>
    </row>
    <row r="83" spans="1:7" x14ac:dyDescent="0.25">
      <c r="A83" s="148">
        <v>74</v>
      </c>
      <c r="B83" s="149" t="e">
        <f>#REF!</f>
        <v>#REF!</v>
      </c>
      <c r="C83" s="150" t="e">
        <f>#REF!</f>
        <v>#REF!</v>
      </c>
      <c r="D83" s="151" t="e">
        <f>#REF!&amp;" "&amp;#REF!</f>
        <v>#REF!</v>
      </c>
      <c r="E83" s="151" t="e">
        <f>#REF!</f>
        <v>#REF!</v>
      </c>
      <c r="F83" s="151" t="e">
        <f>#REF!&amp;" / "&amp;#REF!</f>
        <v>#REF!</v>
      </c>
      <c r="G83" s="151" t="e">
        <f>#REF!&amp;" / "&amp;#REF!</f>
        <v>#REF!</v>
      </c>
    </row>
    <row r="84" spans="1:7" x14ac:dyDescent="0.25">
      <c r="A84" s="148">
        <v>75</v>
      </c>
      <c r="B84" s="149" t="e">
        <f>#REF!</f>
        <v>#REF!</v>
      </c>
      <c r="C84" s="150" t="e">
        <f>#REF!</f>
        <v>#REF!</v>
      </c>
      <c r="D84" s="151" t="e">
        <f>#REF!&amp;" "&amp;#REF!</f>
        <v>#REF!</v>
      </c>
      <c r="E84" s="151" t="e">
        <f>#REF!</f>
        <v>#REF!</v>
      </c>
      <c r="F84" s="151" t="e">
        <f>#REF!&amp;" / "&amp;#REF!</f>
        <v>#REF!</v>
      </c>
      <c r="G84" s="151" t="e">
        <f>#REF!&amp;" / "&amp;#REF!</f>
        <v>#REF!</v>
      </c>
    </row>
    <row r="85" spans="1:7" x14ac:dyDescent="0.25">
      <c r="A85" s="148">
        <v>76</v>
      </c>
      <c r="B85" s="149" t="e">
        <f>#REF!</f>
        <v>#REF!</v>
      </c>
      <c r="C85" s="150" t="e">
        <f>#REF!</f>
        <v>#REF!</v>
      </c>
      <c r="D85" s="151" t="e">
        <f>#REF!&amp;" "&amp;#REF!</f>
        <v>#REF!</v>
      </c>
      <c r="E85" s="151" t="e">
        <f>#REF!</f>
        <v>#REF!</v>
      </c>
      <c r="F85" s="151" t="e">
        <f>#REF!&amp;" / "&amp;#REF!</f>
        <v>#REF!</v>
      </c>
      <c r="G85" s="151" t="e">
        <f>#REF!&amp;" / "&amp;#REF!</f>
        <v>#REF!</v>
      </c>
    </row>
    <row r="86" spans="1:7" x14ac:dyDescent="0.25">
      <c r="A86" s="148">
        <v>77</v>
      </c>
      <c r="B86" s="149" t="e">
        <f>#REF!</f>
        <v>#REF!</v>
      </c>
      <c r="C86" s="150" t="e">
        <f>#REF!</f>
        <v>#REF!</v>
      </c>
      <c r="D86" s="151" t="e">
        <f>#REF!&amp;" "&amp;#REF!</f>
        <v>#REF!</v>
      </c>
      <c r="E86" s="151" t="e">
        <f>#REF!</f>
        <v>#REF!</v>
      </c>
      <c r="F86" s="151" t="e">
        <f>#REF!&amp;" / "&amp;#REF!</f>
        <v>#REF!</v>
      </c>
      <c r="G86" s="151" t="e">
        <f>#REF!&amp;" / "&amp;#REF!</f>
        <v>#REF!</v>
      </c>
    </row>
    <row r="87" spans="1:7" x14ac:dyDescent="0.25">
      <c r="A87" s="148">
        <v>78</v>
      </c>
      <c r="B87" s="149" t="e">
        <f>#REF!</f>
        <v>#REF!</v>
      </c>
      <c r="C87" s="150" t="e">
        <f>#REF!</f>
        <v>#REF!</v>
      </c>
      <c r="D87" s="151" t="e">
        <f>#REF!&amp;" "&amp;#REF!</f>
        <v>#REF!</v>
      </c>
      <c r="E87" s="151" t="e">
        <f>#REF!</f>
        <v>#REF!</v>
      </c>
      <c r="F87" s="151" t="e">
        <f>#REF!&amp;" / "&amp;#REF!</f>
        <v>#REF!</v>
      </c>
      <c r="G87" s="151" t="e">
        <f>#REF!&amp;" / "&amp;#REF!</f>
        <v>#REF!</v>
      </c>
    </row>
    <row r="88" spans="1:7" x14ac:dyDescent="0.25">
      <c r="A88" s="148">
        <v>79</v>
      </c>
      <c r="B88" s="149" t="e">
        <f>#REF!</f>
        <v>#REF!</v>
      </c>
      <c r="C88" s="150" t="e">
        <f>#REF!</f>
        <v>#REF!</v>
      </c>
      <c r="D88" s="151" t="e">
        <f>#REF!&amp;" "&amp;#REF!</f>
        <v>#REF!</v>
      </c>
      <c r="E88" s="151" t="e">
        <f>#REF!</f>
        <v>#REF!</v>
      </c>
      <c r="F88" s="151" t="e">
        <f>#REF!&amp;" / "&amp;#REF!</f>
        <v>#REF!</v>
      </c>
      <c r="G88" s="151" t="e">
        <f>#REF!&amp;" / "&amp;#REF!</f>
        <v>#REF!</v>
      </c>
    </row>
    <row r="89" spans="1:7" x14ac:dyDescent="0.25">
      <c r="A89" s="148">
        <v>80</v>
      </c>
      <c r="B89" s="149" t="e">
        <f>#REF!</f>
        <v>#REF!</v>
      </c>
      <c r="C89" s="150" t="e">
        <f>#REF!</f>
        <v>#REF!</v>
      </c>
      <c r="D89" s="151" t="e">
        <f>#REF!&amp;" "&amp;#REF!</f>
        <v>#REF!</v>
      </c>
      <c r="E89" s="151" t="e">
        <f>#REF!</f>
        <v>#REF!</v>
      </c>
      <c r="F89" s="151" t="e">
        <f>#REF!&amp;" / "&amp;#REF!</f>
        <v>#REF!</v>
      </c>
      <c r="G89" s="151" t="e">
        <f>#REF!&amp;" / "&amp;#REF!</f>
        <v>#REF!</v>
      </c>
    </row>
    <row r="90" spans="1:7" x14ac:dyDescent="0.25">
      <c r="A90" s="148">
        <v>81</v>
      </c>
      <c r="B90" s="149" t="e">
        <f>#REF!</f>
        <v>#REF!</v>
      </c>
      <c r="C90" s="150" t="e">
        <f>#REF!</f>
        <v>#REF!</v>
      </c>
      <c r="D90" s="151" t="e">
        <f>#REF!&amp;" "&amp;#REF!</f>
        <v>#REF!</v>
      </c>
      <c r="E90" s="151" t="e">
        <f>#REF!</f>
        <v>#REF!</v>
      </c>
      <c r="F90" s="151" t="e">
        <f>#REF!&amp;" / "&amp;#REF!</f>
        <v>#REF!</v>
      </c>
      <c r="G90" s="151" t="e">
        <f>#REF!&amp;" / "&amp;#REF!</f>
        <v>#REF!</v>
      </c>
    </row>
    <row r="91" spans="1:7" x14ac:dyDescent="0.25">
      <c r="A91" s="148">
        <v>82</v>
      </c>
      <c r="B91" s="149" t="e">
        <f>#REF!</f>
        <v>#REF!</v>
      </c>
      <c r="C91" s="150" t="e">
        <f>#REF!</f>
        <v>#REF!</v>
      </c>
      <c r="D91" s="151" t="e">
        <f>#REF!&amp;" "&amp;#REF!</f>
        <v>#REF!</v>
      </c>
      <c r="E91" s="151" t="e">
        <f>#REF!</f>
        <v>#REF!</v>
      </c>
      <c r="F91" s="151" t="e">
        <f>#REF!&amp;" / "&amp;#REF!</f>
        <v>#REF!</v>
      </c>
      <c r="G91" s="151" t="e">
        <f>#REF!&amp;" / "&amp;#REF!</f>
        <v>#REF!</v>
      </c>
    </row>
    <row r="92" spans="1:7" x14ac:dyDescent="0.25">
      <c r="A92" s="148">
        <v>83</v>
      </c>
      <c r="B92" s="149" t="e">
        <f>#REF!</f>
        <v>#REF!</v>
      </c>
      <c r="C92" s="150" t="e">
        <f>#REF!</f>
        <v>#REF!</v>
      </c>
      <c r="D92" s="151" t="e">
        <f>#REF!&amp;" "&amp;#REF!</f>
        <v>#REF!</v>
      </c>
      <c r="E92" s="151" t="e">
        <f>#REF!</f>
        <v>#REF!</v>
      </c>
      <c r="F92" s="151" t="e">
        <f>#REF!&amp;" / "&amp;#REF!</f>
        <v>#REF!</v>
      </c>
      <c r="G92" s="151" t="e">
        <f>#REF!&amp;" / "&amp;#REF!</f>
        <v>#REF!</v>
      </c>
    </row>
    <row r="93" spans="1:7" x14ac:dyDescent="0.25">
      <c r="A93" s="148">
        <v>84</v>
      </c>
      <c r="B93" s="149" t="e">
        <f>#REF!</f>
        <v>#REF!</v>
      </c>
      <c r="C93" s="150" t="e">
        <f>#REF!</f>
        <v>#REF!</v>
      </c>
      <c r="D93" s="151" t="e">
        <f>#REF!&amp;" "&amp;#REF!</f>
        <v>#REF!</v>
      </c>
      <c r="E93" s="151" t="e">
        <f>#REF!</f>
        <v>#REF!</v>
      </c>
      <c r="F93" s="151" t="e">
        <f>#REF!&amp;" / "&amp;#REF!</f>
        <v>#REF!</v>
      </c>
      <c r="G93" s="151" t="e">
        <f>#REF!&amp;" / "&amp;#REF!</f>
        <v>#REF!</v>
      </c>
    </row>
    <row r="94" spans="1:7" x14ac:dyDescent="0.25">
      <c r="A94" s="148">
        <v>85</v>
      </c>
      <c r="B94" s="149" t="e">
        <f>#REF!</f>
        <v>#REF!</v>
      </c>
      <c r="C94" s="150" t="e">
        <f>#REF!</f>
        <v>#REF!</v>
      </c>
      <c r="D94" s="151" t="e">
        <f>#REF!&amp;" "&amp;#REF!</f>
        <v>#REF!</v>
      </c>
      <c r="E94" s="151" t="e">
        <f>#REF!</f>
        <v>#REF!</v>
      </c>
      <c r="F94" s="151" t="e">
        <f>#REF!&amp;" / "&amp;#REF!</f>
        <v>#REF!</v>
      </c>
      <c r="G94" s="151" t="e">
        <f>#REF!&amp;" / "&amp;#REF!</f>
        <v>#REF!</v>
      </c>
    </row>
    <row r="95" spans="1:7" x14ac:dyDescent="0.25">
      <c r="A95" s="148">
        <v>86</v>
      </c>
      <c r="B95" s="149" t="e">
        <f>#REF!</f>
        <v>#REF!</v>
      </c>
      <c r="C95" s="150" t="e">
        <f>#REF!</f>
        <v>#REF!</v>
      </c>
      <c r="D95" s="151" t="e">
        <f>#REF!&amp;" "&amp;#REF!</f>
        <v>#REF!</v>
      </c>
      <c r="E95" s="151" t="e">
        <f>#REF!</f>
        <v>#REF!</v>
      </c>
      <c r="F95" s="151" t="e">
        <f>#REF!&amp;" / "&amp;#REF!</f>
        <v>#REF!</v>
      </c>
      <c r="G95" s="151" t="e">
        <f>#REF!&amp;" / "&amp;#REF!</f>
        <v>#REF!</v>
      </c>
    </row>
    <row r="96" spans="1:7" x14ac:dyDescent="0.25">
      <c r="A96" s="148">
        <v>87</v>
      </c>
      <c r="B96" s="149" t="e">
        <f>#REF!</f>
        <v>#REF!</v>
      </c>
      <c r="C96" s="150" t="e">
        <f>#REF!</f>
        <v>#REF!</v>
      </c>
      <c r="D96" s="151" t="e">
        <f>#REF!&amp;" "&amp;#REF!</f>
        <v>#REF!</v>
      </c>
      <c r="E96" s="151" t="e">
        <f>#REF!</f>
        <v>#REF!</v>
      </c>
      <c r="F96" s="151" t="e">
        <f>#REF!&amp;" / "&amp;#REF!</f>
        <v>#REF!</v>
      </c>
      <c r="G96" s="151" t="e">
        <f>#REF!&amp;" / "&amp;#REF!</f>
        <v>#REF!</v>
      </c>
    </row>
    <row r="97" spans="1:7" x14ac:dyDescent="0.25">
      <c r="A97" s="148">
        <v>88</v>
      </c>
      <c r="B97" s="149" t="e">
        <f>#REF!</f>
        <v>#REF!</v>
      </c>
      <c r="C97" s="150" t="e">
        <f>#REF!</f>
        <v>#REF!</v>
      </c>
      <c r="D97" s="151" t="e">
        <f>#REF!&amp;" "&amp;#REF!</f>
        <v>#REF!</v>
      </c>
      <c r="E97" s="151" t="e">
        <f>#REF!</f>
        <v>#REF!</v>
      </c>
      <c r="F97" s="151" t="e">
        <f>#REF!&amp;" / "&amp;#REF!</f>
        <v>#REF!</v>
      </c>
      <c r="G97" s="151" t="e">
        <f>#REF!&amp;" / "&amp;#REF!</f>
        <v>#REF!</v>
      </c>
    </row>
    <row r="98" spans="1:7" x14ac:dyDescent="0.25">
      <c r="A98" s="148">
        <v>89</v>
      </c>
      <c r="B98" s="149" t="e">
        <f>#REF!</f>
        <v>#REF!</v>
      </c>
      <c r="C98" s="150" t="e">
        <f>#REF!</f>
        <v>#REF!</v>
      </c>
      <c r="D98" s="151" t="e">
        <f>#REF!&amp;" "&amp;#REF!</f>
        <v>#REF!</v>
      </c>
      <c r="E98" s="151" t="e">
        <f>#REF!</f>
        <v>#REF!</v>
      </c>
      <c r="F98" s="151" t="e">
        <f>#REF!&amp;" / "&amp;#REF!</f>
        <v>#REF!</v>
      </c>
      <c r="G98" s="151" t="e">
        <f>#REF!&amp;" / "&amp;#REF!</f>
        <v>#REF!</v>
      </c>
    </row>
    <row r="99" spans="1:7" x14ac:dyDescent="0.25">
      <c r="A99" s="148">
        <v>90</v>
      </c>
      <c r="B99" s="149" t="e">
        <f>#REF!</f>
        <v>#REF!</v>
      </c>
      <c r="C99" s="150" t="e">
        <f>#REF!</f>
        <v>#REF!</v>
      </c>
      <c r="D99" s="151" t="e">
        <f>#REF!&amp;" "&amp;#REF!</f>
        <v>#REF!</v>
      </c>
      <c r="E99" s="151" t="e">
        <f>#REF!</f>
        <v>#REF!</v>
      </c>
      <c r="F99" s="151" t="e">
        <f>#REF!&amp;" / "&amp;#REF!</f>
        <v>#REF!</v>
      </c>
      <c r="G99" s="151" t="e">
        <f>#REF!&amp;" / "&amp;#REF!</f>
        <v>#REF!</v>
      </c>
    </row>
    <row r="100" spans="1:7" x14ac:dyDescent="0.25">
      <c r="A100" s="148">
        <v>91</v>
      </c>
      <c r="B100" s="149" t="e">
        <f>#REF!</f>
        <v>#REF!</v>
      </c>
      <c r="C100" s="150" t="e">
        <f>#REF!</f>
        <v>#REF!</v>
      </c>
      <c r="D100" s="151" t="e">
        <f>#REF!&amp;" "&amp;#REF!</f>
        <v>#REF!</v>
      </c>
      <c r="E100" s="151" t="e">
        <f>#REF!</f>
        <v>#REF!</v>
      </c>
      <c r="F100" s="151" t="e">
        <f>#REF!&amp;" / "&amp;#REF!</f>
        <v>#REF!</v>
      </c>
      <c r="G100" s="151" t="e">
        <f>#REF!&amp;" / "&amp;#REF!</f>
        <v>#REF!</v>
      </c>
    </row>
    <row r="101" spans="1:7" x14ac:dyDescent="0.25">
      <c r="A101" s="148">
        <v>92</v>
      </c>
      <c r="B101" s="149" t="e">
        <f>#REF!</f>
        <v>#REF!</v>
      </c>
      <c r="C101" s="150" t="e">
        <f>#REF!</f>
        <v>#REF!</v>
      </c>
      <c r="D101" s="151" t="e">
        <f>#REF!&amp;" "&amp;#REF!</f>
        <v>#REF!</v>
      </c>
      <c r="E101" s="151" t="e">
        <f>#REF!</f>
        <v>#REF!</v>
      </c>
      <c r="F101" s="151" t="e">
        <f>#REF!&amp;" / "&amp;#REF!</f>
        <v>#REF!</v>
      </c>
      <c r="G101" s="151" t="e">
        <f>#REF!&amp;" / "&amp;#REF!</f>
        <v>#REF!</v>
      </c>
    </row>
    <row r="102" spans="1:7" x14ac:dyDescent="0.25">
      <c r="A102" s="148">
        <v>93</v>
      </c>
      <c r="B102" s="149" t="e">
        <f>#REF!</f>
        <v>#REF!</v>
      </c>
      <c r="C102" s="150" t="e">
        <f>#REF!</f>
        <v>#REF!</v>
      </c>
      <c r="D102" s="151" t="e">
        <f>#REF!&amp;" "&amp;#REF!</f>
        <v>#REF!</v>
      </c>
      <c r="E102" s="151" t="e">
        <f>#REF!</f>
        <v>#REF!</v>
      </c>
      <c r="F102" s="151" t="e">
        <f>#REF!&amp;" / "&amp;#REF!</f>
        <v>#REF!</v>
      </c>
      <c r="G102" s="151" t="e">
        <f>#REF!&amp;" / "&amp;#REF!</f>
        <v>#REF!</v>
      </c>
    </row>
    <row r="103" spans="1:7" x14ac:dyDescent="0.25">
      <c r="A103" s="148">
        <v>94</v>
      </c>
      <c r="B103" s="149" t="e">
        <f>#REF!</f>
        <v>#REF!</v>
      </c>
      <c r="C103" s="150" t="e">
        <f>#REF!</f>
        <v>#REF!</v>
      </c>
      <c r="D103" s="151" t="e">
        <f>#REF!&amp;" "&amp;#REF!</f>
        <v>#REF!</v>
      </c>
      <c r="E103" s="151" t="e">
        <f>#REF!</f>
        <v>#REF!</v>
      </c>
      <c r="F103" s="151" t="e">
        <f>#REF!&amp;" / "&amp;#REF!</f>
        <v>#REF!</v>
      </c>
      <c r="G103" s="151" t="e">
        <f>#REF!&amp;" / "&amp;#REF!</f>
        <v>#REF!</v>
      </c>
    </row>
    <row r="104" spans="1:7" x14ac:dyDescent="0.25">
      <c r="A104" s="148">
        <v>95</v>
      </c>
      <c r="B104" s="149" t="e">
        <f>#REF!</f>
        <v>#REF!</v>
      </c>
      <c r="C104" s="150" t="e">
        <f>#REF!</f>
        <v>#REF!</v>
      </c>
      <c r="D104" s="151" t="e">
        <f>#REF!&amp;" "&amp;#REF!</f>
        <v>#REF!</v>
      </c>
      <c r="E104" s="151" t="e">
        <f>#REF!</f>
        <v>#REF!</v>
      </c>
      <c r="F104" s="151" t="e">
        <f>#REF!&amp;" / "&amp;#REF!</f>
        <v>#REF!</v>
      </c>
      <c r="G104" s="151" t="e">
        <f>#REF!&amp;" / "&amp;#REF!</f>
        <v>#REF!</v>
      </c>
    </row>
    <row r="105" spans="1:7" x14ac:dyDescent="0.25">
      <c r="A105" s="148">
        <v>96</v>
      </c>
      <c r="B105" s="149" t="e">
        <f>#REF!</f>
        <v>#REF!</v>
      </c>
      <c r="C105" s="150" t="e">
        <f>#REF!</f>
        <v>#REF!</v>
      </c>
      <c r="D105" s="151" t="e">
        <f>#REF!&amp;" "&amp;#REF!</f>
        <v>#REF!</v>
      </c>
      <c r="E105" s="151" t="e">
        <f>#REF!</f>
        <v>#REF!</v>
      </c>
      <c r="F105" s="151" t="e">
        <f>#REF!&amp;" / "&amp;#REF!</f>
        <v>#REF!</v>
      </c>
      <c r="G105" s="151" t="e">
        <f>#REF!&amp;" / "&amp;#REF!</f>
        <v>#REF!</v>
      </c>
    </row>
    <row r="106" spans="1:7" x14ac:dyDescent="0.25">
      <c r="A106" s="148">
        <v>97</v>
      </c>
      <c r="B106" s="149" t="e">
        <f>#REF!</f>
        <v>#REF!</v>
      </c>
      <c r="C106" s="150" t="e">
        <f>#REF!</f>
        <v>#REF!</v>
      </c>
      <c r="D106" s="151" t="e">
        <f>#REF!&amp;" "&amp;#REF!</f>
        <v>#REF!</v>
      </c>
      <c r="E106" s="151" t="e">
        <f>#REF!</f>
        <v>#REF!</v>
      </c>
      <c r="F106" s="151" t="e">
        <f>#REF!&amp;" / "&amp;#REF!</f>
        <v>#REF!</v>
      </c>
      <c r="G106" s="151" t="e">
        <f>#REF!&amp;" / "&amp;#REF!</f>
        <v>#REF!</v>
      </c>
    </row>
    <row r="107" spans="1:7" x14ac:dyDescent="0.25">
      <c r="A107" s="148">
        <v>98</v>
      </c>
      <c r="B107" s="149" t="e">
        <f>#REF!</f>
        <v>#REF!</v>
      </c>
      <c r="C107" s="150" t="e">
        <f>#REF!</f>
        <v>#REF!</v>
      </c>
      <c r="D107" s="151" t="e">
        <f>#REF!&amp;" "&amp;#REF!</f>
        <v>#REF!</v>
      </c>
      <c r="E107" s="151" t="e">
        <f>#REF!</f>
        <v>#REF!</v>
      </c>
      <c r="F107" s="151" t="e">
        <f>#REF!&amp;" / "&amp;#REF!</f>
        <v>#REF!</v>
      </c>
      <c r="G107" s="151" t="e">
        <f>#REF!&amp;" / "&amp;#REF!</f>
        <v>#REF!</v>
      </c>
    </row>
    <row r="108" spans="1:7" x14ac:dyDescent="0.25">
      <c r="A108" s="148">
        <v>99</v>
      </c>
      <c r="B108" s="149" t="e">
        <f>#REF!</f>
        <v>#REF!</v>
      </c>
      <c r="C108" s="150" t="e">
        <f>#REF!</f>
        <v>#REF!</v>
      </c>
      <c r="D108" s="151" t="e">
        <f>#REF!&amp;" "&amp;#REF!</f>
        <v>#REF!</v>
      </c>
      <c r="E108" s="151" t="e">
        <f>#REF!</f>
        <v>#REF!</v>
      </c>
      <c r="F108" s="151" t="e">
        <f>#REF!&amp;" / "&amp;#REF!</f>
        <v>#REF!</v>
      </c>
      <c r="G108" s="151" t="e">
        <f>#REF!&amp;" / "&amp;#REF!</f>
        <v>#REF!</v>
      </c>
    </row>
    <row r="109" spans="1:7" x14ac:dyDescent="0.25">
      <c r="A109" s="148">
        <v>100</v>
      </c>
      <c r="B109" s="149" t="e">
        <f>#REF!</f>
        <v>#REF!</v>
      </c>
      <c r="C109" s="150" t="e">
        <f>#REF!</f>
        <v>#REF!</v>
      </c>
      <c r="D109" s="151" t="e">
        <f>#REF!&amp;" "&amp;#REF!</f>
        <v>#REF!</v>
      </c>
      <c r="E109" s="151" t="e">
        <f>#REF!</f>
        <v>#REF!</v>
      </c>
      <c r="F109" s="151" t="e">
        <f>#REF!&amp;" / "&amp;#REF!</f>
        <v>#REF!</v>
      </c>
      <c r="G109" s="151" t="e">
        <f>#REF!&amp;" / "&amp;#REF!</f>
        <v>#REF!</v>
      </c>
    </row>
    <row r="110" spans="1:7" x14ac:dyDescent="0.25">
      <c r="A110" s="148">
        <v>101</v>
      </c>
      <c r="B110" s="149" t="e">
        <f>#REF!</f>
        <v>#REF!</v>
      </c>
      <c r="C110" s="150" t="e">
        <f>#REF!</f>
        <v>#REF!</v>
      </c>
      <c r="D110" s="151" t="e">
        <f>#REF!&amp;" "&amp;#REF!</f>
        <v>#REF!</v>
      </c>
      <c r="E110" s="151" t="e">
        <f>#REF!</f>
        <v>#REF!</v>
      </c>
      <c r="F110" s="151" t="e">
        <f>#REF!&amp;" / "&amp;#REF!</f>
        <v>#REF!</v>
      </c>
      <c r="G110" s="151" t="e">
        <f>#REF!&amp;" / "&amp;#REF!</f>
        <v>#REF!</v>
      </c>
    </row>
    <row r="111" spans="1:7" x14ac:dyDescent="0.25">
      <c r="A111" s="148">
        <v>102</v>
      </c>
      <c r="B111" s="149" t="e">
        <f>#REF!</f>
        <v>#REF!</v>
      </c>
      <c r="C111" s="150" t="e">
        <f>#REF!</f>
        <v>#REF!</v>
      </c>
      <c r="D111" s="151" t="e">
        <f>#REF!&amp;" "&amp;#REF!</f>
        <v>#REF!</v>
      </c>
      <c r="E111" s="151" t="e">
        <f>#REF!</f>
        <v>#REF!</v>
      </c>
      <c r="F111" s="151" t="e">
        <f>#REF!&amp;" / "&amp;#REF!</f>
        <v>#REF!</v>
      </c>
      <c r="G111" s="151" t="e">
        <f>#REF!&amp;" / "&amp;#REF!</f>
        <v>#REF!</v>
      </c>
    </row>
    <row r="112" spans="1:7" x14ac:dyDescent="0.25">
      <c r="A112" s="148">
        <v>103</v>
      </c>
      <c r="B112" s="149" t="e">
        <f>#REF!</f>
        <v>#REF!</v>
      </c>
      <c r="C112" s="150" t="e">
        <f>#REF!</f>
        <v>#REF!</v>
      </c>
      <c r="D112" s="151" t="e">
        <f>#REF!&amp;" "&amp;#REF!</f>
        <v>#REF!</v>
      </c>
      <c r="E112" s="151" t="e">
        <f>#REF!</f>
        <v>#REF!</v>
      </c>
      <c r="F112" s="151" t="e">
        <f>#REF!&amp;" / "&amp;#REF!</f>
        <v>#REF!</v>
      </c>
      <c r="G112" s="151" t="e">
        <f>#REF!&amp;" / "&amp;#REF!</f>
        <v>#REF!</v>
      </c>
    </row>
    <row r="113" spans="1:7" x14ac:dyDescent="0.25">
      <c r="A113" s="148">
        <v>104</v>
      </c>
      <c r="B113" s="149" t="e">
        <f>#REF!</f>
        <v>#REF!</v>
      </c>
      <c r="C113" s="150" t="e">
        <f>#REF!</f>
        <v>#REF!</v>
      </c>
      <c r="D113" s="151" t="e">
        <f>#REF!&amp;" "&amp;#REF!</f>
        <v>#REF!</v>
      </c>
      <c r="E113" s="151" t="e">
        <f>#REF!</f>
        <v>#REF!</v>
      </c>
      <c r="F113" s="151" t="e">
        <f>#REF!&amp;" / "&amp;#REF!</f>
        <v>#REF!</v>
      </c>
      <c r="G113" s="151" t="e">
        <f>#REF!&amp;" / "&amp;#REF!</f>
        <v>#REF!</v>
      </c>
    </row>
    <row r="114" spans="1:7" x14ac:dyDescent="0.25">
      <c r="A114" s="148">
        <v>105</v>
      </c>
      <c r="B114" s="149" t="e">
        <f>#REF!</f>
        <v>#REF!</v>
      </c>
      <c r="C114" s="150" t="e">
        <f>#REF!</f>
        <v>#REF!</v>
      </c>
      <c r="D114" s="151" t="e">
        <f>#REF!&amp;" "&amp;#REF!</f>
        <v>#REF!</v>
      </c>
      <c r="E114" s="151" t="e">
        <f>#REF!</f>
        <v>#REF!</v>
      </c>
      <c r="F114" s="151" t="e">
        <f>#REF!&amp;" / "&amp;#REF!</f>
        <v>#REF!</v>
      </c>
      <c r="G114" s="151" t="e">
        <f>#REF!&amp;" / "&amp;#REF!</f>
        <v>#REF!</v>
      </c>
    </row>
    <row r="115" spans="1:7" x14ac:dyDescent="0.25">
      <c r="A115" s="148">
        <v>106</v>
      </c>
      <c r="B115" s="149" t="e">
        <f>#REF!</f>
        <v>#REF!</v>
      </c>
      <c r="C115" s="150" t="e">
        <f>#REF!</f>
        <v>#REF!</v>
      </c>
      <c r="D115" s="151" t="e">
        <f>#REF!&amp;" "&amp;#REF!</f>
        <v>#REF!</v>
      </c>
      <c r="E115" s="151" t="e">
        <f>#REF!</f>
        <v>#REF!</v>
      </c>
      <c r="F115" s="151" t="e">
        <f>#REF!&amp;" / "&amp;#REF!</f>
        <v>#REF!</v>
      </c>
      <c r="G115" s="151" t="e">
        <f>#REF!&amp;" / "&amp;#REF!</f>
        <v>#REF!</v>
      </c>
    </row>
    <row r="116" spans="1:7" x14ac:dyDescent="0.25">
      <c r="A116" s="148">
        <v>107</v>
      </c>
      <c r="B116" s="149" t="e">
        <f>#REF!</f>
        <v>#REF!</v>
      </c>
      <c r="C116" s="150" t="e">
        <f>#REF!</f>
        <v>#REF!</v>
      </c>
      <c r="D116" s="151" t="e">
        <f>#REF!&amp;" "&amp;#REF!</f>
        <v>#REF!</v>
      </c>
      <c r="E116" s="151" t="e">
        <f>#REF!</f>
        <v>#REF!</v>
      </c>
      <c r="F116" s="151" t="e">
        <f>#REF!&amp;" / "&amp;#REF!</f>
        <v>#REF!</v>
      </c>
      <c r="G116" s="151" t="e">
        <f>#REF!&amp;" / "&amp;#REF!</f>
        <v>#REF!</v>
      </c>
    </row>
    <row r="117" spans="1:7" x14ac:dyDescent="0.25">
      <c r="A117" s="148">
        <v>108</v>
      </c>
      <c r="B117" s="149" t="e">
        <f>#REF!</f>
        <v>#REF!</v>
      </c>
      <c r="C117" s="150" t="e">
        <f>#REF!</f>
        <v>#REF!</v>
      </c>
      <c r="D117" s="151" t="e">
        <f>#REF!&amp;" "&amp;#REF!</f>
        <v>#REF!</v>
      </c>
      <c r="E117" s="151" t="e">
        <f>#REF!</f>
        <v>#REF!</v>
      </c>
      <c r="F117" s="151" t="e">
        <f>#REF!&amp;" / "&amp;#REF!</f>
        <v>#REF!</v>
      </c>
      <c r="G117" s="151" t="e">
        <f>#REF!&amp;" / "&amp;#REF!</f>
        <v>#REF!</v>
      </c>
    </row>
    <row r="118" spans="1:7" x14ac:dyDescent="0.25">
      <c r="A118" s="148">
        <v>109</v>
      </c>
      <c r="B118" s="149" t="e">
        <f>#REF!</f>
        <v>#REF!</v>
      </c>
      <c r="C118" s="150" t="e">
        <f>#REF!</f>
        <v>#REF!</v>
      </c>
      <c r="D118" s="151" t="e">
        <f>#REF!&amp;" "&amp;#REF!</f>
        <v>#REF!</v>
      </c>
      <c r="E118" s="151" t="e">
        <f>#REF!</f>
        <v>#REF!</v>
      </c>
      <c r="F118" s="151" t="e">
        <f>#REF!&amp;" / "&amp;#REF!</f>
        <v>#REF!</v>
      </c>
      <c r="G118" s="151" t="e">
        <f>#REF!&amp;" / "&amp;#REF!</f>
        <v>#REF!</v>
      </c>
    </row>
    <row r="119" spans="1:7" x14ac:dyDescent="0.25">
      <c r="A119" s="148">
        <v>110</v>
      </c>
      <c r="B119" s="149" t="e">
        <f>#REF!</f>
        <v>#REF!</v>
      </c>
      <c r="C119" s="150" t="e">
        <f>#REF!</f>
        <v>#REF!</v>
      </c>
      <c r="D119" s="151" t="e">
        <f>#REF!&amp;" "&amp;#REF!</f>
        <v>#REF!</v>
      </c>
      <c r="E119" s="151" t="e">
        <f>#REF!</f>
        <v>#REF!</v>
      </c>
      <c r="F119" s="151" t="e">
        <f>#REF!&amp;" / "&amp;#REF!</f>
        <v>#REF!</v>
      </c>
      <c r="G119" s="151" t="e">
        <f>#REF!&amp;" / "&amp;#REF!</f>
        <v>#REF!</v>
      </c>
    </row>
    <row r="120" spans="1:7" x14ac:dyDescent="0.25">
      <c r="A120" s="148">
        <v>111</v>
      </c>
      <c r="B120" s="149" t="e">
        <f>#REF!</f>
        <v>#REF!</v>
      </c>
      <c r="C120" s="150" t="e">
        <f>#REF!</f>
        <v>#REF!</v>
      </c>
      <c r="D120" s="151" t="e">
        <f>#REF!&amp;" "&amp;#REF!</f>
        <v>#REF!</v>
      </c>
      <c r="E120" s="151" t="e">
        <f>#REF!</f>
        <v>#REF!</v>
      </c>
      <c r="F120" s="151" t="e">
        <f>#REF!&amp;" / "&amp;#REF!</f>
        <v>#REF!</v>
      </c>
      <c r="G120" s="151" t="e">
        <f>#REF!&amp;" / "&amp;#REF!</f>
        <v>#REF!</v>
      </c>
    </row>
    <row r="121" spans="1:7" x14ac:dyDescent="0.25">
      <c r="A121" s="148">
        <v>112</v>
      </c>
      <c r="B121" s="149" t="e">
        <f>#REF!</f>
        <v>#REF!</v>
      </c>
      <c r="C121" s="150" t="e">
        <f>#REF!</f>
        <v>#REF!</v>
      </c>
      <c r="D121" s="151" t="e">
        <f>#REF!&amp;" "&amp;#REF!</f>
        <v>#REF!</v>
      </c>
      <c r="E121" s="151" t="e">
        <f>#REF!</f>
        <v>#REF!</v>
      </c>
      <c r="F121" s="151" t="e">
        <f>#REF!&amp;" / "&amp;#REF!</f>
        <v>#REF!</v>
      </c>
      <c r="G121" s="151" t="e">
        <f>#REF!&amp;" / "&amp;#REF!</f>
        <v>#REF!</v>
      </c>
    </row>
    <row r="122" spans="1:7" x14ac:dyDescent="0.25">
      <c r="A122" s="148">
        <v>113</v>
      </c>
      <c r="B122" s="149" t="e">
        <f>#REF!</f>
        <v>#REF!</v>
      </c>
      <c r="C122" s="150" t="e">
        <f>#REF!</f>
        <v>#REF!</v>
      </c>
      <c r="D122" s="151" t="e">
        <f>#REF!&amp;" "&amp;#REF!</f>
        <v>#REF!</v>
      </c>
      <c r="E122" s="151" t="e">
        <f>#REF!</f>
        <v>#REF!</v>
      </c>
      <c r="F122" s="151" t="e">
        <f>#REF!&amp;" / "&amp;#REF!</f>
        <v>#REF!</v>
      </c>
      <c r="G122" s="151" t="e">
        <f>#REF!&amp;" / "&amp;#REF!</f>
        <v>#REF!</v>
      </c>
    </row>
    <row r="123" spans="1:7" x14ac:dyDescent="0.25">
      <c r="A123" s="148">
        <v>114</v>
      </c>
      <c r="B123" s="149" t="e">
        <f>#REF!</f>
        <v>#REF!</v>
      </c>
      <c r="C123" s="150" t="e">
        <f>#REF!</f>
        <v>#REF!</v>
      </c>
      <c r="D123" s="151" t="e">
        <f>#REF!&amp;" "&amp;#REF!</f>
        <v>#REF!</v>
      </c>
      <c r="E123" s="151" t="e">
        <f>#REF!</f>
        <v>#REF!</v>
      </c>
      <c r="F123" s="151" t="e">
        <f>#REF!&amp;" / "&amp;#REF!</f>
        <v>#REF!</v>
      </c>
      <c r="G123" s="151" t="e">
        <f>#REF!&amp;" / "&amp;#REF!</f>
        <v>#REF!</v>
      </c>
    </row>
    <row r="124" spans="1:7" x14ac:dyDescent="0.25">
      <c r="A124" s="148">
        <v>115</v>
      </c>
      <c r="B124" s="149" t="e">
        <f>#REF!</f>
        <v>#REF!</v>
      </c>
      <c r="C124" s="150" t="e">
        <f>#REF!</f>
        <v>#REF!</v>
      </c>
      <c r="D124" s="151" t="e">
        <f>#REF!&amp;" "&amp;#REF!</f>
        <v>#REF!</v>
      </c>
      <c r="E124" s="151" t="e">
        <f>#REF!</f>
        <v>#REF!</v>
      </c>
      <c r="F124" s="151" t="e">
        <f>#REF!&amp;" / "&amp;#REF!</f>
        <v>#REF!</v>
      </c>
      <c r="G124" s="151" t="e">
        <f>#REF!&amp;" / "&amp;#REF!</f>
        <v>#REF!</v>
      </c>
    </row>
    <row r="125" spans="1:7" x14ac:dyDescent="0.25">
      <c r="A125" s="148">
        <v>116</v>
      </c>
      <c r="B125" s="149" t="e">
        <f>#REF!</f>
        <v>#REF!</v>
      </c>
      <c r="C125" s="150" t="e">
        <f>#REF!</f>
        <v>#REF!</v>
      </c>
      <c r="D125" s="151" t="e">
        <f>#REF!&amp;" "&amp;#REF!</f>
        <v>#REF!</v>
      </c>
      <c r="E125" s="151" t="e">
        <f>#REF!</f>
        <v>#REF!</v>
      </c>
      <c r="F125" s="151" t="e">
        <f>#REF!&amp;" / "&amp;#REF!</f>
        <v>#REF!</v>
      </c>
      <c r="G125" s="151" t="e">
        <f>#REF!&amp;" / "&amp;#REF!</f>
        <v>#REF!</v>
      </c>
    </row>
    <row r="126" spans="1:7" x14ac:dyDescent="0.25">
      <c r="A126" s="148">
        <v>117</v>
      </c>
      <c r="B126" s="149" t="e">
        <f>#REF!</f>
        <v>#REF!</v>
      </c>
      <c r="C126" s="150" t="e">
        <f>#REF!</f>
        <v>#REF!</v>
      </c>
      <c r="D126" s="151" t="e">
        <f>#REF!&amp;" "&amp;#REF!</f>
        <v>#REF!</v>
      </c>
      <c r="E126" s="151" t="e">
        <f>#REF!</f>
        <v>#REF!</v>
      </c>
      <c r="F126" s="151" t="e">
        <f>#REF!&amp;" / "&amp;#REF!</f>
        <v>#REF!</v>
      </c>
      <c r="G126" s="151" t="e">
        <f>#REF!&amp;" / "&amp;#REF!</f>
        <v>#REF!</v>
      </c>
    </row>
    <row r="127" spans="1:7" x14ac:dyDescent="0.25">
      <c r="A127" s="148">
        <v>118</v>
      </c>
      <c r="B127" s="149" t="e">
        <f>#REF!</f>
        <v>#REF!</v>
      </c>
      <c r="C127" s="150" t="e">
        <f>#REF!</f>
        <v>#REF!</v>
      </c>
      <c r="D127" s="151" t="e">
        <f>#REF!&amp;" "&amp;#REF!</f>
        <v>#REF!</v>
      </c>
      <c r="E127" s="151" t="e">
        <f>#REF!</f>
        <v>#REF!</v>
      </c>
      <c r="F127" s="151" t="e">
        <f>#REF!&amp;" / "&amp;#REF!</f>
        <v>#REF!</v>
      </c>
      <c r="G127" s="151" t="e">
        <f>#REF!&amp;" / "&amp;#REF!</f>
        <v>#REF!</v>
      </c>
    </row>
    <row r="128" spans="1:7" x14ac:dyDescent="0.25">
      <c r="A128" s="148">
        <v>119</v>
      </c>
      <c r="B128" s="149" t="e">
        <f>#REF!</f>
        <v>#REF!</v>
      </c>
      <c r="C128" s="150" t="e">
        <f>#REF!</f>
        <v>#REF!</v>
      </c>
      <c r="D128" s="151" t="e">
        <f>#REF!&amp;" "&amp;#REF!</f>
        <v>#REF!</v>
      </c>
      <c r="E128" s="151" t="e">
        <f>#REF!</f>
        <v>#REF!</v>
      </c>
      <c r="F128" s="151" t="e">
        <f>#REF!&amp;" / "&amp;#REF!</f>
        <v>#REF!</v>
      </c>
      <c r="G128" s="151" t="e">
        <f>#REF!&amp;" / "&amp;#REF!</f>
        <v>#REF!</v>
      </c>
    </row>
    <row r="129" spans="1:7" x14ac:dyDescent="0.25">
      <c r="A129" s="148">
        <v>120</v>
      </c>
      <c r="B129" s="149" t="e">
        <f>#REF!</f>
        <v>#REF!</v>
      </c>
      <c r="C129" s="150" t="e">
        <f>#REF!</f>
        <v>#REF!</v>
      </c>
      <c r="D129" s="151" t="e">
        <f>#REF!&amp;" "&amp;#REF!</f>
        <v>#REF!</v>
      </c>
      <c r="E129" s="151" t="e">
        <f>#REF!</f>
        <v>#REF!</v>
      </c>
      <c r="F129" s="151" t="e">
        <f>#REF!&amp;" / "&amp;#REF!</f>
        <v>#REF!</v>
      </c>
      <c r="G129" s="151" t="e">
        <f>#REF!&amp;" / "&amp;#REF!</f>
        <v>#REF!</v>
      </c>
    </row>
    <row r="130" spans="1:7" x14ac:dyDescent="0.25">
      <c r="A130" s="148">
        <v>121</v>
      </c>
      <c r="B130" s="149" t="e">
        <f>#REF!</f>
        <v>#REF!</v>
      </c>
      <c r="C130" s="150" t="e">
        <f>#REF!</f>
        <v>#REF!</v>
      </c>
      <c r="D130" s="151" t="e">
        <f>#REF!&amp;" "&amp;#REF!</f>
        <v>#REF!</v>
      </c>
      <c r="E130" s="151" t="e">
        <f>#REF!</f>
        <v>#REF!</v>
      </c>
      <c r="F130" s="151" t="e">
        <f>#REF!&amp;" / "&amp;#REF!</f>
        <v>#REF!</v>
      </c>
      <c r="G130" s="151" t="e">
        <f>#REF!&amp;" / "&amp;#REF!</f>
        <v>#REF!</v>
      </c>
    </row>
    <row r="131" spans="1:7" x14ac:dyDescent="0.25">
      <c r="A131" s="148">
        <v>122</v>
      </c>
      <c r="B131" s="149" t="e">
        <f>#REF!</f>
        <v>#REF!</v>
      </c>
      <c r="C131" s="150" t="e">
        <f>#REF!</f>
        <v>#REF!</v>
      </c>
      <c r="D131" s="151" t="e">
        <f>#REF!&amp;" "&amp;#REF!</f>
        <v>#REF!</v>
      </c>
      <c r="E131" s="151" t="e">
        <f>#REF!</f>
        <v>#REF!</v>
      </c>
      <c r="F131" s="151" t="e">
        <f>#REF!&amp;" / "&amp;#REF!</f>
        <v>#REF!</v>
      </c>
      <c r="G131" s="151" t="e">
        <f>#REF!&amp;" / "&amp;#REF!</f>
        <v>#REF!</v>
      </c>
    </row>
    <row r="132" spans="1:7" x14ac:dyDescent="0.25">
      <c r="A132" s="148">
        <v>123</v>
      </c>
      <c r="B132" s="149" t="e">
        <f>#REF!</f>
        <v>#REF!</v>
      </c>
      <c r="C132" s="150" t="e">
        <f>#REF!</f>
        <v>#REF!</v>
      </c>
      <c r="D132" s="151" t="e">
        <f>#REF!&amp;" "&amp;#REF!</f>
        <v>#REF!</v>
      </c>
      <c r="E132" s="151" t="e">
        <f>#REF!</f>
        <v>#REF!</v>
      </c>
      <c r="F132" s="151" t="e">
        <f>#REF!&amp;" / "&amp;#REF!</f>
        <v>#REF!</v>
      </c>
      <c r="G132" s="151" t="e">
        <f>#REF!&amp;" / "&amp;#REF!</f>
        <v>#REF!</v>
      </c>
    </row>
    <row r="133" spans="1:7" x14ac:dyDescent="0.25">
      <c r="A133" s="148">
        <v>124</v>
      </c>
      <c r="B133" s="149" t="e">
        <f>#REF!</f>
        <v>#REF!</v>
      </c>
      <c r="C133" s="150" t="e">
        <f>#REF!</f>
        <v>#REF!</v>
      </c>
      <c r="D133" s="151" t="e">
        <f>#REF!&amp;" "&amp;#REF!</f>
        <v>#REF!</v>
      </c>
      <c r="E133" s="151" t="e">
        <f>#REF!</f>
        <v>#REF!</v>
      </c>
      <c r="F133" s="151" t="e">
        <f>#REF!&amp;" / "&amp;#REF!</f>
        <v>#REF!</v>
      </c>
      <c r="G133" s="151" t="e">
        <f>#REF!&amp;" / "&amp;#REF!</f>
        <v>#REF!</v>
      </c>
    </row>
    <row r="134" spans="1:7" x14ac:dyDescent="0.25">
      <c r="A134" s="148">
        <v>125</v>
      </c>
      <c r="B134" s="149" t="e">
        <f>#REF!</f>
        <v>#REF!</v>
      </c>
      <c r="C134" s="150" t="e">
        <f>#REF!</f>
        <v>#REF!</v>
      </c>
      <c r="D134" s="151" t="e">
        <f>#REF!&amp;" "&amp;#REF!</f>
        <v>#REF!</v>
      </c>
      <c r="E134" s="151" t="e">
        <f>#REF!</f>
        <v>#REF!</v>
      </c>
      <c r="F134" s="151" t="e">
        <f>#REF!&amp;" / "&amp;#REF!</f>
        <v>#REF!</v>
      </c>
      <c r="G134" s="151" t="e">
        <f>#REF!&amp;" / "&amp;#REF!</f>
        <v>#REF!</v>
      </c>
    </row>
    <row r="135" spans="1:7" x14ac:dyDescent="0.25">
      <c r="A135" s="148">
        <v>126</v>
      </c>
      <c r="B135" s="149" t="e">
        <f>#REF!</f>
        <v>#REF!</v>
      </c>
      <c r="C135" s="150" t="e">
        <f>#REF!</f>
        <v>#REF!</v>
      </c>
      <c r="D135" s="151" t="e">
        <f>#REF!&amp;" "&amp;#REF!</f>
        <v>#REF!</v>
      </c>
      <c r="E135" s="151" t="e">
        <f>#REF!</f>
        <v>#REF!</v>
      </c>
      <c r="F135" s="151" t="e">
        <f>#REF!&amp;" / "&amp;#REF!</f>
        <v>#REF!</v>
      </c>
      <c r="G135" s="151" t="e">
        <f>#REF!&amp;" / "&amp;#REF!</f>
        <v>#REF!</v>
      </c>
    </row>
    <row r="136" spans="1:7" x14ac:dyDescent="0.25">
      <c r="A136" s="148">
        <v>127</v>
      </c>
      <c r="B136" s="149" t="e">
        <f>#REF!</f>
        <v>#REF!</v>
      </c>
      <c r="C136" s="150" t="e">
        <f>#REF!</f>
        <v>#REF!</v>
      </c>
      <c r="D136" s="151" t="e">
        <f>#REF!&amp;" "&amp;#REF!</f>
        <v>#REF!</v>
      </c>
      <c r="E136" s="151" t="e">
        <f>#REF!</f>
        <v>#REF!</v>
      </c>
      <c r="F136" s="151" t="e">
        <f>#REF!&amp;" / "&amp;#REF!</f>
        <v>#REF!</v>
      </c>
      <c r="G136" s="151" t="e">
        <f>#REF!&amp;" / "&amp;#REF!</f>
        <v>#REF!</v>
      </c>
    </row>
    <row r="137" spans="1:7" x14ac:dyDescent="0.25">
      <c r="A137" s="148">
        <v>128</v>
      </c>
      <c r="B137" s="149" t="e">
        <f>#REF!</f>
        <v>#REF!</v>
      </c>
      <c r="C137" s="150" t="e">
        <f>#REF!</f>
        <v>#REF!</v>
      </c>
      <c r="D137" s="151" t="e">
        <f>#REF!&amp;" "&amp;#REF!</f>
        <v>#REF!</v>
      </c>
      <c r="E137" s="151" t="e">
        <f>#REF!</f>
        <v>#REF!</v>
      </c>
      <c r="F137" s="151" t="e">
        <f>#REF!&amp;" / "&amp;#REF!</f>
        <v>#REF!</v>
      </c>
      <c r="G137" s="151" t="e">
        <f>#REF!&amp;" / "&amp;#REF!</f>
        <v>#REF!</v>
      </c>
    </row>
    <row r="138" spans="1:7" x14ac:dyDescent="0.25">
      <c r="A138" s="148">
        <v>129</v>
      </c>
      <c r="B138" s="149" t="e">
        <f>#REF!</f>
        <v>#REF!</v>
      </c>
      <c r="C138" s="150" t="e">
        <f>#REF!</f>
        <v>#REF!</v>
      </c>
      <c r="D138" s="151" t="e">
        <f>#REF!&amp;" "&amp;#REF!</f>
        <v>#REF!</v>
      </c>
      <c r="E138" s="151" t="e">
        <f>#REF!</f>
        <v>#REF!</v>
      </c>
      <c r="F138" s="151" t="e">
        <f>#REF!&amp;" / "&amp;#REF!</f>
        <v>#REF!</v>
      </c>
      <c r="G138" s="151" t="e">
        <f>#REF!&amp;" / "&amp;#REF!</f>
        <v>#REF!</v>
      </c>
    </row>
    <row r="139" spans="1:7" x14ac:dyDescent="0.25">
      <c r="A139" s="148">
        <v>130</v>
      </c>
      <c r="B139" s="149" t="e">
        <f>#REF!</f>
        <v>#REF!</v>
      </c>
      <c r="C139" s="150" t="e">
        <f>#REF!</f>
        <v>#REF!</v>
      </c>
      <c r="D139" s="151" t="e">
        <f>#REF!&amp;" "&amp;#REF!</f>
        <v>#REF!</v>
      </c>
      <c r="E139" s="151" t="e">
        <f>#REF!</f>
        <v>#REF!</v>
      </c>
      <c r="F139" s="151" t="e">
        <f>#REF!&amp;" / "&amp;#REF!</f>
        <v>#REF!</v>
      </c>
      <c r="G139" s="151" t="e">
        <f>#REF!&amp;" / "&amp;#REF!</f>
        <v>#REF!</v>
      </c>
    </row>
    <row r="140" spans="1:7" x14ac:dyDescent="0.25">
      <c r="A140" s="148">
        <v>131</v>
      </c>
      <c r="B140" s="149" t="e">
        <f>#REF!</f>
        <v>#REF!</v>
      </c>
      <c r="C140" s="150" t="e">
        <f>#REF!</f>
        <v>#REF!</v>
      </c>
      <c r="D140" s="151" t="e">
        <f>#REF!&amp;" "&amp;#REF!</f>
        <v>#REF!</v>
      </c>
      <c r="E140" s="151" t="e">
        <f>#REF!</f>
        <v>#REF!</v>
      </c>
      <c r="F140" s="151" t="e">
        <f>#REF!&amp;" / "&amp;#REF!</f>
        <v>#REF!</v>
      </c>
      <c r="G140" s="151" t="e">
        <f>#REF!&amp;" / "&amp;#REF!</f>
        <v>#REF!</v>
      </c>
    </row>
    <row r="141" spans="1:7" x14ac:dyDescent="0.25">
      <c r="A141" s="148">
        <v>132</v>
      </c>
      <c r="B141" s="149" t="e">
        <f>#REF!</f>
        <v>#REF!</v>
      </c>
      <c r="C141" s="150" t="e">
        <f>#REF!</f>
        <v>#REF!</v>
      </c>
      <c r="D141" s="151" t="e">
        <f>#REF!&amp;" "&amp;#REF!</f>
        <v>#REF!</v>
      </c>
      <c r="E141" s="151" t="e">
        <f>#REF!</f>
        <v>#REF!</v>
      </c>
      <c r="F141" s="151" t="e">
        <f>#REF!&amp;" / "&amp;#REF!</f>
        <v>#REF!</v>
      </c>
      <c r="G141" s="151" t="e">
        <f>#REF!&amp;" / "&amp;#REF!</f>
        <v>#REF!</v>
      </c>
    </row>
    <row r="142" spans="1:7" x14ac:dyDescent="0.25">
      <c r="A142" s="148">
        <v>133</v>
      </c>
      <c r="B142" s="149" t="e">
        <f>#REF!</f>
        <v>#REF!</v>
      </c>
      <c r="C142" s="150" t="e">
        <f>#REF!</f>
        <v>#REF!</v>
      </c>
      <c r="D142" s="151" t="e">
        <f>#REF!&amp;" "&amp;#REF!</f>
        <v>#REF!</v>
      </c>
      <c r="E142" s="151" t="e">
        <f>#REF!</f>
        <v>#REF!</v>
      </c>
      <c r="F142" s="151" t="e">
        <f>#REF!&amp;" / "&amp;#REF!</f>
        <v>#REF!</v>
      </c>
      <c r="G142" s="151" t="e">
        <f>#REF!&amp;" / "&amp;#REF!</f>
        <v>#REF!</v>
      </c>
    </row>
    <row r="143" spans="1:7" x14ac:dyDescent="0.25">
      <c r="A143" s="148">
        <v>134</v>
      </c>
      <c r="B143" s="149" t="e">
        <f>#REF!</f>
        <v>#REF!</v>
      </c>
      <c r="C143" s="150" t="e">
        <f>#REF!</f>
        <v>#REF!</v>
      </c>
      <c r="D143" s="151" t="e">
        <f>#REF!&amp;" "&amp;#REF!</f>
        <v>#REF!</v>
      </c>
      <c r="E143" s="151" t="e">
        <f>#REF!</f>
        <v>#REF!</v>
      </c>
      <c r="F143" s="151" t="e">
        <f>#REF!&amp;" / "&amp;#REF!</f>
        <v>#REF!</v>
      </c>
      <c r="G143" s="151" t="e">
        <f>#REF!&amp;" / "&amp;#REF!</f>
        <v>#REF!</v>
      </c>
    </row>
    <row r="144" spans="1:7" x14ac:dyDescent="0.25">
      <c r="A144" s="148">
        <v>135</v>
      </c>
      <c r="B144" s="149" t="e">
        <f>#REF!</f>
        <v>#REF!</v>
      </c>
      <c r="C144" s="150" t="e">
        <f>#REF!</f>
        <v>#REF!</v>
      </c>
      <c r="D144" s="151" t="e">
        <f>#REF!&amp;" "&amp;#REF!</f>
        <v>#REF!</v>
      </c>
      <c r="E144" s="151" t="e">
        <f>#REF!</f>
        <v>#REF!</v>
      </c>
      <c r="F144" s="151" t="e">
        <f>#REF!&amp;" / "&amp;#REF!</f>
        <v>#REF!</v>
      </c>
      <c r="G144" s="151" t="e">
        <f>#REF!&amp;" / "&amp;#REF!</f>
        <v>#REF!</v>
      </c>
    </row>
    <row r="145" spans="1:7" x14ac:dyDescent="0.25">
      <c r="A145" s="148">
        <v>136</v>
      </c>
      <c r="B145" s="149" t="e">
        <f>#REF!</f>
        <v>#REF!</v>
      </c>
      <c r="C145" s="150" t="e">
        <f>#REF!</f>
        <v>#REF!</v>
      </c>
      <c r="D145" s="151" t="e">
        <f>#REF!&amp;" "&amp;#REF!</f>
        <v>#REF!</v>
      </c>
      <c r="E145" s="151" t="e">
        <f>#REF!</f>
        <v>#REF!</v>
      </c>
      <c r="F145" s="151" t="e">
        <f>#REF!&amp;" / "&amp;#REF!</f>
        <v>#REF!</v>
      </c>
      <c r="G145" s="151" t="e">
        <f>#REF!&amp;" / "&amp;#REF!</f>
        <v>#REF!</v>
      </c>
    </row>
    <row r="146" spans="1:7" x14ac:dyDescent="0.25">
      <c r="A146" s="148">
        <v>137</v>
      </c>
      <c r="B146" s="149" t="e">
        <f>#REF!</f>
        <v>#REF!</v>
      </c>
      <c r="C146" s="150" t="e">
        <f>#REF!</f>
        <v>#REF!</v>
      </c>
      <c r="D146" s="151" t="e">
        <f>#REF!&amp;" "&amp;#REF!</f>
        <v>#REF!</v>
      </c>
      <c r="E146" s="151" t="e">
        <f>#REF!</f>
        <v>#REF!</v>
      </c>
      <c r="F146" s="151" t="e">
        <f>#REF!&amp;" / "&amp;#REF!</f>
        <v>#REF!</v>
      </c>
      <c r="G146" s="151" t="e">
        <f>#REF!&amp;" / "&amp;#REF!</f>
        <v>#REF!</v>
      </c>
    </row>
    <row r="147" spans="1:7" x14ac:dyDescent="0.25">
      <c r="A147" s="148">
        <v>138</v>
      </c>
      <c r="B147" s="149" t="e">
        <f>#REF!</f>
        <v>#REF!</v>
      </c>
      <c r="C147" s="150" t="e">
        <f>#REF!</f>
        <v>#REF!</v>
      </c>
      <c r="D147" s="151" t="e">
        <f>#REF!&amp;" "&amp;#REF!</f>
        <v>#REF!</v>
      </c>
      <c r="E147" s="151" t="e">
        <f>#REF!</f>
        <v>#REF!</v>
      </c>
      <c r="F147" s="151" t="e">
        <f>#REF!&amp;" / "&amp;#REF!</f>
        <v>#REF!</v>
      </c>
      <c r="G147" s="151" t="e">
        <f>#REF!&amp;" / "&amp;#REF!</f>
        <v>#REF!</v>
      </c>
    </row>
    <row r="148" spans="1:7" x14ac:dyDescent="0.25">
      <c r="A148" s="148">
        <v>139</v>
      </c>
      <c r="B148" s="149" t="e">
        <f>#REF!</f>
        <v>#REF!</v>
      </c>
      <c r="C148" s="150" t="e">
        <f>#REF!</f>
        <v>#REF!</v>
      </c>
      <c r="D148" s="151" t="e">
        <f>#REF!&amp;" "&amp;#REF!</f>
        <v>#REF!</v>
      </c>
      <c r="E148" s="151" t="e">
        <f>#REF!</f>
        <v>#REF!</v>
      </c>
      <c r="F148" s="151" t="e">
        <f>#REF!&amp;" / "&amp;#REF!</f>
        <v>#REF!</v>
      </c>
      <c r="G148" s="151" t="e">
        <f>#REF!&amp;" / "&amp;#REF!</f>
        <v>#REF!</v>
      </c>
    </row>
    <row r="149" spans="1:7" x14ac:dyDescent="0.25">
      <c r="A149" s="148">
        <v>140</v>
      </c>
      <c r="B149" s="149" t="e">
        <f>#REF!</f>
        <v>#REF!</v>
      </c>
      <c r="C149" s="150" t="e">
        <f>#REF!</f>
        <v>#REF!</v>
      </c>
      <c r="D149" s="151" t="e">
        <f>#REF!&amp;" "&amp;#REF!</f>
        <v>#REF!</v>
      </c>
      <c r="E149" s="151" t="e">
        <f>#REF!</f>
        <v>#REF!</v>
      </c>
      <c r="F149" s="151" t="e">
        <f>#REF!&amp;" / "&amp;#REF!</f>
        <v>#REF!</v>
      </c>
      <c r="G149" s="151" t="e">
        <f>#REF!&amp;" / "&amp;#REF!</f>
        <v>#REF!</v>
      </c>
    </row>
    <row r="150" spans="1:7" x14ac:dyDescent="0.25">
      <c r="A150" s="148">
        <v>141</v>
      </c>
      <c r="B150" s="149" t="e">
        <f>#REF!</f>
        <v>#REF!</v>
      </c>
      <c r="C150" s="150" t="e">
        <f>#REF!</f>
        <v>#REF!</v>
      </c>
      <c r="D150" s="151" t="e">
        <f>#REF!&amp;" "&amp;#REF!</f>
        <v>#REF!</v>
      </c>
      <c r="E150" s="151" t="e">
        <f>#REF!</f>
        <v>#REF!</v>
      </c>
      <c r="F150" s="151" t="e">
        <f>#REF!&amp;" / "&amp;#REF!</f>
        <v>#REF!</v>
      </c>
      <c r="G150" s="151" t="e">
        <f>#REF!&amp;" / "&amp;#REF!</f>
        <v>#REF!</v>
      </c>
    </row>
    <row r="151" spans="1:7" x14ac:dyDescent="0.25">
      <c r="A151" s="148">
        <v>142</v>
      </c>
      <c r="B151" s="149" t="e">
        <f>#REF!</f>
        <v>#REF!</v>
      </c>
      <c r="C151" s="150" t="e">
        <f>#REF!</f>
        <v>#REF!</v>
      </c>
      <c r="D151" s="151" t="e">
        <f>#REF!&amp;" "&amp;#REF!</f>
        <v>#REF!</v>
      </c>
      <c r="E151" s="151" t="e">
        <f>#REF!</f>
        <v>#REF!</v>
      </c>
      <c r="F151" s="151" t="e">
        <f>#REF!&amp;" / "&amp;#REF!</f>
        <v>#REF!</v>
      </c>
      <c r="G151" s="151" t="e">
        <f>#REF!&amp;" / "&amp;#REF!</f>
        <v>#REF!</v>
      </c>
    </row>
    <row r="152" spans="1:7" x14ac:dyDescent="0.25">
      <c r="A152" s="148">
        <v>143</v>
      </c>
      <c r="B152" s="149" t="e">
        <f>#REF!</f>
        <v>#REF!</v>
      </c>
      <c r="C152" s="150" t="e">
        <f>#REF!</f>
        <v>#REF!</v>
      </c>
      <c r="D152" s="151" t="e">
        <f>#REF!&amp;" "&amp;#REF!</f>
        <v>#REF!</v>
      </c>
      <c r="E152" s="151" t="e">
        <f>#REF!</f>
        <v>#REF!</v>
      </c>
      <c r="F152" s="151" t="e">
        <f>#REF!&amp;" / "&amp;#REF!</f>
        <v>#REF!</v>
      </c>
      <c r="G152" s="151" t="e">
        <f>#REF!&amp;" / "&amp;#REF!</f>
        <v>#REF!</v>
      </c>
    </row>
    <row r="153" spans="1:7" x14ac:dyDescent="0.25">
      <c r="A153" s="148">
        <v>144</v>
      </c>
      <c r="B153" s="149" t="e">
        <f>#REF!</f>
        <v>#REF!</v>
      </c>
      <c r="C153" s="150" t="e">
        <f>#REF!</f>
        <v>#REF!</v>
      </c>
      <c r="D153" s="151" t="e">
        <f>#REF!&amp;" "&amp;#REF!</f>
        <v>#REF!</v>
      </c>
      <c r="E153" s="151" t="e">
        <f>#REF!</f>
        <v>#REF!</v>
      </c>
      <c r="F153" s="151" t="e">
        <f>#REF!&amp;" / "&amp;#REF!</f>
        <v>#REF!</v>
      </c>
      <c r="G153" s="151" t="e">
        <f>#REF!&amp;" / "&amp;#REF!</f>
        <v>#REF!</v>
      </c>
    </row>
    <row r="154" spans="1:7" x14ac:dyDescent="0.25">
      <c r="A154" s="148">
        <v>145</v>
      </c>
      <c r="B154" s="149" t="e">
        <f>#REF!</f>
        <v>#REF!</v>
      </c>
      <c r="C154" s="150" t="e">
        <f>#REF!</f>
        <v>#REF!</v>
      </c>
      <c r="D154" s="151" t="e">
        <f>#REF!&amp;" "&amp;#REF!</f>
        <v>#REF!</v>
      </c>
      <c r="E154" s="151" t="e">
        <f>#REF!</f>
        <v>#REF!</v>
      </c>
      <c r="F154" s="151" t="e">
        <f>#REF!&amp;" / "&amp;#REF!</f>
        <v>#REF!</v>
      </c>
      <c r="G154" s="151" t="e">
        <f>#REF!&amp;" / "&amp;#REF!</f>
        <v>#REF!</v>
      </c>
    </row>
    <row r="155" spans="1:7" x14ac:dyDescent="0.25">
      <c r="A155" s="148">
        <v>146</v>
      </c>
      <c r="B155" s="149" t="e">
        <f>#REF!</f>
        <v>#REF!</v>
      </c>
      <c r="C155" s="150" t="e">
        <f>#REF!</f>
        <v>#REF!</v>
      </c>
      <c r="D155" s="151" t="e">
        <f>#REF!&amp;" "&amp;#REF!</f>
        <v>#REF!</v>
      </c>
      <c r="E155" s="151" t="e">
        <f>#REF!</f>
        <v>#REF!</v>
      </c>
      <c r="F155" s="151" t="e">
        <f>#REF!&amp;" / "&amp;#REF!</f>
        <v>#REF!</v>
      </c>
      <c r="G155" s="151" t="e">
        <f>#REF!&amp;" / "&amp;#REF!</f>
        <v>#REF!</v>
      </c>
    </row>
    <row r="156" spans="1:7" x14ac:dyDescent="0.25">
      <c r="A156" s="148">
        <v>147</v>
      </c>
      <c r="B156" s="149" t="e">
        <f>#REF!</f>
        <v>#REF!</v>
      </c>
      <c r="C156" s="150" t="e">
        <f>#REF!</f>
        <v>#REF!</v>
      </c>
      <c r="D156" s="151" t="e">
        <f>#REF!&amp;" "&amp;#REF!</f>
        <v>#REF!</v>
      </c>
      <c r="E156" s="151" t="e">
        <f>#REF!</f>
        <v>#REF!</v>
      </c>
      <c r="F156" s="151" t="e">
        <f>#REF!&amp;" / "&amp;#REF!</f>
        <v>#REF!</v>
      </c>
      <c r="G156" s="151" t="e">
        <f>#REF!&amp;" / "&amp;#REF!</f>
        <v>#REF!</v>
      </c>
    </row>
    <row r="157" spans="1:7" x14ac:dyDescent="0.25">
      <c r="A157" s="148">
        <v>148</v>
      </c>
      <c r="B157" s="149" t="e">
        <f>#REF!</f>
        <v>#REF!</v>
      </c>
      <c r="C157" s="150" t="e">
        <f>#REF!</f>
        <v>#REF!</v>
      </c>
      <c r="D157" s="151" t="e">
        <f>#REF!&amp;" "&amp;#REF!</f>
        <v>#REF!</v>
      </c>
      <c r="E157" s="151" t="e">
        <f>#REF!</f>
        <v>#REF!</v>
      </c>
      <c r="F157" s="151" t="e">
        <f>#REF!&amp;" / "&amp;#REF!</f>
        <v>#REF!</v>
      </c>
      <c r="G157" s="151" t="e">
        <f>#REF!&amp;" / "&amp;#REF!</f>
        <v>#REF!</v>
      </c>
    </row>
    <row r="158" spans="1:7" x14ac:dyDescent="0.25">
      <c r="A158" s="148">
        <v>149</v>
      </c>
      <c r="B158" s="149" t="e">
        <f>#REF!</f>
        <v>#REF!</v>
      </c>
      <c r="C158" s="150" t="e">
        <f>#REF!</f>
        <v>#REF!</v>
      </c>
      <c r="D158" s="151" t="e">
        <f>#REF!&amp;" "&amp;#REF!</f>
        <v>#REF!</v>
      </c>
      <c r="E158" s="151" t="e">
        <f>#REF!</f>
        <v>#REF!</v>
      </c>
      <c r="F158" s="151" t="e">
        <f>#REF!&amp;" / "&amp;#REF!</f>
        <v>#REF!</v>
      </c>
      <c r="G158" s="151" t="e">
        <f>#REF!&amp;" / "&amp;#REF!</f>
        <v>#REF!</v>
      </c>
    </row>
    <row r="159" spans="1:7" x14ac:dyDescent="0.25">
      <c r="A159" s="148">
        <v>150</v>
      </c>
      <c r="B159" s="149" t="e">
        <f>#REF!</f>
        <v>#REF!</v>
      </c>
      <c r="C159" s="150" t="e">
        <f>#REF!</f>
        <v>#REF!</v>
      </c>
      <c r="D159" s="151" t="e">
        <f>#REF!&amp;" "&amp;#REF!</f>
        <v>#REF!</v>
      </c>
      <c r="E159" s="151" t="e">
        <f>#REF!</f>
        <v>#REF!</v>
      </c>
      <c r="F159" s="151" t="e">
        <f>#REF!&amp;" / "&amp;#REF!</f>
        <v>#REF!</v>
      </c>
      <c r="G159" s="151" t="e">
        <f>#REF!&amp;" / "&amp;#REF!</f>
        <v>#REF!</v>
      </c>
    </row>
    <row r="160" spans="1:7" x14ac:dyDescent="0.25">
      <c r="A160" s="148">
        <v>151</v>
      </c>
      <c r="B160" s="149" t="e">
        <f>#REF!</f>
        <v>#REF!</v>
      </c>
      <c r="C160" s="150" t="e">
        <f>#REF!</f>
        <v>#REF!</v>
      </c>
      <c r="D160" s="151" t="e">
        <f>#REF!&amp;" "&amp;#REF!</f>
        <v>#REF!</v>
      </c>
      <c r="E160" s="151" t="e">
        <f>#REF!</f>
        <v>#REF!</v>
      </c>
      <c r="F160" s="151" t="e">
        <f>#REF!&amp;" / "&amp;#REF!</f>
        <v>#REF!</v>
      </c>
      <c r="G160" s="151" t="e">
        <f>#REF!&amp;" / "&amp;#REF!</f>
        <v>#REF!</v>
      </c>
    </row>
    <row r="161" spans="1:7" x14ac:dyDescent="0.25">
      <c r="A161" s="148">
        <v>152</v>
      </c>
      <c r="B161" s="149" t="e">
        <f>#REF!</f>
        <v>#REF!</v>
      </c>
      <c r="C161" s="150" t="e">
        <f>#REF!</f>
        <v>#REF!</v>
      </c>
      <c r="D161" s="151" t="e">
        <f>#REF!&amp;" "&amp;#REF!</f>
        <v>#REF!</v>
      </c>
      <c r="E161" s="151" t="e">
        <f>#REF!</f>
        <v>#REF!</v>
      </c>
      <c r="F161" s="151" t="e">
        <f>#REF!&amp;" / "&amp;#REF!</f>
        <v>#REF!</v>
      </c>
      <c r="G161" s="151" t="e">
        <f>#REF!&amp;" / "&amp;#REF!</f>
        <v>#REF!</v>
      </c>
    </row>
    <row r="162" spans="1:7" x14ac:dyDescent="0.25">
      <c r="A162" s="148">
        <v>153</v>
      </c>
      <c r="B162" s="149" t="e">
        <f>#REF!</f>
        <v>#REF!</v>
      </c>
      <c r="C162" s="150" t="e">
        <f>#REF!</f>
        <v>#REF!</v>
      </c>
      <c r="D162" s="151" t="e">
        <f>#REF!&amp;" "&amp;#REF!</f>
        <v>#REF!</v>
      </c>
      <c r="E162" s="151" t="e">
        <f>#REF!</f>
        <v>#REF!</v>
      </c>
      <c r="F162" s="151" t="e">
        <f>#REF!&amp;" / "&amp;#REF!</f>
        <v>#REF!</v>
      </c>
      <c r="G162" s="151" t="e">
        <f>#REF!&amp;" / "&amp;#REF!</f>
        <v>#REF!</v>
      </c>
    </row>
    <row r="163" spans="1:7" x14ac:dyDescent="0.25">
      <c r="A163" s="148">
        <v>154</v>
      </c>
      <c r="B163" s="149" t="e">
        <f>#REF!</f>
        <v>#REF!</v>
      </c>
      <c r="C163" s="150" t="e">
        <f>#REF!</f>
        <v>#REF!</v>
      </c>
      <c r="D163" s="151" t="e">
        <f>#REF!&amp;" "&amp;#REF!</f>
        <v>#REF!</v>
      </c>
      <c r="E163" s="151" t="e">
        <f>#REF!</f>
        <v>#REF!</v>
      </c>
      <c r="F163" s="151" t="e">
        <f>#REF!&amp;" / "&amp;#REF!</f>
        <v>#REF!</v>
      </c>
      <c r="G163" s="151" t="e">
        <f>#REF!&amp;" / "&amp;#REF!</f>
        <v>#REF!</v>
      </c>
    </row>
    <row r="164" spans="1:7" x14ac:dyDescent="0.25">
      <c r="A164" s="148">
        <v>155</v>
      </c>
      <c r="B164" s="149" t="e">
        <f>#REF!</f>
        <v>#REF!</v>
      </c>
      <c r="C164" s="150" t="e">
        <f>#REF!</f>
        <v>#REF!</v>
      </c>
      <c r="D164" s="151" t="e">
        <f>#REF!&amp;" "&amp;#REF!</f>
        <v>#REF!</v>
      </c>
      <c r="E164" s="151" t="e">
        <f>#REF!</f>
        <v>#REF!</v>
      </c>
      <c r="F164" s="151" t="e">
        <f>#REF!&amp;" / "&amp;#REF!</f>
        <v>#REF!</v>
      </c>
      <c r="G164" s="151" t="e">
        <f>#REF!&amp;" / "&amp;#REF!</f>
        <v>#REF!</v>
      </c>
    </row>
    <row r="165" spans="1:7" x14ac:dyDescent="0.25">
      <c r="A165" s="148">
        <v>156</v>
      </c>
      <c r="B165" s="149" t="e">
        <f>#REF!</f>
        <v>#REF!</v>
      </c>
      <c r="C165" s="150" t="e">
        <f>#REF!</f>
        <v>#REF!</v>
      </c>
      <c r="D165" s="151" t="e">
        <f>#REF!&amp;" "&amp;#REF!</f>
        <v>#REF!</v>
      </c>
      <c r="E165" s="151" t="e">
        <f>#REF!</f>
        <v>#REF!</v>
      </c>
      <c r="F165" s="151" t="e">
        <f>#REF!&amp;" / "&amp;#REF!</f>
        <v>#REF!</v>
      </c>
      <c r="G165" s="151" t="e">
        <f>#REF!&amp;" / "&amp;#REF!</f>
        <v>#REF!</v>
      </c>
    </row>
    <row r="166" spans="1:7" x14ac:dyDescent="0.25">
      <c r="A166" s="148">
        <v>157</v>
      </c>
      <c r="B166" s="149" t="e">
        <f>#REF!</f>
        <v>#REF!</v>
      </c>
      <c r="C166" s="150" t="e">
        <f>#REF!</f>
        <v>#REF!</v>
      </c>
      <c r="D166" s="151" t="e">
        <f>#REF!&amp;" "&amp;#REF!</f>
        <v>#REF!</v>
      </c>
      <c r="E166" s="151" t="e">
        <f>#REF!</f>
        <v>#REF!</v>
      </c>
      <c r="F166" s="151" t="e">
        <f>#REF!&amp;" / "&amp;#REF!</f>
        <v>#REF!</v>
      </c>
      <c r="G166" s="151" t="e">
        <f>#REF!&amp;" / "&amp;#REF!</f>
        <v>#REF!</v>
      </c>
    </row>
    <row r="167" spans="1:7" x14ac:dyDescent="0.25">
      <c r="A167" s="148">
        <v>158</v>
      </c>
      <c r="B167" s="149" t="e">
        <f>#REF!</f>
        <v>#REF!</v>
      </c>
      <c r="C167" s="150" t="e">
        <f>#REF!</f>
        <v>#REF!</v>
      </c>
      <c r="D167" s="151" t="e">
        <f>#REF!&amp;" "&amp;#REF!</f>
        <v>#REF!</v>
      </c>
      <c r="E167" s="151" t="e">
        <f>#REF!</f>
        <v>#REF!</v>
      </c>
      <c r="F167" s="151" t="e">
        <f>#REF!&amp;" / "&amp;#REF!</f>
        <v>#REF!</v>
      </c>
      <c r="G167" s="151" t="e">
        <f>#REF!&amp;" / "&amp;#REF!</f>
        <v>#REF!</v>
      </c>
    </row>
    <row r="168" spans="1:7" x14ac:dyDescent="0.25">
      <c r="A168" s="148">
        <v>159</v>
      </c>
      <c r="B168" s="149" t="e">
        <f>#REF!</f>
        <v>#REF!</v>
      </c>
      <c r="C168" s="150" t="e">
        <f>#REF!</f>
        <v>#REF!</v>
      </c>
      <c r="D168" s="151" t="e">
        <f>#REF!&amp;" "&amp;#REF!</f>
        <v>#REF!</v>
      </c>
      <c r="E168" s="151" t="e">
        <f>#REF!</f>
        <v>#REF!</v>
      </c>
      <c r="F168" s="151" t="e">
        <f>#REF!&amp;" / "&amp;#REF!</f>
        <v>#REF!</v>
      </c>
      <c r="G168" s="151" t="e">
        <f>#REF!&amp;" / "&amp;#REF!</f>
        <v>#REF!</v>
      </c>
    </row>
    <row r="169" spans="1:7" x14ac:dyDescent="0.25">
      <c r="A169" s="148">
        <v>160</v>
      </c>
      <c r="B169" s="149" t="e">
        <f>#REF!</f>
        <v>#REF!</v>
      </c>
      <c r="C169" s="150" t="e">
        <f>#REF!</f>
        <v>#REF!</v>
      </c>
      <c r="D169" s="151" t="e">
        <f>#REF!&amp;" "&amp;#REF!</f>
        <v>#REF!</v>
      </c>
      <c r="E169" s="151" t="e">
        <f>#REF!</f>
        <v>#REF!</v>
      </c>
      <c r="F169" s="151" t="e">
        <f>#REF!&amp;" / "&amp;#REF!</f>
        <v>#REF!</v>
      </c>
      <c r="G169" s="151" t="e">
        <f>#REF!&amp;" / "&amp;#REF!</f>
        <v>#REF!</v>
      </c>
    </row>
    <row r="170" spans="1:7" x14ac:dyDescent="0.25">
      <c r="A170" s="148">
        <v>161</v>
      </c>
      <c r="B170" s="149" t="e">
        <f>#REF!</f>
        <v>#REF!</v>
      </c>
      <c r="C170" s="150" t="e">
        <f>#REF!</f>
        <v>#REF!</v>
      </c>
      <c r="D170" s="151" t="e">
        <f>#REF!&amp;" "&amp;#REF!</f>
        <v>#REF!</v>
      </c>
      <c r="E170" s="151" t="e">
        <f>#REF!</f>
        <v>#REF!</v>
      </c>
      <c r="F170" s="151" t="e">
        <f>#REF!&amp;" / "&amp;#REF!</f>
        <v>#REF!</v>
      </c>
      <c r="G170" s="151" t="e">
        <f>#REF!&amp;" / "&amp;#REF!</f>
        <v>#REF!</v>
      </c>
    </row>
    <row r="171" spans="1:7" x14ac:dyDescent="0.25">
      <c r="A171" s="148">
        <v>162</v>
      </c>
      <c r="B171" s="149" t="e">
        <f>#REF!</f>
        <v>#REF!</v>
      </c>
      <c r="C171" s="150" t="e">
        <f>#REF!</f>
        <v>#REF!</v>
      </c>
      <c r="D171" s="151" t="e">
        <f>#REF!&amp;" "&amp;#REF!</f>
        <v>#REF!</v>
      </c>
      <c r="E171" s="151" t="e">
        <f>#REF!</f>
        <v>#REF!</v>
      </c>
      <c r="F171" s="151" t="e">
        <f>#REF!&amp;" / "&amp;#REF!</f>
        <v>#REF!</v>
      </c>
      <c r="G171" s="151" t="e">
        <f>#REF!&amp;" / "&amp;#REF!</f>
        <v>#REF!</v>
      </c>
    </row>
    <row r="172" spans="1:7" x14ac:dyDescent="0.25">
      <c r="A172" s="148">
        <v>163</v>
      </c>
      <c r="B172" s="149" t="e">
        <f>#REF!</f>
        <v>#REF!</v>
      </c>
      <c r="C172" s="150" t="e">
        <f>#REF!</f>
        <v>#REF!</v>
      </c>
      <c r="D172" s="151" t="e">
        <f>#REF!&amp;" "&amp;#REF!</f>
        <v>#REF!</v>
      </c>
      <c r="E172" s="151" t="e">
        <f>#REF!</f>
        <v>#REF!</v>
      </c>
      <c r="F172" s="151" t="e">
        <f>#REF!&amp;" / "&amp;#REF!</f>
        <v>#REF!</v>
      </c>
      <c r="G172" s="151" t="e">
        <f>#REF!&amp;" / "&amp;#REF!</f>
        <v>#REF!</v>
      </c>
    </row>
    <row r="173" spans="1:7" x14ac:dyDescent="0.25">
      <c r="A173" s="148">
        <v>164</v>
      </c>
      <c r="B173" s="149" t="e">
        <f>#REF!</f>
        <v>#REF!</v>
      </c>
      <c r="C173" s="150" t="e">
        <f>#REF!</f>
        <v>#REF!</v>
      </c>
      <c r="D173" s="151" t="e">
        <f>#REF!&amp;" "&amp;#REF!</f>
        <v>#REF!</v>
      </c>
      <c r="E173" s="151" t="e">
        <f>#REF!</f>
        <v>#REF!</v>
      </c>
      <c r="F173" s="151" t="e">
        <f>#REF!&amp;" / "&amp;#REF!</f>
        <v>#REF!</v>
      </c>
      <c r="G173" s="151" t="e">
        <f>#REF!&amp;" / "&amp;#REF!</f>
        <v>#REF!</v>
      </c>
    </row>
    <row r="174" spans="1:7" x14ac:dyDescent="0.25">
      <c r="A174" s="148">
        <v>165</v>
      </c>
      <c r="B174" s="149" t="e">
        <f>#REF!</f>
        <v>#REF!</v>
      </c>
      <c r="C174" s="150" t="e">
        <f>#REF!</f>
        <v>#REF!</v>
      </c>
      <c r="D174" s="151" t="e">
        <f>#REF!&amp;" "&amp;#REF!</f>
        <v>#REF!</v>
      </c>
      <c r="E174" s="151" t="e">
        <f>#REF!</f>
        <v>#REF!</v>
      </c>
      <c r="F174" s="151" t="e">
        <f>#REF!&amp;" / "&amp;#REF!</f>
        <v>#REF!</v>
      </c>
      <c r="G174" s="151" t="e">
        <f>#REF!&amp;" / "&amp;#REF!</f>
        <v>#REF!</v>
      </c>
    </row>
    <row r="175" spans="1:7" x14ac:dyDescent="0.25">
      <c r="A175" s="148">
        <v>166</v>
      </c>
      <c r="B175" s="149" t="e">
        <f>#REF!</f>
        <v>#REF!</v>
      </c>
      <c r="C175" s="150" t="e">
        <f>#REF!</f>
        <v>#REF!</v>
      </c>
      <c r="D175" s="151" t="e">
        <f>#REF!&amp;" "&amp;#REF!</f>
        <v>#REF!</v>
      </c>
      <c r="E175" s="151" t="e">
        <f>#REF!</f>
        <v>#REF!</v>
      </c>
      <c r="F175" s="151" t="e">
        <f>#REF!&amp;" / "&amp;#REF!</f>
        <v>#REF!</v>
      </c>
      <c r="G175" s="151" t="e">
        <f>#REF!&amp;" / "&amp;#REF!</f>
        <v>#REF!</v>
      </c>
    </row>
    <row r="176" spans="1:7" x14ac:dyDescent="0.25">
      <c r="A176" s="148">
        <v>167</v>
      </c>
      <c r="B176" s="149" t="e">
        <f>#REF!</f>
        <v>#REF!</v>
      </c>
      <c r="C176" s="150" t="e">
        <f>#REF!</f>
        <v>#REF!</v>
      </c>
      <c r="D176" s="151" t="e">
        <f>#REF!&amp;" "&amp;#REF!</f>
        <v>#REF!</v>
      </c>
      <c r="E176" s="151" t="e">
        <f>#REF!</f>
        <v>#REF!</v>
      </c>
      <c r="F176" s="151" t="e">
        <f>#REF!&amp;" / "&amp;#REF!</f>
        <v>#REF!</v>
      </c>
      <c r="G176" s="151" t="e">
        <f>#REF!&amp;" / "&amp;#REF!</f>
        <v>#REF!</v>
      </c>
    </row>
    <row r="177" spans="1:7" x14ac:dyDescent="0.25">
      <c r="A177" s="148">
        <v>168</v>
      </c>
      <c r="B177" s="149" t="e">
        <f>#REF!</f>
        <v>#REF!</v>
      </c>
      <c r="C177" s="150" t="e">
        <f>#REF!</f>
        <v>#REF!</v>
      </c>
      <c r="D177" s="151" t="e">
        <f>#REF!&amp;" "&amp;#REF!</f>
        <v>#REF!</v>
      </c>
      <c r="E177" s="151" t="e">
        <f>#REF!</f>
        <v>#REF!</v>
      </c>
      <c r="F177" s="151" t="e">
        <f>#REF!&amp;" / "&amp;#REF!</f>
        <v>#REF!</v>
      </c>
      <c r="G177" s="151" t="e">
        <f>#REF!&amp;" / "&amp;#REF!</f>
        <v>#REF!</v>
      </c>
    </row>
    <row r="178" spans="1:7" x14ac:dyDescent="0.25">
      <c r="A178" s="148">
        <v>169</v>
      </c>
      <c r="B178" s="149" t="e">
        <f>#REF!</f>
        <v>#REF!</v>
      </c>
      <c r="C178" s="150" t="e">
        <f>#REF!</f>
        <v>#REF!</v>
      </c>
      <c r="D178" s="151" t="e">
        <f>#REF!&amp;" "&amp;#REF!</f>
        <v>#REF!</v>
      </c>
      <c r="E178" s="151" t="e">
        <f>#REF!</f>
        <v>#REF!</v>
      </c>
      <c r="F178" s="151" t="e">
        <f>#REF!&amp;" / "&amp;#REF!</f>
        <v>#REF!</v>
      </c>
      <c r="G178" s="151" t="e">
        <f>#REF!&amp;" / "&amp;#REF!</f>
        <v>#REF!</v>
      </c>
    </row>
    <row r="179" spans="1:7" x14ac:dyDescent="0.25">
      <c r="A179" s="148">
        <v>170</v>
      </c>
      <c r="B179" s="149" t="e">
        <f>#REF!</f>
        <v>#REF!</v>
      </c>
      <c r="C179" s="150" t="e">
        <f>#REF!</f>
        <v>#REF!</v>
      </c>
      <c r="D179" s="151" t="e">
        <f>#REF!&amp;" "&amp;#REF!</f>
        <v>#REF!</v>
      </c>
      <c r="E179" s="151" t="e">
        <f>#REF!</f>
        <v>#REF!</v>
      </c>
      <c r="F179" s="151" t="e">
        <f>#REF!&amp;" / "&amp;#REF!</f>
        <v>#REF!</v>
      </c>
      <c r="G179" s="151" t="e">
        <f>#REF!&amp;" / "&amp;#REF!</f>
        <v>#REF!</v>
      </c>
    </row>
    <row r="180" spans="1:7" x14ac:dyDescent="0.25">
      <c r="A180" s="148">
        <v>171</v>
      </c>
      <c r="B180" s="149" t="e">
        <f>#REF!</f>
        <v>#REF!</v>
      </c>
      <c r="C180" s="150" t="e">
        <f>#REF!</f>
        <v>#REF!</v>
      </c>
      <c r="D180" s="151" t="e">
        <f>#REF!&amp;" "&amp;#REF!</f>
        <v>#REF!</v>
      </c>
      <c r="E180" s="151" t="e">
        <f>#REF!</f>
        <v>#REF!</v>
      </c>
      <c r="F180" s="151" t="e">
        <f>#REF!&amp;" / "&amp;#REF!</f>
        <v>#REF!</v>
      </c>
      <c r="G180" s="151" t="e">
        <f>#REF!&amp;" / "&amp;#REF!</f>
        <v>#REF!</v>
      </c>
    </row>
    <row r="181" spans="1:7" x14ac:dyDescent="0.25">
      <c r="A181" s="148">
        <v>172</v>
      </c>
      <c r="B181" s="149" t="e">
        <f>#REF!</f>
        <v>#REF!</v>
      </c>
      <c r="C181" s="150" t="e">
        <f>#REF!</f>
        <v>#REF!</v>
      </c>
      <c r="D181" s="151" t="e">
        <f>#REF!&amp;" "&amp;#REF!</f>
        <v>#REF!</v>
      </c>
      <c r="E181" s="151" t="e">
        <f>#REF!</f>
        <v>#REF!</v>
      </c>
      <c r="F181" s="151" t="e">
        <f>#REF!&amp;" / "&amp;#REF!</f>
        <v>#REF!</v>
      </c>
      <c r="G181" s="151" t="e">
        <f>#REF!&amp;" / "&amp;#REF!</f>
        <v>#REF!</v>
      </c>
    </row>
    <row r="182" spans="1:7" x14ac:dyDescent="0.25">
      <c r="A182" s="148">
        <v>173</v>
      </c>
      <c r="B182" s="149" t="e">
        <f>#REF!</f>
        <v>#REF!</v>
      </c>
      <c r="C182" s="150" t="e">
        <f>#REF!</f>
        <v>#REF!</v>
      </c>
      <c r="D182" s="151" t="e">
        <f>#REF!&amp;" "&amp;#REF!</f>
        <v>#REF!</v>
      </c>
      <c r="E182" s="151" t="e">
        <f>#REF!</f>
        <v>#REF!</v>
      </c>
      <c r="F182" s="151" t="e">
        <f>#REF!&amp;" / "&amp;#REF!</f>
        <v>#REF!</v>
      </c>
      <c r="G182" s="151" t="e">
        <f>#REF!&amp;" / "&amp;#REF!</f>
        <v>#REF!</v>
      </c>
    </row>
    <row r="183" spans="1:7" x14ac:dyDescent="0.25">
      <c r="A183" s="148">
        <v>174</v>
      </c>
      <c r="B183" s="149" t="e">
        <f>#REF!</f>
        <v>#REF!</v>
      </c>
      <c r="C183" s="150" t="e">
        <f>#REF!</f>
        <v>#REF!</v>
      </c>
      <c r="D183" s="151" t="e">
        <f>#REF!&amp;" "&amp;#REF!</f>
        <v>#REF!</v>
      </c>
      <c r="E183" s="151" t="e">
        <f>#REF!</f>
        <v>#REF!</v>
      </c>
      <c r="F183" s="151" t="e">
        <f>#REF!&amp;" / "&amp;#REF!</f>
        <v>#REF!</v>
      </c>
      <c r="G183" s="151" t="e">
        <f>#REF!&amp;" / "&amp;#REF!</f>
        <v>#REF!</v>
      </c>
    </row>
    <row r="184" spans="1:7" x14ac:dyDescent="0.25">
      <c r="A184" s="148">
        <v>175</v>
      </c>
      <c r="B184" s="149" t="e">
        <f>#REF!</f>
        <v>#REF!</v>
      </c>
      <c r="C184" s="150" t="e">
        <f>#REF!</f>
        <v>#REF!</v>
      </c>
      <c r="D184" s="151" t="e">
        <f>#REF!&amp;" "&amp;#REF!</f>
        <v>#REF!</v>
      </c>
      <c r="E184" s="151" t="e">
        <f>#REF!</f>
        <v>#REF!</v>
      </c>
      <c r="F184" s="151" t="e">
        <f>#REF!&amp;" / "&amp;#REF!</f>
        <v>#REF!</v>
      </c>
      <c r="G184" s="151" t="e">
        <f>#REF!&amp;" / "&amp;#REF!</f>
        <v>#REF!</v>
      </c>
    </row>
    <row r="185" spans="1:7" x14ac:dyDescent="0.25">
      <c r="A185" s="148">
        <v>176</v>
      </c>
      <c r="B185" s="149" t="e">
        <f>#REF!</f>
        <v>#REF!</v>
      </c>
      <c r="C185" s="150" t="e">
        <f>#REF!</f>
        <v>#REF!</v>
      </c>
      <c r="D185" s="151" t="e">
        <f>#REF!&amp;" "&amp;#REF!</f>
        <v>#REF!</v>
      </c>
      <c r="E185" s="151" t="e">
        <f>#REF!</f>
        <v>#REF!</v>
      </c>
      <c r="F185" s="151" t="e">
        <f>#REF!&amp;" / "&amp;#REF!</f>
        <v>#REF!</v>
      </c>
      <c r="G185" s="151" t="e">
        <f>#REF!&amp;" / "&amp;#REF!</f>
        <v>#REF!</v>
      </c>
    </row>
    <row r="186" spans="1:7" x14ac:dyDescent="0.25">
      <c r="A186" s="148">
        <v>177</v>
      </c>
      <c r="B186" s="149" t="e">
        <f>#REF!</f>
        <v>#REF!</v>
      </c>
      <c r="C186" s="150" t="e">
        <f>#REF!</f>
        <v>#REF!</v>
      </c>
      <c r="D186" s="151" t="e">
        <f>#REF!&amp;" "&amp;#REF!</f>
        <v>#REF!</v>
      </c>
      <c r="E186" s="151" t="e">
        <f>#REF!</f>
        <v>#REF!</v>
      </c>
      <c r="F186" s="151" t="e">
        <f>#REF!&amp;" / "&amp;#REF!</f>
        <v>#REF!</v>
      </c>
      <c r="G186" s="151" t="e">
        <f>#REF!&amp;" / "&amp;#REF!</f>
        <v>#REF!</v>
      </c>
    </row>
    <row r="187" spans="1:7" x14ac:dyDescent="0.25">
      <c r="A187" s="148">
        <v>178</v>
      </c>
      <c r="B187" s="149" t="e">
        <f>#REF!</f>
        <v>#REF!</v>
      </c>
      <c r="C187" s="150" t="e">
        <f>#REF!</f>
        <v>#REF!</v>
      </c>
      <c r="D187" s="151" t="e">
        <f>#REF!&amp;" "&amp;#REF!</f>
        <v>#REF!</v>
      </c>
      <c r="E187" s="151" t="e">
        <f>#REF!</f>
        <v>#REF!</v>
      </c>
      <c r="F187" s="151" t="e">
        <f>#REF!&amp;" / "&amp;#REF!</f>
        <v>#REF!</v>
      </c>
      <c r="G187" s="151" t="e">
        <f>#REF!&amp;" / "&amp;#REF!</f>
        <v>#REF!</v>
      </c>
    </row>
    <row r="188" spans="1:7" x14ac:dyDescent="0.25">
      <c r="A188" s="148">
        <v>179</v>
      </c>
      <c r="B188" s="149" t="e">
        <f>#REF!</f>
        <v>#REF!</v>
      </c>
      <c r="C188" s="150" t="e">
        <f>#REF!</f>
        <v>#REF!</v>
      </c>
      <c r="D188" s="151" t="e">
        <f>#REF!&amp;" "&amp;#REF!</f>
        <v>#REF!</v>
      </c>
      <c r="E188" s="151" t="e">
        <f>#REF!</f>
        <v>#REF!</v>
      </c>
      <c r="F188" s="151" t="e">
        <f>#REF!&amp;" / "&amp;#REF!</f>
        <v>#REF!</v>
      </c>
      <c r="G188" s="151" t="e">
        <f>#REF!&amp;" / "&amp;#REF!</f>
        <v>#REF!</v>
      </c>
    </row>
    <row r="189" spans="1:7" x14ac:dyDescent="0.25">
      <c r="A189" s="148">
        <v>180</v>
      </c>
      <c r="B189" s="149" t="e">
        <f>#REF!</f>
        <v>#REF!</v>
      </c>
      <c r="C189" s="150" t="e">
        <f>#REF!</f>
        <v>#REF!</v>
      </c>
      <c r="D189" s="151" t="e">
        <f>#REF!&amp;" "&amp;#REF!</f>
        <v>#REF!</v>
      </c>
      <c r="E189" s="151" t="e">
        <f>#REF!</f>
        <v>#REF!</v>
      </c>
      <c r="F189" s="151" t="e">
        <f>#REF!&amp;" / "&amp;#REF!</f>
        <v>#REF!</v>
      </c>
      <c r="G189" s="151" t="e">
        <f>#REF!&amp;" / "&amp;#REF!</f>
        <v>#REF!</v>
      </c>
    </row>
    <row r="190" spans="1:7" x14ac:dyDescent="0.25">
      <c r="A190" s="148">
        <v>181</v>
      </c>
      <c r="B190" s="149" t="e">
        <f>#REF!</f>
        <v>#REF!</v>
      </c>
      <c r="C190" s="150" t="e">
        <f>#REF!</f>
        <v>#REF!</v>
      </c>
      <c r="D190" s="151" t="e">
        <f>#REF!&amp;" "&amp;#REF!</f>
        <v>#REF!</v>
      </c>
      <c r="E190" s="151" t="e">
        <f>#REF!</f>
        <v>#REF!</v>
      </c>
      <c r="F190" s="151" t="e">
        <f>#REF!&amp;" / "&amp;#REF!</f>
        <v>#REF!</v>
      </c>
      <c r="G190" s="151" t="e">
        <f>#REF!&amp;" / "&amp;#REF!</f>
        <v>#REF!</v>
      </c>
    </row>
    <row r="191" spans="1:7" x14ac:dyDescent="0.25">
      <c r="A191" s="148">
        <v>182</v>
      </c>
      <c r="B191" s="149" t="e">
        <f>#REF!</f>
        <v>#REF!</v>
      </c>
      <c r="C191" s="150" t="e">
        <f>#REF!</f>
        <v>#REF!</v>
      </c>
      <c r="D191" s="151" t="e">
        <f>#REF!&amp;" "&amp;#REF!</f>
        <v>#REF!</v>
      </c>
      <c r="E191" s="151" t="e">
        <f>#REF!</f>
        <v>#REF!</v>
      </c>
      <c r="F191" s="151" t="e">
        <f>#REF!&amp;" / "&amp;#REF!</f>
        <v>#REF!</v>
      </c>
      <c r="G191" s="151" t="e">
        <f>#REF!&amp;" / "&amp;#REF!</f>
        <v>#REF!</v>
      </c>
    </row>
    <row r="192" spans="1:7" x14ac:dyDescent="0.25">
      <c r="A192" s="148">
        <v>183</v>
      </c>
      <c r="B192" s="149" t="e">
        <f>#REF!</f>
        <v>#REF!</v>
      </c>
      <c r="C192" s="150" t="e">
        <f>#REF!</f>
        <v>#REF!</v>
      </c>
      <c r="D192" s="151" t="e">
        <f>#REF!&amp;" "&amp;#REF!</f>
        <v>#REF!</v>
      </c>
      <c r="E192" s="151" t="e">
        <f>#REF!</f>
        <v>#REF!</v>
      </c>
      <c r="F192" s="151" t="e">
        <f>#REF!&amp;" / "&amp;#REF!</f>
        <v>#REF!</v>
      </c>
      <c r="G192" s="151" t="e">
        <f>#REF!&amp;" / "&amp;#REF!</f>
        <v>#REF!</v>
      </c>
    </row>
    <row r="193" spans="1:7" x14ac:dyDescent="0.25">
      <c r="A193" s="148">
        <v>184</v>
      </c>
      <c r="B193" s="149" t="e">
        <f>#REF!</f>
        <v>#REF!</v>
      </c>
      <c r="C193" s="150" t="e">
        <f>#REF!</f>
        <v>#REF!</v>
      </c>
      <c r="D193" s="151" t="e">
        <f>#REF!&amp;" "&amp;#REF!</f>
        <v>#REF!</v>
      </c>
      <c r="E193" s="151" t="e">
        <f>#REF!</f>
        <v>#REF!</v>
      </c>
      <c r="F193" s="151" t="e">
        <f>#REF!&amp;" / "&amp;#REF!</f>
        <v>#REF!</v>
      </c>
      <c r="G193" s="151" t="e">
        <f>#REF!&amp;" / "&amp;#REF!</f>
        <v>#REF!</v>
      </c>
    </row>
    <row r="194" spans="1:7" x14ac:dyDescent="0.25">
      <c r="A194" s="148">
        <v>185</v>
      </c>
      <c r="B194" s="149" t="e">
        <f>#REF!</f>
        <v>#REF!</v>
      </c>
      <c r="C194" s="150" t="e">
        <f>#REF!</f>
        <v>#REF!</v>
      </c>
      <c r="D194" s="151" t="e">
        <f>#REF!&amp;" "&amp;#REF!</f>
        <v>#REF!</v>
      </c>
      <c r="E194" s="151" t="e">
        <f>#REF!</f>
        <v>#REF!</v>
      </c>
      <c r="F194" s="151" t="e">
        <f>#REF!&amp;" / "&amp;#REF!</f>
        <v>#REF!</v>
      </c>
      <c r="G194" s="151" t="e">
        <f>#REF!&amp;" / "&amp;#REF!</f>
        <v>#REF!</v>
      </c>
    </row>
    <row r="195" spans="1:7" x14ac:dyDescent="0.25">
      <c r="A195" s="148">
        <v>186</v>
      </c>
      <c r="B195" s="149" t="e">
        <f>#REF!</f>
        <v>#REF!</v>
      </c>
      <c r="C195" s="150" t="e">
        <f>#REF!</f>
        <v>#REF!</v>
      </c>
      <c r="D195" s="151" t="e">
        <f>#REF!&amp;" "&amp;#REF!</f>
        <v>#REF!</v>
      </c>
      <c r="E195" s="151" t="e">
        <f>#REF!</f>
        <v>#REF!</v>
      </c>
      <c r="F195" s="151" t="e">
        <f>#REF!&amp;" / "&amp;#REF!</f>
        <v>#REF!</v>
      </c>
      <c r="G195" s="151" t="e">
        <f>#REF!&amp;" / "&amp;#REF!</f>
        <v>#REF!</v>
      </c>
    </row>
    <row r="196" spans="1:7" x14ac:dyDescent="0.25">
      <c r="A196" s="148">
        <v>187</v>
      </c>
      <c r="B196" s="149" t="e">
        <f>#REF!</f>
        <v>#REF!</v>
      </c>
      <c r="C196" s="150" t="e">
        <f>#REF!</f>
        <v>#REF!</v>
      </c>
      <c r="D196" s="151" t="e">
        <f>#REF!&amp;" "&amp;#REF!</f>
        <v>#REF!</v>
      </c>
      <c r="E196" s="151" t="e">
        <f>#REF!</f>
        <v>#REF!</v>
      </c>
      <c r="F196" s="151" t="e">
        <f>#REF!&amp;" / "&amp;#REF!</f>
        <v>#REF!</v>
      </c>
      <c r="G196" s="151" t="e">
        <f>#REF!&amp;" / "&amp;#REF!</f>
        <v>#REF!</v>
      </c>
    </row>
    <row r="197" spans="1:7" x14ac:dyDescent="0.25">
      <c r="A197" s="148">
        <v>188</v>
      </c>
      <c r="B197" s="149" t="e">
        <f>#REF!</f>
        <v>#REF!</v>
      </c>
      <c r="C197" s="150" t="e">
        <f>#REF!</f>
        <v>#REF!</v>
      </c>
      <c r="D197" s="151" t="e">
        <f>#REF!&amp;" "&amp;#REF!</f>
        <v>#REF!</v>
      </c>
      <c r="E197" s="151" t="e">
        <f>#REF!</f>
        <v>#REF!</v>
      </c>
      <c r="F197" s="151" t="e">
        <f>#REF!&amp;" / "&amp;#REF!</f>
        <v>#REF!</v>
      </c>
      <c r="G197" s="151" t="e">
        <f>#REF!&amp;" / "&amp;#REF!</f>
        <v>#REF!</v>
      </c>
    </row>
    <row r="198" spans="1:7" x14ac:dyDescent="0.25">
      <c r="A198" s="148">
        <v>189</v>
      </c>
      <c r="B198" s="149" t="e">
        <f>#REF!</f>
        <v>#REF!</v>
      </c>
      <c r="C198" s="150" t="e">
        <f>#REF!</f>
        <v>#REF!</v>
      </c>
      <c r="D198" s="151" t="e">
        <f>#REF!&amp;" "&amp;#REF!</f>
        <v>#REF!</v>
      </c>
      <c r="E198" s="151" t="e">
        <f>#REF!</f>
        <v>#REF!</v>
      </c>
      <c r="F198" s="151" t="e">
        <f>#REF!&amp;" / "&amp;#REF!</f>
        <v>#REF!</v>
      </c>
      <c r="G198" s="151" t="e">
        <f>#REF!&amp;" / "&amp;#REF!</f>
        <v>#REF!</v>
      </c>
    </row>
    <row r="199" spans="1:7" x14ac:dyDescent="0.25">
      <c r="A199" s="148">
        <v>190</v>
      </c>
      <c r="B199" s="149" t="e">
        <f>#REF!</f>
        <v>#REF!</v>
      </c>
      <c r="C199" s="150" t="e">
        <f>#REF!</f>
        <v>#REF!</v>
      </c>
      <c r="D199" s="151" t="e">
        <f>#REF!&amp;" "&amp;#REF!</f>
        <v>#REF!</v>
      </c>
      <c r="E199" s="151" t="e">
        <f>#REF!</f>
        <v>#REF!</v>
      </c>
      <c r="F199" s="151" t="e">
        <f>#REF!&amp;" / "&amp;#REF!</f>
        <v>#REF!</v>
      </c>
      <c r="G199" s="151" t="e">
        <f>#REF!&amp;" / "&amp;#REF!</f>
        <v>#REF!</v>
      </c>
    </row>
    <row r="200" spans="1:7" x14ac:dyDescent="0.25">
      <c r="A200" s="148">
        <v>191</v>
      </c>
      <c r="B200" s="149" t="e">
        <f>#REF!</f>
        <v>#REF!</v>
      </c>
      <c r="C200" s="150" t="e">
        <f>#REF!</f>
        <v>#REF!</v>
      </c>
      <c r="D200" s="151" t="e">
        <f>#REF!&amp;" "&amp;#REF!</f>
        <v>#REF!</v>
      </c>
      <c r="E200" s="151" t="e">
        <f>#REF!</f>
        <v>#REF!</v>
      </c>
      <c r="F200" s="151" t="e">
        <f>#REF!&amp;" / "&amp;#REF!</f>
        <v>#REF!</v>
      </c>
      <c r="G200" s="151" t="e">
        <f>#REF!&amp;" / "&amp;#REF!</f>
        <v>#REF!</v>
      </c>
    </row>
    <row r="201" spans="1:7" x14ac:dyDescent="0.25">
      <c r="A201" s="148">
        <v>192</v>
      </c>
      <c r="B201" s="149" t="e">
        <f>#REF!</f>
        <v>#REF!</v>
      </c>
      <c r="C201" s="150" t="e">
        <f>#REF!</f>
        <v>#REF!</v>
      </c>
      <c r="D201" s="151" t="e">
        <f>#REF!&amp;" "&amp;#REF!</f>
        <v>#REF!</v>
      </c>
      <c r="E201" s="151" t="e">
        <f>#REF!</f>
        <v>#REF!</v>
      </c>
      <c r="F201" s="151" t="e">
        <f>#REF!&amp;" / "&amp;#REF!</f>
        <v>#REF!</v>
      </c>
      <c r="G201" s="151" t="e">
        <f>#REF!&amp;" / "&amp;#REF!</f>
        <v>#REF!</v>
      </c>
    </row>
    <row r="202" spans="1:7" x14ac:dyDescent="0.25">
      <c r="A202" s="148">
        <v>193</v>
      </c>
      <c r="B202" s="149" t="e">
        <f>#REF!</f>
        <v>#REF!</v>
      </c>
      <c r="C202" s="150" t="e">
        <f>#REF!</f>
        <v>#REF!</v>
      </c>
      <c r="D202" s="151" t="e">
        <f>#REF!&amp;" "&amp;#REF!</f>
        <v>#REF!</v>
      </c>
      <c r="E202" s="151" t="e">
        <f>#REF!</f>
        <v>#REF!</v>
      </c>
      <c r="F202" s="151" t="e">
        <f>#REF!&amp;" / "&amp;#REF!</f>
        <v>#REF!</v>
      </c>
      <c r="G202" s="151" t="e">
        <f>#REF!&amp;" / "&amp;#REF!</f>
        <v>#REF!</v>
      </c>
    </row>
    <row r="203" spans="1:7" x14ac:dyDescent="0.25">
      <c r="A203" s="148">
        <v>194</v>
      </c>
      <c r="B203" s="149" t="e">
        <f>#REF!</f>
        <v>#REF!</v>
      </c>
      <c r="C203" s="150" t="e">
        <f>#REF!</f>
        <v>#REF!</v>
      </c>
      <c r="D203" s="151" t="e">
        <f>#REF!&amp;" "&amp;#REF!</f>
        <v>#REF!</v>
      </c>
      <c r="E203" s="151" t="e">
        <f>#REF!</f>
        <v>#REF!</v>
      </c>
      <c r="F203" s="151" t="e">
        <f>#REF!&amp;" / "&amp;#REF!</f>
        <v>#REF!</v>
      </c>
      <c r="G203" s="151" t="e">
        <f>#REF!&amp;" / "&amp;#REF!</f>
        <v>#REF!</v>
      </c>
    </row>
    <row r="204" spans="1:7" x14ac:dyDescent="0.25">
      <c r="A204" s="148">
        <v>195</v>
      </c>
      <c r="B204" s="149" t="e">
        <f>#REF!</f>
        <v>#REF!</v>
      </c>
      <c r="C204" s="150" t="e">
        <f>#REF!</f>
        <v>#REF!</v>
      </c>
      <c r="D204" s="151" t="e">
        <f>#REF!&amp;" "&amp;#REF!</f>
        <v>#REF!</v>
      </c>
      <c r="E204" s="151" t="e">
        <f>#REF!</f>
        <v>#REF!</v>
      </c>
      <c r="F204" s="151" t="e">
        <f>#REF!&amp;" / "&amp;#REF!</f>
        <v>#REF!</v>
      </c>
      <c r="G204" s="151" t="e">
        <f>#REF!&amp;" / "&amp;#REF!</f>
        <v>#REF!</v>
      </c>
    </row>
    <row r="205" spans="1:7" x14ac:dyDescent="0.25">
      <c r="A205" s="148">
        <v>196</v>
      </c>
      <c r="B205" s="149" t="e">
        <f>#REF!</f>
        <v>#REF!</v>
      </c>
      <c r="C205" s="150" t="e">
        <f>#REF!</f>
        <v>#REF!</v>
      </c>
      <c r="D205" s="151" t="e">
        <f>#REF!&amp;" "&amp;#REF!</f>
        <v>#REF!</v>
      </c>
      <c r="E205" s="151" t="e">
        <f>#REF!</f>
        <v>#REF!</v>
      </c>
      <c r="F205" s="151" t="e">
        <f>#REF!&amp;" / "&amp;#REF!</f>
        <v>#REF!</v>
      </c>
      <c r="G205" s="151" t="e">
        <f>#REF!&amp;" / "&amp;#REF!</f>
        <v>#REF!</v>
      </c>
    </row>
    <row r="206" spans="1:7" x14ac:dyDescent="0.25">
      <c r="A206" s="148">
        <v>197</v>
      </c>
      <c r="B206" s="149" t="e">
        <f>#REF!</f>
        <v>#REF!</v>
      </c>
      <c r="C206" s="150" t="e">
        <f>#REF!</f>
        <v>#REF!</v>
      </c>
      <c r="D206" s="151" t="e">
        <f>#REF!&amp;" "&amp;#REF!</f>
        <v>#REF!</v>
      </c>
      <c r="E206" s="151" t="e">
        <f>#REF!</f>
        <v>#REF!</v>
      </c>
      <c r="F206" s="151" t="e">
        <f>#REF!&amp;" / "&amp;#REF!</f>
        <v>#REF!</v>
      </c>
      <c r="G206" s="151" t="e">
        <f>#REF!&amp;" / "&amp;#REF!</f>
        <v>#REF!</v>
      </c>
    </row>
    <row r="207" spans="1:7" x14ac:dyDescent="0.25">
      <c r="A207" s="148">
        <v>198</v>
      </c>
      <c r="B207" s="149" t="e">
        <f>#REF!</f>
        <v>#REF!</v>
      </c>
      <c r="C207" s="150" t="e">
        <f>#REF!</f>
        <v>#REF!</v>
      </c>
      <c r="D207" s="151" t="e">
        <f>#REF!&amp;" "&amp;#REF!</f>
        <v>#REF!</v>
      </c>
      <c r="E207" s="151" t="e">
        <f>#REF!</f>
        <v>#REF!</v>
      </c>
      <c r="F207" s="151" t="e">
        <f>#REF!&amp;" / "&amp;#REF!</f>
        <v>#REF!</v>
      </c>
      <c r="G207" s="151" t="e">
        <f>#REF!&amp;" / "&amp;#REF!</f>
        <v>#REF!</v>
      </c>
    </row>
    <row r="208" spans="1:7" x14ac:dyDescent="0.25">
      <c r="A208" s="148">
        <v>199</v>
      </c>
      <c r="B208" s="149" t="e">
        <f>#REF!</f>
        <v>#REF!</v>
      </c>
      <c r="C208" s="150" t="e">
        <f>#REF!</f>
        <v>#REF!</v>
      </c>
      <c r="D208" s="151" t="e">
        <f>#REF!&amp;" "&amp;#REF!</f>
        <v>#REF!</v>
      </c>
      <c r="E208" s="151" t="e">
        <f>#REF!</f>
        <v>#REF!</v>
      </c>
      <c r="F208" s="151" t="e">
        <f>#REF!&amp;" / "&amp;#REF!</f>
        <v>#REF!</v>
      </c>
      <c r="G208" s="151" t="e">
        <f>#REF!&amp;" / "&amp;#REF!</f>
        <v>#REF!</v>
      </c>
    </row>
    <row r="209" spans="1:7" x14ac:dyDescent="0.25">
      <c r="A209" s="148">
        <v>200</v>
      </c>
      <c r="B209" s="149" t="e">
        <f>#REF!</f>
        <v>#REF!</v>
      </c>
      <c r="C209" s="150" t="e">
        <f>#REF!</f>
        <v>#REF!</v>
      </c>
      <c r="D209" s="151" t="e">
        <f>#REF!&amp;" "&amp;#REF!</f>
        <v>#REF!</v>
      </c>
      <c r="E209" s="151" t="e">
        <f>#REF!</f>
        <v>#REF!</v>
      </c>
      <c r="F209" s="151" t="e">
        <f>#REF!&amp;" / "&amp;#REF!</f>
        <v>#REF!</v>
      </c>
      <c r="G209" s="151" t="e">
        <f>#REF!&amp;" / "&amp;#REF!</f>
        <v>#REF!</v>
      </c>
    </row>
    <row r="210" spans="1:7" x14ac:dyDescent="0.25">
      <c r="A210" s="148">
        <v>201</v>
      </c>
      <c r="B210" s="149" t="e">
        <f>#REF!</f>
        <v>#REF!</v>
      </c>
      <c r="C210" s="150" t="e">
        <f>#REF!</f>
        <v>#REF!</v>
      </c>
      <c r="D210" s="151" t="e">
        <f>#REF!&amp;" "&amp;#REF!</f>
        <v>#REF!</v>
      </c>
      <c r="E210" s="151" t="e">
        <f>#REF!</f>
        <v>#REF!</v>
      </c>
      <c r="F210" s="151" t="e">
        <f>#REF!&amp;" / "&amp;#REF!</f>
        <v>#REF!</v>
      </c>
      <c r="G210" s="151" t="e">
        <f>#REF!&amp;" / "&amp;#REF!</f>
        <v>#REF!</v>
      </c>
    </row>
    <row r="211" spans="1:7" x14ac:dyDescent="0.25">
      <c r="A211" s="148">
        <v>202</v>
      </c>
      <c r="B211" s="149" t="e">
        <f>#REF!</f>
        <v>#REF!</v>
      </c>
      <c r="C211" s="150" t="e">
        <f>#REF!</f>
        <v>#REF!</v>
      </c>
      <c r="D211" s="151" t="e">
        <f>#REF!&amp;" "&amp;#REF!</f>
        <v>#REF!</v>
      </c>
      <c r="E211" s="151" t="e">
        <f>#REF!</f>
        <v>#REF!</v>
      </c>
      <c r="F211" s="151" t="e">
        <f>#REF!&amp;" / "&amp;#REF!</f>
        <v>#REF!</v>
      </c>
      <c r="G211" s="151" t="e">
        <f>#REF!&amp;" / "&amp;#REF!</f>
        <v>#REF!</v>
      </c>
    </row>
    <row r="212" spans="1:7" x14ac:dyDescent="0.25">
      <c r="A212" s="148">
        <v>203</v>
      </c>
      <c r="B212" s="149" t="e">
        <f>#REF!</f>
        <v>#REF!</v>
      </c>
      <c r="C212" s="150" t="e">
        <f>#REF!</f>
        <v>#REF!</v>
      </c>
      <c r="D212" s="151" t="e">
        <f>#REF!&amp;" "&amp;#REF!</f>
        <v>#REF!</v>
      </c>
      <c r="E212" s="151" t="e">
        <f>#REF!</f>
        <v>#REF!</v>
      </c>
      <c r="F212" s="151" t="e">
        <f>#REF!&amp;" / "&amp;#REF!</f>
        <v>#REF!</v>
      </c>
      <c r="G212" s="151" t="e">
        <f>#REF!&amp;" / "&amp;#REF!</f>
        <v>#REF!</v>
      </c>
    </row>
    <row r="213" spans="1:7" x14ac:dyDescent="0.25">
      <c r="A213" s="148">
        <v>204</v>
      </c>
      <c r="B213" s="149" t="e">
        <f>#REF!</f>
        <v>#REF!</v>
      </c>
      <c r="C213" s="150" t="e">
        <f>#REF!</f>
        <v>#REF!</v>
      </c>
      <c r="D213" s="151" t="e">
        <f>#REF!&amp;" "&amp;#REF!</f>
        <v>#REF!</v>
      </c>
      <c r="E213" s="151" t="e">
        <f>#REF!</f>
        <v>#REF!</v>
      </c>
      <c r="F213" s="151" t="e">
        <f>#REF!&amp;" / "&amp;#REF!</f>
        <v>#REF!</v>
      </c>
      <c r="G213" s="151" t="e">
        <f>#REF!&amp;" / "&amp;#REF!</f>
        <v>#REF!</v>
      </c>
    </row>
    <row r="214" spans="1:7" x14ac:dyDescent="0.25">
      <c r="A214" s="148">
        <v>205</v>
      </c>
      <c r="B214" s="149" t="e">
        <f>#REF!</f>
        <v>#REF!</v>
      </c>
      <c r="C214" s="150" t="e">
        <f>#REF!</f>
        <v>#REF!</v>
      </c>
      <c r="D214" s="151" t="e">
        <f>#REF!&amp;" "&amp;#REF!</f>
        <v>#REF!</v>
      </c>
      <c r="E214" s="151" t="e">
        <f>#REF!</f>
        <v>#REF!</v>
      </c>
      <c r="F214" s="151" t="e">
        <f>#REF!&amp;" / "&amp;#REF!</f>
        <v>#REF!</v>
      </c>
      <c r="G214" s="151" t="e">
        <f>#REF!&amp;" / "&amp;#REF!</f>
        <v>#REF!</v>
      </c>
    </row>
    <row r="215" spans="1:7" x14ac:dyDescent="0.25">
      <c r="A215" s="148">
        <v>206</v>
      </c>
      <c r="B215" s="149" t="e">
        <f>#REF!</f>
        <v>#REF!</v>
      </c>
      <c r="C215" s="150" t="e">
        <f>#REF!</f>
        <v>#REF!</v>
      </c>
      <c r="D215" s="151" t="e">
        <f>#REF!&amp;" "&amp;#REF!</f>
        <v>#REF!</v>
      </c>
      <c r="E215" s="151" t="e">
        <f>#REF!</f>
        <v>#REF!</v>
      </c>
      <c r="F215" s="151" t="e">
        <f>#REF!&amp;" / "&amp;#REF!</f>
        <v>#REF!</v>
      </c>
      <c r="G215" s="151" t="e">
        <f>#REF!&amp;" / "&amp;#REF!</f>
        <v>#REF!</v>
      </c>
    </row>
    <row r="216" spans="1:7" x14ac:dyDescent="0.25">
      <c r="A216" s="148">
        <v>207</v>
      </c>
      <c r="B216" s="149" t="e">
        <f>#REF!</f>
        <v>#REF!</v>
      </c>
      <c r="C216" s="150" t="e">
        <f>#REF!</f>
        <v>#REF!</v>
      </c>
      <c r="D216" s="151" t="e">
        <f>#REF!&amp;" "&amp;#REF!</f>
        <v>#REF!</v>
      </c>
      <c r="E216" s="151" t="e">
        <f>#REF!</f>
        <v>#REF!</v>
      </c>
      <c r="F216" s="151" t="e">
        <f>#REF!&amp;" / "&amp;#REF!</f>
        <v>#REF!</v>
      </c>
      <c r="G216" s="151" t="e">
        <f>#REF!&amp;" / "&amp;#REF!</f>
        <v>#REF!</v>
      </c>
    </row>
    <row r="217" spans="1:7" x14ac:dyDescent="0.25">
      <c r="A217" s="148">
        <v>208</v>
      </c>
      <c r="B217" s="149" t="e">
        <f>#REF!</f>
        <v>#REF!</v>
      </c>
      <c r="C217" s="150" t="e">
        <f>#REF!</f>
        <v>#REF!</v>
      </c>
      <c r="D217" s="151" t="e">
        <f>#REF!&amp;" "&amp;#REF!</f>
        <v>#REF!</v>
      </c>
      <c r="E217" s="151" t="e">
        <f>#REF!</f>
        <v>#REF!</v>
      </c>
      <c r="F217" s="151" t="e">
        <f>#REF!&amp;" / "&amp;#REF!</f>
        <v>#REF!</v>
      </c>
      <c r="G217" s="151" t="e">
        <f>#REF!&amp;" / "&amp;#REF!</f>
        <v>#REF!</v>
      </c>
    </row>
    <row r="218" spans="1:7" x14ac:dyDescent="0.25">
      <c r="A218" s="148">
        <v>209</v>
      </c>
      <c r="B218" s="149" t="e">
        <f>#REF!</f>
        <v>#REF!</v>
      </c>
      <c r="C218" s="150" t="e">
        <f>#REF!</f>
        <v>#REF!</v>
      </c>
      <c r="D218" s="151" t="e">
        <f>#REF!&amp;" "&amp;#REF!</f>
        <v>#REF!</v>
      </c>
      <c r="E218" s="151" t="e">
        <f>#REF!</f>
        <v>#REF!</v>
      </c>
      <c r="F218" s="151" t="e">
        <f>#REF!&amp;" / "&amp;#REF!</f>
        <v>#REF!</v>
      </c>
      <c r="G218" s="151" t="e">
        <f>#REF!&amp;" / "&amp;#REF!</f>
        <v>#REF!</v>
      </c>
    </row>
    <row r="219" spans="1:7" x14ac:dyDescent="0.25">
      <c r="A219" s="148">
        <v>210</v>
      </c>
      <c r="B219" s="149" t="e">
        <f>#REF!</f>
        <v>#REF!</v>
      </c>
      <c r="C219" s="150" t="e">
        <f>#REF!</f>
        <v>#REF!</v>
      </c>
      <c r="D219" s="151" t="e">
        <f>#REF!&amp;" "&amp;#REF!</f>
        <v>#REF!</v>
      </c>
      <c r="E219" s="151" t="e">
        <f>#REF!</f>
        <v>#REF!</v>
      </c>
      <c r="F219" s="151" t="e">
        <f>#REF!&amp;" / "&amp;#REF!</f>
        <v>#REF!</v>
      </c>
      <c r="G219" s="151" t="e">
        <f>#REF!&amp;" / "&amp;#REF!</f>
        <v>#REF!</v>
      </c>
    </row>
    <row r="220" spans="1:7" x14ac:dyDescent="0.25">
      <c r="A220" s="148">
        <v>211</v>
      </c>
      <c r="B220" s="149" t="e">
        <f>#REF!</f>
        <v>#REF!</v>
      </c>
      <c r="C220" s="150" t="e">
        <f>#REF!</f>
        <v>#REF!</v>
      </c>
      <c r="D220" s="151" t="e">
        <f>#REF!&amp;" "&amp;#REF!</f>
        <v>#REF!</v>
      </c>
      <c r="E220" s="151" t="e">
        <f>#REF!</f>
        <v>#REF!</v>
      </c>
      <c r="F220" s="151" t="e">
        <f>#REF!&amp;" / "&amp;#REF!</f>
        <v>#REF!</v>
      </c>
      <c r="G220" s="151" t="e">
        <f>#REF!&amp;" / "&amp;#REF!</f>
        <v>#REF!</v>
      </c>
    </row>
    <row r="221" spans="1:7" x14ac:dyDescent="0.25">
      <c r="A221" s="148">
        <v>212</v>
      </c>
      <c r="B221" s="149" t="e">
        <f>#REF!</f>
        <v>#REF!</v>
      </c>
      <c r="C221" s="150" t="e">
        <f>#REF!</f>
        <v>#REF!</v>
      </c>
      <c r="D221" s="151" t="e">
        <f>#REF!&amp;" "&amp;#REF!</f>
        <v>#REF!</v>
      </c>
      <c r="E221" s="151" t="e">
        <f>#REF!</f>
        <v>#REF!</v>
      </c>
      <c r="F221" s="151" t="e">
        <f>#REF!&amp;" / "&amp;#REF!</f>
        <v>#REF!</v>
      </c>
      <c r="G221" s="151" t="e">
        <f>#REF!&amp;" / "&amp;#REF!</f>
        <v>#REF!</v>
      </c>
    </row>
    <row r="222" spans="1:7" x14ac:dyDescent="0.25">
      <c r="A222" s="148">
        <v>213</v>
      </c>
      <c r="B222" s="149" t="e">
        <f>#REF!</f>
        <v>#REF!</v>
      </c>
      <c r="C222" s="150" t="e">
        <f>#REF!</f>
        <v>#REF!</v>
      </c>
      <c r="D222" s="151" t="e">
        <f>#REF!&amp;" "&amp;#REF!</f>
        <v>#REF!</v>
      </c>
      <c r="E222" s="151" t="e">
        <f>#REF!</f>
        <v>#REF!</v>
      </c>
      <c r="F222" s="151" t="e">
        <f>#REF!&amp;" / "&amp;#REF!</f>
        <v>#REF!</v>
      </c>
      <c r="G222" s="151" t="e">
        <f>#REF!&amp;" / "&amp;#REF!</f>
        <v>#REF!</v>
      </c>
    </row>
    <row r="223" spans="1:7" x14ac:dyDescent="0.25">
      <c r="A223" s="148">
        <v>214</v>
      </c>
      <c r="B223" s="149" t="e">
        <f>#REF!</f>
        <v>#REF!</v>
      </c>
      <c r="C223" s="150" t="e">
        <f>#REF!</f>
        <v>#REF!</v>
      </c>
      <c r="D223" s="151" t="e">
        <f>#REF!&amp;" "&amp;#REF!</f>
        <v>#REF!</v>
      </c>
      <c r="E223" s="151" t="e">
        <f>#REF!</f>
        <v>#REF!</v>
      </c>
      <c r="F223" s="151" t="e">
        <f>#REF!&amp;" / "&amp;#REF!</f>
        <v>#REF!</v>
      </c>
      <c r="G223" s="151" t="e">
        <f>#REF!&amp;" / "&amp;#REF!</f>
        <v>#REF!</v>
      </c>
    </row>
    <row r="224" spans="1:7" x14ac:dyDescent="0.25">
      <c r="A224" s="148">
        <v>215</v>
      </c>
      <c r="B224" s="149" t="e">
        <f>#REF!</f>
        <v>#REF!</v>
      </c>
      <c r="C224" s="150" t="e">
        <f>#REF!</f>
        <v>#REF!</v>
      </c>
      <c r="D224" s="151" t="e">
        <f>#REF!&amp;" "&amp;#REF!</f>
        <v>#REF!</v>
      </c>
      <c r="E224" s="151" t="e">
        <f>#REF!</f>
        <v>#REF!</v>
      </c>
      <c r="F224" s="151" t="e">
        <f>#REF!&amp;" / "&amp;#REF!</f>
        <v>#REF!</v>
      </c>
      <c r="G224" s="151" t="e">
        <f>#REF!&amp;" / "&amp;#REF!</f>
        <v>#REF!</v>
      </c>
    </row>
    <row r="225" spans="1:7" x14ac:dyDescent="0.25">
      <c r="A225" s="148">
        <v>216</v>
      </c>
      <c r="B225" s="149" t="e">
        <f>#REF!</f>
        <v>#REF!</v>
      </c>
      <c r="C225" s="150" t="e">
        <f>#REF!</f>
        <v>#REF!</v>
      </c>
      <c r="D225" s="151" t="e">
        <f>#REF!&amp;" "&amp;#REF!</f>
        <v>#REF!</v>
      </c>
      <c r="E225" s="151" t="e">
        <f>#REF!</f>
        <v>#REF!</v>
      </c>
      <c r="F225" s="151" t="e">
        <f>#REF!&amp;" / "&amp;#REF!</f>
        <v>#REF!</v>
      </c>
      <c r="G225" s="151" t="e">
        <f>#REF!&amp;" / "&amp;#REF!</f>
        <v>#REF!</v>
      </c>
    </row>
    <row r="226" spans="1:7" x14ac:dyDescent="0.25">
      <c r="A226" s="148">
        <v>217</v>
      </c>
      <c r="B226" s="149" t="e">
        <f>#REF!</f>
        <v>#REF!</v>
      </c>
      <c r="C226" s="150" t="e">
        <f>#REF!</f>
        <v>#REF!</v>
      </c>
      <c r="D226" s="151" t="e">
        <f>#REF!&amp;" "&amp;#REF!</f>
        <v>#REF!</v>
      </c>
      <c r="E226" s="151" t="e">
        <f>#REF!</f>
        <v>#REF!</v>
      </c>
      <c r="F226" s="151" t="e">
        <f>#REF!&amp;" / "&amp;#REF!</f>
        <v>#REF!</v>
      </c>
      <c r="G226" s="151" t="e">
        <f>#REF!&amp;" / "&amp;#REF!</f>
        <v>#REF!</v>
      </c>
    </row>
    <row r="227" spans="1:7" x14ac:dyDescent="0.25">
      <c r="A227" s="148">
        <v>218</v>
      </c>
      <c r="B227" s="149" t="e">
        <f>#REF!</f>
        <v>#REF!</v>
      </c>
      <c r="C227" s="150" t="e">
        <f>#REF!</f>
        <v>#REF!</v>
      </c>
      <c r="D227" s="151" t="e">
        <f>#REF!&amp;" "&amp;#REF!</f>
        <v>#REF!</v>
      </c>
      <c r="E227" s="151" t="e">
        <f>#REF!</f>
        <v>#REF!</v>
      </c>
      <c r="F227" s="151" t="e">
        <f>#REF!&amp;" / "&amp;#REF!</f>
        <v>#REF!</v>
      </c>
      <c r="G227" s="151" t="e">
        <f>#REF!&amp;" / "&amp;#REF!</f>
        <v>#REF!</v>
      </c>
    </row>
    <row r="228" spans="1:7" x14ac:dyDescent="0.25">
      <c r="A228" s="148">
        <v>219</v>
      </c>
      <c r="B228" s="149" t="e">
        <f>#REF!</f>
        <v>#REF!</v>
      </c>
      <c r="C228" s="150" t="e">
        <f>#REF!</f>
        <v>#REF!</v>
      </c>
      <c r="D228" s="151" t="e">
        <f>#REF!&amp;" "&amp;#REF!</f>
        <v>#REF!</v>
      </c>
      <c r="E228" s="151" t="e">
        <f>#REF!</f>
        <v>#REF!</v>
      </c>
      <c r="F228" s="151" t="e">
        <f>#REF!&amp;" / "&amp;#REF!</f>
        <v>#REF!</v>
      </c>
      <c r="G228" s="151" t="e">
        <f>#REF!&amp;" / "&amp;#REF!</f>
        <v>#REF!</v>
      </c>
    </row>
    <row r="229" spans="1:7" x14ac:dyDescent="0.25">
      <c r="A229" s="148">
        <v>220</v>
      </c>
      <c r="B229" s="149" t="e">
        <f>#REF!</f>
        <v>#REF!</v>
      </c>
      <c r="C229" s="150" t="e">
        <f>#REF!</f>
        <v>#REF!</v>
      </c>
      <c r="D229" s="151" t="e">
        <f>#REF!&amp;" "&amp;#REF!</f>
        <v>#REF!</v>
      </c>
      <c r="E229" s="151" t="e">
        <f>#REF!</f>
        <v>#REF!</v>
      </c>
      <c r="F229" s="151" t="e">
        <f>#REF!&amp;" / "&amp;#REF!</f>
        <v>#REF!</v>
      </c>
      <c r="G229" s="151" t="e">
        <f>#REF!&amp;" / "&amp;#REF!</f>
        <v>#REF!</v>
      </c>
    </row>
    <row r="230" spans="1:7" x14ac:dyDescent="0.25">
      <c r="A230" s="148">
        <v>221</v>
      </c>
      <c r="B230" s="149" t="e">
        <f>#REF!</f>
        <v>#REF!</v>
      </c>
      <c r="C230" s="150" t="e">
        <f>#REF!</f>
        <v>#REF!</v>
      </c>
      <c r="D230" s="151" t="e">
        <f>#REF!&amp;" "&amp;#REF!</f>
        <v>#REF!</v>
      </c>
      <c r="E230" s="151" t="e">
        <f>#REF!</f>
        <v>#REF!</v>
      </c>
      <c r="F230" s="151" t="e">
        <f>#REF!&amp;" / "&amp;#REF!</f>
        <v>#REF!</v>
      </c>
      <c r="G230" s="151" t="e">
        <f>#REF!&amp;" / "&amp;#REF!</f>
        <v>#REF!</v>
      </c>
    </row>
    <row r="231" spans="1:7" x14ac:dyDescent="0.25">
      <c r="A231" s="148">
        <v>222</v>
      </c>
      <c r="B231" s="149" t="e">
        <f>#REF!</f>
        <v>#REF!</v>
      </c>
      <c r="C231" s="150" t="e">
        <f>#REF!</f>
        <v>#REF!</v>
      </c>
      <c r="D231" s="151" t="e">
        <f>#REF!&amp;" "&amp;#REF!</f>
        <v>#REF!</v>
      </c>
      <c r="E231" s="151" t="e">
        <f>#REF!</f>
        <v>#REF!</v>
      </c>
      <c r="F231" s="151" t="e">
        <f>#REF!&amp;" / "&amp;#REF!</f>
        <v>#REF!</v>
      </c>
      <c r="G231" s="151" t="e">
        <f>#REF!&amp;" / "&amp;#REF!</f>
        <v>#REF!</v>
      </c>
    </row>
    <row r="232" spans="1:7" x14ac:dyDescent="0.25">
      <c r="A232" s="148">
        <v>223</v>
      </c>
      <c r="B232" s="149" t="e">
        <f>#REF!</f>
        <v>#REF!</v>
      </c>
      <c r="C232" s="150" t="e">
        <f>#REF!</f>
        <v>#REF!</v>
      </c>
      <c r="D232" s="151" t="e">
        <f>#REF!&amp;" "&amp;#REF!</f>
        <v>#REF!</v>
      </c>
      <c r="E232" s="151" t="e">
        <f>#REF!</f>
        <v>#REF!</v>
      </c>
      <c r="F232" s="151" t="e">
        <f>#REF!&amp;" / "&amp;#REF!</f>
        <v>#REF!</v>
      </c>
      <c r="G232" s="151" t="e">
        <f>#REF!&amp;" / "&amp;#REF!</f>
        <v>#REF!</v>
      </c>
    </row>
    <row r="233" spans="1:7" x14ac:dyDescent="0.25">
      <c r="A233" s="148">
        <v>224</v>
      </c>
      <c r="B233" s="149" t="e">
        <f>#REF!</f>
        <v>#REF!</v>
      </c>
      <c r="C233" s="150" t="e">
        <f>#REF!</f>
        <v>#REF!</v>
      </c>
      <c r="D233" s="151" t="e">
        <f>#REF!&amp;" "&amp;#REF!</f>
        <v>#REF!</v>
      </c>
      <c r="E233" s="151" t="e">
        <f>#REF!</f>
        <v>#REF!</v>
      </c>
      <c r="F233" s="151" t="e">
        <f>#REF!&amp;" / "&amp;#REF!</f>
        <v>#REF!</v>
      </c>
      <c r="G233" s="151" t="e">
        <f>#REF!&amp;" / "&amp;#REF!</f>
        <v>#REF!</v>
      </c>
    </row>
    <row r="234" spans="1:7" x14ac:dyDescent="0.25">
      <c r="A234" s="148">
        <v>225</v>
      </c>
      <c r="B234" s="149" t="e">
        <f>#REF!</f>
        <v>#REF!</v>
      </c>
      <c r="C234" s="150" t="e">
        <f>#REF!</f>
        <v>#REF!</v>
      </c>
      <c r="D234" s="151" t="e">
        <f>#REF!&amp;" "&amp;#REF!</f>
        <v>#REF!</v>
      </c>
      <c r="E234" s="151" t="e">
        <f>#REF!</f>
        <v>#REF!</v>
      </c>
      <c r="F234" s="151" t="e">
        <f>#REF!&amp;" / "&amp;#REF!</f>
        <v>#REF!</v>
      </c>
      <c r="G234" s="151" t="e">
        <f>#REF!&amp;" / "&amp;#REF!</f>
        <v>#REF!</v>
      </c>
    </row>
    <row r="235" spans="1:7" x14ac:dyDescent="0.25">
      <c r="A235" s="148">
        <v>226</v>
      </c>
      <c r="B235" s="149" t="e">
        <f>#REF!</f>
        <v>#REF!</v>
      </c>
      <c r="C235" s="150" t="e">
        <f>#REF!</f>
        <v>#REF!</v>
      </c>
      <c r="D235" s="151" t="e">
        <f>#REF!&amp;" "&amp;#REF!</f>
        <v>#REF!</v>
      </c>
      <c r="E235" s="151" t="e">
        <f>#REF!</f>
        <v>#REF!</v>
      </c>
      <c r="F235" s="151" t="e">
        <f>#REF!&amp;" / "&amp;#REF!</f>
        <v>#REF!</v>
      </c>
      <c r="G235" s="151" t="e">
        <f>#REF!&amp;" / "&amp;#REF!</f>
        <v>#REF!</v>
      </c>
    </row>
    <row r="236" spans="1:7" x14ac:dyDescent="0.25">
      <c r="A236" s="148">
        <v>227</v>
      </c>
      <c r="B236" s="149" t="e">
        <f>#REF!</f>
        <v>#REF!</v>
      </c>
      <c r="C236" s="150" t="e">
        <f>#REF!</f>
        <v>#REF!</v>
      </c>
      <c r="D236" s="151" t="e">
        <f>#REF!&amp;" "&amp;#REF!</f>
        <v>#REF!</v>
      </c>
      <c r="E236" s="151" t="e">
        <f>#REF!</f>
        <v>#REF!</v>
      </c>
      <c r="F236" s="151" t="e">
        <f>#REF!&amp;" / "&amp;#REF!</f>
        <v>#REF!</v>
      </c>
      <c r="G236" s="151" t="e">
        <f>#REF!&amp;" / "&amp;#REF!</f>
        <v>#REF!</v>
      </c>
    </row>
    <row r="237" spans="1:7" x14ac:dyDescent="0.25">
      <c r="A237" s="148">
        <v>228</v>
      </c>
      <c r="B237" s="149" t="e">
        <f>#REF!</f>
        <v>#REF!</v>
      </c>
      <c r="C237" s="150" t="e">
        <f>#REF!</f>
        <v>#REF!</v>
      </c>
      <c r="D237" s="151" t="e">
        <f>#REF!&amp;" "&amp;#REF!</f>
        <v>#REF!</v>
      </c>
      <c r="E237" s="151" t="e">
        <f>#REF!</f>
        <v>#REF!</v>
      </c>
      <c r="F237" s="151" t="e">
        <f>#REF!&amp;" / "&amp;#REF!</f>
        <v>#REF!</v>
      </c>
      <c r="G237" s="151" t="e">
        <f>#REF!&amp;" / "&amp;#REF!</f>
        <v>#REF!</v>
      </c>
    </row>
    <row r="238" spans="1:7" x14ac:dyDescent="0.25">
      <c r="A238" s="148">
        <v>229</v>
      </c>
      <c r="B238" s="149" t="e">
        <f>#REF!</f>
        <v>#REF!</v>
      </c>
      <c r="C238" s="150" t="e">
        <f>#REF!</f>
        <v>#REF!</v>
      </c>
      <c r="D238" s="151" t="e">
        <f>#REF!&amp;" "&amp;#REF!</f>
        <v>#REF!</v>
      </c>
      <c r="E238" s="151" t="e">
        <f>#REF!</f>
        <v>#REF!</v>
      </c>
      <c r="F238" s="151" t="e">
        <f>#REF!&amp;" / "&amp;#REF!</f>
        <v>#REF!</v>
      </c>
      <c r="G238" s="151" t="e">
        <f>#REF!&amp;" / "&amp;#REF!</f>
        <v>#REF!</v>
      </c>
    </row>
    <row r="239" spans="1:7" x14ac:dyDescent="0.25">
      <c r="A239" s="148">
        <v>230</v>
      </c>
      <c r="B239" s="149" t="e">
        <f>#REF!</f>
        <v>#REF!</v>
      </c>
      <c r="C239" s="150" t="e">
        <f>#REF!</f>
        <v>#REF!</v>
      </c>
      <c r="D239" s="151" t="e">
        <f>#REF!&amp;" "&amp;#REF!</f>
        <v>#REF!</v>
      </c>
      <c r="E239" s="151" t="e">
        <f>#REF!</f>
        <v>#REF!</v>
      </c>
      <c r="F239" s="151" t="e">
        <f>#REF!&amp;" / "&amp;#REF!</f>
        <v>#REF!</v>
      </c>
      <c r="G239" s="151" t="e">
        <f>#REF!&amp;" / "&amp;#REF!</f>
        <v>#REF!</v>
      </c>
    </row>
    <row r="240" spans="1:7" x14ac:dyDescent="0.25">
      <c r="A240" s="148">
        <v>231</v>
      </c>
      <c r="B240" s="149" t="e">
        <f>#REF!</f>
        <v>#REF!</v>
      </c>
      <c r="C240" s="150" t="e">
        <f>#REF!</f>
        <v>#REF!</v>
      </c>
      <c r="D240" s="151" t="e">
        <f>#REF!&amp;" "&amp;#REF!</f>
        <v>#REF!</v>
      </c>
      <c r="E240" s="151" t="e">
        <f>#REF!</f>
        <v>#REF!</v>
      </c>
      <c r="F240" s="151" t="e">
        <f>#REF!&amp;" / "&amp;#REF!</f>
        <v>#REF!</v>
      </c>
      <c r="G240" s="151" t="e">
        <f>#REF!&amp;" / "&amp;#REF!</f>
        <v>#REF!</v>
      </c>
    </row>
    <row r="241" spans="1:7" x14ac:dyDescent="0.25">
      <c r="A241" s="148">
        <v>232</v>
      </c>
      <c r="B241" s="149" t="e">
        <f>#REF!</f>
        <v>#REF!</v>
      </c>
      <c r="C241" s="150" t="e">
        <f>#REF!</f>
        <v>#REF!</v>
      </c>
      <c r="D241" s="151" t="e">
        <f>#REF!&amp;" "&amp;#REF!</f>
        <v>#REF!</v>
      </c>
      <c r="E241" s="151" t="e">
        <f>#REF!</f>
        <v>#REF!</v>
      </c>
      <c r="F241" s="151" t="e">
        <f>#REF!&amp;" / "&amp;#REF!</f>
        <v>#REF!</v>
      </c>
      <c r="G241" s="151" t="e">
        <f>#REF!&amp;" / "&amp;#REF!</f>
        <v>#REF!</v>
      </c>
    </row>
    <row r="242" spans="1:7" x14ac:dyDescent="0.25">
      <c r="A242" s="148">
        <v>233</v>
      </c>
      <c r="B242" s="149" t="e">
        <f>#REF!</f>
        <v>#REF!</v>
      </c>
      <c r="C242" s="150" t="e">
        <f>#REF!</f>
        <v>#REF!</v>
      </c>
      <c r="D242" s="151" t="e">
        <f>#REF!&amp;" "&amp;#REF!</f>
        <v>#REF!</v>
      </c>
      <c r="E242" s="151" t="e">
        <f>#REF!</f>
        <v>#REF!</v>
      </c>
      <c r="F242" s="151" t="e">
        <f>#REF!&amp;" / "&amp;#REF!</f>
        <v>#REF!</v>
      </c>
      <c r="G242" s="151" t="e">
        <f>#REF!&amp;" / "&amp;#REF!</f>
        <v>#REF!</v>
      </c>
    </row>
    <row r="243" spans="1:7" x14ac:dyDescent="0.25">
      <c r="A243" s="148">
        <v>234</v>
      </c>
      <c r="B243" s="149" t="e">
        <f>#REF!</f>
        <v>#REF!</v>
      </c>
      <c r="C243" s="150" t="e">
        <f>#REF!</f>
        <v>#REF!</v>
      </c>
      <c r="D243" s="151" t="e">
        <f>#REF!&amp;" "&amp;#REF!</f>
        <v>#REF!</v>
      </c>
      <c r="E243" s="151" t="e">
        <f>#REF!</f>
        <v>#REF!</v>
      </c>
      <c r="F243" s="151" t="e">
        <f>#REF!&amp;" / "&amp;#REF!</f>
        <v>#REF!</v>
      </c>
      <c r="G243" s="151" t="e">
        <f>#REF!&amp;" / "&amp;#REF!</f>
        <v>#REF!</v>
      </c>
    </row>
    <row r="244" spans="1:7" x14ac:dyDescent="0.25">
      <c r="A244" s="148">
        <v>235</v>
      </c>
      <c r="B244" s="149" t="e">
        <f>#REF!</f>
        <v>#REF!</v>
      </c>
      <c r="C244" s="150" t="e">
        <f>#REF!</f>
        <v>#REF!</v>
      </c>
      <c r="D244" s="151" t="e">
        <f>#REF!&amp;" "&amp;#REF!</f>
        <v>#REF!</v>
      </c>
      <c r="E244" s="151" t="e">
        <f>#REF!</f>
        <v>#REF!</v>
      </c>
      <c r="F244" s="151" t="e">
        <f>#REF!&amp;" / "&amp;#REF!</f>
        <v>#REF!</v>
      </c>
      <c r="G244" s="151" t="e">
        <f>#REF!&amp;" / "&amp;#REF!</f>
        <v>#REF!</v>
      </c>
    </row>
    <row r="245" spans="1:7" x14ac:dyDescent="0.25">
      <c r="A245" s="148">
        <v>236</v>
      </c>
      <c r="B245" s="149" t="e">
        <f>#REF!</f>
        <v>#REF!</v>
      </c>
      <c r="C245" s="150" t="e">
        <f>#REF!</f>
        <v>#REF!</v>
      </c>
      <c r="D245" s="151" t="e">
        <f>#REF!&amp;" "&amp;#REF!</f>
        <v>#REF!</v>
      </c>
      <c r="E245" s="151" t="e">
        <f>#REF!</f>
        <v>#REF!</v>
      </c>
      <c r="F245" s="151" t="e">
        <f>#REF!&amp;" / "&amp;#REF!</f>
        <v>#REF!</v>
      </c>
      <c r="G245" s="151" t="e">
        <f>#REF!&amp;" / "&amp;#REF!</f>
        <v>#REF!</v>
      </c>
    </row>
    <row r="246" spans="1:7" x14ac:dyDescent="0.25">
      <c r="A246" s="148">
        <v>237</v>
      </c>
      <c r="B246" s="149" t="e">
        <f>#REF!</f>
        <v>#REF!</v>
      </c>
      <c r="C246" s="150" t="e">
        <f>#REF!</f>
        <v>#REF!</v>
      </c>
      <c r="D246" s="151" t="e">
        <f>#REF!&amp;" "&amp;#REF!</f>
        <v>#REF!</v>
      </c>
      <c r="E246" s="151" t="e">
        <f>#REF!</f>
        <v>#REF!</v>
      </c>
      <c r="F246" s="151" t="e">
        <f>#REF!&amp;" / "&amp;#REF!</f>
        <v>#REF!</v>
      </c>
      <c r="G246" s="151" t="e">
        <f>#REF!&amp;" / "&amp;#REF!</f>
        <v>#REF!</v>
      </c>
    </row>
    <row r="247" spans="1:7" x14ac:dyDescent="0.25">
      <c r="A247" s="148">
        <v>238</v>
      </c>
      <c r="B247" s="149" t="e">
        <f>#REF!</f>
        <v>#REF!</v>
      </c>
      <c r="C247" s="150" t="e">
        <f>#REF!</f>
        <v>#REF!</v>
      </c>
      <c r="D247" s="151" t="e">
        <f>#REF!&amp;" "&amp;#REF!</f>
        <v>#REF!</v>
      </c>
      <c r="E247" s="151" t="e">
        <f>#REF!</f>
        <v>#REF!</v>
      </c>
      <c r="F247" s="151" t="e">
        <f>#REF!&amp;" / "&amp;#REF!</f>
        <v>#REF!</v>
      </c>
      <c r="G247" s="151" t="e">
        <f>#REF!&amp;" / "&amp;#REF!</f>
        <v>#REF!</v>
      </c>
    </row>
    <row r="248" spans="1:7" x14ac:dyDescent="0.25">
      <c r="A248" s="148">
        <v>239</v>
      </c>
      <c r="B248" s="149" t="e">
        <f>#REF!</f>
        <v>#REF!</v>
      </c>
      <c r="C248" s="150" t="e">
        <f>#REF!</f>
        <v>#REF!</v>
      </c>
      <c r="D248" s="151" t="e">
        <f>#REF!&amp;" "&amp;#REF!</f>
        <v>#REF!</v>
      </c>
      <c r="E248" s="151" t="e">
        <f>#REF!</f>
        <v>#REF!</v>
      </c>
      <c r="F248" s="151" t="e">
        <f>#REF!&amp;" / "&amp;#REF!</f>
        <v>#REF!</v>
      </c>
      <c r="G248" s="151" t="e">
        <f>#REF!&amp;" / "&amp;#REF!</f>
        <v>#REF!</v>
      </c>
    </row>
    <row r="249" spans="1:7" x14ac:dyDescent="0.25">
      <c r="A249" s="148">
        <v>240</v>
      </c>
      <c r="B249" s="149" t="e">
        <f>#REF!</f>
        <v>#REF!</v>
      </c>
      <c r="C249" s="150" t="e">
        <f>#REF!</f>
        <v>#REF!</v>
      </c>
      <c r="D249" s="151" t="e">
        <f>#REF!&amp;" "&amp;#REF!</f>
        <v>#REF!</v>
      </c>
      <c r="E249" s="151" t="e">
        <f>#REF!</f>
        <v>#REF!</v>
      </c>
      <c r="F249" s="151" t="e">
        <f>#REF!&amp;" / "&amp;#REF!</f>
        <v>#REF!</v>
      </c>
      <c r="G249" s="151" t="e">
        <f>#REF!&amp;" / "&amp;#REF!</f>
        <v>#REF!</v>
      </c>
    </row>
    <row r="250" spans="1:7" x14ac:dyDescent="0.25">
      <c r="A250" s="148">
        <v>241</v>
      </c>
      <c r="B250" s="149" t="e">
        <f>#REF!</f>
        <v>#REF!</v>
      </c>
      <c r="C250" s="150" t="e">
        <f>#REF!</f>
        <v>#REF!</v>
      </c>
      <c r="D250" s="151" t="e">
        <f>#REF!&amp;" "&amp;#REF!</f>
        <v>#REF!</v>
      </c>
      <c r="E250" s="151" t="e">
        <f>#REF!</f>
        <v>#REF!</v>
      </c>
      <c r="F250" s="151" t="e">
        <f>#REF!&amp;" / "&amp;#REF!</f>
        <v>#REF!</v>
      </c>
      <c r="G250" s="151" t="e">
        <f>#REF!&amp;" / "&amp;#REF!</f>
        <v>#REF!</v>
      </c>
    </row>
    <row r="251" spans="1:7" x14ac:dyDescent="0.25">
      <c r="A251" s="148">
        <v>242</v>
      </c>
      <c r="B251" s="149" t="e">
        <f>#REF!</f>
        <v>#REF!</v>
      </c>
      <c r="C251" s="150" t="e">
        <f>#REF!</f>
        <v>#REF!</v>
      </c>
      <c r="D251" s="151" t="e">
        <f>#REF!&amp;" "&amp;#REF!</f>
        <v>#REF!</v>
      </c>
      <c r="E251" s="151" t="e">
        <f>#REF!</f>
        <v>#REF!</v>
      </c>
      <c r="F251" s="151" t="e">
        <f>#REF!&amp;" / "&amp;#REF!</f>
        <v>#REF!</v>
      </c>
      <c r="G251" s="151" t="e">
        <f>#REF!&amp;" / "&amp;#REF!</f>
        <v>#REF!</v>
      </c>
    </row>
    <row r="252" spans="1:7" x14ac:dyDescent="0.25">
      <c r="A252" s="148">
        <v>243</v>
      </c>
      <c r="B252" s="149" t="e">
        <f>#REF!</f>
        <v>#REF!</v>
      </c>
      <c r="C252" s="150" t="e">
        <f>#REF!</f>
        <v>#REF!</v>
      </c>
      <c r="D252" s="151" t="e">
        <f>#REF!&amp;" "&amp;#REF!</f>
        <v>#REF!</v>
      </c>
      <c r="E252" s="151" t="e">
        <f>#REF!</f>
        <v>#REF!</v>
      </c>
      <c r="F252" s="151" t="e">
        <f>#REF!&amp;" / "&amp;#REF!</f>
        <v>#REF!</v>
      </c>
      <c r="G252" s="151" t="e">
        <f>#REF!&amp;" / "&amp;#REF!</f>
        <v>#REF!</v>
      </c>
    </row>
    <row r="253" spans="1:7" x14ac:dyDescent="0.25">
      <c r="A253" s="148">
        <v>244</v>
      </c>
      <c r="B253" s="149" t="e">
        <f>#REF!</f>
        <v>#REF!</v>
      </c>
      <c r="C253" s="150" t="e">
        <f>#REF!</f>
        <v>#REF!</v>
      </c>
      <c r="D253" s="151" t="e">
        <f>#REF!&amp;" "&amp;#REF!</f>
        <v>#REF!</v>
      </c>
      <c r="E253" s="151" t="e">
        <f>#REF!</f>
        <v>#REF!</v>
      </c>
      <c r="F253" s="151" t="e">
        <f>#REF!&amp;" / "&amp;#REF!</f>
        <v>#REF!</v>
      </c>
      <c r="G253" s="151" t="e">
        <f>#REF!&amp;" / "&amp;#REF!</f>
        <v>#REF!</v>
      </c>
    </row>
    <row r="254" spans="1:7" x14ac:dyDescent="0.25">
      <c r="A254" s="148">
        <v>245</v>
      </c>
      <c r="B254" s="149" t="e">
        <f>#REF!</f>
        <v>#REF!</v>
      </c>
      <c r="C254" s="150" t="e">
        <f>#REF!</f>
        <v>#REF!</v>
      </c>
      <c r="D254" s="151" t="e">
        <f>#REF!&amp;" "&amp;#REF!</f>
        <v>#REF!</v>
      </c>
      <c r="E254" s="151" t="e">
        <f>#REF!</f>
        <v>#REF!</v>
      </c>
      <c r="F254" s="151" t="e">
        <f>#REF!&amp;" / "&amp;#REF!</f>
        <v>#REF!</v>
      </c>
      <c r="G254" s="151" t="e">
        <f>#REF!&amp;" / "&amp;#REF!</f>
        <v>#REF!</v>
      </c>
    </row>
    <row r="255" spans="1:7" x14ac:dyDescent="0.25">
      <c r="A255" s="148">
        <v>246</v>
      </c>
      <c r="B255" s="149" t="e">
        <f>#REF!</f>
        <v>#REF!</v>
      </c>
      <c r="C255" s="150" t="e">
        <f>#REF!</f>
        <v>#REF!</v>
      </c>
      <c r="D255" s="151" t="e">
        <f>#REF!&amp;" "&amp;#REF!</f>
        <v>#REF!</v>
      </c>
      <c r="E255" s="151" t="e">
        <f>#REF!</f>
        <v>#REF!</v>
      </c>
      <c r="F255" s="151" t="e">
        <f>#REF!&amp;" / "&amp;#REF!</f>
        <v>#REF!</v>
      </c>
      <c r="G255" s="151" t="e">
        <f>#REF!&amp;" / "&amp;#REF!</f>
        <v>#REF!</v>
      </c>
    </row>
    <row r="256" spans="1:7" x14ac:dyDescent="0.25">
      <c r="A256" s="148">
        <v>247</v>
      </c>
      <c r="B256" s="149" t="e">
        <f>#REF!</f>
        <v>#REF!</v>
      </c>
      <c r="C256" s="150" t="e">
        <f>#REF!</f>
        <v>#REF!</v>
      </c>
      <c r="D256" s="151" t="e">
        <f>#REF!&amp;" "&amp;#REF!</f>
        <v>#REF!</v>
      </c>
      <c r="E256" s="151" t="e">
        <f>#REF!</f>
        <v>#REF!</v>
      </c>
      <c r="F256" s="151" t="e">
        <f>#REF!&amp;" / "&amp;#REF!</f>
        <v>#REF!</v>
      </c>
      <c r="G256" s="151" t="e">
        <f>#REF!&amp;" / "&amp;#REF!</f>
        <v>#REF!</v>
      </c>
    </row>
    <row r="257" spans="1:7" x14ac:dyDescent="0.25">
      <c r="A257" s="148">
        <v>248</v>
      </c>
      <c r="B257" s="149" t="e">
        <f>#REF!</f>
        <v>#REF!</v>
      </c>
      <c r="C257" s="150" t="e">
        <f>#REF!</f>
        <v>#REF!</v>
      </c>
      <c r="D257" s="151" t="e">
        <f>#REF!&amp;" "&amp;#REF!</f>
        <v>#REF!</v>
      </c>
      <c r="E257" s="151" t="e">
        <f>#REF!</f>
        <v>#REF!</v>
      </c>
      <c r="F257" s="151" t="e">
        <f>#REF!&amp;" / "&amp;#REF!</f>
        <v>#REF!</v>
      </c>
      <c r="G257" s="151" t="e">
        <f>#REF!&amp;" / "&amp;#REF!</f>
        <v>#REF!</v>
      </c>
    </row>
    <row r="258" spans="1:7" x14ac:dyDescent="0.25">
      <c r="A258" s="148">
        <v>249</v>
      </c>
      <c r="B258" s="149" t="e">
        <f>#REF!</f>
        <v>#REF!</v>
      </c>
      <c r="C258" s="150" t="e">
        <f>#REF!</f>
        <v>#REF!</v>
      </c>
      <c r="D258" s="151" t="e">
        <f>#REF!&amp;" "&amp;#REF!</f>
        <v>#REF!</v>
      </c>
      <c r="E258" s="151" t="e">
        <f>#REF!</f>
        <v>#REF!</v>
      </c>
      <c r="F258" s="151" t="e">
        <f>#REF!&amp;" / "&amp;#REF!</f>
        <v>#REF!</v>
      </c>
      <c r="G258" s="151" t="e">
        <f>#REF!&amp;" / "&amp;#REF!</f>
        <v>#REF!</v>
      </c>
    </row>
    <row r="259" spans="1:7" x14ac:dyDescent="0.25">
      <c r="A259" s="148">
        <v>250</v>
      </c>
      <c r="B259" s="149" t="e">
        <f>#REF!</f>
        <v>#REF!</v>
      </c>
      <c r="C259" s="150" t="e">
        <f>#REF!</f>
        <v>#REF!</v>
      </c>
      <c r="D259" s="151" t="e">
        <f>#REF!&amp;" "&amp;#REF!</f>
        <v>#REF!</v>
      </c>
      <c r="E259" s="151" t="e">
        <f>#REF!</f>
        <v>#REF!</v>
      </c>
      <c r="F259" s="151" t="e">
        <f>#REF!&amp;" / "&amp;#REF!</f>
        <v>#REF!</v>
      </c>
      <c r="G259" s="151" t="e">
        <f>#REF!&amp;" / "&amp;#REF!</f>
        <v>#REF!</v>
      </c>
    </row>
    <row r="260" spans="1:7" x14ac:dyDescent="0.25">
      <c r="A260" s="148">
        <v>251</v>
      </c>
      <c r="B260" s="149" t="e">
        <f>#REF!</f>
        <v>#REF!</v>
      </c>
      <c r="C260" s="150" t="e">
        <f>#REF!</f>
        <v>#REF!</v>
      </c>
      <c r="D260" s="151" t="e">
        <f>#REF!&amp;" "&amp;#REF!</f>
        <v>#REF!</v>
      </c>
      <c r="E260" s="151" t="e">
        <f>#REF!</f>
        <v>#REF!</v>
      </c>
      <c r="F260" s="151" t="e">
        <f>#REF!&amp;" / "&amp;#REF!</f>
        <v>#REF!</v>
      </c>
      <c r="G260" s="151" t="e">
        <f>#REF!&amp;" / "&amp;#REF!</f>
        <v>#REF!</v>
      </c>
    </row>
    <row r="261" spans="1:7" x14ac:dyDescent="0.25">
      <c r="A261" s="148">
        <v>252</v>
      </c>
      <c r="B261" s="149" t="e">
        <f>#REF!</f>
        <v>#REF!</v>
      </c>
      <c r="C261" s="150" t="e">
        <f>#REF!</f>
        <v>#REF!</v>
      </c>
      <c r="D261" s="151" t="e">
        <f>#REF!&amp;" "&amp;#REF!</f>
        <v>#REF!</v>
      </c>
      <c r="E261" s="151" t="e">
        <f>#REF!</f>
        <v>#REF!</v>
      </c>
      <c r="F261" s="151" t="e">
        <f>#REF!&amp;" / "&amp;#REF!</f>
        <v>#REF!</v>
      </c>
      <c r="G261" s="151" t="e">
        <f>#REF!&amp;" / "&amp;#REF!</f>
        <v>#REF!</v>
      </c>
    </row>
    <row r="262" spans="1:7" x14ac:dyDescent="0.25">
      <c r="A262" s="148">
        <v>253</v>
      </c>
      <c r="B262" s="149" t="e">
        <f>#REF!</f>
        <v>#REF!</v>
      </c>
      <c r="C262" s="150" t="e">
        <f>#REF!</f>
        <v>#REF!</v>
      </c>
      <c r="D262" s="151" t="e">
        <f>#REF!&amp;" "&amp;#REF!</f>
        <v>#REF!</v>
      </c>
      <c r="E262" s="151" t="e">
        <f>#REF!</f>
        <v>#REF!</v>
      </c>
      <c r="F262" s="151" t="e">
        <f>#REF!&amp;" / "&amp;#REF!</f>
        <v>#REF!</v>
      </c>
      <c r="G262" s="151" t="e">
        <f>#REF!&amp;" / "&amp;#REF!</f>
        <v>#REF!</v>
      </c>
    </row>
    <row r="263" spans="1:7" x14ac:dyDescent="0.25">
      <c r="A263" s="148">
        <v>254</v>
      </c>
      <c r="B263" s="149" t="e">
        <f>#REF!</f>
        <v>#REF!</v>
      </c>
      <c r="C263" s="150" t="e">
        <f>#REF!</f>
        <v>#REF!</v>
      </c>
      <c r="D263" s="151" t="e">
        <f>#REF!&amp;" "&amp;#REF!</f>
        <v>#REF!</v>
      </c>
      <c r="E263" s="151" t="e">
        <f>#REF!</f>
        <v>#REF!</v>
      </c>
      <c r="F263" s="151" t="e">
        <f>#REF!&amp;" / "&amp;#REF!</f>
        <v>#REF!</v>
      </c>
      <c r="G263" s="151" t="e">
        <f>#REF!&amp;" / "&amp;#REF!</f>
        <v>#REF!</v>
      </c>
    </row>
    <row r="264" spans="1:7" x14ac:dyDescent="0.25">
      <c r="A264" s="148">
        <v>255</v>
      </c>
      <c r="B264" s="149" t="e">
        <f>#REF!</f>
        <v>#REF!</v>
      </c>
      <c r="C264" s="150" t="e">
        <f>#REF!</f>
        <v>#REF!</v>
      </c>
      <c r="D264" s="151" t="e">
        <f>#REF!&amp;" "&amp;#REF!</f>
        <v>#REF!</v>
      </c>
      <c r="E264" s="151" t="e">
        <f>#REF!</f>
        <v>#REF!</v>
      </c>
      <c r="F264" s="151" t="e">
        <f>#REF!&amp;" / "&amp;#REF!</f>
        <v>#REF!</v>
      </c>
      <c r="G264" s="151" t="e">
        <f>#REF!&amp;" / "&amp;#REF!</f>
        <v>#REF!</v>
      </c>
    </row>
    <row r="265" spans="1:7" x14ac:dyDescent="0.25">
      <c r="A265" s="148">
        <v>256</v>
      </c>
      <c r="B265" s="149" t="e">
        <f>#REF!</f>
        <v>#REF!</v>
      </c>
      <c r="C265" s="150" t="e">
        <f>#REF!</f>
        <v>#REF!</v>
      </c>
      <c r="D265" s="151" t="e">
        <f>#REF!&amp;" "&amp;#REF!</f>
        <v>#REF!</v>
      </c>
      <c r="E265" s="151" t="e">
        <f>#REF!</f>
        <v>#REF!</v>
      </c>
      <c r="F265" s="151" t="e">
        <f>#REF!&amp;" / "&amp;#REF!</f>
        <v>#REF!</v>
      </c>
      <c r="G265" s="151" t="e">
        <f>#REF!&amp;" / "&amp;#REF!</f>
        <v>#REF!</v>
      </c>
    </row>
    <row r="266" spans="1:7" x14ac:dyDescent="0.25">
      <c r="B266" s="154"/>
    </row>
  </sheetData>
  <sheetProtection selectLockedCells="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6"/>
  <dimension ref="A1:AU196"/>
  <sheetViews>
    <sheetView zoomScale="70" zoomScaleNormal="70" workbookViewId="0">
      <selection sqref="A1:A12"/>
    </sheetView>
  </sheetViews>
  <sheetFormatPr baseColWidth="10" defaultRowHeight="15" x14ac:dyDescent="0.25"/>
  <cols>
    <col min="1" max="1" width="16.85546875" bestFit="1" customWidth="1"/>
    <col min="2" max="2" width="26" customWidth="1"/>
    <col min="3" max="3" width="11.28515625" customWidth="1"/>
    <col min="4" max="4" width="26" customWidth="1"/>
    <col min="5" max="5" width="11.42578125" customWidth="1"/>
    <col min="6" max="6" width="26" customWidth="1"/>
    <col min="7" max="7" width="11.42578125" customWidth="1"/>
    <col min="8" max="8" width="26" customWidth="1"/>
    <col min="9" max="9" width="11.42578125" customWidth="1"/>
    <col min="10" max="10" width="26" customWidth="1"/>
    <col min="11" max="11" width="11.42578125" customWidth="1"/>
    <col min="12" max="12" width="26" customWidth="1"/>
    <col min="13" max="13" width="11.42578125" customWidth="1"/>
    <col min="14" max="14" width="26" customWidth="1"/>
    <col min="15" max="15" width="11.42578125" customWidth="1"/>
    <col min="16" max="16" width="26" customWidth="1"/>
    <col min="17" max="17" width="11.42578125" customWidth="1"/>
    <col min="18" max="18" width="26" customWidth="1"/>
    <col min="19" max="19" width="11.42578125" customWidth="1"/>
    <col min="20" max="20" width="26" customWidth="1"/>
    <col min="21" max="21" width="11.42578125" customWidth="1"/>
    <col min="22" max="22" width="20.28515625" customWidth="1"/>
    <col min="23" max="23" width="11.42578125" customWidth="1"/>
    <col min="24" max="24" width="26" customWidth="1"/>
    <col min="26" max="26" width="25.85546875" style="17" customWidth="1"/>
    <col min="27" max="27" width="11.42578125" style="17" customWidth="1"/>
    <col min="28" max="28" width="21.85546875" style="17" customWidth="1"/>
    <col min="29" max="29" width="11.42578125" style="17" customWidth="1"/>
    <col min="30" max="30" width="21.85546875" style="17" customWidth="1"/>
    <col min="31" max="31" width="11.42578125" style="17" customWidth="1"/>
    <col min="32" max="32" width="21.85546875" style="17" customWidth="1"/>
    <col min="33" max="33" width="11.42578125" style="17" customWidth="1"/>
    <col min="34" max="34" width="20.85546875" style="17" customWidth="1"/>
    <col min="35" max="35" width="11.42578125" style="17" customWidth="1"/>
    <col min="36" max="36" width="20.85546875" style="17" customWidth="1"/>
    <col min="37" max="37" width="11.42578125" customWidth="1"/>
    <col min="38" max="38" width="8.7109375" bestFit="1" customWidth="1"/>
    <col min="39" max="39" width="3.85546875" bestFit="1" customWidth="1"/>
    <col min="40" max="40" width="17.85546875" bestFit="1" customWidth="1"/>
    <col min="44" max="44" width="8.7109375" bestFit="1" customWidth="1"/>
    <col min="45" max="45" width="3.85546875" bestFit="1" customWidth="1"/>
    <col min="46" max="46" width="17.85546875" bestFit="1" customWidth="1"/>
    <col min="47" max="47" width="5" bestFit="1" customWidth="1"/>
  </cols>
  <sheetData>
    <row r="1" spans="1:47" ht="15" customHeight="1" x14ac:dyDescent="0.25">
      <c r="A1" t="s">
        <v>369</v>
      </c>
      <c r="B1" s="44" t="s">
        <v>307</v>
      </c>
      <c r="C1" s="45"/>
      <c r="D1" s="45"/>
      <c r="E1" s="45"/>
      <c r="F1" s="46"/>
      <c r="H1" s="44" t="s">
        <v>308</v>
      </c>
      <c r="I1" s="45"/>
      <c r="J1" s="45"/>
      <c r="K1" s="45"/>
      <c r="L1" s="45"/>
      <c r="M1" s="45"/>
      <c r="N1" s="46"/>
      <c r="P1" s="44" t="s">
        <v>309</v>
      </c>
      <c r="Q1" s="45"/>
      <c r="R1" s="45"/>
      <c r="S1" s="45"/>
      <c r="T1" s="45"/>
      <c r="U1" s="45"/>
      <c r="V1" s="45"/>
      <c r="W1" s="45"/>
      <c r="X1" s="46"/>
      <c r="Z1" s="80" t="s">
        <v>332</v>
      </c>
      <c r="AA1" s="81"/>
      <c r="AB1" s="81"/>
      <c r="AC1" s="81"/>
      <c r="AD1" s="81"/>
      <c r="AE1" s="81"/>
      <c r="AF1" s="81"/>
      <c r="AG1" s="81"/>
      <c r="AH1" s="81"/>
      <c r="AI1" s="81"/>
      <c r="AJ1" s="82"/>
      <c r="AO1" s="135" t="s">
        <v>381</v>
      </c>
      <c r="AP1" s="136"/>
    </row>
    <row r="2" spans="1:47" ht="15" customHeight="1" x14ac:dyDescent="0.25">
      <c r="B2" s="47"/>
      <c r="C2" s="18"/>
      <c r="D2" s="18"/>
      <c r="E2" s="18"/>
      <c r="F2" s="48"/>
      <c r="H2" s="47"/>
      <c r="I2" s="18"/>
      <c r="J2" s="18"/>
      <c r="K2" s="18"/>
      <c r="L2" s="18"/>
      <c r="M2" s="18"/>
      <c r="N2" s="48"/>
      <c r="P2" s="47"/>
      <c r="Q2" s="18"/>
      <c r="R2" s="18"/>
      <c r="S2" s="18"/>
      <c r="T2" s="18"/>
      <c r="U2" s="18"/>
      <c r="V2" s="18"/>
      <c r="W2" s="18"/>
      <c r="X2" s="48"/>
      <c r="Z2" s="76"/>
      <c r="AA2" s="77"/>
      <c r="AB2" s="77"/>
      <c r="AC2" s="77"/>
      <c r="AD2" s="77"/>
      <c r="AE2" s="77"/>
      <c r="AF2" s="77"/>
      <c r="AG2" s="77"/>
      <c r="AH2" s="77"/>
      <c r="AI2" s="77"/>
      <c r="AJ2" s="83"/>
      <c r="AL2" s="43">
        <f t="shared" ref="AL2:AL11" si="0">RANK(C32,$C$32:$C$41,0)+ROW()%%</f>
        <v>1.0002</v>
      </c>
      <c r="AM2" s="123">
        <f t="shared" ref="AM2:AM11" si="1">IF(AL2="","",RANK(AL2,$AL$2:$AL$11,1))</f>
        <v>1</v>
      </c>
      <c r="AN2" s="43" t="str">
        <f t="shared" ref="AN2:AN11" si="2">B32</f>
        <v>Brig</v>
      </c>
      <c r="AO2" s="124"/>
      <c r="AP2" s="125"/>
      <c r="AQ2" s="126"/>
      <c r="AR2" s="43">
        <f>SMALL($AL$2:$AL$11,1)</f>
        <v>1.0002</v>
      </c>
      <c r="AS2" s="43">
        <f t="shared" ref="AS2:AS11" si="3">IF(AR2="","",RANK(AR2,$AR$2:$AR$11,1))</f>
        <v>1</v>
      </c>
      <c r="AT2" s="43" t="str">
        <f t="shared" ref="AT2:AT11" si="4">INDEX($AN$2:$AN$11,MATCH(AR2,$AL$2:$AL$11,0),1)</f>
        <v>Brig</v>
      </c>
      <c r="AU2">
        <f>IFERROR(INDEX($C$32:$C$41,MATCH(AT2,$B$32:$B$41,0)),0)</f>
        <v>0</v>
      </c>
    </row>
    <row r="3" spans="1:47" x14ac:dyDescent="0.25">
      <c r="A3" t="s">
        <v>305</v>
      </c>
      <c r="B3" s="61" t="s">
        <v>313</v>
      </c>
      <c r="C3" s="55"/>
      <c r="D3" s="56" t="s">
        <v>314</v>
      </c>
      <c r="E3" s="55"/>
      <c r="F3" s="57" t="s">
        <v>334</v>
      </c>
      <c r="H3" s="54" t="s">
        <v>312</v>
      </c>
      <c r="I3" s="55"/>
      <c r="J3" s="56" t="s">
        <v>313</v>
      </c>
      <c r="K3" s="55"/>
      <c r="L3" s="56" t="s">
        <v>314</v>
      </c>
      <c r="M3" s="55"/>
      <c r="N3" s="57" t="s">
        <v>334</v>
      </c>
      <c r="P3" s="54" t="s">
        <v>311</v>
      </c>
      <c r="Q3" s="55"/>
      <c r="R3" s="55" t="s">
        <v>312</v>
      </c>
      <c r="S3" s="55"/>
      <c r="T3" s="56" t="s">
        <v>313</v>
      </c>
      <c r="U3" s="55"/>
      <c r="V3" s="56" t="s">
        <v>314</v>
      </c>
      <c r="W3" s="55"/>
      <c r="X3" s="57" t="s">
        <v>334</v>
      </c>
      <c r="Z3" s="84" t="s">
        <v>310</v>
      </c>
      <c r="AA3" s="77"/>
      <c r="AB3" s="85" t="s">
        <v>311</v>
      </c>
      <c r="AC3" s="77"/>
      <c r="AD3" s="85" t="s">
        <v>312</v>
      </c>
      <c r="AE3" s="77"/>
      <c r="AF3" s="86" t="s">
        <v>313</v>
      </c>
      <c r="AG3" s="77"/>
      <c r="AH3" s="86" t="s">
        <v>314</v>
      </c>
      <c r="AI3" s="77"/>
      <c r="AJ3" s="87" t="s">
        <v>334</v>
      </c>
      <c r="AL3" s="43">
        <f t="shared" si="0"/>
        <v>1.0003</v>
      </c>
      <c r="AM3" s="123">
        <f t="shared" si="1"/>
        <v>2</v>
      </c>
      <c r="AN3" s="43" t="str">
        <f t="shared" si="2"/>
        <v>Collombey-Muraz</v>
      </c>
      <c r="AO3" s="127"/>
      <c r="AP3" s="128"/>
      <c r="AQ3" s="129"/>
      <c r="AR3" s="43">
        <f>SMALL($AL$2:$AL$11,2)</f>
        <v>1.0003</v>
      </c>
      <c r="AS3" s="43">
        <f t="shared" si="3"/>
        <v>2</v>
      </c>
      <c r="AT3" s="43" t="str">
        <f t="shared" si="4"/>
        <v>Collombey-Muraz</v>
      </c>
      <c r="AU3">
        <f t="shared" ref="AU3:AU11" si="5">IFERROR(INDEX($C$32:$C$41,MATCH(AT3,$B$32:$B$41,0)),0)</f>
        <v>0</v>
      </c>
    </row>
    <row r="4" spans="1:47" x14ac:dyDescent="0.25">
      <c r="A4" t="s">
        <v>300</v>
      </c>
      <c r="B4" s="47" t="e">
        <f>#REF!</f>
        <v>#REF!</v>
      </c>
      <c r="C4" s="18"/>
      <c r="D4" s="18" t="e">
        <f>#REF!</f>
        <v>#REF!</v>
      </c>
      <c r="E4" s="18"/>
      <c r="F4" s="49" t="e">
        <f>#REF!</f>
        <v>#REF!</v>
      </c>
      <c r="H4" s="47" t="e">
        <f>#REF!</f>
        <v>#REF!</v>
      </c>
      <c r="I4" s="18"/>
      <c r="J4" s="18" t="e">
        <f>#REF!</f>
        <v>#REF!</v>
      </c>
      <c r="K4" s="18"/>
      <c r="L4" s="52" t="e">
        <f>#REF!</f>
        <v>#REF!</v>
      </c>
      <c r="M4" s="18"/>
      <c r="N4" s="49" t="e">
        <f>#REF!</f>
        <v>#REF!</v>
      </c>
      <c r="P4" s="47" t="e">
        <f>#REF!</f>
        <v>#REF!</v>
      </c>
      <c r="Q4" s="18"/>
      <c r="R4" s="18" t="e">
        <f>#REF!</f>
        <v>#REF!</v>
      </c>
      <c r="S4" s="18"/>
      <c r="T4" s="52" t="e">
        <f>#REF!</f>
        <v>#REF!</v>
      </c>
      <c r="U4" s="18"/>
      <c r="V4" s="52" t="e">
        <f>#REF!</f>
        <v>#REF!</v>
      </c>
      <c r="W4" s="18"/>
      <c r="X4" s="49" t="e">
        <f>#REF!</f>
        <v>#REF!</v>
      </c>
      <c r="Z4" s="76" t="e">
        <f>#REF!</f>
        <v>#REF!</v>
      </c>
      <c r="AA4" s="77"/>
      <c r="AB4" s="77" t="e">
        <f>#REF!</f>
        <v>#REF!</v>
      </c>
      <c r="AC4" s="77"/>
      <c r="AD4" s="88" t="e">
        <f>#REF!</f>
        <v>#REF!</v>
      </c>
      <c r="AE4" s="77"/>
      <c r="AF4" s="88" t="e">
        <f>#REF!</f>
        <v>#REF!</v>
      </c>
      <c r="AG4" s="77"/>
      <c r="AH4" s="88" t="e">
        <f>#REF!</f>
        <v>#REF!</v>
      </c>
      <c r="AI4" s="77"/>
      <c r="AJ4" s="89" t="e">
        <f>#REF!</f>
        <v>#REF!</v>
      </c>
      <c r="AL4" s="43">
        <f t="shared" si="0"/>
        <v>1.0004</v>
      </c>
      <c r="AM4" s="123">
        <f t="shared" si="1"/>
        <v>3</v>
      </c>
      <c r="AN4" s="43" t="str">
        <f t="shared" si="2"/>
        <v>Dorénaz</v>
      </c>
      <c r="AO4" s="127"/>
      <c r="AP4" s="128"/>
      <c r="AQ4" s="129"/>
      <c r="AR4" s="43">
        <f>SMALL($AL$2:$AL$11,3)</f>
        <v>1.0004</v>
      </c>
      <c r="AS4" s="43">
        <f t="shared" si="3"/>
        <v>3</v>
      </c>
      <c r="AT4" s="43" t="str">
        <f t="shared" si="4"/>
        <v>Dorénaz</v>
      </c>
      <c r="AU4">
        <f t="shared" si="5"/>
        <v>0</v>
      </c>
    </row>
    <row r="5" spans="1:47" x14ac:dyDescent="0.25">
      <c r="A5" t="s">
        <v>301</v>
      </c>
      <c r="B5" s="47" t="e">
        <f>#REF!</f>
        <v>#REF!</v>
      </c>
      <c r="C5" s="18"/>
      <c r="D5" s="18" t="e">
        <f>#REF!</f>
        <v>#REF!</v>
      </c>
      <c r="E5" s="18"/>
      <c r="F5" s="49" t="e">
        <f>#REF!</f>
        <v>#REF!</v>
      </c>
      <c r="H5" s="47" t="e">
        <f>#REF!</f>
        <v>#REF!</v>
      </c>
      <c r="I5" s="18"/>
      <c r="J5" s="18" t="e">
        <f>#REF!</f>
        <v>#REF!</v>
      </c>
      <c r="K5" s="18"/>
      <c r="L5" s="52" t="e">
        <f>#REF!</f>
        <v>#REF!</v>
      </c>
      <c r="M5" s="18"/>
      <c r="N5" s="49" t="e">
        <f>#REF!</f>
        <v>#REF!</v>
      </c>
      <c r="P5" s="47" t="e">
        <f>#REF!</f>
        <v>#REF!</v>
      </c>
      <c r="Q5" s="18"/>
      <c r="R5" s="18" t="e">
        <f>#REF!</f>
        <v>#REF!</v>
      </c>
      <c r="S5" s="18"/>
      <c r="T5" s="52" t="e">
        <f>#REF!</f>
        <v>#REF!</v>
      </c>
      <c r="U5" s="18"/>
      <c r="V5" s="52" t="e">
        <f>#REF!</f>
        <v>#REF!</v>
      </c>
      <c r="W5" s="18"/>
      <c r="X5" s="49" t="e">
        <f>#REF!</f>
        <v>#REF!</v>
      </c>
      <c r="Z5" s="76" t="e">
        <f>#REF!</f>
        <v>#REF!</v>
      </c>
      <c r="AA5" s="77"/>
      <c r="AB5" s="77" t="e">
        <f>#REF!</f>
        <v>#REF!</v>
      </c>
      <c r="AC5" s="77"/>
      <c r="AD5" s="88" t="e">
        <f>#REF!</f>
        <v>#REF!</v>
      </c>
      <c r="AE5" s="77"/>
      <c r="AF5" s="88" t="e">
        <f>#REF!</f>
        <v>#REF!</v>
      </c>
      <c r="AG5" s="77"/>
      <c r="AH5" s="88" t="e">
        <f>#REF!</f>
        <v>#REF!</v>
      </c>
      <c r="AI5" s="77"/>
      <c r="AJ5" s="89" t="e">
        <f>#REF!</f>
        <v>#REF!</v>
      </c>
      <c r="AL5" s="43">
        <f t="shared" si="0"/>
        <v>1.0004999999999999</v>
      </c>
      <c r="AM5" s="123">
        <f t="shared" si="1"/>
        <v>4</v>
      </c>
      <c r="AN5" s="43" t="str">
        <f t="shared" si="2"/>
        <v>Gampel-Steg</v>
      </c>
      <c r="AO5" s="127"/>
      <c r="AP5" s="128"/>
      <c r="AQ5" s="129"/>
      <c r="AR5" s="43">
        <f>SMALL($AL$2:$AL$11,4)</f>
        <v>1.0004999999999999</v>
      </c>
      <c r="AS5" s="43">
        <f t="shared" si="3"/>
        <v>4</v>
      </c>
      <c r="AT5" s="43" t="str">
        <f t="shared" si="4"/>
        <v>Gampel-Steg</v>
      </c>
      <c r="AU5">
        <f t="shared" si="5"/>
        <v>0</v>
      </c>
    </row>
    <row r="6" spans="1:47" ht="15" customHeight="1" x14ac:dyDescent="0.25">
      <c r="A6" t="s">
        <v>299</v>
      </c>
      <c r="B6" s="47"/>
      <c r="C6" s="18"/>
      <c r="D6" s="18"/>
      <c r="E6" s="18"/>
      <c r="F6" s="58" t="s">
        <v>315</v>
      </c>
      <c r="H6" s="47"/>
      <c r="I6" s="18"/>
      <c r="J6" s="18"/>
      <c r="K6" s="18"/>
      <c r="L6" s="18"/>
      <c r="M6" s="18"/>
      <c r="N6" s="58" t="s">
        <v>315</v>
      </c>
      <c r="P6" s="47"/>
      <c r="Q6" s="18"/>
      <c r="R6" s="18"/>
      <c r="S6" s="18"/>
      <c r="T6" s="18"/>
      <c r="U6" s="18"/>
      <c r="V6" s="18"/>
      <c r="W6" s="18"/>
      <c r="X6" s="58" t="s">
        <v>315</v>
      </c>
      <c r="Z6" s="76"/>
      <c r="AA6" s="77"/>
      <c r="AB6" s="77"/>
      <c r="AC6" s="77"/>
      <c r="AD6" s="77"/>
      <c r="AE6" s="77"/>
      <c r="AF6" s="77"/>
      <c r="AG6" s="77"/>
      <c r="AH6" s="77"/>
      <c r="AI6" s="77"/>
      <c r="AJ6" s="90" t="s">
        <v>315</v>
      </c>
      <c r="AL6" s="43">
        <f t="shared" si="0"/>
        <v>1.0005999999999999</v>
      </c>
      <c r="AM6" s="123">
        <f t="shared" si="1"/>
        <v>5</v>
      </c>
      <c r="AN6" s="43" t="str">
        <f t="shared" si="2"/>
        <v>Grône</v>
      </c>
      <c r="AO6" s="127"/>
      <c r="AP6" s="128"/>
      <c r="AQ6" s="129"/>
      <c r="AR6" s="43">
        <f>SMALL($AL$2:$AL$11,5)</f>
        <v>1.0005999999999999</v>
      </c>
      <c r="AS6" s="43">
        <f t="shared" si="3"/>
        <v>5</v>
      </c>
      <c r="AT6" s="43" t="str">
        <f t="shared" si="4"/>
        <v>Grône</v>
      </c>
      <c r="AU6">
        <f t="shared" si="5"/>
        <v>0</v>
      </c>
    </row>
    <row r="7" spans="1:47" ht="15" customHeight="1" x14ac:dyDescent="0.25">
      <c r="A7" t="s">
        <v>298</v>
      </c>
      <c r="B7" s="47" t="e">
        <f>#REF!</f>
        <v>#REF!</v>
      </c>
      <c r="C7" s="18"/>
      <c r="D7" s="18" t="e">
        <f>#REF!</f>
        <v>#REF!</v>
      </c>
      <c r="E7" s="18"/>
      <c r="F7" s="59" t="e">
        <f>#REF!</f>
        <v>#REF!</v>
      </c>
      <c r="H7" s="47" t="e">
        <f>#REF!</f>
        <v>#REF!</v>
      </c>
      <c r="I7" s="18"/>
      <c r="J7" s="18" t="e">
        <f>#REF!</f>
        <v>#REF!</v>
      </c>
      <c r="K7" s="18"/>
      <c r="L7" s="52" t="e">
        <f>#REF!</f>
        <v>#REF!</v>
      </c>
      <c r="M7" s="18"/>
      <c r="N7" s="59" t="e">
        <f>#REF!</f>
        <v>#REF!</v>
      </c>
      <c r="P7" s="47" t="e">
        <f>#REF!</f>
        <v>#REF!</v>
      </c>
      <c r="Q7" s="18"/>
      <c r="R7" s="18" t="e">
        <f>#REF!</f>
        <v>#REF!</v>
      </c>
      <c r="S7" s="18"/>
      <c r="T7" s="52" t="e">
        <f>#REF!</f>
        <v>#REF!</v>
      </c>
      <c r="U7" s="18"/>
      <c r="V7" s="52" t="e">
        <f>#REF!</f>
        <v>#REF!</v>
      </c>
      <c r="W7" s="18"/>
      <c r="X7" s="59" t="e">
        <f>#REF!</f>
        <v>#REF!</v>
      </c>
      <c r="Z7" s="76" t="e">
        <f>#REF!</f>
        <v>#REF!</v>
      </c>
      <c r="AA7" s="77"/>
      <c r="AB7" s="77" t="e">
        <f>#REF!</f>
        <v>#REF!</v>
      </c>
      <c r="AC7" s="77"/>
      <c r="AD7" s="88" t="e">
        <f>#REF!</f>
        <v>#REF!</v>
      </c>
      <c r="AE7" s="77"/>
      <c r="AF7" s="88" t="e">
        <f>#REF!</f>
        <v>#REF!</v>
      </c>
      <c r="AG7" s="77"/>
      <c r="AH7" s="88" t="e">
        <f>#REF!</f>
        <v>#REF!</v>
      </c>
      <c r="AI7" s="77"/>
      <c r="AJ7" s="91" t="e">
        <f>#REF!</f>
        <v>#REF!</v>
      </c>
      <c r="AL7" s="43">
        <f t="shared" si="0"/>
        <v>1.0006999999999999</v>
      </c>
      <c r="AM7" s="123">
        <f t="shared" si="1"/>
        <v>6</v>
      </c>
      <c r="AN7" s="43" t="str">
        <f t="shared" si="2"/>
        <v>Martigny</v>
      </c>
      <c r="AO7" s="127"/>
      <c r="AP7" s="128"/>
      <c r="AQ7" s="129"/>
      <c r="AR7" s="43">
        <f>SMALL($AL$2:$AL$11,6)</f>
        <v>1.0006999999999999</v>
      </c>
      <c r="AS7" s="43">
        <f t="shared" si="3"/>
        <v>6</v>
      </c>
      <c r="AT7" s="43" t="str">
        <f t="shared" si="4"/>
        <v>Martigny</v>
      </c>
      <c r="AU7">
        <f t="shared" si="5"/>
        <v>0</v>
      </c>
    </row>
    <row r="8" spans="1:47" x14ac:dyDescent="0.25">
      <c r="A8" t="s">
        <v>302</v>
      </c>
      <c r="B8" s="47" t="e">
        <f>#REF!</f>
        <v>#REF!</v>
      </c>
      <c r="C8" s="18"/>
      <c r="D8" s="18" t="e">
        <f>#REF!</f>
        <v>#REF!</v>
      </c>
      <c r="E8" s="18"/>
      <c r="F8" s="60" t="e">
        <f>#REF!</f>
        <v>#REF!</v>
      </c>
      <c r="H8" s="47" t="e">
        <f>#REF!</f>
        <v>#REF!</v>
      </c>
      <c r="I8" s="18"/>
      <c r="J8" s="18" t="e">
        <f>#REF!</f>
        <v>#REF!</v>
      </c>
      <c r="K8" s="18"/>
      <c r="L8" s="52" t="e">
        <f>#REF!</f>
        <v>#REF!</v>
      </c>
      <c r="M8" s="18"/>
      <c r="N8" s="60" t="e">
        <f>#REF!</f>
        <v>#REF!</v>
      </c>
      <c r="P8" s="47" t="e">
        <f>#REF!</f>
        <v>#REF!</v>
      </c>
      <c r="Q8" s="18"/>
      <c r="R8" s="18" t="e">
        <f>#REF!</f>
        <v>#REF!</v>
      </c>
      <c r="S8" s="18"/>
      <c r="T8" s="52" t="e">
        <f>#REF!</f>
        <v>#REF!</v>
      </c>
      <c r="U8" s="18"/>
      <c r="V8" s="52" t="e">
        <f>#REF!</f>
        <v>#REF!</v>
      </c>
      <c r="W8" s="18"/>
      <c r="X8" s="60" t="e">
        <f>#REF!</f>
        <v>#REF!</v>
      </c>
      <c r="Z8" s="76" t="e">
        <f>#REF!</f>
        <v>#REF!</v>
      </c>
      <c r="AA8" s="77"/>
      <c r="AB8" s="77" t="e">
        <f>#REF!</f>
        <v>#REF!</v>
      </c>
      <c r="AC8" s="77"/>
      <c r="AD8" s="88" t="e">
        <f>#REF!</f>
        <v>#REF!</v>
      </c>
      <c r="AE8" s="77"/>
      <c r="AF8" s="88" t="e">
        <f>#REF!</f>
        <v>#REF!</v>
      </c>
      <c r="AG8" s="77"/>
      <c r="AH8" s="88" t="e">
        <f>#REF!</f>
        <v>#REF!</v>
      </c>
      <c r="AI8" s="77"/>
      <c r="AJ8" s="91" t="e">
        <f>#REF!</f>
        <v>#REF!</v>
      </c>
      <c r="AL8" s="43">
        <f t="shared" si="0"/>
        <v>1.0007999999999999</v>
      </c>
      <c r="AM8" s="123">
        <f t="shared" si="1"/>
        <v>7</v>
      </c>
      <c r="AN8" s="43" t="str">
        <f t="shared" si="2"/>
        <v>Sierre</v>
      </c>
      <c r="AO8" s="127"/>
      <c r="AP8" s="128"/>
      <c r="AQ8" s="129"/>
      <c r="AR8" s="43">
        <f>SMALL($AL$2:$AL$11,7)</f>
        <v>1.0007999999999999</v>
      </c>
      <c r="AS8" s="43">
        <f t="shared" si="3"/>
        <v>7</v>
      </c>
      <c r="AT8" s="43" t="str">
        <f t="shared" si="4"/>
        <v>Sierre</v>
      </c>
      <c r="AU8">
        <f t="shared" si="5"/>
        <v>0</v>
      </c>
    </row>
    <row r="9" spans="1:47" x14ac:dyDescent="0.25">
      <c r="A9" t="s">
        <v>296</v>
      </c>
      <c r="B9" s="47"/>
      <c r="C9" s="18"/>
      <c r="D9" s="18"/>
      <c r="E9" s="18"/>
      <c r="F9" s="48"/>
      <c r="H9" s="47"/>
      <c r="I9" s="18"/>
      <c r="J9" s="18"/>
      <c r="K9" s="18"/>
      <c r="L9" s="53" t="s">
        <v>330</v>
      </c>
      <c r="M9" s="45"/>
      <c r="N9" s="46"/>
      <c r="P9" s="47"/>
      <c r="Q9" s="18"/>
      <c r="R9" s="18"/>
      <c r="S9" s="18"/>
      <c r="T9" s="18"/>
      <c r="U9" s="18"/>
      <c r="V9" s="53" t="s">
        <v>322</v>
      </c>
      <c r="W9" s="45"/>
      <c r="X9" s="46"/>
      <c r="Z9" s="76"/>
      <c r="AA9" s="77"/>
      <c r="AB9" s="77"/>
      <c r="AC9" s="77"/>
      <c r="AD9" s="77"/>
      <c r="AE9" s="77"/>
      <c r="AF9" s="77"/>
      <c r="AG9" s="77"/>
      <c r="AH9" s="92" t="s">
        <v>322</v>
      </c>
      <c r="AI9" s="81"/>
      <c r="AJ9" s="82"/>
      <c r="AL9" s="43">
        <f t="shared" si="0"/>
        <v>1.0008999999999999</v>
      </c>
      <c r="AM9" s="123">
        <f t="shared" si="1"/>
        <v>8</v>
      </c>
      <c r="AN9" s="43" t="str">
        <f t="shared" si="2"/>
        <v>Sion</v>
      </c>
      <c r="AO9" s="127"/>
      <c r="AP9" s="128"/>
      <c r="AQ9" s="129"/>
      <c r="AR9" s="43">
        <f>SMALL($AL$2:$AL$11,8)</f>
        <v>1.0008999999999999</v>
      </c>
      <c r="AS9" s="43">
        <f t="shared" si="3"/>
        <v>8</v>
      </c>
      <c r="AT9" s="43" t="str">
        <f t="shared" si="4"/>
        <v>Sion</v>
      </c>
      <c r="AU9">
        <f t="shared" si="5"/>
        <v>0</v>
      </c>
    </row>
    <row r="10" spans="1:47" x14ac:dyDescent="0.25">
      <c r="A10" t="s">
        <v>297</v>
      </c>
      <c r="B10" s="47" t="e">
        <f>#REF!</f>
        <v>#REF!</v>
      </c>
      <c r="C10" s="18"/>
      <c r="D10" s="53" t="s">
        <v>330</v>
      </c>
      <c r="E10" s="45"/>
      <c r="F10" s="46"/>
      <c r="H10" s="47" t="e">
        <f>#REF!</f>
        <v>#REF!</v>
      </c>
      <c r="I10" s="18"/>
      <c r="J10" s="18" t="e">
        <f>#REF!</f>
        <v>#REF!</v>
      </c>
      <c r="K10" s="18"/>
      <c r="L10" s="47" t="e">
        <f>#REF!</f>
        <v>#REF!</v>
      </c>
      <c r="M10" s="18"/>
      <c r="N10" s="48" t="e">
        <f>#REF!</f>
        <v>#REF!</v>
      </c>
      <c r="P10" s="47" t="e">
        <f>#REF!</f>
        <v>#REF!</v>
      </c>
      <c r="Q10" s="18"/>
      <c r="R10" s="18" t="e">
        <f>#REF!</f>
        <v>#REF!</v>
      </c>
      <c r="S10" s="18"/>
      <c r="T10" s="52" t="e">
        <f>#REF!</f>
        <v>#REF!</v>
      </c>
      <c r="U10" s="18"/>
      <c r="V10" s="98" t="e">
        <f>#REF!</f>
        <v>#REF!</v>
      </c>
      <c r="W10" s="18"/>
      <c r="X10" s="49" t="e">
        <f>#REF!</f>
        <v>#REF!</v>
      </c>
      <c r="Z10" s="76" t="e">
        <f>#REF!</f>
        <v>#REF!</v>
      </c>
      <c r="AA10" s="77"/>
      <c r="AB10" s="77" t="e">
        <f>#REF!</f>
        <v>#REF!</v>
      </c>
      <c r="AC10" s="77"/>
      <c r="AD10" s="88" t="e">
        <f>#REF!</f>
        <v>#REF!</v>
      </c>
      <c r="AE10" s="77"/>
      <c r="AF10" s="88" t="e">
        <f>#REF!</f>
        <v>#REF!</v>
      </c>
      <c r="AG10" s="77"/>
      <c r="AH10" s="76" t="e">
        <f>#REF!</f>
        <v>#REF!</v>
      </c>
      <c r="AI10" s="77"/>
      <c r="AJ10" s="83" t="e">
        <f>#REF!</f>
        <v>#REF!</v>
      </c>
      <c r="AL10" s="43">
        <f t="shared" si="0"/>
        <v>1.0009999999999999</v>
      </c>
      <c r="AM10" s="123">
        <f t="shared" si="1"/>
        <v>9</v>
      </c>
      <c r="AN10" s="43" t="str">
        <f t="shared" si="2"/>
        <v>Stalden</v>
      </c>
      <c r="AO10" s="127"/>
      <c r="AP10" s="128"/>
      <c r="AQ10" s="129"/>
      <c r="AR10" s="43">
        <f>SMALL($AL$2:$AL$11,9)</f>
        <v>1.0009999999999999</v>
      </c>
      <c r="AS10" s="43">
        <f t="shared" si="3"/>
        <v>9</v>
      </c>
      <c r="AT10" s="43" t="str">
        <f t="shared" si="4"/>
        <v>Stalden</v>
      </c>
      <c r="AU10">
        <f t="shared" si="5"/>
        <v>0</v>
      </c>
    </row>
    <row r="11" spans="1:47" ht="15" customHeight="1" x14ac:dyDescent="0.25">
      <c r="A11" t="s">
        <v>303</v>
      </c>
      <c r="B11" s="47" t="e">
        <f>#REF!</f>
        <v>#REF!</v>
      </c>
      <c r="C11" s="18"/>
      <c r="D11" s="47" t="e">
        <f>#REF!</f>
        <v>#REF!</v>
      </c>
      <c r="E11" s="18"/>
      <c r="F11" s="48" t="e">
        <f>#REF!</f>
        <v>#REF!</v>
      </c>
      <c r="H11" s="47" t="e">
        <f>#REF!</f>
        <v>#REF!</v>
      </c>
      <c r="I11" s="18"/>
      <c r="J11" s="18" t="e">
        <f>#REF!</f>
        <v>#REF!</v>
      </c>
      <c r="K11" s="18"/>
      <c r="L11" s="47" t="e">
        <f>#REF!</f>
        <v>#REF!</v>
      </c>
      <c r="M11" s="18"/>
      <c r="N11" s="48" t="e">
        <f>#REF!</f>
        <v>#REF!</v>
      </c>
      <c r="P11" s="47" t="e">
        <f>#REF!</f>
        <v>#REF!</v>
      </c>
      <c r="Q11" s="18"/>
      <c r="R11" s="18" t="e">
        <f>#REF!</f>
        <v>#REF!</v>
      </c>
      <c r="S11" s="18"/>
      <c r="T11" s="52" t="e">
        <f>#REF!</f>
        <v>#REF!</v>
      </c>
      <c r="U11" s="18"/>
      <c r="V11" s="98" t="e">
        <f>#REF!</f>
        <v>#REF!</v>
      </c>
      <c r="W11" s="18"/>
      <c r="X11" s="49" t="e">
        <f>#REF!</f>
        <v>#REF!</v>
      </c>
      <c r="Z11" s="76" t="e">
        <f>#REF!</f>
        <v>#REF!</v>
      </c>
      <c r="AA11" s="77"/>
      <c r="AB11" s="77" t="e">
        <f>#REF!</f>
        <v>#REF!</v>
      </c>
      <c r="AC11" s="77"/>
      <c r="AD11" s="88" t="e">
        <f>#REF!</f>
        <v>#REF!</v>
      </c>
      <c r="AE11" s="77"/>
      <c r="AF11" s="88" t="e">
        <f>#REF!</f>
        <v>#REF!</v>
      </c>
      <c r="AG11" s="77"/>
      <c r="AH11" s="76" t="e">
        <f>#REF!</f>
        <v>#REF!</v>
      </c>
      <c r="AI11" s="77"/>
      <c r="AJ11" s="83" t="e">
        <f>#REF!</f>
        <v>#REF!</v>
      </c>
      <c r="AL11" s="43">
        <f t="shared" si="0"/>
        <v>1.0011000000000001</v>
      </c>
      <c r="AM11" s="123">
        <f t="shared" si="1"/>
        <v>10</v>
      </c>
      <c r="AN11" s="43" t="str">
        <f t="shared" si="2"/>
        <v>Zermatt</v>
      </c>
      <c r="AO11" s="130"/>
      <c r="AP11" s="131"/>
      <c r="AQ11" s="132"/>
      <c r="AR11" s="43">
        <f>SMALL($AL$2:$AL$11,10)</f>
        <v>1.0011000000000001</v>
      </c>
      <c r="AS11" s="43">
        <f t="shared" si="3"/>
        <v>10</v>
      </c>
      <c r="AT11" s="43" t="str">
        <f t="shared" si="4"/>
        <v>Zermatt</v>
      </c>
      <c r="AU11">
        <f t="shared" si="5"/>
        <v>0</v>
      </c>
    </row>
    <row r="12" spans="1:47" ht="15" customHeight="1" x14ac:dyDescent="0.25">
      <c r="A12" t="s">
        <v>304</v>
      </c>
      <c r="B12" s="47"/>
      <c r="C12" s="18"/>
      <c r="D12" s="47" t="e">
        <f>#REF!</f>
        <v>#REF!</v>
      </c>
      <c r="E12" s="18"/>
      <c r="F12" s="48" t="e">
        <f>#REF!</f>
        <v>#REF!</v>
      </c>
      <c r="H12" s="47"/>
      <c r="I12" s="18"/>
      <c r="J12" s="18"/>
      <c r="K12" s="18"/>
      <c r="L12" s="47"/>
      <c r="M12" s="18"/>
      <c r="N12" s="58" t="s">
        <v>323</v>
      </c>
      <c r="P12" s="47"/>
      <c r="Q12" s="18"/>
      <c r="R12" s="18"/>
      <c r="S12" s="18"/>
      <c r="T12" s="18"/>
      <c r="U12" s="18"/>
      <c r="V12" s="47"/>
      <c r="W12" s="18"/>
      <c r="X12" s="58" t="s">
        <v>323</v>
      </c>
      <c r="Z12" s="76"/>
      <c r="AA12" s="77"/>
      <c r="AB12" s="77"/>
      <c r="AC12" s="77"/>
      <c r="AD12" s="77"/>
      <c r="AE12" s="77"/>
      <c r="AF12" s="77"/>
      <c r="AG12" s="77"/>
      <c r="AH12" s="76"/>
      <c r="AI12" s="77"/>
      <c r="AJ12" s="90" t="s">
        <v>323</v>
      </c>
    </row>
    <row r="13" spans="1:47" x14ac:dyDescent="0.25">
      <c r="B13" s="47" t="e">
        <f>#REF!</f>
        <v>#REF!</v>
      </c>
      <c r="C13" s="18"/>
      <c r="D13" s="47"/>
      <c r="E13" s="18"/>
      <c r="F13" s="58" t="s">
        <v>323</v>
      </c>
      <c r="H13" s="47" t="e">
        <f>#REF!</f>
        <v>#REF!</v>
      </c>
      <c r="I13" s="18"/>
      <c r="J13" s="18" t="e">
        <f>#REF!</f>
        <v>#REF!</v>
      </c>
      <c r="K13" s="18"/>
      <c r="L13" s="47" t="e">
        <f>#REF!</f>
        <v>#REF!</v>
      </c>
      <c r="M13" s="18"/>
      <c r="N13" s="59" t="e">
        <f>#REF!</f>
        <v>#REF!</v>
      </c>
      <c r="P13" s="47" t="e">
        <f>#REF!</f>
        <v>#REF!</v>
      </c>
      <c r="Q13" s="18"/>
      <c r="R13" s="18" t="e">
        <f>#REF!</f>
        <v>#REF!</v>
      </c>
      <c r="S13" s="18"/>
      <c r="T13" s="52" t="e">
        <f>#REF!</f>
        <v>#REF!</v>
      </c>
      <c r="U13" s="18"/>
      <c r="V13" s="98" t="e">
        <f>#REF!</f>
        <v>#REF!</v>
      </c>
      <c r="W13" s="18"/>
      <c r="X13" s="106" t="e">
        <f>#REF!</f>
        <v>#REF!</v>
      </c>
      <c r="Z13" s="76" t="e">
        <f>#REF!</f>
        <v>#REF!</v>
      </c>
      <c r="AA13" s="77"/>
      <c r="AB13" s="77" t="e">
        <f>#REF!</f>
        <v>#REF!</v>
      </c>
      <c r="AC13" s="77"/>
      <c r="AD13" s="88" t="e">
        <f>#REF!</f>
        <v>#REF!</v>
      </c>
      <c r="AE13" s="77"/>
      <c r="AF13" s="88" t="e">
        <f>#REF!</f>
        <v>#REF!</v>
      </c>
      <c r="AG13" s="77"/>
      <c r="AH13" s="76" t="e">
        <f>#REF!</f>
        <v>#REF!</v>
      </c>
      <c r="AI13" s="77"/>
      <c r="AJ13" s="91" t="e">
        <f>#REF!</f>
        <v>#REF!</v>
      </c>
      <c r="AO13" s="135" t="s">
        <v>380</v>
      </c>
      <c r="AP13" s="136"/>
    </row>
    <row r="14" spans="1:47" x14ac:dyDescent="0.25">
      <c r="B14" s="47" t="e">
        <f>#REF!</f>
        <v>#REF!</v>
      </c>
      <c r="C14" s="18"/>
      <c r="D14" s="47" t="e">
        <f>#REF!</f>
        <v>#REF!</v>
      </c>
      <c r="E14" s="18"/>
      <c r="F14" s="59" t="e">
        <f>#REF!</f>
        <v>#REF!</v>
      </c>
      <c r="H14" s="47" t="e">
        <f>#REF!</f>
        <v>#REF!</v>
      </c>
      <c r="I14" s="18"/>
      <c r="J14" s="18" t="e">
        <f>#REF!</f>
        <v>#REF!</v>
      </c>
      <c r="K14" s="18"/>
      <c r="L14" s="47" t="e">
        <f>#REF!</f>
        <v>#REF!</v>
      </c>
      <c r="M14" s="18"/>
      <c r="N14" s="59" t="e">
        <f>#REF!</f>
        <v>#REF!</v>
      </c>
      <c r="P14" s="47" t="e">
        <f>#REF!</f>
        <v>#REF!</v>
      </c>
      <c r="Q14" s="18"/>
      <c r="R14" s="18" t="e">
        <f>#REF!</f>
        <v>#REF!</v>
      </c>
      <c r="S14" s="18"/>
      <c r="T14" s="52" t="e">
        <f>#REF!</f>
        <v>#REF!</v>
      </c>
      <c r="U14" s="18"/>
      <c r="V14" s="103" t="e">
        <f>#REF!</f>
        <v>#REF!</v>
      </c>
      <c r="W14" s="51"/>
      <c r="X14" s="97" t="e">
        <f>#REF!</f>
        <v>#REF!</v>
      </c>
      <c r="Z14" s="76" t="e">
        <f>#REF!</f>
        <v>#REF!</v>
      </c>
      <c r="AA14" s="77"/>
      <c r="AB14" s="77" t="e">
        <f>#REF!</f>
        <v>#REF!</v>
      </c>
      <c r="AC14" s="77"/>
      <c r="AD14" s="88" t="e">
        <f>#REF!</f>
        <v>#REF!</v>
      </c>
      <c r="AE14" s="77"/>
      <c r="AF14" s="88" t="e">
        <f>#REF!</f>
        <v>#REF!</v>
      </c>
      <c r="AG14" s="77"/>
      <c r="AH14" s="76" t="e">
        <f>#REF!</f>
        <v>#REF!</v>
      </c>
      <c r="AI14" s="77"/>
      <c r="AJ14" s="91" t="e">
        <f>#REF!</f>
        <v>#REF!</v>
      </c>
      <c r="AL14" s="43">
        <f t="shared" ref="AL14:AL23" si="6">RANK(C44,$C$44:$C$53,0)+ROW()%%</f>
        <v>1.0014000000000001</v>
      </c>
      <c r="AM14" s="123">
        <f t="shared" ref="AM14:AM23" si="7">IF(AL14="","",RANK(AL14,$AL$14:$AL$23,1))</f>
        <v>1</v>
      </c>
      <c r="AN14" s="43" t="str">
        <f t="shared" ref="AN14:AN23" si="8">B44</f>
        <v>Brig</v>
      </c>
      <c r="AO14" s="124"/>
      <c r="AP14" s="125"/>
      <c r="AQ14" s="126"/>
      <c r="AR14" s="43">
        <f>SMALL($AL$14:$AL$23,1)</f>
        <v>1.0014000000000001</v>
      </c>
      <c r="AS14" s="43">
        <f t="shared" ref="AS14:AS23" si="9">IF(AR14="","",RANK(AR14,$AR$14:$AR$23,1))</f>
        <v>1</v>
      </c>
      <c r="AT14" s="43" t="str">
        <f t="shared" ref="AT14:AT23" si="10">INDEX($AN$14:$AN$23,MATCH(AR14,$AL$14:$AL$23,0),1)</f>
        <v>Brig</v>
      </c>
      <c r="AU14">
        <f>IFERROR(INDEX($C$44:$C$53,MATCH(AT14,$B$44:$B$53,0)),0)</f>
        <v>0</v>
      </c>
    </row>
    <row r="15" spans="1:47" x14ac:dyDescent="0.25">
      <c r="B15" s="50"/>
      <c r="C15" s="51"/>
      <c r="D15" s="50" t="e">
        <f>#REF!</f>
        <v>#REF!</v>
      </c>
      <c r="E15" s="51"/>
      <c r="F15" s="60" t="e">
        <f>#REF!</f>
        <v>#REF!</v>
      </c>
      <c r="H15" s="47"/>
      <c r="I15" s="18"/>
      <c r="J15" s="53" t="s">
        <v>318</v>
      </c>
      <c r="K15" s="45"/>
      <c r="L15" s="45"/>
      <c r="M15" s="45"/>
      <c r="N15" s="46"/>
      <c r="P15" s="47"/>
      <c r="Q15" s="18"/>
      <c r="R15" s="18"/>
      <c r="S15" s="18"/>
      <c r="T15" s="53" t="s">
        <v>318</v>
      </c>
      <c r="U15" s="45"/>
      <c r="V15" s="45"/>
      <c r="W15" s="45"/>
      <c r="X15" s="46"/>
      <c r="Z15" s="76"/>
      <c r="AA15" s="77"/>
      <c r="AB15" s="77"/>
      <c r="AC15" s="77"/>
      <c r="AD15" s="77"/>
      <c r="AE15" s="77"/>
      <c r="AF15" s="92" t="s">
        <v>318</v>
      </c>
      <c r="AG15" s="81"/>
      <c r="AH15" s="81"/>
      <c r="AI15" s="81"/>
      <c r="AJ15" s="82"/>
      <c r="AL15" s="43">
        <f t="shared" si="6"/>
        <v>1.0015000000000001</v>
      </c>
      <c r="AM15" s="123">
        <f t="shared" si="7"/>
        <v>2</v>
      </c>
      <c r="AN15" s="43" t="str">
        <f t="shared" si="8"/>
        <v>Collombey-Muraz</v>
      </c>
      <c r="AO15" s="127"/>
      <c r="AP15" s="128"/>
      <c r="AQ15" s="129"/>
      <c r="AR15" s="43">
        <f>SMALL($AL$14:$AL$23,2)</f>
        <v>1.0015000000000001</v>
      </c>
      <c r="AS15" s="43">
        <f t="shared" si="9"/>
        <v>2</v>
      </c>
      <c r="AT15" s="43" t="str">
        <f t="shared" si="10"/>
        <v>Collombey-Muraz</v>
      </c>
      <c r="AU15">
        <f t="shared" ref="AU15:AU23" si="11">IFERROR(INDEX($C$44:$C$53,MATCH(AT15,$B$44:$B$53,0)),0)</f>
        <v>0</v>
      </c>
    </row>
    <row r="16" spans="1:47" ht="15" customHeight="1" x14ac:dyDescent="0.25">
      <c r="B16" s="44" t="s">
        <v>364</v>
      </c>
      <c r="C16" s="45"/>
      <c r="D16" s="45"/>
      <c r="E16" s="45"/>
      <c r="F16" s="46"/>
      <c r="H16" s="47" t="e">
        <f>#REF!</f>
        <v>#REF!</v>
      </c>
      <c r="I16" s="18"/>
      <c r="J16" s="47" t="e">
        <f>#REF!</f>
        <v>#REF!</v>
      </c>
      <c r="K16" s="18"/>
      <c r="L16" s="18" t="e">
        <f>#REF!</f>
        <v>#REF!</v>
      </c>
      <c r="M16" s="18"/>
      <c r="N16" s="49" t="e">
        <f>#REF!</f>
        <v>#REF!</v>
      </c>
      <c r="P16" s="47" t="e">
        <f>#REF!</f>
        <v>#REF!</v>
      </c>
      <c r="Q16" s="18"/>
      <c r="R16" s="18" t="e">
        <f>#REF!</f>
        <v>#REF!</v>
      </c>
      <c r="S16" s="18"/>
      <c r="T16" s="98" t="e">
        <f>#REF!</f>
        <v>#REF!</v>
      </c>
      <c r="U16" s="18"/>
      <c r="V16" s="52" t="e">
        <f>#REF!</f>
        <v>#REF!</v>
      </c>
      <c r="W16" s="18"/>
      <c r="X16" s="49" t="e">
        <f>#REF!</f>
        <v>#REF!</v>
      </c>
      <c r="Z16" s="76" t="e">
        <f>#REF!</f>
        <v>#REF!</v>
      </c>
      <c r="AA16" s="77"/>
      <c r="AB16" s="77" t="e">
        <f>#REF!</f>
        <v>#REF!</v>
      </c>
      <c r="AC16" s="77"/>
      <c r="AD16" s="88" t="e">
        <f>#REF!</f>
        <v>#REF!</v>
      </c>
      <c r="AE16" s="77"/>
      <c r="AF16" s="76" t="e">
        <f>#REF!</f>
        <v>#REF!</v>
      </c>
      <c r="AG16" s="77"/>
      <c r="AH16" s="77" t="e">
        <f>#REF!</f>
        <v>#REF!</v>
      </c>
      <c r="AI16" s="77"/>
      <c r="AJ16" s="89" t="e">
        <f>#REF!</f>
        <v>#REF!</v>
      </c>
      <c r="AL16" s="43">
        <f t="shared" si="6"/>
        <v>1.0016</v>
      </c>
      <c r="AM16" s="123">
        <f t="shared" si="7"/>
        <v>3</v>
      </c>
      <c r="AN16" s="43" t="str">
        <f t="shared" si="8"/>
        <v>Dorénaz</v>
      </c>
      <c r="AO16" s="127"/>
      <c r="AP16" s="128"/>
      <c r="AQ16" s="129"/>
      <c r="AR16" s="43">
        <f>SMALL($AL$14:$AL$23,3)</f>
        <v>1.0016</v>
      </c>
      <c r="AS16" s="43">
        <f t="shared" si="9"/>
        <v>3</v>
      </c>
      <c r="AT16" s="43" t="str">
        <f t="shared" si="10"/>
        <v>Dorénaz</v>
      </c>
      <c r="AU16">
        <f t="shared" si="11"/>
        <v>0</v>
      </c>
    </row>
    <row r="17" spans="2:47" ht="15" customHeight="1" x14ac:dyDescent="0.25">
      <c r="B17" s="47"/>
      <c r="C17" s="18"/>
      <c r="D17" s="18"/>
      <c r="E17" s="18"/>
      <c r="F17" s="48"/>
      <c r="H17" s="47" t="e">
        <f>#REF!</f>
        <v>#REF!</v>
      </c>
      <c r="I17" s="18"/>
      <c r="J17" s="47" t="e">
        <f>#REF!</f>
        <v>#REF!</v>
      </c>
      <c r="K17" s="18"/>
      <c r="L17" s="18" t="e">
        <f>#REF!</f>
        <v>#REF!</v>
      </c>
      <c r="M17" s="18"/>
      <c r="N17" s="49" t="e">
        <f>#REF!</f>
        <v>#REF!</v>
      </c>
      <c r="P17" s="47" t="e">
        <f>#REF!</f>
        <v>#REF!</v>
      </c>
      <c r="Q17" s="18"/>
      <c r="R17" s="18" t="e">
        <f>#REF!</f>
        <v>#REF!</v>
      </c>
      <c r="S17" s="18"/>
      <c r="T17" s="98" t="e">
        <f>#REF!</f>
        <v>#REF!</v>
      </c>
      <c r="U17" s="18"/>
      <c r="V17" s="52" t="e">
        <f>#REF!</f>
        <v>#REF!</v>
      </c>
      <c r="W17" s="18"/>
      <c r="X17" s="49" t="e">
        <f>#REF!</f>
        <v>#REF!</v>
      </c>
      <c r="Z17" s="76" t="e">
        <f>#REF!</f>
        <v>#REF!</v>
      </c>
      <c r="AA17" s="77"/>
      <c r="AB17" s="77" t="e">
        <f>#REF!</f>
        <v>#REF!</v>
      </c>
      <c r="AC17" s="77"/>
      <c r="AD17" s="88" t="e">
        <f>#REF!</f>
        <v>#REF!</v>
      </c>
      <c r="AE17" s="77"/>
      <c r="AF17" s="76" t="e">
        <f>#REF!</f>
        <v>#REF!</v>
      </c>
      <c r="AG17" s="77"/>
      <c r="AH17" s="77" t="e">
        <f>#REF!</f>
        <v>#REF!</v>
      </c>
      <c r="AI17" s="77"/>
      <c r="AJ17" s="89" t="e">
        <f>#REF!</f>
        <v>#REF!</v>
      </c>
      <c r="AL17" s="43">
        <f t="shared" si="6"/>
        <v>1.0017</v>
      </c>
      <c r="AM17" s="123">
        <f t="shared" si="7"/>
        <v>4</v>
      </c>
      <c r="AN17" s="43" t="str">
        <f t="shared" si="8"/>
        <v>Gampel-Steg</v>
      </c>
      <c r="AO17" s="127"/>
      <c r="AP17" s="128"/>
      <c r="AQ17" s="129"/>
      <c r="AR17" s="43">
        <f>SMALL($AL$14:$AL$23,4)</f>
        <v>1.0017</v>
      </c>
      <c r="AS17" s="43">
        <f t="shared" si="9"/>
        <v>4</v>
      </c>
      <c r="AT17" s="43" t="str">
        <f t="shared" si="10"/>
        <v>Gampel-Steg</v>
      </c>
      <c r="AU17">
        <f t="shared" si="11"/>
        <v>0</v>
      </c>
    </row>
    <row r="18" spans="2:47" x14ac:dyDescent="0.25">
      <c r="B18" s="61" t="s">
        <v>313</v>
      </c>
      <c r="C18" s="55"/>
      <c r="D18" s="56" t="s">
        <v>314</v>
      </c>
      <c r="E18" s="55"/>
      <c r="F18" s="57" t="s">
        <v>334</v>
      </c>
      <c r="H18" s="47"/>
      <c r="I18" s="18"/>
      <c r="J18" s="47"/>
      <c r="K18" s="18"/>
      <c r="L18" s="18"/>
      <c r="M18" s="18"/>
      <c r="N18" s="48"/>
      <c r="P18" s="47"/>
      <c r="Q18" s="18"/>
      <c r="R18" s="18"/>
      <c r="S18" s="18"/>
      <c r="T18" s="47"/>
      <c r="U18" s="18"/>
      <c r="V18" s="18"/>
      <c r="W18" s="18"/>
      <c r="X18" s="58" t="s">
        <v>321</v>
      </c>
      <c r="Z18" s="76"/>
      <c r="AA18" s="77"/>
      <c r="AB18" s="77"/>
      <c r="AC18" s="77"/>
      <c r="AD18" s="77"/>
      <c r="AE18" s="77"/>
      <c r="AF18" s="76"/>
      <c r="AG18" s="77"/>
      <c r="AH18" s="77"/>
      <c r="AI18" s="77"/>
      <c r="AJ18" s="90" t="s">
        <v>321</v>
      </c>
      <c r="AL18" s="43">
        <f t="shared" si="6"/>
        <v>1.0018</v>
      </c>
      <c r="AM18" s="123">
        <f t="shared" si="7"/>
        <v>5</v>
      </c>
      <c r="AN18" s="43" t="str">
        <f t="shared" si="8"/>
        <v>Grône</v>
      </c>
      <c r="AO18" s="127"/>
      <c r="AP18" s="128"/>
      <c r="AQ18" s="129"/>
      <c r="AR18" s="43">
        <f>SMALL($AL$14:$AL$23,5)</f>
        <v>1.0018</v>
      </c>
      <c r="AS18" s="43">
        <f t="shared" si="9"/>
        <v>5</v>
      </c>
      <c r="AT18" s="43" t="str">
        <f t="shared" si="10"/>
        <v>Grône</v>
      </c>
      <c r="AU18">
        <f t="shared" si="11"/>
        <v>0</v>
      </c>
    </row>
    <row r="19" spans="2:47" x14ac:dyDescent="0.25">
      <c r="B19" s="47" t="e">
        <f>#REF!</f>
        <v>#REF!</v>
      </c>
      <c r="C19" s="18"/>
      <c r="D19" s="52" t="e">
        <f>#REF!</f>
        <v>#REF!</v>
      </c>
      <c r="E19" s="18"/>
      <c r="F19" s="49" t="e">
        <f>#REF!</f>
        <v>#REF!</v>
      </c>
      <c r="H19" s="47" t="e">
        <f>#REF!</f>
        <v>#REF!</v>
      </c>
      <c r="I19" s="18"/>
      <c r="J19" s="47" t="e">
        <f>#REF!</f>
        <v>#REF!</v>
      </c>
      <c r="K19" s="18"/>
      <c r="L19" s="18" t="e">
        <f>#REF!</f>
        <v>#REF!</v>
      </c>
      <c r="M19" s="18"/>
      <c r="N19" s="58" t="s">
        <v>321</v>
      </c>
      <c r="P19" s="47" t="e">
        <f>#REF!</f>
        <v>#REF!</v>
      </c>
      <c r="Q19" s="18"/>
      <c r="R19" s="18" t="e">
        <f>#REF!</f>
        <v>#REF!</v>
      </c>
      <c r="S19" s="18"/>
      <c r="T19" s="98" t="e">
        <f>#REF!</f>
        <v>#REF!</v>
      </c>
      <c r="U19" s="18"/>
      <c r="V19" s="52" t="e">
        <f>#REF!</f>
        <v>#REF!</v>
      </c>
      <c r="W19" s="18"/>
      <c r="X19" s="99" t="e">
        <f>#REF!</f>
        <v>#REF!</v>
      </c>
      <c r="Z19" s="76" t="e">
        <f>#REF!</f>
        <v>#REF!</v>
      </c>
      <c r="AA19" s="77"/>
      <c r="AB19" s="77" t="e">
        <f>#REF!</f>
        <v>#REF!</v>
      </c>
      <c r="AC19" s="77"/>
      <c r="AD19" s="88" t="e">
        <f>#REF!</f>
        <v>#REF!</v>
      </c>
      <c r="AE19" s="77"/>
      <c r="AF19" s="76" t="e">
        <f>#REF!</f>
        <v>#REF!</v>
      </c>
      <c r="AG19" s="77"/>
      <c r="AH19" s="77" t="e">
        <f>#REF!</f>
        <v>#REF!</v>
      </c>
      <c r="AI19" s="77"/>
      <c r="AJ19" s="91" t="e">
        <f>#REF!</f>
        <v>#REF!</v>
      </c>
      <c r="AL19" s="43">
        <f t="shared" si="6"/>
        <v>1.0019</v>
      </c>
      <c r="AM19" s="123">
        <f t="shared" si="7"/>
        <v>6</v>
      </c>
      <c r="AN19" s="43" t="str">
        <f t="shared" si="8"/>
        <v>Martigny</v>
      </c>
      <c r="AO19" s="127"/>
      <c r="AP19" s="128"/>
      <c r="AQ19" s="129"/>
      <c r="AR19" s="43">
        <f>SMALL($AL$14:$AL$23,6)</f>
        <v>1.0019</v>
      </c>
      <c r="AS19" s="43">
        <f t="shared" si="9"/>
        <v>6</v>
      </c>
      <c r="AT19" s="43" t="str">
        <f t="shared" si="10"/>
        <v>Martigny</v>
      </c>
      <c r="AU19">
        <f t="shared" si="11"/>
        <v>0</v>
      </c>
    </row>
    <row r="20" spans="2:47" x14ac:dyDescent="0.25">
      <c r="B20" s="47" t="e">
        <f>#REF!</f>
        <v>#REF!</v>
      </c>
      <c r="C20" s="18"/>
      <c r="D20" s="52" t="e">
        <f>#REF!</f>
        <v>#REF!</v>
      </c>
      <c r="E20" s="18"/>
      <c r="F20" s="49" t="e">
        <f>#REF!</f>
        <v>#REF!</v>
      </c>
      <c r="H20" s="47" t="e">
        <f>#REF!</f>
        <v>#REF!</v>
      </c>
      <c r="I20" s="18"/>
      <c r="J20" s="47" t="e">
        <f>#REF!</f>
        <v>#REF!</v>
      </c>
      <c r="K20" s="18"/>
      <c r="L20" s="18" t="e">
        <f>#REF!</f>
        <v>#REF!</v>
      </c>
      <c r="M20" s="18"/>
      <c r="N20" s="59" t="e">
        <f>#REF!</f>
        <v>#REF!</v>
      </c>
      <c r="P20" s="47" t="e">
        <f>#REF!</f>
        <v>#REF!</v>
      </c>
      <c r="Q20" s="18"/>
      <c r="R20" s="18" t="e">
        <f>#REF!</f>
        <v>#REF!</v>
      </c>
      <c r="S20" s="18"/>
      <c r="T20" s="98" t="e">
        <f>#REF!</f>
        <v>#REF!</v>
      </c>
      <c r="U20" s="18"/>
      <c r="V20" s="52" t="e">
        <f>#REF!</f>
        <v>#REF!</v>
      </c>
      <c r="W20" s="18"/>
      <c r="X20" s="97" t="e">
        <f>#REF!</f>
        <v>#REF!</v>
      </c>
      <c r="Z20" s="76" t="e">
        <f>#REF!</f>
        <v>#REF!</v>
      </c>
      <c r="AA20" s="77"/>
      <c r="AB20" s="77" t="e">
        <f>#REF!</f>
        <v>#REF!</v>
      </c>
      <c r="AC20" s="77"/>
      <c r="AD20" s="88" t="e">
        <f>#REF!</f>
        <v>#REF!</v>
      </c>
      <c r="AE20" s="77"/>
      <c r="AF20" s="76" t="e">
        <f>#REF!</f>
        <v>#REF!</v>
      </c>
      <c r="AG20" s="77"/>
      <c r="AH20" s="77" t="e">
        <f>#REF!</f>
        <v>#REF!</v>
      </c>
      <c r="AI20" s="77"/>
      <c r="AJ20" s="91" t="e">
        <f>#REF!</f>
        <v>#REF!</v>
      </c>
      <c r="AL20" s="43">
        <f t="shared" si="6"/>
        <v>1.002</v>
      </c>
      <c r="AM20" s="123">
        <f t="shared" si="7"/>
        <v>7</v>
      </c>
      <c r="AN20" s="43" t="str">
        <f t="shared" si="8"/>
        <v>Sierre</v>
      </c>
      <c r="AO20" s="127"/>
      <c r="AP20" s="128"/>
      <c r="AQ20" s="129"/>
      <c r="AR20" s="43">
        <f>SMALL($AL$14:$AL$23,7)</f>
        <v>1.002</v>
      </c>
      <c r="AS20" s="43">
        <f t="shared" si="9"/>
        <v>7</v>
      </c>
      <c r="AT20" s="43" t="str">
        <f t="shared" si="10"/>
        <v>Sierre</v>
      </c>
      <c r="AU20">
        <f t="shared" si="11"/>
        <v>0</v>
      </c>
    </row>
    <row r="21" spans="2:47" ht="15" customHeight="1" x14ac:dyDescent="0.25">
      <c r="B21" s="47"/>
      <c r="C21" s="18"/>
      <c r="D21" s="18"/>
      <c r="E21" s="18"/>
      <c r="F21" s="58" t="s">
        <v>315</v>
      </c>
      <c r="H21" s="47"/>
      <c r="I21" s="18"/>
      <c r="J21" s="47"/>
      <c r="K21" s="18"/>
      <c r="L21" s="18"/>
      <c r="M21" s="18"/>
      <c r="N21" s="60" t="e">
        <f>#REF!</f>
        <v>#REF!</v>
      </c>
      <c r="P21" s="47"/>
      <c r="Q21" s="18"/>
      <c r="R21" s="18"/>
      <c r="S21" s="18"/>
      <c r="T21" s="47"/>
      <c r="U21" s="18"/>
      <c r="V21" s="53" t="s">
        <v>319</v>
      </c>
      <c r="W21" s="45"/>
      <c r="X21" s="46"/>
      <c r="Z21" s="76"/>
      <c r="AA21" s="77"/>
      <c r="AB21" s="77"/>
      <c r="AC21" s="77"/>
      <c r="AD21" s="77"/>
      <c r="AE21" s="77"/>
      <c r="AF21" s="76"/>
      <c r="AG21" s="77"/>
      <c r="AH21" s="92" t="s">
        <v>319</v>
      </c>
      <c r="AI21" s="81"/>
      <c r="AJ21" s="82"/>
      <c r="AL21" s="43">
        <f t="shared" si="6"/>
        <v>1.0021</v>
      </c>
      <c r="AM21" s="123">
        <f t="shared" si="7"/>
        <v>8</v>
      </c>
      <c r="AN21" s="43" t="str">
        <f t="shared" si="8"/>
        <v>Sion</v>
      </c>
      <c r="AO21" s="127"/>
      <c r="AP21" s="128"/>
      <c r="AQ21" s="129"/>
      <c r="AR21" s="43">
        <f>SMALL($AL$14:$AL$23,8)</f>
        <v>1.0021</v>
      </c>
      <c r="AS21" s="43">
        <f t="shared" si="9"/>
        <v>8</v>
      </c>
      <c r="AT21" s="43" t="str">
        <f t="shared" si="10"/>
        <v>Sion</v>
      </c>
      <c r="AU21">
        <f t="shared" si="11"/>
        <v>0</v>
      </c>
    </row>
    <row r="22" spans="2:47" ht="15" customHeight="1" x14ac:dyDescent="0.25">
      <c r="B22" s="47" t="e">
        <f>#REF!</f>
        <v>#REF!</v>
      </c>
      <c r="C22" s="18"/>
      <c r="D22" s="52" t="e">
        <f>#REF!</f>
        <v>#REF!</v>
      </c>
      <c r="E22" s="18"/>
      <c r="F22" s="99" t="e">
        <f>#REF!</f>
        <v>#REF!</v>
      </c>
      <c r="H22" s="47" t="e">
        <f>#REF!</f>
        <v>#REF!</v>
      </c>
      <c r="I22" s="18"/>
      <c r="J22" s="47" t="e">
        <f>#REF!</f>
        <v>#REF!</v>
      </c>
      <c r="K22" s="18"/>
      <c r="L22" s="53" t="s">
        <v>331</v>
      </c>
      <c r="M22" s="45"/>
      <c r="N22" s="46"/>
      <c r="P22" s="47" t="e">
        <f>#REF!</f>
        <v>#REF!</v>
      </c>
      <c r="Q22" s="18"/>
      <c r="R22" s="18" t="e">
        <f>#REF!</f>
        <v>#REF!</v>
      </c>
      <c r="S22" s="18"/>
      <c r="T22" s="98" t="e">
        <f>#REF!</f>
        <v>#REF!</v>
      </c>
      <c r="U22" s="18"/>
      <c r="V22" s="98" t="e">
        <f>#REF!</f>
        <v>#REF!</v>
      </c>
      <c r="W22" s="18"/>
      <c r="X22" s="49" t="e">
        <f>#REF!</f>
        <v>#REF!</v>
      </c>
      <c r="Z22" s="76" t="e">
        <f>#REF!</f>
        <v>#REF!</v>
      </c>
      <c r="AA22" s="77"/>
      <c r="AB22" s="77" t="e">
        <f>#REF!</f>
        <v>#REF!</v>
      </c>
      <c r="AC22" s="77"/>
      <c r="AD22" s="88" t="e">
        <f>#REF!</f>
        <v>#REF!</v>
      </c>
      <c r="AE22" s="77"/>
      <c r="AF22" s="76" t="e">
        <f>#REF!</f>
        <v>#REF!</v>
      </c>
      <c r="AG22" s="77"/>
      <c r="AH22" s="76" t="e">
        <f>#REF!</f>
        <v>#REF!</v>
      </c>
      <c r="AI22" s="77"/>
      <c r="AJ22" s="83" t="e">
        <f>#REF!</f>
        <v>#REF!</v>
      </c>
      <c r="AL22" s="43">
        <f t="shared" si="6"/>
        <v>1.0022</v>
      </c>
      <c r="AM22" s="123">
        <f t="shared" si="7"/>
        <v>9</v>
      </c>
      <c r="AN22" s="43" t="str">
        <f t="shared" si="8"/>
        <v>Stalden</v>
      </c>
      <c r="AO22" s="127"/>
      <c r="AP22" s="128"/>
      <c r="AQ22" s="129"/>
      <c r="AR22" s="43">
        <f>SMALL($AL$14:$AL$23,9)</f>
        <v>1.0022</v>
      </c>
      <c r="AS22" s="43">
        <f t="shared" si="9"/>
        <v>9</v>
      </c>
      <c r="AT22" s="43" t="str">
        <f t="shared" si="10"/>
        <v>Stalden</v>
      </c>
      <c r="AU22">
        <f t="shared" si="11"/>
        <v>0</v>
      </c>
    </row>
    <row r="23" spans="2:47" x14ac:dyDescent="0.25">
      <c r="B23" s="47" t="e">
        <f>#REF!</f>
        <v>#REF!</v>
      </c>
      <c r="C23" s="18"/>
      <c r="D23" s="52" t="e">
        <f>#REF!</f>
        <v>#REF!</v>
      </c>
      <c r="E23" s="18"/>
      <c r="F23" s="97" t="e">
        <f>#REF!</f>
        <v>#REF!</v>
      </c>
      <c r="H23" s="47" t="e">
        <f>#REF!</f>
        <v>#REF!</v>
      </c>
      <c r="I23" s="18"/>
      <c r="J23" s="47" t="e">
        <f>#REF!</f>
        <v>#REF!</v>
      </c>
      <c r="K23" s="18"/>
      <c r="L23" s="47" t="e">
        <f>#REF!</f>
        <v>#REF!</v>
      </c>
      <c r="M23" s="18"/>
      <c r="N23" s="48" t="e">
        <f>#REF!</f>
        <v>#REF!</v>
      </c>
      <c r="P23" s="47" t="e">
        <f>#REF!</f>
        <v>#REF!</v>
      </c>
      <c r="Q23" s="18"/>
      <c r="R23" s="18" t="e">
        <f>#REF!</f>
        <v>#REF!</v>
      </c>
      <c r="S23" s="18"/>
      <c r="T23" s="98" t="e">
        <f>#REF!</f>
        <v>#REF!</v>
      </c>
      <c r="U23" s="18"/>
      <c r="V23" s="98" t="e">
        <f>#REF!</f>
        <v>#REF!</v>
      </c>
      <c r="W23" s="18"/>
      <c r="X23" s="49" t="e">
        <f>#REF!</f>
        <v>#REF!</v>
      </c>
      <c r="Z23" s="76" t="e">
        <f>#REF!</f>
        <v>#REF!</v>
      </c>
      <c r="AA23" s="77"/>
      <c r="AB23" s="77" t="e">
        <f>#REF!</f>
        <v>#REF!</v>
      </c>
      <c r="AC23" s="77"/>
      <c r="AD23" s="88" t="e">
        <f>#REF!</f>
        <v>#REF!</v>
      </c>
      <c r="AE23" s="77"/>
      <c r="AF23" s="76" t="e">
        <f>#REF!</f>
        <v>#REF!</v>
      </c>
      <c r="AG23" s="77"/>
      <c r="AH23" s="76" t="e">
        <f>#REF!</f>
        <v>#REF!</v>
      </c>
      <c r="AI23" s="77"/>
      <c r="AJ23" s="83" t="e">
        <f>#REF!</f>
        <v>#REF!</v>
      </c>
      <c r="AL23" s="43">
        <f t="shared" si="6"/>
        <v>1.0023</v>
      </c>
      <c r="AM23" s="123">
        <f t="shared" si="7"/>
        <v>10</v>
      </c>
      <c r="AN23" s="43" t="str">
        <f t="shared" si="8"/>
        <v>Zermatt</v>
      </c>
      <c r="AO23" s="130"/>
      <c r="AP23" s="131"/>
      <c r="AQ23" s="132"/>
      <c r="AR23" s="43">
        <f>SMALL($AL$14:$AL$23,10)</f>
        <v>1.0023</v>
      </c>
      <c r="AS23" s="43">
        <f t="shared" si="9"/>
        <v>10</v>
      </c>
      <c r="AT23" s="43" t="str">
        <f t="shared" si="10"/>
        <v>Zermatt</v>
      </c>
      <c r="AU23">
        <f t="shared" si="11"/>
        <v>0</v>
      </c>
    </row>
    <row r="24" spans="2:47" x14ac:dyDescent="0.25">
      <c r="B24" s="47"/>
      <c r="C24" s="18"/>
      <c r="D24" s="18"/>
      <c r="E24" s="18"/>
      <c r="F24" s="48"/>
      <c r="H24" s="47"/>
      <c r="I24" s="18"/>
      <c r="J24" s="47"/>
      <c r="K24" s="18"/>
      <c r="L24" s="47" t="e">
        <f>#REF!</f>
        <v>#REF!</v>
      </c>
      <c r="M24" s="18"/>
      <c r="N24" s="48" t="e">
        <f>#REF!</f>
        <v>#REF!</v>
      </c>
      <c r="P24" s="47"/>
      <c r="Q24" s="18"/>
      <c r="R24" s="18"/>
      <c r="S24" s="18"/>
      <c r="T24" s="47"/>
      <c r="U24" s="18"/>
      <c r="V24" s="47"/>
      <c r="W24" s="18"/>
      <c r="X24" s="58" t="s">
        <v>320</v>
      </c>
      <c r="Z24" s="76"/>
      <c r="AA24" s="77"/>
      <c r="AB24" s="77"/>
      <c r="AC24" s="77"/>
      <c r="AD24" s="77"/>
      <c r="AE24" s="77"/>
      <c r="AF24" s="76"/>
      <c r="AG24" s="77"/>
      <c r="AH24" s="76"/>
      <c r="AI24" s="77"/>
      <c r="AJ24" s="90" t="s">
        <v>320</v>
      </c>
    </row>
    <row r="25" spans="2:47" x14ac:dyDescent="0.25">
      <c r="B25" s="47" t="e">
        <f>#REF!</f>
        <v>#REF!</v>
      </c>
      <c r="C25" s="18"/>
      <c r="D25" s="53"/>
      <c r="E25" s="45"/>
      <c r="F25" s="46"/>
      <c r="H25" s="47" t="e">
        <f>#REF!</f>
        <v>#REF!</v>
      </c>
      <c r="I25" s="18"/>
      <c r="J25" s="47" t="e">
        <f>#REF!</f>
        <v>#REF!</v>
      </c>
      <c r="K25" s="18"/>
      <c r="L25" s="47"/>
      <c r="M25" s="18"/>
      <c r="N25" s="58" t="s">
        <v>320</v>
      </c>
      <c r="P25" s="47" t="e">
        <f>#REF!</f>
        <v>#REF!</v>
      </c>
      <c r="Q25" s="18"/>
      <c r="R25" s="18" t="e">
        <f>#REF!</f>
        <v>#REF!</v>
      </c>
      <c r="S25" s="18"/>
      <c r="T25" s="98" t="e">
        <f>#REF!</f>
        <v>#REF!</v>
      </c>
      <c r="U25" s="18"/>
      <c r="V25" s="98" t="e">
        <f>#REF!</f>
        <v>#REF!</v>
      </c>
      <c r="W25" s="18"/>
      <c r="X25" s="99" t="e">
        <f>#REF!</f>
        <v>#REF!</v>
      </c>
      <c r="Z25" s="76" t="e">
        <f>#REF!</f>
        <v>#REF!</v>
      </c>
      <c r="AA25" s="77"/>
      <c r="AB25" s="77" t="e">
        <f>#REF!</f>
        <v>#REF!</v>
      </c>
      <c r="AC25" s="77"/>
      <c r="AD25" s="88" t="e">
        <f>#REF!</f>
        <v>#REF!</v>
      </c>
      <c r="AE25" s="77"/>
      <c r="AF25" s="76" t="e">
        <f>#REF!</f>
        <v>#REF!</v>
      </c>
      <c r="AG25" s="77"/>
      <c r="AH25" s="76" t="e">
        <f>#REF!</f>
        <v>#REF!</v>
      </c>
      <c r="AI25" s="77"/>
      <c r="AJ25" s="91" t="e">
        <f>#REF!</f>
        <v>#REF!</v>
      </c>
      <c r="AO25" s="135" t="s">
        <v>379</v>
      </c>
      <c r="AP25" s="136"/>
    </row>
    <row r="26" spans="2:47" ht="15" customHeight="1" x14ac:dyDescent="0.25">
      <c r="B26" s="47" t="e">
        <f>#REF!</f>
        <v>#REF!</v>
      </c>
      <c r="C26" s="18"/>
      <c r="D26" s="98"/>
      <c r="E26" s="18"/>
      <c r="F26" s="49"/>
      <c r="H26" s="47" t="e">
        <f>#REF!</f>
        <v>#REF!</v>
      </c>
      <c r="I26" s="18"/>
      <c r="J26" s="47" t="e">
        <f>#REF!</f>
        <v>#REF!</v>
      </c>
      <c r="K26" s="18"/>
      <c r="L26" s="47" t="e">
        <f>#REF!</f>
        <v>#REF!</v>
      </c>
      <c r="M26" s="18"/>
      <c r="N26" s="59" t="e">
        <f>#REF!</f>
        <v>#REF!</v>
      </c>
      <c r="P26" s="47" t="e">
        <f>#REF!</f>
        <v>#REF!</v>
      </c>
      <c r="Q26" s="18"/>
      <c r="R26" s="18" t="e">
        <f>#REF!</f>
        <v>#REF!</v>
      </c>
      <c r="S26" s="18"/>
      <c r="T26" s="103" t="e">
        <f>#REF!</f>
        <v>#REF!</v>
      </c>
      <c r="U26" s="51"/>
      <c r="V26" s="103" t="e">
        <f>#REF!</f>
        <v>#REF!</v>
      </c>
      <c r="W26" s="51"/>
      <c r="X26" s="97" t="e">
        <f>#REF!</f>
        <v>#REF!</v>
      </c>
      <c r="Z26" s="76" t="e">
        <f>#REF!</f>
        <v>#REF!</v>
      </c>
      <c r="AA26" s="77"/>
      <c r="AB26" s="77" t="e">
        <f>#REF!</f>
        <v>#REF!</v>
      </c>
      <c r="AC26" s="77"/>
      <c r="AD26" s="88" t="e">
        <f>#REF!</f>
        <v>#REF!</v>
      </c>
      <c r="AE26" s="77"/>
      <c r="AF26" s="76" t="e">
        <f>#REF!</f>
        <v>#REF!</v>
      </c>
      <c r="AG26" s="77"/>
      <c r="AH26" s="76" t="e">
        <f>#REF!</f>
        <v>#REF!</v>
      </c>
      <c r="AI26" s="77"/>
      <c r="AJ26" s="91" t="e">
        <f>#REF!</f>
        <v>#REF!</v>
      </c>
      <c r="AL26" s="43">
        <f t="shared" ref="AL26:AL35" si="12">RANK(K44,$K$44:$K$53,0)+ROW()%%</f>
        <v>1.0025999999999999</v>
      </c>
      <c r="AM26" s="123">
        <f t="shared" ref="AM26:AM35" si="13">IF(AL26="","",RANK(AL26,$AL$26:$AL$35,1))</f>
        <v>1</v>
      </c>
      <c r="AN26" s="43" t="str">
        <f t="shared" ref="AN26:AN35" si="14">J44</f>
        <v>Brig</v>
      </c>
      <c r="AO26" s="124"/>
      <c r="AP26" s="125"/>
      <c r="AQ26" s="126"/>
      <c r="AR26" s="43">
        <f>SMALL($AL$26:$AL$35,1)</f>
        <v>1.0025999999999999</v>
      </c>
      <c r="AS26" s="43">
        <f t="shared" ref="AS26:AS35" si="15">IF(AR26="","",RANK(AR26,$AR$26:$AR$35,1))</f>
        <v>1</v>
      </c>
      <c r="AT26" s="43" t="str">
        <f t="shared" ref="AT26:AT35" si="16">INDEX($AN$26:$AN$35,MATCH(AR26,$AL$26:$AL$35,0),1)</f>
        <v>Brig</v>
      </c>
      <c r="AU26">
        <f>IFERROR(INDEX($K$44:$K$53,MATCH(AT26,$J$44:$J$53,0)),0)</f>
        <v>0</v>
      </c>
    </row>
    <row r="27" spans="2:47" ht="15" customHeight="1" x14ac:dyDescent="0.25">
      <c r="B27" s="47"/>
      <c r="C27" s="18"/>
      <c r="D27" s="98"/>
      <c r="E27" s="18"/>
      <c r="F27" s="49"/>
      <c r="H27" s="50"/>
      <c r="I27" s="51"/>
      <c r="J27" s="50"/>
      <c r="K27" s="51"/>
      <c r="L27" s="50" t="e">
        <f>#REF!</f>
        <v>#REF!</v>
      </c>
      <c r="M27" s="51"/>
      <c r="N27" s="60" t="e">
        <f>#REF!</f>
        <v>#REF!</v>
      </c>
      <c r="P27" s="47"/>
      <c r="Q27" s="18"/>
      <c r="R27" s="53" t="s">
        <v>316</v>
      </c>
      <c r="S27" s="45"/>
      <c r="T27" s="45"/>
      <c r="U27" s="45"/>
      <c r="V27" s="45"/>
      <c r="W27" s="45"/>
      <c r="X27" s="46"/>
      <c r="Z27" s="76"/>
      <c r="AA27" s="77"/>
      <c r="AB27" s="77"/>
      <c r="AC27" s="77"/>
      <c r="AD27" s="92" t="s">
        <v>316</v>
      </c>
      <c r="AE27" s="81"/>
      <c r="AF27" s="81"/>
      <c r="AG27" s="81"/>
      <c r="AH27" s="81"/>
      <c r="AI27" s="81"/>
      <c r="AJ27" s="82"/>
      <c r="AL27" s="43">
        <f t="shared" si="12"/>
        <v>1.0026999999999999</v>
      </c>
      <c r="AM27" s="123">
        <f t="shared" si="13"/>
        <v>2</v>
      </c>
      <c r="AN27" s="43" t="str">
        <f t="shared" si="14"/>
        <v>Collombey-Muraz</v>
      </c>
      <c r="AO27" s="127"/>
      <c r="AP27" s="128"/>
      <c r="AQ27" s="129"/>
      <c r="AR27" s="43">
        <f>SMALL($AL$26:$AL$35,2)</f>
        <v>1.0026999999999999</v>
      </c>
      <c r="AS27" s="43">
        <f t="shared" si="15"/>
        <v>2</v>
      </c>
      <c r="AT27" s="43" t="str">
        <f t="shared" si="16"/>
        <v>Collombey-Muraz</v>
      </c>
      <c r="AU27">
        <f t="shared" ref="AU27:AU35" si="17">IFERROR(INDEX($K$44:$K$53,MATCH(AT27,$J$44:$J$53,0)),0)</f>
        <v>0</v>
      </c>
    </row>
    <row r="28" spans="2:47" x14ac:dyDescent="0.25">
      <c r="B28" s="47" t="e">
        <f>#REF!</f>
        <v>#REF!</v>
      </c>
      <c r="C28" s="18"/>
      <c r="D28" s="47"/>
      <c r="E28" s="18"/>
      <c r="F28" s="100"/>
      <c r="H28" s="44" t="s">
        <v>365</v>
      </c>
      <c r="I28" s="45"/>
      <c r="J28" s="45"/>
      <c r="K28" s="45"/>
      <c r="L28" s="45"/>
      <c r="M28" s="45"/>
      <c r="N28" s="46"/>
      <c r="P28" s="47" t="e">
        <f>#REF!</f>
        <v>#REF!</v>
      </c>
      <c r="Q28" s="18"/>
      <c r="R28" s="98" t="e">
        <f>#REF!</f>
        <v>#REF!</v>
      </c>
      <c r="S28" s="18"/>
      <c r="T28" s="52" t="e">
        <f>#REF!</f>
        <v>#REF!</v>
      </c>
      <c r="U28" s="18"/>
      <c r="V28" s="52" t="e">
        <f>#REF!</f>
        <v>#REF!</v>
      </c>
      <c r="W28" s="18"/>
      <c r="X28" s="49" t="e">
        <f>#REF!</f>
        <v>#REF!</v>
      </c>
      <c r="Z28" s="76" t="e">
        <f>#REF!</f>
        <v>#REF!</v>
      </c>
      <c r="AA28" s="77"/>
      <c r="AB28" s="77" t="e">
        <f>#REF!</f>
        <v>#REF!</v>
      </c>
      <c r="AC28" s="77"/>
      <c r="AD28" s="79" t="e">
        <f>#REF!</f>
        <v>#REF!</v>
      </c>
      <c r="AE28" s="77"/>
      <c r="AF28" s="88" t="e">
        <f>#REF!</f>
        <v>#REF!</v>
      </c>
      <c r="AG28" s="77"/>
      <c r="AH28" s="88" t="e">
        <f>#REF!</f>
        <v>#REF!</v>
      </c>
      <c r="AI28" s="77"/>
      <c r="AJ28" s="89" t="e">
        <f>#REF!</f>
        <v>#REF!</v>
      </c>
      <c r="AL28" s="43">
        <f t="shared" si="12"/>
        <v>1.0027999999999999</v>
      </c>
      <c r="AM28" s="123">
        <f t="shared" si="13"/>
        <v>3</v>
      </c>
      <c r="AN28" s="43" t="str">
        <f t="shared" si="14"/>
        <v>Dorénaz</v>
      </c>
      <c r="AO28" s="127"/>
      <c r="AP28" s="128"/>
      <c r="AQ28" s="129"/>
      <c r="AR28" s="43">
        <f>SMALL($AL$26:$AL$35,3)</f>
        <v>1.0027999999999999</v>
      </c>
      <c r="AS28" s="43">
        <f t="shared" si="15"/>
        <v>3</v>
      </c>
      <c r="AT28" s="43" t="str">
        <f t="shared" si="16"/>
        <v>Dorénaz</v>
      </c>
      <c r="AU28">
        <f t="shared" si="17"/>
        <v>0</v>
      </c>
    </row>
    <row r="29" spans="2:47" x14ac:dyDescent="0.25">
      <c r="B29" s="47" t="e">
        <f>#REF!</f>
        <v>#REF!</v>
      </c>
      <c r="C29" s="18"/>
      <c r="D29" s="98"/>
      <c r="E29" s="18"/>
      <c r="F29" s="49"/>
      <c r="H29" s="47"/>
      <c r="I29" s="18"/>
      <c r="J29" s="18"/>
      <c r="K29" s="18"/>
      <c r="L29" s="18"/>
      <c r="M29" s="18"/>
      <c r="N29" s="48"/>
      <c r="P29" s="47" t="e">
        <f>#REF!</f>
        <v>#REF!</v>
      </c>
      <c r="Q29" s="18"/>
      <c r="R29" s="98" t="e">
        <f>#REF!</f>
        <v>#REF!</v>
      </c>
      <c r="S29" s="18"/>
      <c r="T29" s="52" t="e">
        <f>#REF!</f>
        <v>#REF!</v>
      </c>
      <c r="U29" s="18"/>
      <c r="V29" s="52" t="e">
        <f>#REF!</f>
        <v>#REF!</v>
      </c>
      <c r="W29" s="18"/>
      <c r="X29" s="49" t="e">
        <f>#REF!</f>
        <v>#REF!</v>
      </c>
      <c r="Z29" s="76" t="e">
        <f>#REF!</f>
        <v>#REF!</v>
      </c>
      <c r="AA29" s="77"/>
      <c r="AB29" s="77" t="e">
        <f>#REF!</f>
        <v>#REF!</v>
      </c>
      <c r="AC29" s="77"/>
      <c r="AD29" s="76" t="e">
        <f>#REF!</f>
        <v>#REF!</v>
      </c>
      <c r="AE29" s="77"/>
      <c r="AF29" s="77" t="e">
        <f>#REF!</f>
        <v>#REF!</v>
      </c>
      <c r="AG29" s="77"/>
      <c r="AH29" s="88" t="e">
        <f>#REF!</f>
        <v>#REF!</v>
      </c>
      <c r="AI29" s="77"/>
      <c r="AJ29" s="89" t="e">
        <f>#REF!</f>
        <v>#REF!</v>
      </c>
      <c r="AL29" s="43">
        <f t="shared" si="12"/>
        <v>1.0028999999999999</v>
      </c>
      <c r="AM29" s="123">
        <f t="shared" si="13"/>
        <v>4</v>
      </c>
      <c r="AN29" s="43" t="str">
        <f t="shared" si="14"/>
        <v>Gampel-Steg</v>
      </c>
      <c r="AO29" s="127"/>
      <c r="AP29" s="128"/>
      <c r="AQ29" s="129"/>
      <c r="AR29" s="43">
        <f>SMALL($AL$26:$AL$35,4)</f>
        <v>1.0028999999999999</v>
      </c>
      <c r="AS29" s="43">
        <f t="shared" si="15"/>
        <v>4</v>
      </c>
      <c r="AT29" s="43" t="str">
        <f t="shared" si="16"/>
        <v>Gampel-Steg</v>
      </c>
      <c r="AU29">
        <f t="shared" si="17"/>
        <v>0</v>
      </c>
    </row>
    <row r="30" spans="2:47" x14ac:dyDescent="0.25">
      <c r="B30" s="50"/>
      <c r="C30" s="51"/>
      <c r="D30" s="103"/>
      <c r="E30" s="51"/>
      <c r="F30" s="101"/>
      <c r="H30" s="54" t="s">
        <v>312</v>
      </c>
      <c r="I30" s="55"/>
      <c r="J30" s="56" t="s">
        <v>313</v>
      </c>
      <c r="K30" s="55"/>
      <c r="L30" s="56" t="s">
        <v>314</v>
      </c>
      <c r="M30" s="55"/>
      <c r="N30" s="57" t="s">
        <v>334</v>
      </c>
      <c r="P30" s="47"/>
      <c r="Q30" s="18"/>
      <c r="R30" s="47"/>
      <c r="S30" s="18"/>
      <c r="T30" s="18"/>
      <c r="U30" s="18"/>
      <c r="V30" s="18"/>
      <c r="W30" s="18"/>
      <c r="X30" s="58" t="s">
        <v>317</v>
      </c>
      <c r="Z30" s="76"/>
      <c r="AA30" s="77"/>
      <c r="AB30" s="77"/>
      <c r="AC30" s="77"/>
      <c r="AD30" s="76"/>
      <c r="AE30" s="77"/>
      <c r="AF30" s="77"/>
      <c r="AG30" s="77"/>
      <c r="AH30" s="77"/>
      <c r="AI30" s="77"/>
      <c r="AJ30" s="90" t="s">
        <v>317</v>
      </c>
      <c r="AL30" s="43">
        <f t="shared" si="12"/>
        <v>1.0029999999999999</v>
      </c>
      <c r="AM30" s="123">
        <f t="shared" si="13"/>
        <v>5</v>
      </c>
      <c r="AN30" s="43" t="str">
        <f t="shared" si="14"/>
        <v>Grône</v>
      </c>
      <c r="AO30" s="127"/>
      <c r="AP30" s="128"/>
      <c r="AQ30" s="129"/>
      <c r="AR30" s="43">
        <f>SMALL($AL$26:$AL$35,5)</f>
        <v>1.0029999999999999</v>
      </c>
      <c r="AS30" s="43">
        <f t="shared" si="15"/>
        <v>5</v>
      </c>
      <c r="AT30" s="43" t="str">
        <f t="shared" si="16"/>
        <v>Grône</v>
      </c>
      <c r="AU30">
        <f t="shared" si="17"/>
        <v>0</v>
      </c>
    </row>
    <row r="31" spans="2:47" ht="15" customHeight="1" x14ac:dyDescent="0.25">
      <c r="B31" s="163" t="s">
        <v>381</v>
      </c>
      <c r="C31" s="162"/>
      <c r="D31" s="155" t="s">
        <v>385</v>
      </c>
      <c r="E31" s="156"/>
      <c r="F31" s="157"/>
      <c r="H31" s="47" t="e">
        <f>#REF!</f>
        <v>#REF!</v>
      </c>
      <c r="I31" s="18"/>
      <c r="J31" s="52" t="e">
        <f>#REF!</f>
        <v>#REF!</v>
      </c>
      <c r="K31" s="18"/>
      <c r="L31" s="52" t="e">
        <f>#REF!</f>
        <v>#REF!</v>
      </c>
      <c r="M31" s="18"/>
      <c r="N31" s="49" t="e">
        <f>#REF!</f>
        <v>#REF!</v>
      </c>
      <c r="P31" s="47" t="e">
        <f>#REF!</f>
        <v>#REF!</v>
      </c>
      <c r="Q31" s="18"/>
      <c r="R31" s="98" t="e">
        <f>#REF!</f>
        <v>#REF!</v>
      </c>
      <c r="S31" s="18"/>
      <c r="T31" s="52" t="e">
        <f>#REF!</f>
        <v>#REF!</v>
      </c>
      <c r="U31" s="18"/>
      <c r="V31" s="52" t="e">
        <f>#REF!</f>
        <v>#REF!</v>
      </c>
      <c r="W31" s="18"/>
      <c r="X31" s="99" t="e">
        <f>#REF!</f>
        <v>#REF!</v>
      </c>
      <c r="Z31" s="76" t="e">
        <f>#REF!</f>
        <v>#REF!</v>
      </c>
      <c r="AA31" s="77"/>
      <c r="AB31" s="77" t="e">
        <f>#REF!</f>
        <v>#REF!</v>
      </c>
      <c r="AC31" s="77"/>
      <c r="AD31" s="76" t="e">
        <f>#REF!</f>
        <v>#REF!</v>
      </c>
      <c r="AE31" s="77"/>
      <c r="AF31" s="77" t="e">
        <f>#REF!</f>
        <v>#REF!</v>
      </c>
      <c r="AG31" s="77"/>
      <c r="AH31" s="88" t="e">
        <f>#REF!</f>
        <v>#REF!</v>
      </c>
      <c r="AI31" s="77"/>
      <c r="AJ31" s="91" t="e">
        <f>#REF!</f>
        <v>#REF!</v>
      </c>
      <c r="AL31" s="43">
        <f t="shared" si="12"/>
        <v>1.0031000000000001</v>
      </c>
      <c r="AM31" s="123">
        <f t="shared" si="13"/>
        <v>6</v>
      </c>
      <c r="AN31" s="43" t="str">
        <f t="shared" si="14"/>
        <v>Martigny</v>
      </c>
      <c r="AO31" s="127"/>
      <c r="AP31" s="128"/>
      <c r="AQ31" s="129"/>
      <c r="AR31" s="43">
        <f>SMALL($AL$26:$AL$35,6)</f>
        <v>1.0031000000000001</v>
      </c>
      <c r="AS31" s="43">
        <f t="shared" si="15"/>
        <v>6</v>
      </c>
      <c r="AT31" s="43" t="str">
        <f t="shared" si="16"/>
        <v>Martigny</v>
      </c>
      <c r="AU31">
        <f t="shared" si="17"/>
        <v>0</v>
      </c>
    </row>
    <row r="32" spans="2:47" ht="15" customHeight="1" x14ac:dyDescent="0.25">
      <c r="B32" s="80" t="s">
        <v>305</v>
      </c>
      <c r="C32" s="141">
        <f>SUMIF($E$32:$E$39,B32,$F$32:$F$39)</f>
        <v>0</v>
      </c>
      <c r="D32" s="98" t="e">
        <f>#REF!</f>
        <v>#REF!</v>
      </c>
      <c r="E32" s="52" t="e">
        <f>#REF!</f>
        <v>#REF!</v>
      </c>
      <c r="F32" s="121" t="e">
        <f>#REF!</f>
        <v>#REF!</v>
      </c>
      <c r="H32" s="47" t="e">
        <f>#REF!</f>
        <v>#REF!</v>
      </c>
      <c r="I32" s="18"/>
      <c r="J32" s="52" t="e">
        <f>#REF!</f>
        <v>#REF!</v>
      </c>
      <c r="K32" s="18"/>
      <c r="L32" s="52" t="e">
        <f>#REF!</f>
        <v>#REF!</v>
      </c>
      <c r="M32" s="18"/>
      <c r="N32" s="49" t="e">
        <f>#REF!</f>
        <v>#REF!</v>
      </c>
      <c r="P32" s="47" t="e">
        <f>#REF!</f>
        <v>#REF!</v>
      </c>
      <c r="Q32" s="18"/>
      <c r="R32" s="98" t="e">
        <f>#REF!</f>
        <v>#REF!</v>
      </c>
      <c r="S32" s="18"/>
      <c r="T32" s="52" t="e">
        <f>#REF!</f>
        <v>#REF!</v>
      </c>
      <c r="U32" s="18"/>
      <c r="V32" s="52" t="e">
        <f>#REF!</f>
        <v>#REF!</v>
      </c>
      <c r="W32" s="18"/>
      <c r="X32" s="99" t="e">
        <f>#REF!</f>
        <v>#REF!</v>
      </c>
      <c r="Z32" s="76" t="e">
        <f>#REF!</f>
        <v>#REF!</v>
      </c>
      <c r="AA32" s="77"/>
      <c r="AB32" s="77" t="e">
        <f>#REF!</f>
        <v>#REF!</v>
      </c>
      <c r="AC32" s="77"/>
      <c r="AD32" s="76" t="e">
        <f>#REF!</f>
        <v>#REF!</v>
      </c>
      <c r="AE32" s="77"/>
      <c r="AF32" s="77" t="e">
        <f>#REF!</f>
        <v>#REF!</v>
      </c>
      <c r="AG32" s="77"/>
      <c r="AH32" s="88" t="e">
        <f>#REF!</f>
        <v>#REF!</v>
      </c>
      <c r="AI32" s="77"/>
      <c r="AJ32" s="91" t="e">
        <f>#REF!</f>
        <v>#REF!</v>
      </c>
      <c r="AL32" s="43">
        <f t="shared" si="12"/>
        <v>1.0032000000000001</v>
      </c>
      <c r="AM32" s="123">
        <f t="shared" si="13"/>
        <v>7</v>
      </c>
      <c r="AN32" s="43" t="str">
        <f t="shared" si="14"/>
        <v>Sierre</v>
      </c>
      <c r="AO32" s="127"/>
      <c r="AP32" s="128"/>
      <c r="AQ32" s="129"/>
      <c r="AR32" s="43">
        <f>SMALL($AL$26:$AL$35,7)</f>
        <v>1.0032000000000001</v>
      </c>
      <c r="AS32" s="43">
        <f t="shared" si="15"/>
        <v>7</v>
      </c>
      <c r="AT32" s="43" t="str">
        <f t="shared" si="16"/>
        <v>Sierre</v>
      </c>
      <c r="AU32">
        <f t="shared" si="17"/>
        <v>0</v>
      </c>
    </row>
    <row r="33" spans="2:47" x14ac:dyDescent="0.25">
      <c r="B33" s="76" t="s">
        <v>300</v>
      </c>
      <c r="C33" s="120">
        <f t="shared" ref="C33:C41" si="18">SUMIF($E$32:$E$39,B33,$F$32:$F$39)</f>
        <v>0</v>
      </c>
      <c r="D33" s="98" t="e">
        <f>#REF!</f>
        <v>#REF!</v>
      </c>
      <c r="E33" s="52" t="e">
        <f>#REF!</f>
        <v>#REF!</v>
      </c>
      <c r="F33" s="121" t="e">
        <f>#REF!</f>
        <v>#REF!</v>
      </c>
      <c r="H33" s="47"/>
      <c r="I33" s="18"/>
      <c r="J33" s="18"/>
      <c r="K33" s="18"/>
      <c r="L33" s="18"/>
      <c r="M33" s="18"/>
      <c r="N33" s="58" t="s">
        <v>315</v>
      </c>
      <c r="P33" s="47"/>
      <c r="Q33" s="18"/>
      <c r="R33" s="47"/>
      <c r="S33" s="18"/>
      <c r="T33" s="18"/>
      <c r="U33" s="18"/>
      <c r="V33" s="53" t="s">
        <v>328</v>
      </c>
      <c r="W33" s="45"/>
      <c r="X33" s="46"/>
      <c r="Z33" s="76"/>
      <c r="AA33" s="77"/>
      <c r="AB33" s="77"/>
      <c r="AC33" s="77"/>
      <c r="AD33" s="76"/>
      <c r="AE33" s="77"/>
      <c r="AF33" s="77"/>
      <c r="AG33" s="77"/>
      <c r="AH33" s="92" t="s">
        <v>328</v>
      </c>
      <c r="AI33" s="81"/>
      <c r="AJ33" s="82"/>
      <c r="AL33" s="43">
        <f t="shared" si="12"/>
        <v>1.0033000000000001</v>
      </c>
      <c r="AM33" s="123">
        <f t="shared" si="13"/>
        <v>8</v>
      </c>
      <c r="AN33" s="43" t="str">
        <f t="shared" si="14"/>
        <v>Sion</v>
      </c>
      <c r="AO33" s="127"/>
      <c r="AP33" s="128"/>
      <c r="AQ33" s="129"/>
      <c r="AR33" s="43">
        <f>SMALL($AL$26:$AL$35,8)</f>
        <v>1.0033000000000001</v>
      </c>
      <c r="AS33" s="43">
        <f t="shared" si="15"/>
        <v>8</v>
      </c>
      <c r="AT33" s="43" t="str">
        <f t="shared" si="16"/>
        <v>Sion</v>
      </c>
      <c r="AU33">
        <f t="shared" si="17"/>
        <v>0</v>
      </c>
    </row>
    <row r="34" spans="2:47" x14ac:dyDescent="0.25">
      <c r="B34" s="76" t="s">
        <v>301</v>
      </c>
      <c r="C34" s="120">
        <f t="shared" si="18"/>
        <v>0</v>
      </c>
      <c r="D34" s="98" t="e">
        <f>#REF!</f>
        <v>#REF!</v>
      </c>
      <c r="E34" s="52" t="e">
        <f>#REF!</f>
        <v>#REF!</v>
      </c>
      <c r="F34" s="121" t="e">
        <f>#REF!</f>
        <v>#REF!</v>
      </c>
      <c r="H34" s="47" t="e">
        <f>#REF!</f>
        <v>#REF!</v>
      </c>
      <c r="I34" s="18"/>
      <c r="J34" s="52" t="e">
        <f>#REF!</f>
        <v>#REF!</v>
      </c>
      <c r="K34" s="18"/>
      <c r="L34" s="52" t="e">
        <f>#REF!</f>
        <v>#REF!</v>
      </c>
      <c r="M34" s="18"/>
      <c r="N34" s="99" t="e">
        <f>#REF!</f>
        <v>#REF!</v>
      </c>
      <c r="P34" s="47" t="e">
        <f>#REF!</f>
        <v>#REF!</v>
      </c>
      <c r="Q34" s="18"/>
      <c r="R34" s="98" t="e">
        <f>#REF!</f>
        <v>#REF!</v>
      </c>
      <c r="S34" s="18"/>
      <c r="T34" s="52" t="e">
        <f>#REF!</f>
        <v>#REF!</v>
      </c>
      <c r="U34" s="18"/>
      <c r="V34" s="98" t="e">
        <f>#REF!</f>
        <v>#REF!</v>
      </c>
      <c r="W34" s="18"/>
      <c r="X34" s="49" t="e">
        <f>#REF!</f>
        <v>#REF!</v>
      </c>
      <c r="Z34" s="76" t="e">
        <f>#REF!</f>
        <v>#REF!</v>
      </c>
      <c r="AA34" s="77"/>
      <c r="AB34" s="77" t="e">
        <f>#REF!</f>
        <v>#REF!</v>
      </c>
      <c r="AC34" s="77"/>
      <c r="AD34" s="76" t="e">
        <f>#REF!</f>
        <v>#REF!</v>
      </c>
      <c r="AE34" s="77"/>
      <c r="AF34" s="77" t="e">
        <f>#REF!</f>
        <v>#REF!</v>
      </c>
      <c r="AG34" s="77"/>
      <c r="AH34" s="76" t="e">
        <f>#REF!</f>
        <v>#REF!</v>
      </c>
      <c r="AI34" s="77"/>
      <c r="AJ34" s="83" t="e">
        <f>#REF!</f>
        <v>#REF!</v>
      </c>
      <c r="AL34" s="43">
        <f t="shared" si="12"/>
        <v>1.0034000000000001</v>
      </c>
      <c r="AM34" s="123">
        <f t="shared" si="13"/>
        <v>9</v>
      </c>
      <c r="AN34" s="43" t="str">
        <f t="shared" si="14"/>
        <v>Stalden</v>
      </c>
      <c r="AO34" s="127"/>
      <c r="AP34" s="128"/>
      <c r="AQ34" s="129"/>
      <c r="AR34" s="43">
        <f>SMALL($AL$26:$AL$35,9)</f>
        <v>1.0034000000000001</v>
      </c>
      <c r="AS34" s="43">
        <f t="shared" si="15"/>
        <v>9</v>
      </c>
      <c r="AT34" s="43" t="str">
        <f t="shared" si="16"/>
        <v>Stalden</v>
      </c>
      <c r="AU34">
        <f t="shared" si="17"/>
        <v>0</v>
      </c>
    </row>
    <row r="35" spans="2:47" x14ac:dyDescent="0.25">
      <c r="B35" s="76" t="s">
        <v>299</v>
      </c>
      <c r="C35" s="120">
        <f t="shared" si="18"/>
        <v>0</v>
      </c>
      <c r="D35" s="98" t="e">
        <f>#REF!</f>
        <v>#REF!</v>
      </c>
      <c r="E35" s="52" t="e">
        <f>#REF!</f>
        <v>#REF!</v>
      </c>
      <c r="F35" s="121" t="e">
        <f>#REF!</f>
        <v>#REF!</v>
      </c>
      <c r="H35" s="47" t="e">
        <f>#REF!</f>
        <v>#REF!</v>
      </c>
      <c r="I35" s="18"/>
      <c r="J35" s="52" t="e">
        <f>#REF!</f>
        <v>#REF!</v>
      </c>
      <c r="K35" s="18"/>
      <c r="L35" s="52" t="e">
        <f>#REF!</f>
        <v>#REF!</v>
      </c>
      <c r="M35" s="18"/>
      <c r="N35" s="97" t="e">
        <f>#REF!</f>
        <v>#REF!</v>
      </c>
      <c r="P35" s="47" t="e">
        <f>#REF!</f>
        <v>#REF!</v>
      </c>
      <c r="Q35" s="18"/>
      <c r="R35" s="98" t="e">
        <f>#REF!</f>
        <v>#REF!</v>
      </c>
      <c r="S35" s="18"/>
      <c r="T35" s="52" t="e">
        <f>#REF!</f>
        <v>#REF!</v>
      </c>
      <c r="U35" s="18"/>
      <c r="V35" s="98" t="e">
        <f>#REF!</f>
        <v>#REF!</v>
      </c>
      <c r="W35" s="18"/>
      <c r="X35" s="49" t="e">
        <f>#REF!</f>
        <v>#REF!</v>
      </c>
      <c r="Z35" s="76" t="e">
        <f>#REF!</f>
        <v>#REF!</v>
      </c>
      <c r="AA35" s="77"/>
      <c r="AB35" s="77" t="e">
        <f>#REF!</f>
        <v>#REF!</v>
      </c>
      <c r="AC35" s="77"/>
      <c r="AD35" s="76" t="e">
        <f>#REF!</f>
        <v>#REF!</v>
      </c>
      <c r="AE35" s="77"/>
      <c r="AF35" s="77" t="e">
        <f>#REF!</f>
        <v>#REF!</v>
      </c>
      <c r="AG35" s="77"/>
      <c r="AH35" s="76" t="e">
        <f>#REF!</f>
        <v>#REF!</v>
      </c>
      <c r="AI35" s="77"/>
      <c r="AJ35" s="83" t="e">
        <f>#REF!</f>
        <v>#REF!</v>
      </c>
      <c r="AL35" s="43">
        <f t="shared" si="12"/>
        <v>1.0035000000000001</v>
      </c>
      <c r="AM35" s="123">
        <f t="shared" si="13"/>
        <v>10</v>
      </c>
      <c r="AN35" s="43" t="str">
        <f t="shared" si="14"/>
        <v>Zermatt</v>
      </c>
      <c r="AO35" s="130"/>
      <c r="AP35" s="131"/>
      <c r="AQ35" s="132"/>
      <c r="AR35" s="43">
        <f>SMALL($AL$26:$AL$35,10)</f>
        <v>1.0035000000000001</v>
      </c>
      <c r="AS35" s="43">
        <f t="shared" si="15"/>
        <v>10</v>
      </c>
      <c r="AT35" s="43" t="str">
        <f t="shared" si="16"/>
        <v>Zermatt</v>
      </c>
      <c r="AU35">
        <f t="shared" si="17"/>
        <v>0</v>
      </c>
    </row>
    <row r="36" spans="2:47" ht="15" customHeight="1" x14ac:dyDescent="0.25">
      <c r="B36" s="76" t="s">
        <v>298</v>
      </c>
      <c r="C36" s="120">
        <f t="shared" si="18"/>
        <v>0</v>
      </c>
      <c r="D36" s="98" t="e">
        <f>#REF!</f>
        <v>#REF!</v>
      </c>
      <c r="E36" s="52" t="e">
        <f>#REF!</f>
        <v>#REF!</v>
      </c>
      <c r="F36" s="121" t="e">
        <f>#REF!</f>
        <v>#REF!</v>
      </c>
      <c r="H36" s="47"/>
      <c r="I36" s="18"/>
      <c r="J36" s="18"/>
      <c r="K36" s="18"/>
      <c r="L36" s="55"/>
      <c r="M36" s="18"/>
      <c r="N36" s="46"/>
      <c r="P36" s="47"/>
      <c r="Q36" s="18"/>
      <c r="R36" s="47"/>
      <c r="S36" s="18"/>
      <c r="T36" s="18"/>
      <c r="U36" s="18"/>
      <c r="V36" s="47"/>
      <c r="W36" s="18"/>
      <c r="X36" s="58" t="s">
        <v>329</v>
      </c>
      <c r="Z36" s="76"/>
      <c r="AA36" s="77"/>
      <c r="AB36" s="77"/>
      <c r="AC36" s="77"/>
      <c r="AD36" s="76"/>
      <c r="AE36" s="77"/>
      <c r="AF36" s="77"/>
      <c r="AG36" s="77"/>
      <c r="AH36" s="76"/>
      <c r="AI36" s="77"/>
      <c r="AJ36" s="90" t="s">
        <v>329</v>
      </c>
    </row>
    <row r="37" spans="2:47" ht="15" customHeight="1" x14ac:dyDescent="0.25">
      <c r="B37" s="76" t="s">
        <v>302</v>
      </c>
      <c r="C37" s="120">
        <f t="shared" si="18"/>
        <v>0</v>
      </c>
      <c r="D37" s="98" t="e">
        <f>#REF!</f>
        <v>#REF!</v>
      </c>
      <c r="E37" s="52" t="e">
        <f>#REF!</f>
        <v>#REF!</v>
      </c>
      <c r="F37" s="121" t="e">
        <f>#REF!</f>
        <v>#REF!</v>
      </c>
      <c r="H37" s="47" t="e">
        <f>#REF!</f>
        <v>#REF!</v>
      </c>
      <c r="I37" s="18"/>
      <c r="J37" s="52" t="e">
        <f>#REF!</f>
        <v>#REF!</v>
      </c>
      <c r="K37" s="18"/>
      <c r="L37" s="111"/>
      <c r="M37" s="45"/>
      <c r="N37" s="112"/>
      <c r="P37" s="47" t="e">
        <f>#REF!</f>
        <v>#REF!</v>
      </c>
      <c r="Q37" s="18"/>
      <c r="R37" s="98" t="e">
        <f>#REF!</f>
        <v>#REF!</v>
      </c>
      <c r="S37" s="18"/>
      <c r="T37" s="52" t="e">
        <f>#REF!</f>
        <v>#REF!</v>
      </c>
      <c r="U37" s="18"/>
      <c r="V37" s="98" t="e">
        <f>#REF!</f>
        <v>#REF!</v>
      </c>
      <c r="W37" s="18"/>
      <c r="X37" s="99" t="e">
        <f>#REF!</f>
        <v>#REF!</v>
      </c>
      <c r="Z37" s="76" t="e">
        <f>#REF!</f>
        <v>#REF!</v>
      </c>
      <c r="AA37" s="77"/>
      <c r="AB37" s="77" t="e">
        <f>#REF!</f>
        <v>#REF!</v>
      </c>
      <c r="AC37" s="77"/>
      <c r="AD37" s="76" t="e">
        <f>#REF!</f>
        <v>#REF!</v>
      </c>
      <c r="AE37" s="77"/>
      <c r="AF37" s="77" t="e">
        <f>#REF!</f>
        <v>#REF!</v>
      </c>
      <c r="AG37" s="77"/>
      <c r="AH37" s="76" t="e">
        <f>#REF!</f>
        <v>#REF!</v>
      </c>
      <c r="AI37" s="77"/>
      <c r="AJ37" s="91" t="e">
        <f>#REF!</f>
        <v>#REF!</v>
      </c>
      <c r="AO37" s="137" t="s">
        <v>378</v>
      </c>
      <c r="AP37" s="138"/>
      <c r="AQ37" s="138"/>
    </row>
    <row r="38" spans="2:47" x14ac:dyDescent="0.25">
      <c r="B38" s="76" t="s">
        <v>296</v>
      </c>
      <c r="C38" s="120">
        <f t="shared" si="18"/>
        <v>0</v>
      </c>
      <c r="D38" s="98" t="e">
        <f>#REF!</f>
        <v>#REF!</v>
      </c>
      <c r="E38" s="52" t="e">
        <f>#REF!</f>
        <v>#REF!</v>
      </c>
      <c r="F38" s="121" t="e">
        <f>#REF!</f>
        <v>#REF!</v>
      </c>
      <c r="H38" s="47" t="e">
        <f>#REF!</f>
        <v>#REF!</v>
      </c>
      <c r="I38" s="18"/>
      <c r="J38" s="52" t="e">
        <f>#REF!</f>
        <v>#REF!</v>
      </c>
      <c r="K38" s="18"/>
      <c r="L38" s="98"/>
      <c r="M38" s="18"/>
      <c r="N38" s="49"/>
      <c r="P38" s="47" t="e">
        <f>#REF!</f>
        <v>#REF!</v>
      </c>
      <c r="Q38" s="18"/>
      <c r="R38" s="98" t="e">
        <f>#REF!</f>
        <v>#REF!</v>
      </c>
      <c r="S38" s="18"/>
      <c r="T38" s="52" t="e">
        <f>#REF!</f>
        <v>#REF!</v>
      </c>
      <c r="U38" s="18"/>
      <c r="V38" s="103" t="e">
        <f>#REF!</f>
        <v>#REF!</v>
      </c>
      <c r="W38" s="51"/>
      <c r="X38" s="97" t="e">
        <f>#REF!</f>
        <v>#REF!</v>
      </c>
      <c r="Z38" s="76" t="e">
        <f>#REF!</f>
        <v>#REF!</v>
      </c>
      <c r="AA38" s="77"/>
      <c r="AB38" s="77" t="e">
        <f>#REF!</f>
        <v>#REF!</v>
      </c>
      <c r="AC38" s="77"/>
      <c r="AD38" s="76" t="e">
        <f>#REF!</f>
        <v>#REF!</v>
      </c>
      <c r="AE38" s="77"/>
      <c r="AF38" s="77" t="e">
        <f>#REF!</f>
        <v>#REF!</v>
      </c>
      <c r="AG38" s="77"/>
      <c r="AH38" s="76" t="e">
        <f>#REF!</f>
        <v>#REF!</v>
      </c>
      <c r="AI38" s="77"/>
      <c r="AJ38" s="91" t="e">
        <f>#REF!</f>
        <v>#REF!</v>
      </c>
      <c r="AL38" s="43">
        <f t="shared" ref="AL38:AL47" si="19">RANK(M44,$M$44:$M$53,0)+ROW()%%</f>
        <v>1.0038</v>
      </c>
      <c r="AM38" s="123">
        <f t="shared" ref="AM38:AM47" si="20">IF(AL38="","",RANK(AL38,$AL$38:$AL$47,1))</f>
        <v>1</v>
      </c>
      <c r="AN38" s="43" t="str">
        <f t="shared" ref="AN38:AN47" si="21">L44</f>
        <v>Brig</v>
      </c>
      <c r="AO38" s="124"/>
      <c r="AP38" s="125"/>
      <c r="AQ38" s="126"/>
      <c r="AR38" s="43">
        <f>SMALL($AL$38:$AL$47,1)</f>
        <v>1.0038</v>
      </c>
      <c r="AS38" s="43">
        <f t="shared" ref="AS38:AS47" si="22">IF(AR38="","",RANK(AR38,$AR$38:$AR$47,1))</f>
        <v>1</v>
      </c>
      <c r="AT38" s="43" t="str">
        <f t="shared" ref="AT38:AT47" si="23">INDEX($AN$38:$AN$47,MATCH(AR38,$AL$38:$AL$47,0),1)</f>
        <v>Brig</v>
      </c>
      <c r="AU38">
        <f>IFERROR(INDEX($M$44:$M$53,MATCH(AT38,$L$44:$L$53,0)),0)</f>
        <v>0</v>
      </c>
    </row>
    <row r="39" spans="2:47" x14ac:dyDescent="0.25">
      <c r="B39" s="76" t="s">
        <v>297</v>
      </c>
      <c r="C39" s="120">
        <f t="shared" si="18"/>
        <v>0</v>
      </c>
      <c r="D39" s="103" t="e">
        <f>#REF!</f>
        <v>#REF!</v>
      </c>
      <c r="E39" s="102" t="e">
        <f>#REF!</f>
        <v>#REF!</v>
      </c>
      <c r="F39" s="146" t="e">
        <f>#REF!</f>
        <v>#REF!</v>
      </c>
      <c r="H39" s="47"/>
      <c r="I39" s="18"/>
      <c r="J39" s="18"/>
      <c r="K39" s="18"/>
      <c r="L39" s="47"/>
      <c r="M39" s="18"/>
      <c r="N39" s="100"/>
      <c r="P39" s="47"/>
      <c r="Q39" s="18"/>
      <c r="R39" s="47"/>
      <c r="S39" s="18"/>
      <c r="T39" s="53" t="s">
        <v>324</v>
      </c>
      <c r="U39" s="45"/>
      <c r="V39" s="45"/>
      <c r="W39" s="45"/>
      <c r="X39" s="46"/>
      <c r="Z39" s="76"/>
      <c r="AA39" s="77"/>
      <c r="AB39" s="77"/>
      <c r="AC39" s="77"/>
      <c r="AD39" s="76"/>
      <c r="AE39" s="77"/>
      <c r="AF39" s="92" t="s">
        <v>324</v>
      </c>
      <c r="AG39" s="81"/>
      <c r="AH39" s="81"/>
      <c r="AI39" s="81"/>
      <c r="AJ39" s="82"/>
      <c r="AL39" s="43">
        <f t="shared" si="19"/>
        <v>1.0039</v>
      </c>
      <c r="AM39" s="123">
        <f t="shared" si="20"/>
        <v>2</v>
      </c>
      <c r="AN39" s="43" t="str">
        <f t="shared" si="21"/>
        <v>Collombey-Muraz</v>
      </c>
      <c r="AO39" s="127"/>
      <c r="AP39" s="128"/>
      <c r="AQ39" s="129"/>
      <c r="AR39" s="43">
        <f>SMALL($AL$38:$AL$47,2)</f>
        <v>1.0039</v>
      </c>
      <c r="AS39" s="43">
        <f t="shared" si="22"/>
        <v>2</v>
      </c>
      <c r="AT39" s="43" t="str">
        <f t="shared" si="23"/>
        <v>Collombey-Muraz</v>
      </c>
      <c r="AU39">
        <f t="shared" ref="AU39:AU47" si="24">IFERROR(INDEX($M$44:$M$53,MATCH(AT39,$L$44:$L$53,0)),0)</f>
        <v>0</v>
      </c>
    </row>
    <row r="40" spans="2:47" x14ac:dyDescent="0.25">
      <c r="B40" s="76" t="s">
        <v>303</v>
      </c>
      <c r="C40" s="120">
        <f t="shared" si="18"/>
        <v>0</v>
      </c>
      <c r="H40" s="47" t="e">
        <f>#REF!</f>
        <v>#REF!</v>
      </c>
      <c r="I40" s="18"/>
      <c r="J40" s="52" t="e">
        <f>#REF!</f>
        <v>#REF!</v>
      </c>
      <c r="K40" s="18"/>
      <c r="L40" s="98"/>
      <c r="M40" s="18"/>
      <c r="N40" s="49"/>
      <c r="P40" s="47" t="e">
        <f>#REF!</f>
        <v>#REF!</v>
      </c>
      <c r="Q40" s="18"/>
      <c r="R40" s="98" t="e">
        <f>#REF!</f>
        <v>#REF!</v>
      </c>
      <c r="S40" s="18"/>
      <c r="T40" s="98" t="e">
        <f>#REF!</f>
        <v>#REF!</v>
      </c>
      <c r="U40" s="18"/>
      <c r="V40" s="52" t="e">
        <f>#REF!</f>
        <v>#REF!</v>
      </c>
      <c r="W40" s="18"/>
      <c r="X40" s="49" t="e">
        <f>#REF!</f>
        <v>#REF!</v>
      </c>
      <c r="Z40" s="76" t="e">
        <f>#REF!</f>
        <v>#REF!</v>
      </c>
      <c r="AA40" s="77"/>
      <c r="AB40" s="77" t="e">
        <f>#REF!</f>
        <v>#REF!</v>
      </c>
      <c r="AC40" s="77"/>
      <c r="AD40" s="76" t="e">
        <f>#REF!</f>
        <v>#REF!</v>
      </c>
      <c r="AE40" s="77"/>
      <c r="AF40" s="76" t="e">
        <f>#REF!</f>
        <v>#REF!</v>
      </c>
      <c r="AG40" s="77"/>
      <c r="AH40" s="77" t="e">
        <f>#REF!</f>
        <v>#REF!</v>
      </c>
      <c r="AI40" s="77"/>
      <c r="AJ40" s="89" t="e">
        <f>#REF!</f>
        <v>#REF!</v>
      </c>
      <c r="AL40" s="43">
        <f t="shared" si="19"/>
        <v>1.004</v>
      </c>
      <c r="AM40" s="123">
        <f t="shared" si="20"/>
        <v>3</v>
      </c>
      <c r="AN40" s="43" t="str">
        <f t="shared" si="21"/>
        <v>Dorénaz</v>
      </c>
      <c r="AO40" s="127"/>
      <c r="AP40" s="128"/>
      <c r="AQ40" s="129"/>
      <c r="AR40" s="43">
        <f>SMALL($AL$38:$AL$47,3)</f>
        <v>1.004</v>
      </c>
      <c r="AS40" s="43">
        <f t="shared" si="22"/>
        <v>3</v>
      </c>
      <c r="AT40" s="43" t="str">
        <f t="shared" si="23"/>
        <v>Dorénaz</v>
      </c>
      <c r="AU40">
        <f t="shared" si="24"/>
        <v>0</v>
      </c>
    </row>
    <row r="41" spans="2:47" ht="15" customHeight="1" x14ac:dyDescent="0.25">
      <c r="B41" s="78" t="s">
        <v>304</v>
      </c>
      <c r="C41" s="142">
        <f t="shared" si="18"/>
        <v>0</v>
      </c>
      <c r="H41" s="47" t="e">
        <f>#REF!</f>
        <v>#REF!</v>
      </c>
      <c r="I41" s="18"/>
      <c r="J41" s="18" t="e">
        <f>#REF!</f>
        <v>#REF!</v>
      </c>
      <c r="K41" s="18"/>
      <c r="L41" s="98"/>
      <c r="M41" s="18"/>
      <c r="N41" s="49"/>
      <c r="P41" s="47" t="e">
        <f>#REF!</f>
        <v>#REF!</v>
      </c>
      <c r="Q41" s="18"/>
      <c r="R41" s="98" t="e">
        <f>#REF!</f>
        <v>#REF!</v>
      </c>
      <c r="S41" s="18"/>
      <c r="T41" s="98" t="e">
        <f>#REF!</f>
        <v>#REF!</v>
      </c>
      <c r="U41" s="18"/>
      <c r="V41" s="52" t="e">
        <f>#REF!</f>
        <v>#REF!</v>
      </c>
      <c r="W41" s="18"/>
      <c r="X41" s="49" t="e">
        <f>#REF!</f>
        <v>#REF!</v>
      </c>
      <c r="Z41" s="76" t="e">
        <f>#REF!</f>
        <v>#REF!</v>
      </c>
      <c r="AA41" s="77"/>
      <c r="AB41" s="77" t="e">
        <f>#REF!</f>
        <v>#REF!</v>
      </c>
      <c r="AC41" s="77"/>
      <c r="AD41" s="76" t="e">
        <f>#REF!</f>
        <v>#REF!</v>
      </c>
      <c r="AE41" s="77"/>
      <c r="AF41" s="76" t="e">
        <f>#REF!</f>
        <v>#REF!</v>
      </c>
      <c r="AG41" s="77"/>
      <c r="AH41" s="77" t="e">
        <f>#REF!</f>
        <v>#REF!</v>
      </c>
      <c r="AI41" s="77"/>
      <c r="AJ41" s="89" t="e">
        <f>#REF!</f>
        <v>#REF!</v>
      </c>
      <c r="AL41" s="43">
        <f t="shared" si="19"/>
        <v>1.0041</v>
      </c>
      <c r="AM41" s="123">
        <f t="shared" si="20"/>
        <v>4</v>
      </c>
      <c r="AN41" s="43" t="str">
        <f t="shared" si="21"/>
        <v>Gampel-Steg</v>
      </c>
      <c r="AO41" s="127"/>
      <c r="AP41" s="128"/>
      <c r="AQ41" s="129"/>
      <c r="AR41" s="43">
        <f>SMALL($AL$38:$AL$47,4)</f>
        <v>1.0041</v>
      </c>
      <c r="AS41" s="43">
        <f t="shared" si="22"/>
        <v>4</v>
      </c>
      <c r="AT41" s="43" t="str">
        <f t="shared" si="23"/>
        <v>Gampel-Steg</v>
      </c>
      <c r="AU41">
        <f t="shared" si="24"/>
        <v>0</v>
      </c>
    </row>
    <row r="42" spans="2:47" ht="15" customHeight="1" x14ac:dyDescent="0.25">
      <c r="H42" s="47"/>
      <c r="I42" s="18"/>
      <c r="J42" s="55"/>
      <c r="K42" s="18"/>
      <c r="L42" s="47"/>
      <c r="M42" s="18"/>
      <c r="N42" s="48"/>
      <c r="P42" s="47"/>
      <c r="Q42" s="18"/>
      <c r="R42" s="47"/>
      <c r="S42" s="18"/>
      <c r="T42" s="47"/>
      <c r="U42" s="18"/>
      <c r="V42" s="18"/>
      <c r="W42" s="18"/>
      <c r="X42" s="58" t="s">
        <v>327</v>
      </c>
      <c r="Z42" s="76"/>
      <c r="AA42" s="77"/>
      <c r="AB42" s="77"/>
      <c r="AC42" s="77"/>
      <c r="AD42" s="76"/>
      <c r="AE42" s="77"/>
      <c r="AF42" s="76"/>
      <c r="AG42" s="77"/>
      <c r="AH42" s="77"/>
      <c r="AI42" s="77"/>
      <c r="AJ42" s="90" t="s">
        <v>327</v>
      </c>
      <c r="AL42" s="43">
        <f t="shared" si="19"/>
        <v>1.0042</v>
      </c>
      <c r="AM42" s="123">
        <f t="shared" si="20"/>
        <v>5</v>
      </c>
      <c r="AN42" s="43" t="str">
        <f t="shared" si="21"/>
        <v>Grône</v>
      </c>
      <c r="AO42" s="127"/>
      <c r="AP42" s="128"/>
      <c r="AQ42" s="129"/>
      <c r="AR42" s="43">
        <f>SMALL($AL$38:$AL$47,5)</f>
        <v>1.0042</v>
      </c>
      <c r="AS42" s="43">
        <f t="shared" si="22"/>
        <v>5</v>
      </c>
      <c r="AT42" s="43" t="str">
        <f t="shared" si="23"/>
        <v>Grône</v>
      </c>
      <c r="AU42">
        <f t="shared" si="24"/>
        <v>0</v>
      </c>
    </row>
    <row r="43" spans="2:47" x14ac:dyDescent="0.25">
      <c r="B43" s="163" t="s">
        <v>380</v>
      </c>
      <c r="C43" s="162"/>
      <c r="D43" s="155" t="s">
        <v>386</v>
      </c>
      <c r="E43" s="156"/>
      <c r="F43" s="157"/>
      <c r="H43" s="47" t="e">
        <f>#REF!</f>
        <v>#REF!</v>
      </c>
      <c r="I43" s="18"/>
      <c r="J43" s="163" t="s">
        <v>382</v>
      </c>
      <c r="K43" s="164"/>
      <c r="L43" s="161" t="s">
        <v>378</v>
      </c>
      <c r="M43" s="162"/>
      <c r="N43" s="49"/>
      <c r="P43" s="47" t="e">
        <f>#REF!</f>
        <v>#REF!</v>
      </c>
      <c r="Q43" s="18"/>
      <c r="R43" s="98" t="e">
        <f>#REF!</f>
        <v>#REF!</v>
      </c>
      <c r="S43" s="18"/>
      <c r="T43" s="98" t="e">
        <f>#REF!</f>
        <v>#REF!</v>
      </c>
      <c r="U43" s="18"/>
      <c r="V43" s="52" t="e">
        <f>#REF!</f>
        <v>#REF!</v>
      </c>
      <c r="W43" s="18"/>
      <c r="X43" s="99" t="e">
        <f>#REF!</f>
        <v>#REF!</v>
      </c>
      <c r="Z43" s="76" t="e">
        <f>#REF!</f>
        <v>#REF!</v>
      </c>
      <c r="AA43" s="77"/>
      <c r="AB43" s="77" t="e">
        <f>#REF!</f>
        <v>#REF!</v>
      </c>
      <c r="AC43" s="77"/>
      <c r="AD43" s="76" t="e">
        <f>#REF!</f>
        <v>#REF!</v>
      </c>
      <c r="AE43" s="77"/>
      <c r="AF43" s="76" t="e">
        <f>#REF!</f>
        <v>#REF!</v>
      </c>
      <c r="AG43" s="77"/>
      <c r="AH43" s="77" t="e">
        <f>#REF!</f>
        <v>#REF!</v>
      </c>
      <c r="AI43" s="77"/>
      <c r="AJ43" s="91" t="e">
        <f>#REF!</f>
        <v>#REF!</v>
      </c>
      <c r="AL43" s="43">
        <f t="shared" si="19"/>
        <v>1.0043</v>
      </c>
      <c r="AM43" s="123">
        <f t="shared" si="20"/>
        <v>6</v>
      </c>
      <c r="AN43" s="43" t="str">
        <f t="shared" si="21"/>
        <v>Martigny</v>
      </c>
      <c r="AO43" s="127"/>
      <c r="AP43" s="128"/>
      <c r="AQ43" s="129"/>
      <c r="AR43" s="43">
        <f>SMALL($AL$38:$AL$47,6)</f>
        <v>1.0043</v>
      </c>
      <c r="AS43" s="43">
        <f t="shared" si="22"/>
        <v>6</v>
      </c>
      <c r="AT43" s="43" t="str">
        <f t="shared" si="23"/>
        <v>Martigny</v>
      </c>
      <c r="AU43">
        <f t="shared" si="24"/>
        <v>0</v>
      </c>
    </row>
    <row r="44" spans="2:47" x14ac:dyDescent="0.25">
      <c r="B44" s="80" t="s">
        <v>305</v>
      </c>
      <c r="C44" s="141">
        <f>SUMIF($E$44:$E$51,B44,$F$44:$F$51)</f>
        <v>0</v>
      </c>
      <c r="D44" s="98" t="e">
        <f>#REF!</f>
        <v>#REF!</v>
      </c>
      <c r="E44" s="52" t="e">
        <f>#REF!</f>
        <v>#REF!</v>
      </c>
      <c r="F44" s="121" t="e">
        <f>#REF!</f>
        <v>#REF!</v>
      </c>
      <c r="H44" s="47" t="e">
        <f>#REF!</f>
        <v>#REF!</v>
      </c>
      <c r="I44" s="18"/>
      <c r="J44" s="80" t="s">
        <v>305</v>
      </c>
      <c r="K44" s="143">
        <f>SUMIF($I$57:$I$72,J44,$J$57:$J$72)</f>
        <v>0</v>
      </c>
      <c r="L44" s="81" t="s">
        <v>305</v>
      </c>
      <c r="M44" s="141">
        <f>SUMIF($M$57:$M$72,L44,$N$57:$N$72)</f>
        <v>0</v>
      </c>
      <c r="N44" s="49"/>
      <c r="P44" s="47" t="e">
        <f>#REF!</f>
        <v>#REF!</v>
      </c>
      <c r="Q44" s="18"/>
      <c r="R44" s="98" t="e">
        <f>#REF!</f>
        <v>#REF!</v>
      </c>
      <c r="S44" s="18"/>
      <c r="T44" s="98" t="e">
        <f>#REF!</f>
        <v>#REF!</v>
      </c>
      <c r="U44" s="18"/>
      <c r="V44" s="52" t="e">
        <f>#REF!</f>
        <v>#REF!</v>
      </c>
      <c r="W44" s="18"/>
      <c r="X44" s="97" t="e">
        <f>#REF!</f>
        <v>#REF!</v>
      </c>
      <c r="Z44" s="76" t="e">
        <f>#REF!</f>
        <v>#REF!</v>
      </c>
      <c r="AA44" s="77"/>
      <c r="AB44" s="77" t="e">
        <f>#REF!</f>
        <v>#REF!</v>
      </c>
      <c r="AC44" s="77"/>
      <c r="AD44" s="76" t="e">
        <f>#REF!</f>
        <v>#REF!</v>
      </c>
      <c r="AE44" s="77"/>
      <c r="AF44" s="76" t="e">
        <f>#REF!</f>
        <v>#REF!</v>
      </c>
      <c r="AG44" s="77"/>
      <c r="AH44" s="77" t="e">
        <f>#REF!</f>
        <v>#REF!</v>
      </c>
      <c r="AI44" s="77"/>
      <c r="AJ44" s="91" t="e">
        <f>#REF!</f>
        <v>#REF!</v>
      </c>
      <c r="AL44" s="43">
        <f t="shared" si="19"/>
        <v>1.0044</v>
      </c>
      <c r="AM44" s="123">
        <f t="shared" si="20"/>
        <v>7</v>
      </c>
      <c r="AN44" s="43" t="str">
        <f t="shared" si="21"/>
        <v>Sierre</v>
      </c>
      <c r="AO44" s="127"/>
      <c r="AP44" s="128"/>
      <c r="AQ44" s="129"/>
      <c r="AR44" s="43">
        <f>SMALL($AL$38:$AL$47,7)</f>
        <v>1.0044</v>
      </c>
      <c r="AS44" s="43">
        <f t="shared" si="22"/>
        <v>7</v>
      </c>
      <c r="AT44" s="43" t="str">
        <f t="shared" si="23"/>
        <v>Sierre</v>
      </c>
      <c r="AU44">
        <f t="shared" si="24"/>
        <v>0</v>
      </c>
    </row>
    <row r="45" spans="2:47" x14ac:dyDescent="0.25">
      <c r="B45" s="76" t="s">
        <v>300</v>
      </c>
      <c r="C45" s="120">
        <f t="shared" ref="C45:C53" si="25">SUMIF($E$44:$E$51,B45,$F$44:$F$51)</f>
        <v>0</v>
      </c>
      <c r="D45" s="98" t="e">
        <f>#REF!</f>
        <v>#REF!</v>
      </c>
      <c r="E45" s="52" t="e">
        <f>#REF!</f>
        <v>#REF!</v>
      </c>
      <c r="F45" s="121" t="e">
        <f>#REF!</f>
        <v>#REF!</v>
      </c>
      <c r="H45" s="47"/>
      <c r="I45" s="18"/>
      <c r="J45" s="76" t="s">
        <v>300</v>
      </c>
      <c r="K45" s="144">
        <f t="shared" ref="K45:K53" si="26">SUMIF($I$57:$I$72,J45,$J$57:$J$72)</f>
        <v>0</v>
      </c>
      <c r="L45" s="77" t="s">
        <v>300</v>
      </c>
      <c r="M45" s="120">
        <f t="shared" ref="M45:M53" si="27">SUMIF($M$57:$M$72,L45,$N$57:$N$72)</f>
        <v>0</v>
      </c>
      <c r="N45" s="48"/>
      <c r="P45" s="47"/>
      <c r="Q45" s="18"/>
      <c r="R45" s="47"/>
      <c r="S45" s="18"/>
      <c r="T45" s="47"/>
      <c r="U45" s="18"/>
      <c r="V45" s="53" t="s">
        <v>325</v>
      </c>
      <c r="W45" s="45"/>
      <c r="X45" s="46"/>
      <c r="Z45" s="76"/>
      <c r="AA45" s="77"/>
      <c r="AB45" s="77"/>
      <c r="AC45" s="77"/>
      <c r="AD45" s="76"/>
      <c r="AE45" s="77"/>
      <c r="AF45" s="76"/>
      <c r="AG45" s="77"/>
      <c r="AH45" s="92" t="s">
        <v>325</v>
      </c>
      <c r="AI45" s="81"/>
      <c r="AJ45" s="82"/>
      <c r="AL45" s="43">
        <f t="shared" si="19"/>
        <v>1.0044999999999999</v>
      </c>
      <c r="AM45" s="123">
        <f t="shared" si="20"/>
        <v>8</v>
      </c>
      <c r="AN45" s="43" t="str">
        <f t="shared" si="21"/>
        <v>Sion</v>
      </c>
      <c r="AO45" s="127"/>
      <c r="AP45" s="128"/>
      <c r="AQ45" s="129"/>
      <c r="AR45" s="43">
        <f>SMALL($AL$38:$AL$47,8)</f>
        <v>1.0044999999999999</v>
      </c>
      <c r="AS45" s="43">
        <f t="shared" si="22"/>
        <v>8</v>
      </c>
      <c r="AT45" s="43" t="str">
        <f t="shared" si="23"/>
        <v>Sion</v>
      </c>
      <c r="AU45">
        <f t="shared" si="24"/>
        <v>0</v>
      </c>
    </row>
    <row r="46" spans="2:47" ht="15" customHeight="1" x14ac:dyDescent="0.25">
      <c r="B46" s="76" t="s">
        <v>301</v>
      </c>
      <c r="C46" s="120">
        <f t="shared" si="25"/>
        <v>0</v>
      </c>
      <c r="D46" s="98" t="e">
        <f>#REF!</f>
        <v>#REF!</v>
      </c>
      <c r="E46" s="52" t="e">
        <f>#REF!</f>
        <v>#REF!</v>
      </c>
      <c r="F46" s="121" t="e">
        <f>#REF!</f>
        <v>#REF!</v>
      </c>
      <c r="H46" s="47" t="e">
        <f>#REF!</f>
        <v>#REF!</v>
      </c>
      <c r="I46" s="18"/>
      <c r="J46" s="76" t="s">
        <v>301</v>
      </c>
      <c r="K46" s="144">
        <f t="shared" si="26"/>
        <v>0</v>
      </c>
      <c r="L46" s="77" t="s">
        <v>301</v>
      </c>
      <c r="M46" s="120">
        <f t="shared" si="27"/>
        <v>0</v>
      </c>
      <c r="N46" s="100"/>
      <c r="P46" s="47" t="e">
        <f>#REF!</f>
        <v>#REF!</v>
      </c>
      <c r="Q46" s="18"/>
      <c r="R46" s="98" t="e">
        <f>#REF!</f>
        <v>#REF!</v>
      </c>
      <c r="S46" s="18"/>
      <c r="T46" s="98" t="e">
        <f>#REF!</f>
        <v>#REF!</v>
      </c>
      <c r="U46" s="18"/>
      <c r="V46" s="98" t="e">
        <f>#REF!</f>
        <v>#REF!</v>
      </c>
      <c r="W46" s="18"/>
      <c r="X46" s="49" t="e">
        <f>#REF!</f>
        <v>#REF!</v>
      </c>
      <c r="Z46" s="76" t="e">
        <f>#REF!</f>
        <v>#REF!</v>
      </c>
      <c r="AA46" s="77"/>
      <c r="AB46" s="77" t="e">
        <f>#REF!</f>
        <v>#REF!</v>
      </c>
      <c r="AC46" s="77"/>
      <c r="AD46" s="76" t="e">
        <f>#REF!</f>
        <v>#REF!</v>
      </c>
      <c r="AE46" s="77"/>
      <c r="AF46" s="76" t="e">
        <f>#REF!</f>
        <v>#REF!</v>
      </c>
      <c r="AG46" s="77"/>
      <c r="AH46" s="76" t="e">
        <f>#REF!</f>
        <v>#REF!</v>
      </c>
      <c r="AI46" s="77"/>
      <c r="AJ46" s="83" t="e">
        <f>#REF!</f>
        <v>#REF!</v>
      </c>
      <c r="AL46" s="43">
        <f t="shared" si="19"/>
        <v>1.0045999999999999</v>
      </c>
      <c r="AM46" s="123">
        <f t="shared" si="20"/>
        <v>9</v>
      </c>
      <c r="AN46" s="43" t="str">
        <f t="shared" si="21"/>
        <v>Stalden</v>
      </c>
      <c r="AO46" s="127"/>
      <c r="AP46" s="128"/>
      <c r="AQ46" s="129"/>
      <c r="AR46" s="43">
        <f>SMALL($AL$38:$AL$47,9)</f>
        <v>1.0045999999999999</v>
      </c>
      <c r="AS46" s="43">
        <f t="shared" si="22"/>
        <v>9</v>
      </c>
      <c r="AT46" s="43" t="str">
        <f t="shared" si="23"/>
        <v>Stalden</v>
      </c>
      <c r="AU46">
        <f t="shared" si="24"/>
        <v>0</v>
      </c>
    </row>
    <row r="47" spans="2:47" ht="15" customHeight="1" x14ac:dyDescent="0.25">
      <c r="B47" s="76" t="s">
        <v>299</v>
      </c>
      <c r="C47" s="120">
        <f t="shared" si="25"/>
        <v>0</v>
      </c>
      <c r="D47" s="98" t="e">
        <f>#REF!</f>
        <v>#REF!</v>
      </c>
      <c r="E47" s="52" t="e">
        <f>#REF!</f>
        <v>#REF!</v>
      </c>
      <c r="F47" s="121" t="e">
        <f>#REF!</f>
        <v>#REF!</v>
      </c>
      <c r="H47" s="98" t="e">
        <f>#REF!</f>
        <v>#REF!</v>
      </c>
      <c r="I47" s="18"/>
      <c r="J47" s="76" t="s">
        <v>299</v>
      </c>
      <c r="K47" s="144">
        <f t="shared" si="26"/>
        <v>0</v>
      </c>
      <c r="L47" s="77" t="s">
        <v>299</v>
      </c>
      <c r="M47" s="120">
        <f t="shared" si="27"/>
        <v>0</v>
      </c>
      <c r="N47" s="49"/>
      <c r="P47" s="47" t="e">
        <f>#REF!</f>
        <v>#REF!</v>
      </c>
      <c r="Q47" s="18"/>
      <c r="R47" s="98" t="e">
        <f>#REF!</f>
        <v>#REF!</v>
      </c>
      <c r="S47" s="18"/>
      <c r="T47" s="98" t="e">
        <f>#REF!</f>
        <v>#REF!</v>
      </c>
      <c r="U47" s="18"/>
      <c r="V47" s="98" t="e">
        <f>#REF!</f>
        <v>#REF!</v>
      </c>
      <c r="W47" s="18"/>
      <c r="X47" s="49" t="e">
        <f>#REF!</f>
        <v>#REF!</v>
      </c>
      <c r="Z47" s="76" t="e">
        <f>#REF!</f>
        <v>#REF!</v>
      </c>
      <c r="AA47" s="77"/>
      <c r="AB47" s="77" t="e">
        <f>#REF!</f>
        <v>#REF!</v>
      </c>
      <c r="AC47" s="77"/>
      <c r="AD47" s="76" t="e">
        <f>#REF!</f>
        <v>#REF!</v>
      </c>
      <c r="AE47" s="77"/>
      <c r="AF47" s="76" t="e">
        <f>#REF!</f>
        <v>#REF!</v>
      </c>
      <c r="AG47" s="77"/>
      <c r="AH47" s="76" t="e">
        <f>#REF!</f>
        <v>#REF!</v>
      </c>
      <c r="AI47" s="77"/>
      <c r="AJ47" s="83" t="e">
        <f>#REF!</f>
        <v>#REF!</v>
      </c>
      <c r="AL47" s="43">
        <f t="shared" si="19"/>
        <v>1.0046999999999999</v>
      </c>
      <c r="AM47" s="123">
        <f t="shared" si="20"/>
        <v>10</v>
      </c>
      <c r="AN47" s="43" t="str">
        <f t="shared" si="21"/>
        <v>Zermatt</v>
      </c>
      <c r="AO47" s="130"/>
      <c r="AP47" s="131"/>
      <c r="AQ47" s="132"/>
      <c r="AR47" s="43">
        <f>SMALL($AL$38:$AL$47,10)</f>
        <v>1.0046999999999999</v>
      </c>
      <c r="AS47" s="43">
        <f t="shared" si="22"/>
        <v>10</v>
      </c>
      <c r="AT47" s="43" t="str">
        <f t="shared" si="23"/>
        <v>Zermatt</v>
      </c>
      <c r="AU47">
        <f t="shared" si="24"/>
        <v>0</v>
      </c>
    </row>
    <row r="48" spans="2:47" x14ac:dyDescent="0.25">
      <c r="B48" s="76" t="s">
        <v>298</v>
      </c>
      <c r="C48" s="120">
        <f t="shared" si="25"/>
        <v>0</v>
      </c>
      <c r="D48" s="98" t="e">
        <f>#REF!</f>
        <v>#REF!</v>
      </c>
      <c r="E48" s="52" t="e">
        <f>#REF!</f>
        <v>#REF!</v>
      </c>
      <c r="F48" s="121" t="e">
        <f>#REF!</f>
        <v>#REF!</v>
      </c>
      <c r="H48" s="47"/>
      <c r="I48" s="18"/>
      <c r="J48" s="76" t="s">
        <v>298</v>
      </c>
      <c r="K48" s="144">
        <f t="shared" si="26"/>
        <v>0</v>
      </c>
      <c r="L48" s="77" t="s">
        <v>298</v>
      </c>
      <c r="M48" s="120">
        <f t="shared" si="27"/>
        <v>0</v>
      </c>
      <c r="N48" s="49"/>
      <c r="P48" s="47"/>
      <c r="Q48" s="18"/>
      <c r="R48" s="47"/>
      <c r="S48" s="18"/>
      <c r="T48" s="47"/>
      <c r="U48" s="18"/>
      <c r="V48" s="47"/>
      <c r="W48" s="18"/>
      <c r="X48" s="58" t="s">
        <v>326</v>
      </c>
      <c r="Z48" s="76"/>
      <c r="AA48" s="77"/>
      <c r="AB48" s="77"/>
      <c r="AC48" s="77"/>
      <c r="AD48" s="76"/>
      <c r="AE48" s="77"/>
      <c r="AF48" s="76"/>
      <c r="AG48" s="77"/>
      <c r="AH48" s="76"/>
      <c r="AI48" s="77"/>
      <c r="AJ48" s="90" t="s">
        <v>326</v>
      </c>
    </row>
    <row r="49" spans="2:47" x14ac:dyDescent="0.25">
      <c r="B49" s="76" t="s">
        <v>302</v>
      </c>
      <c r="C49" s="120">
        <f t="shared" si="25"/>
        <v>0</v>
      </c>
      <c r="D49" s="98" t="e">
        <f>#REF!</f>
        <v>#REF!</v>
      </c>
      <c r="E49" s="52" t="e">
        <f>#REF!</f>
        <v>#REF!</v>
      </c>
      <c r="F49" s="121" t="e">
        <f>#REF!</f>
        <v>#REF!</v>
      </c>
      <c r="H49" s="98" t="e">
        <f>#REF!</f>
        <v>#REF!</v>
      </c>
      <c r="I49" s="18"/>
      <c r="J49" s="76" t="s">
        <v>302</v>
      </c>
      <c r="K49" s="144">
        <f t="shared" si="26"/>
        <v>0</v>
      </c>
      <c r="L49" s="77" t="s">
        <v>302</v>
      </c>
      <c r="M49" s="120">
        <f t="shared" si="27"/>
        <v>0</v>
      </c>
      <c r="N49" s="48"/>
      <c r="P49" s="47" t="e">
        <f>#REF!</f>
        <v>#REF!</v>
      </c>
      <c r="Q49" s="18"/>
      <c r="R49" s="98" t="e">
        <f>#REF!</f>
        <v>#REF!</v>
      </c>
      <c r="S49" s="18"/>
      <c r="T49" s="98" t="e">
        <f>#REF!</f>
        <v>#REF!</v>
      </c>
      <c r="U49" s="18"/>
      <c r="V49" s="98" t="e">
        <f>#REF!</f>
        <v>#REF!</v>
      </c>
      <c r="W49" s="18"/>
      <c r="X49" s="99" t="e">
        <f>#REF!</f>
        <v>#REF!</v>
      </c>
      <c r="Z49" s="76" t="e">
        <f>#REF!</f>
        <v>#REF!</v>
      </c>
      <c r="AA49" s="77"/>
      <c r="AB49" s="77" t="e">
        <f>#REF!</f>
        <v>#REF!</v>
      </c>
      <c r="AC49" s="77"/>
      <c r="AD49" s="76" t="e">
        <f>#REF!</f>
        <v>#REF!</v>
      </c>
      <c r="AE49" s="77"/>
      <c r="AF49" s="76" t="e">
        <f>#REF!</f>
        <v>#REF!</v>
      </c>
      <c r="AG49" s="77"/>
      <c r="AH49" s="76" t="e">
        <f>#REF!</f>
        <v>#REF!</v>
      </c>
      <c r="AI49" s="77"/>
      <c r="AJ49" s="91" t="e">
        <f>#REF!</f>
        <v>#REF!</v>
      </c>
      <c r="AO49" s="135" t="s">
        <v>373</v>
      </c>
      <c r="AP49" s="136"/>
    </row>
    <row r="50" spans="2:47" x14ac:dyDescent="0.25">
      <c r="B50" s="76" t="s">
        <v>296</v>
      </c>
      <c r="C50" s="120">
        <f t="shared" si="25"/>
        <v>0</v>
      </c>
      <c r="D50" s="98" t="e">
        <f>#REF!</f>
        <v>#REF!</v>
      </c>
      <c r="E50" s="52" t="e">
        <f>#REF!</f>
        <v>#REF!</v>
      </c>
      <c r="F50" s="121" t="e">
        <f>#REF!</f>
        <v>#REF!</v>
      </c>
      <c r="H50" s="98" t="e">
        <f>#REF!</f>
        <v>#REF!</v>
      </c>
      <c r="I50" s="18"/>
      <c r="J50" s="76" t="s">
        <v>296</v>
      </c>
      <c r="K50" s="144">
        <f t="shared" si="26"/>
        <v>0</v>
      </c>
      <c r="L50" s="77" t="s">
        <v>296</v>
      </c>
      <c r="M50" s="120">
        <f t="shared" si="27"/>
        <v>0</v>
      </c>
      <c r="N50" s="49"/>
      <c r="P50" s="47" t="e">
        <f>#REF!</f>
        <v>#REF!</v>
      </c>
      <c r="Q50" s="18"/>
      <c r="R50" s="98" t="e">
        <f>#REF!</f>
        <v>#REF!</v>
      </c>
      <c r="S50" s="18"/>
      <c r="T50" s="98" t="e">
        <f>#REF!</f>
        <v>#REF!</v>
      </c>
      <c r="U50" s="18"/>
      <c r="V50" s="98" t="e">
        <f>#REF!</f>
        <v>#REF!</v>
      </c>
      <c r="W50" s="18"/>
      <c r="X50" s="99" t="e">
        <f>#REF!</f>
        <v>#REF!</v>
      </c>
      <c r="Z50" s="76" t="e">
        <f>#REF!</f>
        <v>#REF!</v>
      </c>
      <c r="AA50" s="77"/>
      <c r="AB50" s="77" t="e">
        <f>#REF!</f>
        <v>#REF!</v>
      </c>
      <c r="AC50" s="77"/>
      <c r="AD50" s="76" t="e">
        <f>#REF!</f>
        <v>#REF!</v>
      </c>
      <c r="AE50" s="77"/>
      <c r="AF50" s="76" t="e">
        <f>#REF!</f>
        <v>#REF!</v>
      </c>
      <c r="AG50" s="77"/>
      <c r="AH50" s="76" t="e">
        <f>#REF!</f>
        <v>#REF!</v>
      </c>
      <c r="AI50" s="77"/>
      <c r="AJ50" s="91" t="e">
        <f>#REF!</f>
        <v>#REF!</v>
      </c>
      <c r="AL50" s="43">
        <f t="shared" ref="AL50:AL59" si="28">RANK(S80,$S$80:$S$89,0)+ROW()%%</f>
        <v>1.0049999999999999</v>
      </c>
      <c r="AM50" s="123">
        <f t="shared" ref="AM50:AM59" si="29">IF(AL50="","",RANK(AL50,$AL$50:$AL$59,1))</f>
        <v>1</v>
      </c>
      <c r="AN50" s="43" t="str">
        <f t="shared" ref="AN50:AN59" si="30">R80</f>
        <v>Brig</v>
      </c>
      <c r="AO50" s="124"/>
      <c r="AP50" s="125"/>
      <c r="AQ50" s="126"/>
      <c r="AR50" s="43">
        <f>SMALL($AL$50:$AL$59,1)</f>
        <v>1.0049999999999999</v>
      </c>
      <c r="AS50" s="43">
        <f t="shared" ref="AS50:AS59" si="31">IF(AR50="","",RANK(AR50,$AR$50:$AR$59,1))</f>
        <v>1</v>
      </c>
      <c r="AT50" s="43" t="str">
        <f t="shared" ref="AT50:AT59" si="32">INDEX($AN$50:$AN$59,MATCH(AR50,$AL$50:$AL$59,0),1)</f>
        <v>Brig</v>
      </c>
      <c r="AU50">
        <f t="shared" ref="AU50:AU59" si="33">IFERROR(INDEX($S$80:$S$89,MATCH(AT50,$R$80:$R$89,0)),0)</f>
        <v>0</v>
      </c>
    </row>
    <row r="51" spans="2:47" ht="15" customHeight="1" x14ac:dyDescent="0.25">
      <c r="B51" s="76" t="s">
        <v>297</v>
      </c>
      <c r="C51" s="120">
        <f t="shared" si="25"/>
        <v>0</v>
      </c>
      <c r="D51" s="103" t="e">
        <f>#REF!</f>
        <v>#REF!</v>
      </c>
      <c r="E51" s="102" t="e">
        <f>#REF!</f>
        <v>#REF!</v>
      </c>
      <c r="F51" s="146" t="e">
        <f>#REF!</f>
        <v>#REF!</v>
      </c>
      <c r="H51" s="47"/>
      <c r="I51" s="18"/>
      <c r="J51" s="76" t="s">
        <v>297</v>
      </c>
      <c r="K51" s="144">
        <f t="shared" si="26"/>
        <v>0</v>
      </c>
      <c r="L51" s="77" t="s">
        <v>297</v>
      </c>
      <c r="M51" s="120">
        <f t="shared" si="27"/>
        <v>0</v>
      </c>
      <c r="N51" s="49"/>
      <c r="P51" s="50"/>
      <c r="Q51" s="51"/>
      <c r="R51" s="50"/>
      <c r="S51" s="51"/>
      <c r="T51" s="50"/>
      <c r="U51" s="51"/>
      <c r="V51" s="50"/>
      <c r="W51" s="51"/>
      <c r="X51" s="60"/>
      <c r="Z51" s="76"/>
      <c r="AA51" s="77"/>
      <c r="AB51" s="92" t="s">
        <v>333</v>
      </c>
      <c r="AC51" s="81"/>
      <c r="AD51" s="81"/>
      <c r="AE51" s="81"/>
      <c r="AF51" s="81"/>
      <c r="AG51" s="81"/>
      <c r="AH51" s="81"/>
      <c r="AI51" s="81"/>
      <c r="AJ51" s="82"/>
      <c r="AL51" s="43">
        <f t="shared" si="28"/>
        <v>1.0051000000000001</v>
      </c>
      <c r="AM51" s="123">
        <f t="shared" si="29"/>
        <v>2</v>
      </c>
      <c r="AN51" s="43" t="str">
        <f t="shared" si="30"/>
        <v>Collombey-Muraz</v>
      </c>
      <c r="AO51" s="127"/>
      <c r="AP51" s="128"/>
      <c r="AQ51" s="129"/>
      <c r="AR51" s="43">
        <f>SMALL($AL$50:$AL$59,2)</f>
        <v>1.0051000000000001</v>
      </c>
      <c r="AS51" s="43">
        <f t="shared" si="31"/>
        <v>2</v>
      </c>
      <c r="AT51" s="43" t="str">
        <f t="shared" si="32"/>
        <v>Collombey-Muraz</v>
      </c>
      <c r="AU51">
        <f t="shared" si="33"/>
        <v>0</v>
      </c>
    </row>
    <row r="52" spans="2:47" ht="15" customHeight="1" x14ac:dyDescent="0.25">
      <c r="B52" s="76" t="s">
        <v>303</v>
      </c>
      <c r="C52" s="120">
        <f t="shared" si="25"/>
        <v>0</v>
      </c>
      <c r="H52" s="98" t="e">
        <f>#REF!</f>
        <v>#REF!</v>
      </c>
      <c r="I52" s="18"/>
      <c r="J52" s="76" t="s">
        <v>303</v>
      </c>
      <c r="K52" s="144">
        <f t="shared" si="26"/>
        <v>0</v>
      </c>
      <c r="L52" s="77" t="s">
        <v>303</v>
      </c>
      <c r="M52" s="120">
        <f t="shared" si="27"/>
        <v>0</v>
      </c>
      <c r="N52" s="100"/>
      <c r="P52" s="44" t="s">
        <v>366</v>
      </c>
      <c r="Q52" s="45"/>
      <c r="R52" s="45"/>
      <c r="S52" s="45"/>
      <c r="T52" s="45"/>
      <c r="U52" s="45"/>
      <c r="V52" s="45"/>
      <c r="W52" s="45"/>
      <c r="X52" s="46"/>
      <c r="Z52" s="76" t="e">
        <f>#REF!</f>
        <v>#REF!</v>
      </c>
      <c r="AA52" s="77"/>
      <c r="AB52" s="79" t="e">
        <f>#REF!</f>
        <v>#REF!</v>
      </c>
      <c r="AC52" s="77"/>
      <c r="AD52" s="88" t="e">
        <f>#REF!</f>
        <v>#REF!</v>
      </c>
      <c r="AE52" s="77"/>
      <c r="AF52" s="88" t="e">
        <f>#REF!</f>
        <v>#REF!</v>
      </c>
      <c r="AG52" s="77"/>
      <c r="AH52" s="88" t="e">
        <f>#REF!</f>
        <v>#REF!</v>
      </c>
      <c r="AI52" s="77"/>
      <c r="AJ52" s="89" t="e">
        <f>#REF!</f>
        <v>#REF!</v>
      </c>
      <c r="AL52" s="43">
        <f t="shared" si="28"/>
        <v>1.0052000000000001</v>
      </c>
      <c r="AM52" s="123">
        <f t="shared" si="29"/>
        <v>3</v>
      </c>
      <c r="AN52" s="43" t="str">
        <f t="shared" si="30"/>
        <v>Dorénaz</v>
      </c>
      <c r="AO52" s="127"/>
      <c r="AP52" s="128"/>
      <c r="AQ52" s="129"/>
      <c r="AR52" s="43">
        <f>SMALL($AL$50:$AL$59,3)</f>
        <v>1.0052000000000001</v>
      </c>
      <c r="AS52" s="43">
        <f t="shared" si="31"/>
        <v>3</v>
      </c>
      <c r="AT52" s="43" t="str">
        <f t="shared" si="32"/>
        <v>Dorénaz</v>
      </c>
      <c r="AU52">
        <f t="shared" si="33"/>
        <v>0</v>
      </c>
    </row>
    <row r="53" spans="2:47" x14ac:dyDescent="0.25">
      <c r="B53" s="78" t="s">
        <v>304</v>
      </c>
      <c r="C53" s="142">
        <f t="shared" si="25"/>
        <v>0</v>
      </c>
      <c r="H53" s="47" t="e">
        <f>#REF!</f>
        <v>#REF!</v>
      </c>
      <c r="I53" s="18"/>
      <c r="J53" s="78" t="s">
        <v>304</v>
      </c>
      <c r="K53" s="145">
        <f t="shared" si="26"/>
        <v>0</v>
      </c>
      <c r="L53" s="94" t="s">
        <v>304</v>
      </c>
      <c r="M53" s="142">
        <f t="shared" si="27"/>
        <v>0</v>
      </c>
      <c r="N53" s="49"/>
      <c r="P53" s="47"/>
      <c r="Q53" s="18"/>
      <c r="R53" s="18"/>
      <c r="S53" s="18"/>
      <c r="T53" s="18"/>
      <c r="U53" s="18"/>
      <c r="V53" s="18"/>
      <c r="W53" s="18"/>
      <c r="X53" s="48"/>
      <c r="Z53" s="76" t="e">
        <f>#REF!</f>
        <v>#REF!</v>
      </c>
      <c r="AA53" s="77"/>
      <c r="AB53" s="76" t="e">
        <f>#REF!</f>
        <v>#REF!</v>
      </c>
      <c r="AC53" s="77"/>
      <c r="AD53" s="77" t="e">
        <f>#REF!</f>
        <v>#REF!</v>
      </c>
      <c r="AE53" s="77"/>
      <c r="AF53" s="88" t="e">
        <f>#REF!</f>
        <v>#REF!</v>
      </c>
      <c r="AG53" s="77"/>
      <c r="AH53" s="88" t="e">
        <f>#REF!</f>
        <v>#REF!</v>
      </c>
      <c r="AI53" s="77"/>
      <c r="AJ53" s="89" t="e">
        <f>#REF!</f>
        <v>#REF!</v>
      </c>
      <c r="AL53" s="43">
        <f t="shared" si="28"/>
        <v>1.0053000000000001</v>
      </c>
      <c r="AM53" s="123">
        <f t="shared" si="29"/>
        <v>4</v>
      </c>
      <c r="AN53" s="43" t="str">
        <f t="shared" si="30"/>
        <v>Gampel-Steg</v>
      </c>
      <c r="AO53" s="127"/>
      <c r="AP53" s="128"/>
      <c r="AQ53" s="129"/>
      <c r="AR53" s="43">
        <f>SMALL($AL$50:$AL$59,4)</f>
        <v>1.0053000000000001</v>
      </c>
      <c r="AS53" s="43">
        <f t="shared" si="31"/>
        <v>4</v>
      </c>
      <c r="AT53" s="43" t="str">
        <f t="shared" si="32"/>
        <v>Gampel-Steg</v>
      </c>
      <c r="AU53">
        <f t="shared" si="33"/>
        <v>0</v>
      </c>
    </row>
    <row r="54" spans="2:47" x14ac:dyDescent="0.25">
      <c r="H54" s="50"/>
      <c r="I54" s="51"/>
      <c r="J54" s="50"/>
      <c r="K54" s="51"/>
      <c r="L54" s="102"/>
      <c r="M54" s="51"/>
      <c r="N54" s="101"/>
      <c r="P54" s="54" t="s">
        <v>311</v>
      </c>
      <c r="Q54" s="55"/>
      <c r="R54" s="55" t="s">
        <v>312</v>
      </c>
      <c r="S54" s="55"/>
      <c r="T54" s="56" t="s">
        <v>313</v>
      </c>
      <c r="U54" s="55"/>
      <c r="V54" s="56" t="s">
        <v>314</v>
      </c>
      <c r="W54" s="55"/>
      <c r="X54" s="57" t="s">
        <v>334</v>
      </c>
      <c r="Z54" s="76"/>
      <c r="AA54" s="77"/>
      <c r="AB54" s="76"/>
      <c r="AC54" s="77"/>
      <c r="AD54" s="77"/>
      <c r="AE54" s="77"/>
      <c r="AF54" s="77"/>
      <c r="AG54" s="77"/>
      <c r="AH54" s="77"/>
      <c r="AI54" s="77"/>
      <c r="AJ54" s="90" t="s">
        <v>335</v>
      </c>
      <c r="AL54" s="43">
        <f t="shared" si="28"/>
        <v>1.0054000000000001</v>
      </c>
      <c r="AM54" s="123">
        <f t="shared" si="29"/>
        <v>5</v>
      </c>
      <c r="AN54" s="43" t="str">
        <f t="shared" si="30"/>
        <v>Grône</v>
      </c>
      <c r="AO54" s="127"/>
      <c r="AP54" s="128"/>
      <c r="AQ54" s="129"/>
      <c r="AR54" s="43">
        <f>SMALL($AL$50:$AL$59,5)</f>
        <v>1.0054000000000001</v>
      </c>
      <c r="AS54" s="43">
        <f t="shared" si="31"/>
        <v>5</v>
      </c>
      <c r="AT54" s="43" t="str">
        <f t="shared" si="32"/>
        <v>Grône</v>
      </c>
      <c r="AU54">
        <f t="shared" si="33"/>
        <v>0</v>
      </c>
    </row>
    <row r="55" spans="2:47" x14ac:dyDescent="0.25">
      <c r="E55" s="17"/>
      <c r="P55" s="47" t="e">
        <f>#REF!</f>
        <v>#REF!</v>
      </c>
      <c r="Q55" s="18"/>
      <c r="R55" s="18" t="e">
        <f>#REF!</f>
        <v>#REF!</v>
      </c>
      <c r="S55" s="18"/>
      <c r="T55" s="52" t="e">
        <f>#REF!</f>
        <v>#REF!</v>
      </c>
      <c r="U55" s="18"/>
      <c r="V55" s="52" t="e">
        <f>#REF!</f>
        <v>#REF!</v>
      </c>
      <c r="W55" s="18"/>
      <c r="X55" s="49" t="e">
        <f>#REF!</f>
        <v>#REF!</v>
      </c>
      <c r="Z55" s="76" t="e">
        <f>#REF!</f>
        <v>#REF!</v>
      </c>
      <c r="AA55" s="77"/>
      <c r="AB55" s="76" t="e">
        <f>#REF!</f>
        <v>#REF!</v>
      </c>
      <c r="AC55" s="77"/>
      <c r="AD55" s="77" t="e">
        <f>#REF!</f>
        <v>#REF!</v>
      </c>
      <c r="AE55" s="77"/>
      <c r="AF55" s="88" t="e">
        <f>#REF!</f>
        <v>#REF!</v>
      </c>
      <c r="AG55" s="77"/>
      <c r="AH55" s="88" t="e">
        <f>#REF!</f>
        <v>#REF!</v>
      </c>
      <c r="AI55" s="77"/>
      <c r="AJ55" s="91" t="e">
        <f>#REF!</f>
        <v>#REF!</v>
      </c>
      <c r="AL55" s="43">
        <f t="shared" si="28"/>
        <v>1.0055000000000001</v>
      </c>
      <c r="AM55" s="123">
        <f t="shared" si="29"/>
        <v>6</v>
      </c>
      <c r="AN55" s="43" t="str">
        <f t="shared" si="30"/>
        <v>Martigny</v>
      </c>
      <c r="AO55" s="127"/>
      <c r="AP55" s="128"/>
      <c r="AQ55" s="129"/>
      <c r="AR55" s="43">
        <f>SMALL($AL$50:$AL$59,6)</f>
        <v>1.0055000000000001</v>
      </c>
      <c r="AS55" s="43">
        <f t="shared" si="31"/>
        <v>6</v>
      </c>
      <c r="AT55" s="43" t="str">
        <f t="shared" si="32"/>
        <v>Martigny</v>
      </c>
      <c r="AU55">
        <f t="shared" si="33"/>
        <v>0</v>
      </c>
    </row>
    <row r="56" spans="2:47" ht="15" customHeight="1" x14ac:dyDescent="0.25">
      <c r="H56" s="155" t="s">
        <v>383</v>
      </c>
      <c r="I56" s="156"/>
      <c r="J56" s="157"/>
      <c r="L56" s="155" t="s">
        <v>384</v>
      </c>
      <c r="M56" s="156"/>
      <c r="N56" s="157"/>
      <c r="P56" s="47" t="e">
        <f>#REF!</f>
        <v>#REF!</v>
      </c>
      <c r="Q56" s="18"/>
      <c r="R56" s="18" t="e">
        <f>#REF!</f>
        <v>#REF!</v>
      </c>
      <c r="S56" s="18"/>
      <c r="T56" s="52" t="e">
        <f>#REF!</f>
        <v>#REF!</v>
      </c>
      <c r="U56" s="18"/>
      <c r="V56" s="52" t="e">
        <f>#REF!</f>
        <v>#REF!</v>
      </c>
      <c r="W56" s="18"/>
      <c r="X56" s="49" t="e">
        <f>#REF!</f>
        <v>#REF!</v>
      </c>
      <c r="Z56" s="76" t="e">
        <f>#REF!</f>
        <v>#REF!</v>
      </c>
      <c r="AA56" s="77"/>
      <c r="AB56" s="76" t="e">
        <f>#REF!</f>
        <v>#REF!</v>
      </c>
      <c r="AC56" s="77"/>
      <c r="AD56" s="77" t="e">
        <f>#REF!</f>
        <v>#REF!</v>
      </c>
      <c r="AE56" s="77"/>
      <c r="AF56" s="88" t="e">
        <f>#REF!</f>
        <v>#REF!</v>
      </c>
      <c r="AG56" s="77"/>
      <c r="AH56" s="88" t="e">
        <f>#REF!</f>
        <v>#REF!</v>
      </c>
      <c r="AI56" s="77"/>
      <c r="AJ56" s="91" t="e">
        <f>#REF!</f>
        <v>#REF!</v>
      </c>
      <c r="AL56" s="43">
        <f t="shared" si="28"/>
        <v>1.0056</v>
      </c>
      <c r="AM56" s="123">
        <f t="shared" si="29"/>
        <v>7</v>
      </c>
      <c r="AN56" s="43" t="str">
        <f t="shared" si="30"/>
        <v>Sierre</v>
      </c>
      <c r="AO56" s="127"/>
      <c r="AP56" s="128"/>
      <c r="AQ56" s="129"/>
      <c r="AR56" s="43">
        <f>SMALL($AL$50:$AL$59,7)</f>
        <v>1.0056</v>
      </c>
      <c r="AS56" s="43">
        <f t="shared" si="31"/>
        <v>7</v>
      </c>
      <c r="AT56" s="43" t="str">
        <f t="shared" si="32"/>
        <v>Sierre</v>
      </c>
      <c r="AU56">
        <f t="shared" si="33"/>
        <v>0</v>
      </c>
    </row>
    <row r="57" spans="2:47" ht="15" customHeight="1" x14ac:dyDescent="0.25">
      <c r="H57" s="98" t="e">
        <f>#REF!</f>
        <v>#REF!</v>
      </c>
      <c r="I57" s="52" t="e">
        <f>#REF!</f>
        <v>#REF!</v>
      </c>
      <c r="J57" s="121" t="e">
        <f>#REF!</f>
        <v>#REF!</v>
      </c>
      <c r="K57">
        <v>1</v>
      </c>
      <c r="L57" s="98" t="e">
        <f>#REF!</f>
        <v>#REF!</v>
      </c>
      <c r="M57" s="52" t="e">
        <f>#REF!</f>
        <v>#REF!</v>
      </c>
      <c r="N57" s="121" t="e">
        <f>#REF!</f>
        <v>#REF!</v>
      </c>
      <c r="P57" s="47"/>
      <c r="Q57" s="18"/>
      <c r="R57" s="18"/>
      <c r="S57" s="18"/>
      <c r="T57" s="18"/>
      <c r="U57" s="18"/>
      <c r="V57" s="18"/>
      <c r="W57" s="18"/>
      <c r="X57" s="58" t="s">
        <v>315</v>
      </c>
      <c r="Z57" s="76"/>
      <c r="AA57" s="77"/>
      <c r="AB57" s="76"/>
      <c r="AC57" s="77"/>
      <c r="AD57" s="77"/>
      <c r="AE57" s="77"/>
      <c r="AF57" s="77"/>
      <c r="AG57" s="77"/>
      <c r="AH57" s="92" t="s">
        <v>336</v>
      </c>
      <c r="AI57" s="81"/>
      <c r="AJ57" s="82"/>
      <c r="AL57" s="43">
        <f t="shared" si="28"/>
        <v>1.0057</v>
      </c>
      <c r="AM57" s="123">
        <f t="shared" si="29"/>
        <v>8</v>
      </c>
      <c r="AN57" s="43" t="str">
        <f t="shared" si="30"/>
        <v>Sion</v>
      </c>
      <c r="AO57" s="127"/>
      <c r="AP57" s="128"/>
      <c r="AQ57" s="129"/>
      <c r="AR57" s="43">
        <f>SMALL($AL$50:$AL$59,8)</f>
        <v>1.0057</v>
      </c>
      <c r="AS57" s="43">
        <f t="shared" si="31"/>
        <v>8</v>
      </c>
      <c r="AT57" s="43" t="str">
        <f t="shared" si="32"/>
        <v>Sion</v>
      </c>
      <c r="AU57">
        <f t="shared" si="33"/>
        <v>0</v>
      </c>
    </row>
    <row r="58" spans="2:47" x14ac:dyDescent="0.25">
      <c r="H58" s="98" t="e">
        <f>#REF!</f>
        <v>#REF!</v>
      </c>
      <c r="I58" s="52" t="e">
        <f>#REF!</f>
        <v>#REF!</v>
      </c>
      <c r="J58" s="121" t="e">
        <f>#REF!</f>
        <v>#REF!</v>
      </c>
      <c r="K58">
        <v>2</v>
      </c>
      <c r="L58" s="98" t="e">
        <f>#REF!</f>
        <v>#REF!</v>
      </c>
      <c r="M58" s="52" t="e">
        <f>#REF!</f>
        <v>#REF!</v>
      </c>
      <c r="N58" s="121" t="e">
        <f>#REF!</f>
        <v>#REF!</v>
      </c>
      <c r="P58" s="47" t="e">
        <f>#REF!</f>
        <v>#REF!</v>
      </c>
      <c r="Q58" s="18"/>
      <c r="R58" s="18" t="e">
        <f>#REF!</f>
        <v>#REF!</v>
      </c>
      <c r="S58" s="18"/>
      <c r="T58" s="52" t="e">
        <f>#REF!</f>
        <v>#REF!</v>
      </c>
      <c r="U58" s="18"/>
      <c r="V58" s="52" t="e">
        <f>#REF!</f>
        <v>#REF!</v>
      </c>
      <c r="W58" s="18"/>
      <c r="X58" s="59" t="e">
        <f>#REF!</f>
        <v>#REF!</v>
      </c>
      <c r="Z58" s="76" t="e">
        <f>#REF!</f>
        <v>#REF!</v>
      </c>
      <c r="AA58" s="77"/>
      <c r="AB58" s="76" t="e">
        <f>#REF!</f>
        <v>#REF!</v>
      </c>
      <c r="AC58" s="77"/>
      <c r="AD58" s="77" t="e">
        <f>#REF!</f>
        <v>#REF!</v>
      </c>
      <c r="AE58" s="77"/>
      <c r="AF58" s="88" t="e">
        <f>#REF!</f>
        <v>#REF!</v>
      </c>
      <c r="AG58" s="77"/>
      <c r="AH58" s="76" t="e">
        <f>#REF!</f>
        <v>#REF!</v>
      </c>
      <c r="AI58" s="77"/>
      <c r="AJ58" s="83" t="e">
        <f>#REF!</f>
        <v>#REF!</v>
      </c>
      <c r="AL58" s="43">
        <f t="shared" si="28"/>
        <v>1.0058</v>
      </c>
      <c r="AM58" s="123">
        <f t="shared" si="29"/>
        <v>9</v>
      </c>
      <c r="AN58" s="43" t="str">
        <f t="shared" si="30"/>
        <v>Stalden</v>
      </c>
      <c r="AO58" s="127"/>
      <c r="AP58" s="128"/>
      <c r="AQ58" s="129"/>
      <c r="AR58" s="43">
        <f>SMALL($AL$50:$AL$59,9)</f>
        <v>1.0058</v>
      </c>
      <c r="AS58" s="43">
        <f t="shared" si="31"/>
        <v>9</v>
      </c>
      <c r="AT58" s="43" t="str">
        <f t="shared" si="32"/>
        <v>Stalden</v>
      </c>
      <c r="AU58">
        <f t="shared" si="33"/>
        <v>0</v>
      </c>
    </row>
    <row r="59" spans="2:47" x14ac:dyDescent="0.25">
      <c r="H59" s="98" t="e">
        <f>#REF!</f>
        <v>#REF!</v>
      </c>
      <c r="I59" s="52" t="e">
        <f>#REF!</f>
        <v>#REF!</v>
      </c>
      <c r="J59" s="121" t="e">
        <f>#REF!</f>
        <v>#REF!</v>
      </c>
      <c r="K59">
        <v>3</v>
      </c>
      <c r="L59" s="98" t="e">
        <f>#REF!</f>
        <v>#REF!</v>
      </c>
      <c r="M59" s="52" t="e">
        <f>#REF!</f>
        <v>#REF!</v>
      </c>
      <c r="N59" s="121" t="e">
        <f>#REF!</f>
        <v>#REF!</v>
      </c>
      <c r="P59" s="47" t="e">
        <f>#REF!</f>
        <v>#REF!</v>
      </c>
      <c r="Q59" s="18"/>
      <c r="R59" s="18" t="e">
        <f>#REF!</f>
        <v>#REF!</v>
      </c>
      <c r="S59" s="18"/>
      <c r="T59" s="52" t="e">
        <f>#REF!</f>
        <v>#REF!</v>
      </c>
      <c r="U59" s="18"/>
      <c r="V59" s="52" t="e">
        <f>#REF!</f>
        <v>#REF!</v>
      </c>
      <c r="W59" s="18"/>
      <c r="X59" s="59" t="e">
        <f>#REF!</f>
        <v>#REF!</v>
      </c>
      <c r="Z59" s="76" t="e">
        <f>#REF!</f>
        <v>#REF!</v>
      </c>
      <c r="AA59" s="77"/>
      <c r="AB59" s="76" t="e">
        <f>#REF!</f>
        <v>#REF!</v>
      </c>
      <c r="AC59" s="77"/>
      <c r="AD59" s="77" t="e">
        <f>#REF!</f>
        <v>#REF!</v>
      </c>
      <c r="AE59" s="77"/>
      <c r="AF59" s="88" t="e">
        <f>#REF!</f>
        <v>#REF!</v>
      </c>
      <c r="AG59" s="77"/>
      <c r="AH59" s="76" t="e">
        <f>#REF!</f>
        <v>#REF!</v>
      </c>
      <c r="AI59" s="77"/>
      <c r="AJ59" s="83" t="e">
        <f>#REF!</f>
        <v>#REF!</v>
      </c>
      <c r="AL59" s="43">
        <f t="shared" si="28"/>
        <v>1.0059</v>
      </c>
      <c r="AM59" s="123">
        <f t="shared" si="29"/>
        <v>10</v>
      </c>
      <c r="AN59" s="43" t="str">
        <f t="shared" si="30"/>
        <v>Zermatt</v>
      </c>
      <c r="AO59" s="130"/>
      <c r="AP59" s="131"/>
      <c r="AQ59" s="132"/>
      <c r="AR59" s="43">
        <f>SMALL($AL$50:$AL$59,10)</f>
        <v>1.0059</v>
      </c>
      <c r="AS59" s="43">
        <f t="shared" si="31"/>
        <v>10</v>
      </c>
      <c r="AT59" s="43" t="str">
        <f t="shared" si="32"/>
        <v>Zermatt</v>
      </c>
      <c r="AU59">
        <f t="shared" si="33"/>
        <v>0</v>
      </c>
    </row>
    <row r="60" spans="2:47" x14ac:dyDescent="0.25">
      <c r="H60" s="98" t="e">
        <f>#REF!</f>
        <v>#REF!</v>
      </c>
      <c r="I60" s="52" t="e">
        <f>#REF!</f>
        <v>#REF!</v>
      </c>
      <c r="J60" s="121" t="e">
        <f>#REF!</f>
        <v>#REF!</v>
      </c>
      <c r="K60">
        <v>4</v>
      </c>
      <c r="L60" s="98" t="e">
        <f>#REF!</f>
        <v>#REF!</v>
      </c>
      <c r="M60" s="52" t="e">
        <f>#REF!</f>
        <v>#REF!</v>
      </c>
      <c r="N60" s="121" t="e">
        <f>#REF!</f>
        <v>#REF!</v>
      </c>
      <c r="P60" s="47"/>
      <c r="Q60" s="18"/>
      <c r="R60" s="18"/>
      <c r="S60" s="18"/>
      <c r="T60" s="18"/>
      <c r="U60" s="18"/>
      <c r="V60" s="55"/>
      <c r="W60" s="18"/>
      <c r="X60" s="46"/>
      <c r="Z60" s="76"/>
      <c r="AA60" s="77"/>
      <c r="AB60" s="76"/>
      <c r="AC60" s="77"/>
      <c r="AD60" s="77"/>
      <c r="AE60" s="77"/>
      <c r="AF60" s="77"/>
      <c r="AG60" s="77"/>
      <c r="AH60" s="76"/>
      <c r="AI60" s="77"/>
      <c r="AJ60" s="90" t="s">
        <v>337</v>
      </c>
    </row>
    <row r="61" spans="2:47" ht="15" customHeight="1" x14ac:dyDescent="0.25">
      <c r="H61" s="98" t="e">
        <f>#REF!</f>
        <v>#REF!</v>
      </c>
      <c r="I61" s="52" t="e">
        <f>#REF!</f>
        <v>#REF!</v>
      </c>
      <c r="J61" s="121" t="e">
        <f>#REF!</f>
        <v>#REF!</v>
      </c>
      <c r="K61">
        <v>5</v>
      </c>
      <c r="L61" s="98" t="e">
        <f>#REF!</f>
        <v>#REF!</v>
      </c>
      <c r="M61" s="52" t="e">
        <f>#REF!</f>
        <v>#REF!</v>
      </c>
      <c r="N61" s="121" t="e">
        <f>#REF!</f>
        <v>#REF!</v>
      </c>
      <c r="P61" s="47" t="e">
        <f>#REF!</f>
        <v>#REF!</v>
      </c>
      <c r="Q61" s="18"/>
      <c r="R61" s="18" t="e">
        <f>#REF!</f>
        <v>#REF!</v>
      </c>
      <c r="S61" s="18"/>
      <c r="T61" s="52" t="e">
        <f>#REF!</f>
        <v>#REF!</v>
      </c>
      <c r="U61" s="18"/>
      <c r="V61" s="111"/>
      <c r="W61" s="45"/>
      <c r="X61" s="112"/>
      <c r="Z61" s="76" t="e">
        <f>#REF!</f>
        <v>#REF!</v>
      </c>
      <c r="AA61" s="77"/>
      <c r="AB61" s="76" t="e">
        <f>#REF!</f>
        <v>#REF!</v>
      </c>
      <c r="AC61" s="77"/>
      <c r="AD61" s="77" t="e">
        <f>#REF!</f>
        <v>#REF!</v>
      </c>
      <c r="AE61" s="77"/>
      <c r="AF61" s="88" t="e">
        <f>#REF!</f>
        <v>#REF!</v>
      </c>
      <c r="AG61" s="77"/>
      <c r="AH61" s="76" t="e">
        <f>#REF!</f>
        <v>#REF!</v>
      </c>
      <c r="AI61" s="77"/>
      <c r="AJ61" s="91" t="e">
        <f>#REF!</f>
        <v>#REF!</v>
      </c>
      <c r="AO61" s="135" t="s">
        <v>371</v>
      </c>
      <c r="AP61" s="136"/>
    </row>
    <row r="62" spans="2:47" ht="15" customHeight="1" x14ac:dyDescent="0.25">
      <c r="H62" s="98" t="e">
        <f>#REF!</f>
        <v>#REF!</v>
      </c>
      <c r="I62" s="52" t="e">
        <f>#REF!</f>
        <v>#REF!</v>
      </c>
      <c r="J62" s="121" t="e">
        <f>#REF!</f>
        <v>#REF!</v>
      </c>
      <c r="K62">
        <v>6</v>
      </c>
      <c r="L62" s="98" t="e">
        <f>#REF!</f>
        <v>#REF!</v>
      </c>
      <c r="M62" s="52" t="e">
        <f>#REF!</f>
        <v>#REF!</v>
      </c>
      <c r="N62" s="121" t="e">
        <f>#REF!</f>
        <v>#REF!</v>
      </c>
      <c r="P62" s="47" t="e">
        <f>#REF!</f>
        <v>#REF!</v>
      </c>
      <c r="Q62" s="18"/>
      <c r="R62" s="18" t="e">
        <f>#REF!</f>
        <v>#REF!</v>
      </c>
      <c r="S62" s="18"/>
      <c r="T62" s="52" t="e">
        <f>#REF!</f>
        <v>#REF!</v>
      </c>
      <c r="U62" s="18"/>
      <c r="V62" s="98"/>
      <c r="W62" s="18"/>
      <c r="X62" s="49"/>
      <c r="Z62" s="76" t="e">
        <f>#REF!</f>
        <v>#REF!</v>
      </c>
      <c r="AA62" s="77"/>
      <c r="AB62" s="76" t="e">
        <f>#REF!</f>
        <v>#REF!</v>
      </c>
      <c r="AC62" s="77"/>
      <c r="AD62" s="77" t="e">
        <f>#REF!</f>
        <v>#REF!</v>
      </c>
      <c r="AE62" s="77"/>
      <c r="AF62" s="88" t="e">
        <f>#REF!</f>
        <v>#REF!</v>
      </c>
      <c r="AG62" s="77"/>
      <c r="AH62" s="76" t="e">
        <f>#REF!</f>
        <v>#REF!</v>
      </c>
      <c r="AI62" s="77"/>
      <c r="AJ62" s="91" t="e">
        <f>#REF!</f>
        <v>#REF!</v>
      </c>
      <c r="AL62" s="43">
        <f t="shared" ref="AL62:AL71" si="34">RANK(S92,$S$92:$S$101,0)+ROW()%%</f>
        <v>1.0062</v>
      </c>
      <c r="AM62" s="123">
        <f t="shared" ref="AM62:AM71" si="35">IF(AL62="","",RANK(AL62,$AL$62:$AL$71,1))</f>
        <v>1</v>
      </c>
      <c r="AN62" s="43" t="str">
        <f t="shared" ref="AN62:AN71" si="36">R92</f>
        <v>Brig</v>
      </c>
      <c r="AO62" s="124"/>
      <c r="AP62" s="125"/>
      <c r="AQ62" s="126"/>
      <c r="AR62" s="43">
        <f>SMALL($AL$62:$AL$71,1)</f>
        <v>1.0062</v>
      </c>
      <c r="AS62" s="43">
        <f t="shared" ref="AS62:AS71" si="37">IF(AR62="","",RANK(AR62,$AR$62:$AR$71,1))</f>
        <v>1</v>
      </c>
      <c r="AT62" s="43" t="str">
        <f t="shared" ref="AT62:AT71" si="38">INDEX($AN$62:$AN$71,MATCH(AR62,$AL$62:$AL$71,0),1)</f>
        <v>Brig</v>
      </c>
      <c r="AU62">
        <f t="shared" ref="AU62:AU71" si="39">IFERROR(INDEX($S$92:$S$101,MATCH(AT62,$R$92:$R$101,0)),0)</f>
        <v>0</v>
      </c>
    </row>
    <row r="63" spans="2:47" x14ac:dyDescent="0.25">
      <c r="H63" s="98" t="e">
        <f>#REF!</f>
        <v>#REF!</v>
      </c>
      <c r="I63" s="52" t="e">
        <f>#REF!</f>
        <v>#REF!</v>
      </c>
      <c r="J63" s="121" t="e">
        <f>#REF!</f>
        <v>#REF!</v>
      </c>
      <c r="K63">
        <v>7</v>
      </c>
      <c r="L63" s="98" t="e">
        <f>#REF!</f>
        <v>#REF!</v>
      </c>
      <c r="M63" s="52" t="e">
        <f>#REF!</f>
        <v>#REF!</v>
      </c>
      <c r="N63" s="121" t="e">
        <f>#REF!</f>
        <v>#REF!</v>
      </c>
      <c r="P63" s="47"/>
      <c r="Q63" s="18"/>
      <c r="R63" s="18"/>
      <c r="S63" s="18"/>
      <c r="T63" s="18"/>
      <c r="U63" s="18"/>
      <c r="V63" s="47"/>
      <c r="W63" s="18"/>
      <c r="X63" s="100"/>
      <c r="Z63" s="76"/>
      <c r="AA63" s="77"/>
      <c r="AB63" s="76"/>
      <c r="AC63" s="77"/>
      <c r="AD63" s="77"/>
      <c r="AE63" s="77"/>
      <c r="AF63" s="92" t="s">
        <v>338</v>
      </c>
      <c r="AG63" s="81"/>
      <c r="AH63" s="81"/>
      <c r="AI63" s="81"/>
      <c r="AJ63" s="82"/>
      <c r="AL63" s="43">
        <f t="shared" si="34"/>
        <v>1.0063</v>
      </c>
      <c r="AM63" s="123">
        <f t="shared" si="35"/>
        <v>2</v>
      </c>
      <c r="AN63" s="43" t="str">
        <f t="shared" si="36"/>
        <v>Collombey-Muraz</v>
      </c>
      <c r="AO63" s="127"/>
      <c r="AP63" s="128"/>
      <c r="AQ63" s="129"/>
      <c r="AR63" s="43">
        <f>SMALL($AL$62:$AL$71,2)</f>
        <v>1.0063</v>
      </c>
      <c r="AS63" s="43">
        <f t="shared" si="37"/>
        <v>2</v>
      </c>
      <c r="AT63" s="43" t="str">
        <f t="shared" si="38"/>
        <v>Collombey-Muraz</v>
      </c>
      <c r="AU63">
        <f t="shared" si="39"/>
        <v>0</v>
      </c>
    </row>
    <row r="64" spans="2:47" x14ac:dyDescent="0.25">
      <c r="H64" s="98" t="e">
        <f>#REF!</f>
        <v>#REF!</v>
      </c>
      <c r="I64" s="52" t="e">
        <f>#REF!</f>
        <v>#REF!</v>
      </c>
      <c r="J64" s="121" t="e">
        <f>#REF!</f>
        <v>#REF!</v>
      </c>
      <c r="K64">
        <v>8</v>
      </c>
      <c r="L64" s="98" t="e">
        <f>#REF!</f>
        <v>#REF!</v>
      </c>
      <c r="M64" s="52" t="e">
        <f>#REF!</f>
        <v>#REF!</v>
      </c>
      <c r="N64" s="121" t="e">
        <f>#REF!</f>
        <v>#REF!</v>
      </c>
      <c r="P64" s="47" t="e">
        <f>#REF!</f>
        <v>#REF!</v>
      </c>
      <c r="Q64" s="18"/>
      <c r="R64" s="18" t="e">
        <f>#REF!</f>
        <v>#REF!</v>
      </c>
      <c r="S64" s="18"/>
      <c r="T64" s="52" t="e">
        <f>#REF!</f>
        <v>#REF!</v>
      </c>
      <c r="U64" s="18"/>
      <c r="V64" s="98"/>
      <c r="W64" s="18"/>
      <c r="X64" s="49"/>
      <c r="Z64" s="76" t="e">
        <f>#REF!</f>
        <v>#REF!</v>
      </c>
      <c r="AA64" s="77"/>
      <c r="AB64" s="76" t="e">
        <f>#REF!</f>
        <v>#REF!</v>
      </c>
      <c r="AC64" s="77"/>
      <c r="AD64" s="77" t="e">
        <f>#REF!</f>
        <v>#REF!</v>
      </c>
      <c r="AE64" s="77"/>
      <c r="AF64" s="76" t="e">
        <f>#REF!</f>
        <v>#REF!</v>
      </c>
      <c r="AG64" s="77"/>
      <c r="AH64" s="77" t="e">
        <f>#REF!</f>
        <v>#REF!</v>
      </c>
      <c r="AI64" s="77"/>
      <c r="AJ64" s="89" t="e">
        <f>#REF!</f>
        <v>#REF!</v>
      </c>
      <c r="AL64" s="43">
        <f t="shared" si="34"/>
        <v>1.0064</v>
      </c>
      <c r="AM64" s="123">
        <f t="shared" si="35"/>
        <v>3</v>
      </c>
      <c r="AN64" s="43" t="str">
        <f t="shared" si="36"/>
        <v>Dorénaz</v>
      </c>
      <c r="AO64" s="127"/>
      <c r="AP64" s="128"/>
      <c r="AQ64" s="129"/>
      <c r="AR64" s="43">
        <f>SMALL($AL$62:$AL$71,3)</f>
        <v>1.0064</v>
      </c>
      <c r="AS64" s="43">
        <f t="shared" si="37"/>
        <v>3</v>
      </c>
      <c r="AT64" s="43" t="str">
        <f t="shared" si="38"/>
        <v>Dorénaz</v>
      </c>
      <c r="AU64">
        <f t="shared" si="39"/>
        <v>0</v>
      </c>
    </row>
    <row r="65" spans="8:47" x14ac:dyDescent="0.25">
      <c r="H65" s="98" t="e">
        <f>#REF!</f>
        <v>#REF!</v>
      </c>
      <c r="I65" s="52" t="e">
        <f>#REF!</f>
        <v>#REF!</v>
      </c>
      <c r="J65" s="121" t="e">
        <f>#REF!</f>
        <v>#REF!</v>
      </c>
      <c r="K65">
        <v>9</v>
      </c>
      <c r="L65" s="98" t="e">
        <f>#REF!</f>
        <v>#REF!</v>
      </c>
      <c r="M65" s="52" t="e">
        <f>#REF!</f>
        <v>#REF!</v>
      </c>
      <c r="N65" s="121" t="e">
        <f>#REF!</f>
        <v>#REF!</v>
      </c>
      <c r="P65" s="47" t="e">
        <f>#REF!</f>
        <v>#REF!</v>
      </c>
      <c r="Q65" s="18"/>
      <c r="R65" s="18" t="e">
        <f>#REF!</f>
        <v>#REF!</v>
      </c>
      <c r="S65" s="18"/>
      <c r="T65" s="52" t="e">
        <f>#REF!</f>
        <v>#REF!</v>
      </c>
      <c r="U65" s="18"/>
      <c r="V65" s="98"/>
      <c r="W65" s="18"/>
      <c r="X65" s="49"/>
      <c r="Z65" s="76" t="e">
        <f>#REF!</f>
        <v>#REF!</v>
      </c>
      <c r="AA65" s="77"/>
      <c r="AB65" s="76" t="e">
        <f>#REF!</f>
        <v>#REF!</v>
      </c>
      <c r="AC65" s="77"/>
      <c r="AD65" s="77" t="e">
        <f>#REF!</f>
        <v>#REF!</v>
      </c>
      <c r="AE65" s="77"/>
      <c r="AF65" s="76" t="e">
        <f>#REF!</f>
        <v>#REF!</v>
      </c>
      <c r="AG65" s="77"/>
      <c r="AH65" s="77" t="e">
        <f>#REF!</f>
        <v>#REF!</v>
      </c>
      <c r="AI65" s="77"/>
      <c r="AJ65" s="89" t="e">
        <f>#REF!</f>
        <v>#REF!</v>
      </c>
      <c r="AL65" s="43">
        <f t="shared" si="34"/>
        <v>1.0065</v>
      </c>
      <c r="AM65" s="123">
        <f t="shared" si="35"/>
        <v>4</v>
      </c>
      <c r="AN65" s="43" t="str">
        <f t="shared" si="36"/>
        <v>Gampel-Steg</v>
      </c>
      <c r="AO65" s="127"/>
      <c r="AP65" s="128"/>
      <c r="AQ65" s="129"/>
      <c r="AR65" s="43">
        <f>SMALL($AL$62:$AL$71,4)</f>
        <v>1.0065</v>
      </c>
      <c r="AS65" s="43">
        <f t="shared" si="37"/>
        <v>4</v>
      </c>
      <c r="AT65" s="43" t="str">
        <f t="shared" si="38"/>
        <v>Gampel-Steg</v>
      </c>
      <c r="AU65">
        <f t="shared" si="39"/>
        <v>0</v>
      </c>
    </row>
    <row r="66" spans="8:47" ht="15" customHeight="1" x14ac:dyDescent="0.25">
      <c r="H66" s="98" t="e">
        <f>#REF!</f>
        <v>#REF!</v>
      </c>
      <c r="I66" s="52" t="e">
        <f>#REF!</f>
        <v>#REF!</v>
      </c>
      <c r="J66" s="121" t="e">
        <f>#REF!</f>
        <v>#REF!</v>
      </c>
      <c r="K66">
        <v>10</v>
      </c>
      <c r="L66" s="98" t="e">
        <f>#REF!</f>
        <v>#REF!</v>
      </c>
      <c r="M66" s="52" t="e">
        <f>#REF!</f>
        <v>#REF!</v>
      </c>
      <c r="N66" s="121" t="e">
        <f>#REF!</f>
        <v>#REF!</v>
      </c>
      <c r="P66" s="47"/>
      <c r="Q66" s="18"/>
      <c r="R66" s="18"/>
      <c r="S66" s="18"/>
      <c r="T66" s="55"/>
      <c r="U66" s="18"/>
      <c r="V66" s="47"/>
      <c r="W66" s="18"/>
      <c r="X66" s="48"/>
      <c r="Z66" s="76"/>
      <c r="AA66" s="77"/>
      <c r="AB66" s="76"/>
      <c r="AC66" s="77"/>
      <c r="AD66" s="77"/>
      <c r="AE66" s="77"/>
      <c r="AF66" s="76"/>
      <c r="AG66" s="77"/>
      <c r="AH66" s="77"/>
      <c r="AI66" s="77"/>
      <c r="AJ66" s="90" t="s">
        <v>339</v>
      </c>
      <c r="AL66" s="43">
        <f t="shared" si="34"/>
        <v>1.0065999999999999</v>
      </c>
      <c r="AM66" s="123">
        <f t="shared" si="35"/>
        <v>5</v>
      </c>
      <c r="AN66" s="43" t="str">
        <f t="shared" si="36"/>
        <v>Grône</v>
      </c>
      <c r="AO66" s="127"/>
      <c r="AP66" s="128"/>
      <c r="AQ66" s="129"/>
      <c r="AR66" s="43">
        <f>SMALL($AL$62:$AL$71,5)</f>
        <v>1.0065999999999999</v>
      </c>
      <c r="AS66" s="43">
        <f t="shared" si="37"/>
        <v>5</v>
      </c>
      <c r="AT66" s="43" t="str">
        <f t="shared" si="38"/>
        <v>Grône</v>
      </c>
      <c r="AU66">
        <f t="shared" si="39"/>
        <v>0</v>
      </c>
    </row>
    <row r="67" spans="8:47" ht="15" customHeight="1" x14ac:dyDescent="0.25">
      <c r="H67" s="98" t="e">
        <f>#REF!</f>
        <v>#REF!</v>
      </c>
      <c r="I67" s="52" t="e">
        <f>#REF!</f>
        <v>#REF!</v>
      </c>
      <c r="J67" s="121" t="e">
        <f>#REF!</f>
        <v>#REF!</v>
      </c>
      <c r="K67">
        <v>11</v>
      </c>
      <c r="L67" s="98" t="e">
        <f>#REF!</f>
        <v>#REF!</v>
      </c>
      <c r="M67" s="52" t="e">
        <f>#REF!</f>
        <v>#REF!</v>
      </c>
      <c r="N67" s="121" t="e">
        <f>#REF!</f>
        <v>#REF!</v>
      </c>
      <c r="P67" s="47" t="e">
        <f>#REF!</f>
        <v>#REF!</v>
      </c>
      <c r="Q67" s="18"/>
      <c r="R67" s="18" t="e">
        <f>#REF!</f>
        <v>#REF!</v>
      </c>
      <c r="S67" s="18"/>
      <c r="T67" s="111"/>
      <c r="U67" s="45"/>
      <c r="V67" s="52"/>
      <c r="W67" s="18"/>
      <c r="X67" s="49"/>
      <c r="Z67" s="76" t="e">
        <f>#REF!</f>
        <v>#REF!</v>
      </c>
      <c r="AA67" s="77"/>
      <c r="AB67" s="76" t="e">
        <f>#REF!</f>
        <v>#REF!</v>
      </c>
      <c r="AC67" s="77"/>
      <c r="AD67" s="77" t="e">
        <f>#REF!</f>
        <v>#REF!</v>
      </c>
      <c r="AE67" s="77"/>
      <c r="AF67" s="76" t="e">
        <f>#REF!</f>
        <v>#REF!</v>
      </c>
      <c r="AG67" s="77"/>
      <c r="AH67" s="77" t="e">
        <f>#REF!</f>
        <v>#REF!</v>
      </c>
      <c r="AI67" s="77"/>
      <c r="AJ67" s="91" t="e">
        <f>#REF!</f>
        <v>#REF!</v>
      </c>
      <c r="AL67" s="43">
        <f t="shared" si="34"/>
        <v>1.0066999999999999</v>
      </c>
      <c r="AM67" s="123">
        <f t="shared" si="35"/>
        <v>6</v>
      </c>
      <c r="AN67" s="43" t="str">
        <f t="shared" si="36"/>
        <v>Martigny</v>
      </c>
      <c r="AO67" s="127"/>
      <c r="AP67" s="128"/>
      <c r="AQ67" s="129"/>
      <c r="AR67" s="43">
        <f>SMALL($AL$62:$AL$71,6)</f>
        <v>1.0066999999999999</v>
      </c>
      <c r="AS67" s="43">
        <f t="shared" si="37"/>
        <v>6</v>
      </c>
      <c r="AT67" s="43" t="str">
        <f t="shared" si="38"/>
        <v>Martigny</v>
      </c>
      <c r="AU67">
        <f t="shared" si="39"/>
        <v>0</v>
      </c>
    </row>
    <row r="68" spans="8:47" ht="15" customHeight="1" x14ac:dyDescent="0.25">
      <c r="H68" s="98" t="e">
        <f>#REF!</f>
        <v>#REF!</v>
      </c>
      <c r="I68" s="52" t="e">
        <f>#REF!</f>
        <v>#REF!</v>
      </c>
      <c r="J68" s="121" t="e">
        <f>#REF!</f>
        <v>#REF!</v>
      </c>
      <c r="K68">
        <v>12</v>
      </c>
      <c r="L68" s="98" t="e">
        <f>#REF!</f>
        <v>#REF!</v>
      </c>
      <c r="M68" s="52" t="e">
        <f>#REF!</f>
        <v>#REF!</v>
      </c>
      <c r="N68" s="121" t="e">
        <f>#REF!</f>
        <v>#REF!</v>
      </c>
      <c r="P68" s="47" t="e">
        <f>#REF!</f>
        <v>#REF!</v>
      </c>
      <c r="Q68" s="18"/>
      <c r="R68" s="18" t="e">
        <f>#REF!</f>
        <v>#REF!</v>
      </c>
      <c r="S68" s="18"/>
      <c r="T68" s="98"/>
      <c r="U68" s="18"/>
      <c r="V68" s="52"/>
      <c r="W68" s="18"/>
      <c r="X68" s="49"/>
      <c r="Z68" s="76" t="e">
        <f>#REF!</f>
        <v>#REF!</v>
      </c>
      <c r="AA68" s="77"/>
      <c r="AB68" s="76" t="e">
        <f>#REF!</f>
        <v>#REF!</v>
      </c>
      <c r="AC68" s="77"/>
      <c r="AD68" s="77" t="e">
        <f>#REF!</f>
        <v>#REF!</v>
      </c>
      <c r="AE68" s="77"/>
      <c r="AF68" s="76" t="e">
        <f>#REF!</f>
        <v>#REF!</v>
      </c>
      <c r="AG68" s="77"/>
      <c r="AH68" s="77" t="e">
        <f>#REF!</f>
        <v>#REF!</v>
      </c>
      <c r="AI68" s="77"/>
      <c r="AJ68" s="93" t="e">
        <f>#REF!</f>
        <v>#REF!</v>
      </c>
      <c r="AL68" s="43">
        <f t="shared" si="34"/>
        <v>1.0067999999999999</v>
      </c>
      <c r="AM68" s="123">
        <f t="shared" si="35"/>
        <v>7</v>
      </c>
      <c r="AN68" s="43" t="str">
        <f t="shared" si="36"/>
        <v>Sierre</v>
      </c>
      <c r="AO68" s="127"/>
      <c r="AP68" s="128"/>
      <c r="AQ68" s="129"/>
      <c r="AR68" s="43">
        <f>SMALL($AL$62:$AL$71,7)</f>
        <v>1.0067999999999999</v>
      </c>
      <c r="AS68" s="43">
        <f t="shared" si="37"/>
        <v>7</v>
      </c>
      <c r="AT68" s="43" t="str">
        <f t="shared" si="38"/>
        <v>Sierre</v>
      </c>
      <c r="AU68">
        <f t="shared" si="39"/>
        <v>0</v>
      </c>
    </row>
    <row r="69" spans="8:47" ht="15" customHeight="1" x14ac:dyDescent="0.25">
      <c r="H69" s="98" t="e">
        <f>#REF!</f>
        <v>#REF!</v>
      </c>
      <c r="I69" s="52" t="e">
        <f>#REF!</f>
        <v>#REF!</v>
      </c>
      <c r="J69" s="121" t="e">
        <f>#REF!</f>
        <v>#REF!</v>
      </c>
      <c r="K69">
        <v>13</v>
      </c>
      <c r="L69" s="98" t="e">
        <f>#REF!</f>
        <v>#REF!</v>
      </c>
      <c r="M69" s="52" t="e">
        <f>#REF!</f>
        <v>#REF!</v>
      </c>
      <c r="N69" s="121" t="e">
        <f>#REF!</f>
        <v>#REF!</v>
      </c>
      <c r="P69" s="47"/>
      <c r="Q69" s="18"/>
      <c r="R69" s="18"/>
      <c r="S69" s="18"/>
      <c r="T69" s="47"/>
      <c r="U69" s="18"/>
      <c r="V69" s="18"/>
      <c r="W69" s="18"/>
      <c r="X69" s="100"/>
      <c r="Z69" s="76"/>
      <c r="AA69" s="77"/>
      <c r="AB69" s="76"/>
      <c r="AC69" s="77"/>
      <c r="AD69" s="77"/>
      <c r="AE69" s="77"/>
      <c r="AF69" s="76"/>
      <c r="AG69" s="77"/>
      <c r="AH69" s="92" t="s">
        <v>340</v>
      </c>
      <c r="AI69" s="81"/>
      <c r="AJ69" s="82"/>
      <c r="AL69" s="43">
        <f t="shared" si="34"/>
        <v>1.0068999999999999</v>
      </c>
      <c r="AM69" s="123">
        <f t="shared" si="35"/>
        <v>8</v>
      </c>
      <c r="AN69" s="43" t="str">
        <f t="shared" si="36"/>
        <v>Sion</v>
      </c>
      <c r="AO69" s="127"/>
      <c r="AP69" s="128"/>
      <c r="AQ69" s="129"/>
      <c r="AR69" s="43">
        <f>SMALL($AL$62:$AL$71,8)</f>
        <v>1.0068999999999999</v>
      </c>
      <c r="AS69" s="43">
        <f t="shared" si="37"/>
        <v>8</v>
      </c>
      <c r="AT69" s="43" t="str">
        <f t="shared" si="38"/>
        <v>Sion</v>
      </c>
      <c r="AU69">
        <f t="shared" si="39"/>
        <v>0</v>
      </c>
    </row>
    <row r="70" spans="8:47" x14ac:dyDescent="0.25">
      <c r="H70" s="98" t="e">
        <f>#REF!</f>
        <v>#REF!</v>
      </c>
      <c r="I70" s="52" t="e">
        <f>#REF!</f>
        <v>#REF!</v>
      </c>
      <c r="J70" s="121" t="e">
        <f>#REF!</f>
        <v>#REF!</v>
      </c>
      <c r="K70">
        <v>14</v>
      </c>
      <c r="L70" s="98" t="e">
        <f>#REF!</f>
        <v>#REF!</v>
      </c>
      <c r="M70" s="52" t="e">
        <f>#REF!</f>
        <v>#REF!</v>
      </c>
      <c r="N70" s="121" t="e">
        <f>#REF!</f>
        <v>#REF!</v>
      </c>
      <c r="P70" s="47" t="e">
        <f>#REF!</f>
        <v>#REF!</v>
      </c>
      <c r="Q70" s="18"/>
      <c r="R70" s="18" t="e">
        <f>#REF!</f>
        <v>#REF!</v>
      </c>
      <c r="S70" s="18"/>
      <c r="T70" s="98"/>
      <c r="U70" s="18"/>
      <c r="V70" s="52"/>
      <c r="W70" s="18"/>
      <c r="X70" s="49"/>
      <c r="Z70" s="76" t="e">
        <f>#REF!</f>
        <v>#REF!</v>
      </c>
      <c r="AA70" s="77"/>
      <c r="AB70" s="76" t="e">
        <f>#REF!</f>
        <v>#REF!</v>
      </c>
      <c r="AC70" s="77"/>
      <c r="AD70" s="77" t="e">
        <f>#REF!</f>
        <v>#REF!</v>
      </c>
      <c r="AE70" s="77"/>
      <c r="AF70" s="76" t="e">
        <f>#REF!</f>
        <v>#REF!</v>
      </c>
      <c r="AG70" s="77"/>
      <c r="AH70" s="76" t="e">
        <f>#REF!</f>
        <v>#REF!</v>
      </c>
      <c r="AI70" s="77"/>
      <c r="AJ70" s="83" t="e">
        <f>#REF!</f>
        <v>#REF!</v>
      </c>
      <c r="AL70" s="43">
        <f t="shared" si="34"/>
        <v>1.0069999999999999</v>
      </c>
      <c r="AM70" s="123">
        <f t="shared" si="35"/>
        <v>9</v>
      </c>
      <c r="AN70" s="43" t="str">
        <f t="shared" si="36"/>
        <v>Stalden</v>
      </c>
      <c r="AO70" s="127"/>
      <c r="AP70" s="128"/>
      <c r="AQ70" s="129"/>
      <c r="AR70" s="43">
        <f>SMALL($AL$62:$AL$71,9)</f>
        <v>1.0069999999999999</v>
      </c>
      <c r="AS70" s="43">
        <f t="shared" si="37"/>
        <v>9</v>
      </c>
      <c r="AT70" s="43" t="str">
        <f t="shared" si="38"/>
        <v>Stalden</v>
      </c>
      <c r="AU70">
        <f t="shared" si="39"/>
        <v>0</v>
      </c>
    </row>
    <row r="71" spans="8:47" ht="15" customHeight="1" x14ac:dyDescent="0.25">
      <c r="H71" s="98" t="e">
        <f>#REF!</f>
        <v>#REF!</v>
      </c>
      <c r="I71" s="52" t="e">
        <f>#REF!</f>
        <v>#REF!</v>
      </c>
      <c r="J71" s="121" t="e">
        <f>#REF!</f>
        <v>#REF!</v>
      </c>
      <c r="K71">
        <v>15</v>
      </c>
      <c r="L71" s="98" t="e">
        <f>#REF!</f>
        <v>#REF!</v>
      </c>
      <c r="M71" s="52" t="e">
        <f>#REF!</f>
        <v>#REF!</v>
      </c>
      <c r="N71" s="121" t="e">
        <f>#REF!</f>
        <v>#REF!</v>
      </c>
      <c r="P71" s="47" t="e">
        <f>#REF!</f>
        <v>#REF!</v>
      </c>
      <c r="Q71" s="18"/>
      <c r="R71" s="18" t="e">
        <f>#REF!</f>
        <v>#REF!</v>
      </c>
      <c r="S71" s="18"/>
      <c r="T71" s="98"/>
      <c r="U71" s="18"/>
      <c r="V71" s="52"/>
      <c r="W71" s="18"/>
      <c r="X71" s="49"/>
      <c r="Z71" s="76" t="e">
        <f>#REF!</f>
        <v>#REF!</v>
      </c>
      <c r="AA71" s="77"/>
      <c r="AB71" s="76" t="e">
        <f>#REF!</f>
        <v>#REF!</v>
      </c>
      <c r="AC71" s="77"/>
      <c r="AD71" s="77" t="e">
        <f>#REF!</f>
        <v>#REF!</v>
      </c>
      <c r="AE71" s="77"/>
      <c r="AF71" s="76" t="e">
        <f>#REF!</f>
        <v>#REF!</v>
      </c>
      <c r="AG71" s="77"/>
      <c r="AH71" s="76" t="e">
        <f>#REF!</f>
        <v>#REF!</v>
      </c>
      <c r="AI71" s="77"/>
      <c r="AJ71" s="83" t="e">
        <f>#REF!</f>
        <v>#REF!</v>
      </c>
      <c r="AL71" s="43">
        <f t="shared" si="34"/>
        <v>1.0071000000000001</v>
      </c>
      <c r="AM71" s="123">
        <f t="shared" si="35"/>
        <v>10</v>
      </c>
      <c r="AN71" s="43" t="str">
        <f t="shared" si="36"/>
        <v>Zermatt</v>
      </c>
      <c r="AO71" s="130"/>
      <c r="AP71" s="131"/>
      <c r="AQ71" s="132"/>
      <c r="AR71" s="43">
        <f>SMALL($AL$62:$AL$71,10)</f>
        <v>1.0071000000000001</v>
      </c>
      <c r="AS71" s="43">
        <f t="shared" si="37"/>
        <v>10</v>
      </c>
      <c r="AT71" s="43" t="str">
        <f t="shared" si="38"/>
        <v>Zermatt</v>
      </c>
      <c r="AU71">
        <f t="shared" si="39"/>
        <v>0</v>
      </c>
    </row>
    <row r="72" spans="8:47" ht="15" customHeight="1" x14ac:dyDescent="0.25">
      <c r="H72" s="98" t="e">
        <f>#REF!</f>
        <v>#REF!</v>
      </c>
      <c r="I72" s="52" t="e">
        <f>#REF!</f>
        <v>#REF!</v>
      </c>
      <c r="J72" s="121" t="e">
        <f>#REF!</f>
        <v>#REF!</v>
      </c>
      <c r="K72">
        <v>16</v>
      </c>
      <c r="L72" s="98" t="e">
        <f>#REF!</f>
        <v>#REF!</v>
      </c>
      <c r="M72" s="52" t="e">
        <f>#REF!</f>
        <v>#REF!</v>
      </c>
      <c r="N72" s="121" t="e">
        <f>#REF!</f>
        <v>#REF!</v>
      </c>
      <c r="P72" s="47"/>
      <c r="Q72" s="18"/>
      <c r="R72" s="18"/>
      <c r="S72" s="18"/>
      <c r="T72" s="47"/>
      <c r="U72" s="18"/>
      <c r="V72" s="55"/>
      <c r="W72" s="18"/>
      <c r="X72" s="48"/>
      <c r="Z72" s="76"/>
      <c r="AA72" s="77"/>
      <c r="AB72" s="76"/>
      <c r="AC72" s="77"/>
      <c r="AD72" s="77"/>
      <c r="AE72" s="77"/>
      <c r="AF72" s="76"/>
      <c r="AG72" s="77"/>
      <c r="AH72" s="76"/>
      <c r="AI72" s="77"/>
      <c r="AJ72" s="90" t="s">
        <v>341</v>
      </c>
    </row>
    <row r="73" spans="8:47" x14ac:dyDescent="0.25">
      <c r="H73" s="133"/>
      <c r="I73" s="133"/>
      <c r="J73" s="134"/>
      <c r="K73" s="18"/>
      <c r="L73" s="133"/>
      <c r="M73" s="133"/>
      <c r="N73" s="134"/>
      <c r="P73" s="47" t="e">
        <f>#REF!</f>
        <v>#REF!</v>
      </c>
      <c r="Q73" s="18"/>
      <c r="R73" s="18" t="e">
        <f>#REF!</f>
        <v>#REF!</v>
      </c>
      <c r="S73" s="18"/>
      <c r="T73" s="98"/>
      <c r="U73" s="18"/>
      <c r="V73" s="52"/>
      <c r="W73" s="18"/>
      <c r="X73" s="49"/>
      <c r="Z73" s="76" t="e">
        <f>#REF!</f>
        <v>#REF!</v>
      </c>
      <c r="AA73" s="77"/>
      <c r="AB73" s="76" t="e">
        <f>#REF!</f>
        <v>#REF!</v>
      </c>
      <c r="AC73" s="77"/>
      <c r="AD73" s="77" t="e">
        <f>#REF!</f>
        <v>#REF!</v>
      </c>
      <c r="AE73" s="77"/>
      <c r="AF73" s="76" t="e">
        <f>#REF!</f>
        <v>#REF!</v>
      </c>
      <c r="AG73" s="77"/>
      <c r="AH73" s="76" t="e">
        <f>#REF!</f>
        <v>#REF!</v>
      </c>
      <c r="AI73" s="77"/>
      <c r="AJ73" s="91" t="e">
        <f>#REF!</f>
        <v>#REF!</v>
      </c>
      <c r="AO73" s="135" t="s">
        <v>372</v>
      </c>
      <c r="AP73" s="136"/>
    </row>
    <row r="74" spans="8:47" ht="15" customHeight="1" x14ac:dyDescent="0.25">
      <c r="H74" s="52"/>
      <c r="I74" s="52"/>
      <c r="J74" s="139"/>
      <c r="K74" s="18"/>
      <c r="L74" s="52"/>
      <c r="M74" s="52"/>
      <c r="N74" s="139"/>
      <c r="P74" s="47" t="e">
        <f>#REF!</f>
        <v>#REF!</v>
      </c>
      <c r="Q74" s="18"/>
      <c r="R74" s="18" t="e">
        <f>#REF!</f>
        <v>#REF!</v>
      </c>
      <c r="S74" s="18"/>
      <c r="T74" s="98"/>
      <c r="U74" s="18"/>
      <c r="V74" s="52"/>
      <c r="W74" s="18"/>
      <c r="X74" s="49"/>
      <c r="Z74" s="76" t="e">
        <f>#REF!</f>
        <v>#REF!</v>
      </c>
      <c r="AA74" s="77"/>
      <c r="AB74" s="76" t="e">
        <f>#REF!</f>
        <v>#REF!</v>
      </c>
      <c r="AC74" s="77"/>
      <c r="AD74" s="77" t="e">
        <f>#REF!</f>
        <v>#REF!</v>
      </c>
      <c r="AE74" s="77"/>
      <c r="AF74" s="76" t="e">
        <f>#REF!</f>
        <v>#REF!</v>
      </c>
      <c r="AG74" s="77"/>
      <c r="AH74" s="76" t="e">
        <f>#REF!</f>
        <v>#REF!</v>
      </c>
      <c r="AI74" s="77"/>
      <c r="AJ74" s="91" t="e">
        <f>#REF!</f>
        <v>#REF!</v>
      </c>
      <c r="AL74" s="43">
        <f t="shared" ref="AL74:AL83" ca="1" si="40">RANK(AC175,$AC$175:$AC$184,0)+ROW()%%</f>
        <v>1.0074000000000001</v>
      </c>
      <c r="AM74" s="123">
        <f t="shared" ref="AM74:AM83" ca="1" si="41">IF(AL74="","",RANK(AL74,$AL$74:$AL$83,1))</f>
        <v>1</v>
      </c>
      <c r="AN74" s="43" t="str">
        <f t="shared" ref="AN74:AN83" si="42">AB175</f>
        <v>Brig</v>
      </c>
      <c r="AO74" s="124"/>
      <c r="AP74" s="125"/>
      <c r="AQ74" s="126"/>
      <c r="AR74" s="43">
        <f ca="1">SMALL($AL$74:$AL$83,1)</f>
        <v>1.0074000000000001</v>
      </c>
      <c r="AS74" s="43">
        <f t="shared" ref="AS74:AS83" ca="1" si="43">IF(AR74="","",RANK(AR74,$AR$74:$AR$83,1))</f>
        <v>1</v>
      </c>
      <c r="AT74" s="43" t="str">
        <f t="shared" ref="AT74:AT83" ca="1" si="44">INDEX($AN$74:$AN$83,MATCH(AR74,$AL$74:$AL$83,0),1)</f>
        <v>Brig</v>
      </c>
      <c r="AU74">
        <f ca="1">IFERROR(INDEX($AC$175:$AC$184,MATCH(AT74,$AB$175:$AB$184,0)),0)</f>
        <v>0</v>
      </c>
    </row>
    <row r="75" spans="8:47" ht="15" customHeight="1" x14ac:dyDescent="0.25">
      <c r="H75" s="52"/>
      <c r="I75" s="52"/>
      <c r="J75" s="139"/>
      <c r="K75" s="18"/>
      <c r="L75" s="52"/>
      <c r="M75" s="52"/>
      <c r="N75" s="139"/>
      <c r="P75" s="47"/>
      <c r="Q75" s="18"/>
      <c r="R75" s="18"/>
      <c r="S75" s="18"/>
      <c r="T75" s="47"/>
      <c r="U75" s="18"/>
      <c r="V75" s="18"/>
      <c r="W75" s="18"/>
      <c r="X75" s="100"/>
      <c r="Z75" s="76"/>
      <c r="AA75" s="77"/>
      <c r="AB75" s="76"/>
      <c r="AC75" s="77"/>
      <c r="AD75" s="92" t="s">
        <v>342</v>
      </c>
      <c r="AE75" s="81"/>
      <c r="AF75" s="81"/>
      <c r="AG75" s="81"/>
      <c r="AH75" s="81"/>
      <c r="AI75" s="81"/>
      <c r="AJ75" s="82"/>
      <c r="AL75" s="43">
        <f t="shared" ca="1" si="40"/>
        <v>1.0075000000000001</v>
      </c>
      <c r="AM75" s="123">
        <f t="shared" ca="1" si="41"/>
        <v>2</v>
      </c>
      <c r="AN75" s="43" t="str">
        <f t="shared" si="42"/>
        <v>Collombey-Muraz</v>
      </c>
      <c r="AO75" s="127"/>
      <c r="AP75" s="128"/>
      <c r="AQ75" s="129"/>
      <c r="AR75" s="43">
        <f ca="1">SMALL($AL$74:$AL$83,2)</f>
        <v>1.0075000000000001</v>
      </c>
      <c r="AS75" s="43">
        <f t="shared" ca="1" si="43"/>
        <v>2</v>
      </c>
      <c r="AT75" s="43" t="str">
        <f t="shared" ca="1" si="44"/>
        <v>Collombey-Muraz</v>
      </c>
      <c r="AU75">
        <f t="shared" ref="AU75:AU83" ca="1" si="45">IFERROR(INDEX($AC$175:$AC$184,MATCH(AT75,$AB$175:$AB$184,0)),0)</f>
        <v>0</v>
      </c>
    </row>
    <row r="76" spans="8:47" ht="15" customHeight="1" x14ac:dyDescent="0.25">
      <c r="H76" s="52"/>
      <c r="I76" s="52"/>
      <c r="J76" s="139"/>
      <c r="K76" s="18"/>
      <c r="L76" s="52"/>
      <c r="M76" s="52"/>
      <c r="N76" s="139"/>
      <c r="P76" s="47" t="e">
        <f>#REF!</f>
        <v>#REF!</v>
      </c>
      <c r="Q76" s="18"/>
      <c r="R76" s="18" t="e">
        <f>#REF!</f>
        <v>#REF!</v>
      </c>
      <c r="S76" s="18"/>
      <c r="T76" s="98"/>
      <c r="U76" s="18"/>
      <c r="V76" s="52"/>
      <c r="W76" s="18"/>
      <c r="X76" s="49"/>
      <c r="Z76" s="76" t="e">
        <f>#REF!</f>
        <v>#REF!</v>
      </c>
      <c r="AA76" s="77"/>
      <c r="AB76" s="76" t="e">
        <f>#REF!</f>
        <v>#REF!</v>
      </c>
      <c r="AC76" s="77"/>
      <c r="AD76" s="79" t="e">
        <f>#REF!</f>
        <v>#REF!</v>
      </c>
      <c r="AE76" s="77"/>
      <c r="AF76" s="77" t="e">
        <f>#REF!</f>
        <v>#REF!</v>
      </c>
      <c r="AG76" s="77"/>
      <c r="AH76" s="88" t="e">
        <f>#REF!</f>
        <v>#REF!</v>
      </c>
      <c r="AI76" s="77"/>
      <c r="AJ76" s="89" t="e">
        <f>#REF!</f>
        <v>#REF!</v>
      </c>
      <c r="AL76" s="43">
        <f t="shared" ca="1" si="40"/>
        <v>1.0076000000000001</v>
      </c>
      <c r="AM76" s="123">
        <f t="shared" ca="1" si="41"/>
        <v>3</v>
      </c>
      <c r="AN76" s="43" t="str">
        <f t="shared" si="42"/>
        <v>Dorénaz</v>
      </c>
      <c r="AO76" s="127"/>
      <c r="AP76" s="128"/>
      <c r="AQ76" s="129"/>
      <c r="AR76" s="43">
        <f ca="1">SMALL($AL$74:$AL$83,3)</f>
        <v>1.0076000000000001</v>
      </c>
      <c r="AS76" s="43">
        <f t="shared" ca="1" si="43"/>
        <v>3</v>
      </c>
      <c r="AT76" s="43" t="str">
        <f t="shared" ca="1" si="44"/>
        <v>Dorénaz</v>
      </c>
      <c r="AU76">
        <f t="shared" ca="1" si="45"/>
        <v>0</v>
      </c>
    </row>
    <row r="77" spans="8:47" ht="15" customHeight="1" x14ac:dyDescent="0.25">
      <c r="H77" s="52"/>
      <c r="I77" s="52"/>
      <c r="J77" s="139"/>
      <c r="K77" s="18"/>
      <c r="L77" s="52"/>
      <c r="M77" s="52"/>
      <c r="N77" s="139"/>
      <c r="P77" s="47" t="e">
        <f>#REF!</f>
        <v>#REF!</v>
      </c>
      <c r="Q77" s="18"/>
      <c r="R77" s="18" t="e">
        <f>#REF!</f>
        <v>#REF!</v>
      </c>
      <c r="S77" s="18"/>
      <c r="T77" s="98"/>
      <c r="U77" s="18"/>
      <c r="V77" s="52"/>
      <c r="W77" s="18"/>
      <c r="X77" s="49"/>
      <c r="Z77" s="76" t="e">
        <f>#REF!</f>
        <v>#REF!</v>
      </c>
      <c r="AA77" s="77"/>
      <c r="AB77" s="76" t="e">
        <f>#REF!</f>
        <v>#REF!</v>
      </c>
      <c r="AC77" s="77"/>
      <c r="AD77" s="76" t="e">
        <f>#REF!</f>
        <v>#REF!</v>
      </c>
      <c r="AE77" s="77"/>
      <c r="AF77" s="77" t="e">
        <f>#REF!</f>
        <v>#REF!</v>
      </c>
      <c r="AG77" s="77"/>
      <c r="AH77" s="88" t="e">
        <f>#REF!</f>
        <v>#REF!</v>
      </c>
      <c r="AI77" s="77"/>
      <c r="AJ77" s="89" t="e">
        <f>#REF!</f>
        <v>#REF!</v>
      </c>
      <c r="AL77" s="43">
        <f t="shared" ca="1" si="40"/>
        <v>1.0077</v>
      </c>
      <c r="AM77" s="123">
        <f t="shared" ca="1" si="41"/>
        <v>4</v>
      </c>
      <c r="AN77" s="43" t="str">
        <f t="shared" si="42"/>
        <v>Gampel-Steg</v>
      </c>
      <c r="AO77" s="127"/>
      <c r="AP77" s="128"/>
      <c r="AQ77" s="129"/>
      <c r="AR77" s="43">
        <f ca="1">SMALL($AL$74:$AL$83,4)</f>
        <v>1.0077</v>
      </c>
      <c r="AS77" s="43">
        <f t="shared" ca="1" si="43"/>
        <v>4</v>
      </c>
      <c r="AT77" s="43" t="str">
        <f t="shared" ca="1" si="44"/>
        <v>Gampel-Steg</v>
      </c>
      <c r="AU77">
        <f t="shared" ca="1" si="45"/>
        <v>0</v>
      </c>
    </row>
    <row r="78" spans="8:47" ht="15" customHeight="1" x14ac:dyDescent="0.25">
      <c r="H78" s="52"/>
      <c r="I78" s="52"/>
      <c r="J78" s="139"/>
      <c r="K78" s="18"/>
      <c r="L78" s="52"/>
      <c r="M78" s="52"/>
      <c r="N78" s="139"/>
      <c r="P78" s="47"/>
      <c r="Q78" s="18"/>
      <c r="R78" s="55"/>
      <c r="S78" s="18"/>
      <c r="T78" s="47"/>
      <c r="U78" s="18"/>
      <c r="V78" s="18"/>
      <c r="W78" s="18"/>
      <c r="X78" s="48"/>
      <c r="Z78" s="76"/>
      <c r="AA78" s="77"/>
      <c r="AB78" s="76"/>
      <c r="AC78" s="77"/>
      <c r="AD78" s="76"/>
      <c r="AE78" s="77"/>
      <c r="AF78" s="77"/>
      <c r="AG78" s="77"/>
      <c r="AH78" s="77"/>
      <c r="AI78" s="77"/>
      <c r="AJ78" s="90" t="s">
        <v>343</v>
      </c>
      <c r="AL78" s="43">
        <f t="shared" ca="1" si="40"/>
        <v>1.0078</v>
      </c>
      <c r="AM78" s="123">
        <f t="shared" ca="1" si="41"/>
        <v>5</v>
      </c>
      <c r="AN78" s="43" t="str">
        <f t="shared" si="42"/>
        <v>Grône</v>
      </c>
      <c r="AO78" s="127"/>
      <c r="AP78" s="128"/>
      <c r="AQ78" s="129"/>
      <c r="AR78" s="43">
        <f ca="1">SMALL($AL$74:$AL$83,5)</f>
        <v>1.0078</v>
      </c>
      <c r="AS78" s="43">
        <f t="shared" ca="1" si="43"/>
        <v>5</v>
      </c>
      <c r="AT78" s="43" t="str">
        <f t="shared" ca="1" si="44"/>
        <v>Grône</v>
      </c>
      <c r="AU78">
        <f t="shared" ca="1" si="45"/>
        <v>0</v>
      </c>
    </row>
    <row r="79" spans="8:47" x14ac:dyDescent="0.25">
      <c r="H79" s="52"/>
      <c r="I79" s="52"/>
      <c r="J79" s="139"/>
      <c r="K79" s="18"/>
      <c r="L79" s="52"/>
      <c r="M79" s="52"/>
      <c r="N79" s="139"/>
      <c r="P79" s="47" t="e">
        <f>#REF!</f>
        <v>#REF!</v>
      </c>
      <c r="Q79" s="18"/>
      <c r="R79" s="163" t="s">
        <v>373</v>
      </c>
      <c r="S79" s="162"/>
      <c r="T79" s="52"/>
      <c r="U79" s="18"/>
      <c r="V79" s="52"/>
      <c r="W79" s="18"/>
      <c r="X79" s="49"/>
      <c r="Z79" s="76" t="e">
        <f>#REF!</f>
        <v>#REF!</v>
      </c>
      <c r="AA79" s="77"/>
      <c r="AB79" s="76" t="e">
        <f>#REF!</f>
        <v>#REF!</v>
      </c>
      <c r="AC79" s="77"/>
      <c r="AD79" s="76" t="e">
        <f>#REF!</f>
        <v>#REF!</v>
      </c>
      <c r="AE79" s="77"/>
      <c r="AF79" s="77" t="e">
        <f>#REF!</f>
        <v>#REF!</v>
      </c>
      <c r="AG79" s="77"/>
      <c r="AH79" s="88" t="e">
        <f>#REF!</f>
        <v>#REF!</v>
      </c>
      <c r="AI79" s="77"/>
      <c r="AJ79" s="91" t="e">
        <f>#REF!</f>
        <v>#REF!</v>
      </c>
      <c r="AL79" s="43">
        <f t="shared" ca="1" si="40"/>
        <v>1.0079</v>
      </c>
      <c r="AM79" s="123">
        <f t="shared" ca="1" si="41"/>
        <v>6</v>
      </c>
      <c r="AN79" s="43" t="str">
        <f t="shared" si="42"/>
        <v>Martigny</v>
      </c>
      <c r="AO79" s="127"/>
      <c r="AP79" s="128"/>
      <c r="AQ79" s="129"/>
      <c r="AR79" s="43">
        <f ca="1">SMALL($AL$74:$AL$83,6)</f>
        <v>1.0079</v>
      </c>
      <c r="AS79" s="43">
        <f t="shared" ca="1" si="43"/>
        <v>6</v>
      </c>
      <c r="AT79" s="43" t="str">
        <f t="shared" ca="1" si="44"/>
        <v>Martigny</v>
      </c>
      <c r="AU79">
        <f t="shared" ca="1" si="45"/>
        <v>0</v>
      </c>
    </row>
    <row r="80" spans="8:47" ht="15" customHeight="1" x14ac:dyDescent="0.25">
      <c r="H80" s="52"/>
      <c r="I80" s="52"/>
      <c r="J80" s="139"/>
      <c r="K80" s="18"/>
      <c r="L80" s="52"/>
      <c r="M80" s="52"/>
      <c r="N80" s="139"/>
      <c r="P80" s="47" t="e">
        <f>#REF!</f>
        <v>#REF!</v>
      </c>
      <c r="Q80" s="18"/>
      <c r="R80" s="80" t="s">
        <v>305</v>
      </c>
      <c r="S80" s="82">
        <f t="shared" ref="S80:S89" si="46">SUMIF($Q$105:$Q$136,R80,$R$105:$R$136)</f>
        <v>0</v>
      </c>
      <c r="T80" s="52"/>
      <c r="U80" s="18"/>
      <c r="V80" s="52"/>
      <c r="W80" s="18"/>
      <c r="X80" s="49"/>
      <c r="Z80" s="76" t="e">
        <f>#REF!</f>
        <v>#REF!</v>
      </c>
      <c r="AA80" s="77"/>
      <c r="AB80" s="76" t="e">
        <f>#REF!</f>
        <v>#REF!</v>
      </c>
      <c r="AC80" s="77"/>
      <c r="AD80" s="76" t="e">
        <f>#REF!</f>
        <v>#REF!</v>
      </c>
      <c r="AE80" s="77"/>
      <c r="AF80" s="77" t="e">
        <f>#REF!</f>
        <v>#REF!</v>
      </c>
      <c r="AG80" s="77"/>
      <c r="AH80" s="88" t="e">
        <f>#REF!</f>
        <v>#REF!</v>
      </c>
      <c r="AI80" s="77"/>
      <c r="AJ80" s="91" t="e">
        <f>#REF!</f>
        <v>#REF!</v>
      </c>
      <c r="AL80" s="43">
        <f t="shared" ca="1" si="40"/>
        <v>1.008</v>
      </c>
      <c r="AM80" s="123">
        <f t="shared" ca="1" si="41"/>
        <v>7</v>
      </c>
      <c r="AN80" s="43" t="str">
        <f t="shared" si="42"/>
        <v>Sierre</v>
      </c>
      <c r="AO80" s="127"/>
      <c r="AP80" s="128"/>
      <c r="AQ80" s="129"/>
      <c r="AR80" s="43">
        <f ca="1">SMALL($AL$74:$AL$83,7)</f>
        <v>1.008</v>
      </c>
      <c r="AS80" s="43">
        <f t="shared" ca="1" si="43"/>
        <v>7</v>
      </c>
      <c r="AT80" s="43" t="str">
        <f t="shared" ca="1" si="44"/>
        <v>Sierre</v>
      </c>
      <c r="AU80">
        <f t="shared" ca="1" si="45"/>
        <v>0</v>
      </c>
    </row>
    <row r="81" spans="8:47" ht="15" customHeight="1" x14ac:dyDescent="0.25">
      <c r="H81" s="52"/>
      <c r="I81" s="52"/>
      <c r="J81" s="139"/>
      <c r="K81" s="18"/>
      <c r="L81" s="52"/>
      <c r="M81" s="52"/>
      <c r="N81" s="139"/>
      <c r="P81" s="47"/>
      <c r="Q81" s="18"/>
      <c r="R81" s="76" t="s">
        <v>300</v>
      </c>
      <c r="S81" s="83">
        <f t="shared" si="46"/>
        <v>0</v>
      </c>
      <c r="T81" s="18"/>
      <c r="U81" s="18"/>
      <c r="V81" s="18"/>
      <c r="W81" s="18"/>
      <c r="X81" s="100"/>
      <c r="Z81" s="76"/>
      <c r="AA81" s="77"/>
      <c r="AB81" s="76"/>
      <c r="AC81" s="77"/>
      <c r="AD81" s="76"/>
      <c r="AE81" s="77"/>
      <c r="AF81" s="77"/>
      <c r="AG81" s="77"/>
      <c r="AH81" s="92" t="s">
        <v>344</v>
      </c>
      <c r="AI81" s="81"/>
      <c r="AJ81" s="82"/>
      <c r="AL81" s="43">
        <f t="shared" ca="1" si="40"/>
        <v>1.0081</v>
      </c>
      <c r="AM81" s="123">
        <f t="shared" ca="1" si="41"/>
        <v>8</v>
      </c>
      <c r="AN81" s="43" t="str">
        <f t="shared" si="42"/>
        <v>Sion</v>
      </c>
      <c r="AO81" s="127"/>
      <c r="AP81" s="128"/>
      <c r="AQ81" s="129"/>
      <c r="AR81" s="43">
        <f ca="1">SMALL($AL$74:$AL$83,8)</f>
        <v>1.0081</v>
      </c>
      <c r="AS81" s="43">
        <f t="shared" ca="1" si="43"/>
        <v>8</v>
      </c>
      <c r="AT81" s="43" t="str">
        <f t="shared" ca="1" si="44"/>
        <v>Sion</v>
      </c>
      <c r="AU81">
        <f t="shared" ca="1" si="45"/>
        <v>0</v>
      </c>
    </row>
    <row r="82" spans="8:47" x14ac:dyDescent="0.25">
      <c r="H82" s="52"/>
      <c r="I82" s="52"/>
      <c r="J82" s="139"/>
      <c r="K82" s="18"/>
      <c r="L82" s="52"/>
      <c r="M82" s="52"/>
      <c r="N82" s="139"/>
      <c r="P82" s="47" t="e">
        <f>#REF!</f>
        <v>#REF!</v>
      </c>
      <c r="Q82" s="18"/>
      <c r="R82" s="76" t="s">
        <v>301</v>
      </c>
      <c r="S82" s="83">
        <f t="shared" si="46"/>
        <v>0</v>
      </c>
      <c r="T82" s="52"/>
      <c r="U82" s="18"/>
      <c r="V82" s="52"/>
      <c r="W82" s="18"/>
      <c r="X82" s="49"/>
      <c r="Z82" s="76" t="e">
        <f>#REF!</f>
        <v>#REF!</v>
      </c>
      <c r="AA82" s="77"/>
      <c r="AB82" s="76" t="e">
        <f>#REF!</f>
        <v>#REF!</v>
      </c>
      <c r="AC82" s="77"/>
      <c r="AD82" s="76" t="e">
        <f>#REF!</f>
        <v>#REF!</v>
      </c>
      <c r="AE82" s="77"/>
      <c r="AF82" s="77" t="e">
        <f>#REF!</f>
        <v>#REF!</v>
      </c>
      <c r="AG82" s="77"/>
      <c r="AH82" s="76" t="e">
        <f>#REF!</f>
        <v>#REF!</v>
      </c>
      <c r="AI82" s="77"/>
      <c r="AJ82" s="83" t="e">
        <f>#REF!</f>
        <v>#REF!</v>
      </c>
      <c r="AL82" s="43">
        <f t="shared" ca="1" si="40"/>
        <v>1.0082</v>
      </c>
      <c r="AM82" s="123">
        <f t="shared" ca="1" si="41"/>
        <v>9</v>
      </c>
      <c r="AN82" s="43" t="str">
        <f t="shared" si="42"/>
        <v>Stalden</v>
      </c>
      <c r="AO82" s="127"/>
      <c r="AP82" s="128"/>
      <c r="AQ82" s="129"/>
      <c r="AR82" s="43">
        <f ca="1">SMALL($AL$74:$AL$83,9)</f>
        <v>1.0082</v>
      </c>
      <c r="AS82" s="43">
        <f t="shared" ca="1" si="43"/>
        <v>9</v>
      </c>
      <c r="AT82" s="43" t="str">
        <f t="shared" ca="1" si="44"/>
        <v>Stalden</v>
      </c>
      <c r="AU82">
        <f t="shared" ca="1" si="45"/>
        <v>0</v>
      </c>
    </row>
    <row r="83" spans="8:47" ht="15" customHeight="1" x14ac:dyDescent="0.25">
      <c r="H83" s="52"/>
      <c r="I83" s="52"/>
      <c r="J83" s="139"/>
      <c r="K83" s="18"/>
      <c r="L83" s="52"/>
      <c r="M83" s="52"/>
      <c r="N83" s="139"/>
      <c r="P83" s="47" t="e">
        <f>#REF!</f>
        <v>#REF!</v>
      </c>
      <c r="Q83" s="18"/>
      <c r="R83" s="76" t="s">
        <v>299</v>
      </c>
      <c r="S83" s="83">
        <f t="shared" si="46"/>
        <v>0</v>
      </c>
      <c r="T83" s="52"/>
      <c r="U83" s="18"/>
      <c r="V83" s="52"/>
      <c r="W83" s="18"/>
      <c r="X83" s="49"/>
      <c r="Z83" s="76" t="e">
        <f>#REF!</f>
        <v>#REF!</v>
      </c>
      <c r="AA83" s="77"/>
      <c r="AB83" s="76" t="e">
        <f>#REF!</f>
        <v>#REF!</v>
      </c>
      <c r="AC83" s="77"/>
      <c r="AD83" s="76" t="e">
        <f>#REF!</f>
        <v>#REF!</v>
      </c>
      <c r="AE83" s="77"/>
      <c r="AF83" s="77" t="e">
        <f>#REF!</f>
        <v>#REF!</v>
      </c>
      <c r="AG83" s="77"/>
      <c r="AH83" s="76" t="e">
        <f>#REF!</f>
        <v>#REF!</v>
      </c>
      <c r="AI83" s="77"/>
      <c r="AJ83" s="83" t="e">
        <f>#REF!</f>
        <v>#REF!</v>
      </c>
      <c r="AL83" s="43">
        <f t="shared" ca="1" si="40"/>
        <v>1.0083</v>
      </c>
      <c r="AM83" s="123">
        <f t="shared" ca="1" si="41"/>
        <v>10</v>
      </c>
      <c r="AN83" s="43" t="str">
        <f t="shared" si="42"/>
        <v>Zermatt</v>
      </c>
      <c r="AO83" s="130"/>
      <c r="AP83" s="131"/>
      <c r="AQ83" s="132"/>
      <c r="AR83" s="43">
        <f ca="1">SMALL($AL$74:$AL$83,10)</f>
        <v>1.0083</v>
      </c>
      <c r="AS83" s="43">
        <f t="shared" ca="1" si="43"/>
        <v>10</v>
      </c>
      <c r="AT83" s="43" t="str">
        <f t="shared" ca="1" si="44"/>
        <v>Zermatt</v>
      </c>
      <c r="AU83">
        <f t="shared" ca="1" si="45"/>
        <v>0</v>
      </c>
    </row>
    <row r="84" spans="8:47" ht="15" customHeight="1" x14ac:dyDescent="0.25">
      <c r="H84" s="52"/>
      <c r="I84" s="52"/>
      <c r="J84" s="139"/>
      <c r="K84" s="18"/>
      <c r="L84" s="52"/>
      <c r="M84" s="52"/>
      <c r="N84" s="139"/>
      <c r="P84" s="47"/>
      <c r="Q84" s="18"/>
      <c r="R84" s="76" t="s">
        <v>298</v>
      </c>
      <c r="S84" s="83">
        <f t="shared" si="46"/>
        <v>0</v>
      </c>
      <c r="T84" s="18"/>
      <c r="U84" s="18"/>
      <c r="V84" s="55"/>
      <c r="W84" s="18"/>
      <c r="X84" s="48"/>
      <c r="Z84" s="76"/>
      <c r="AA84" s="77"/>
      <c r="AB84" s="76"/>
      <c r="AC84" s="77"/>
      <c r="AD84" s="76"/>
      <c r="AE84" s="77"/>
      <c r="AF84" s="77"/>
      <c r="AG84" s="77"/>
      <c r="AH84" s="76"/>
      <c r="AI84" s="77"/>
      <c r="AJ84" s="90" t="s">
        <v>345</v>
      </c>
    </row>
    <row r="85" spans="8:47" x14ac:dyDescent="0.25">
      <c r="H85" s="52"/>
      <c r="I85" s="52"/>
      <c r="J85" s="139"/>
      <c r="K85" s="18"/>
      <c r="L85" s="52"/>
      <c r="M85" s="52"/>
      <c r="N85" s="139"/>
      <c r="P85" s="47" t="e">
        <f>#REF!</f>
        <v>#REF!</v>
      </c>
      <c r="Q85" s="18"/>
      <c r="R85" s="76" t="s">
        <v>302</v>
      </c>
      <c r="S85" s="83">
        <f t="shared" si="46"/>
        <v>0</v>
      </c>
      <c r="T85" s="52"/>
      <c r="U85" s="18"/>
      <c r="V85" s="52"/>
      <c r="W85" s="18"/>
      <c r="X85" s="49"/>
      <c r="Z85" s="76" t="e">
        <f>#REF!</f>
        <v>#REF!</v>
      </c>
      <c r="AA85" s="77"/>
      <c r="AB85" s="76" t="e">
        <f>#REF!</f>
        <v>#REF!</v>
      </c>
      <c r="AC85" s="77"/>
      <c r="AD85" s="76" t="e">
        <f>#REF!</f>
        <v>#REF!</v>
      </c>
      <c r="AE85" s="77"/>
      <c r="AF85" s="77" t="e">
        <f>#REF!</f>
        <v>#REF!</v>
      </c>
      <c r="AG85" s="77"/>
      <c r="AH85" s="76" t="e">
        <f>#REF!</f>
        <v>#REF!</v>
      </c>
      <c r="AI85" s="77"/>
      <c r="AJ85" s="91" t="e">
        <f>#REF!</f>
        <v>#REF!</v>
      </c>
      <c r="AO85" s="137" t="s">
        <v>370</v>
      </c>
      <c r="AP85" s="138"/>
      <c r="AQ85" s="138"/>
    </row>
    <row r="86" spans="8:47" ht="15" customHeight="1" x14ac:dyDescent="0.25">
      <c r="H86" s="52"/>
      <c r="I86" s="52"/>
      <c r="J86" s="139"/>
      <c r="K86" s="18"/>
      <c r="L86" s="52"/>
      <c r="M86" s="52"/>
      <c r="N86" s="139"/>
      <c r="P86" s="47" t="e">
        <f>#REF!</f>
        <v>#REF!</v>
      </c>
      <c r="Q86" s="18"/>
      <c r="R86" s="76" t="s">
        <v>296</v>
      </c>
      <c r="S86" s="83">
        <f t="shared" si="46"/>
        <v>0</v>
      </c>
      <c r="T86" s="52"/>
      <c r="U86" s="18"/>
      <c r="V86" s="52"/>
      <c r="W86" s="18"/>
      <c r="X86" s="49"/>
      <c r="Z86" s="76" t="e">
        <f>#REF!</f>
        <v>#REF!</v>
      </c>
      <c r="AA86" s="77"/>
      <c r="AB86" s="76" t="e">
        <f>#REF!</f>
        <v>#REF!</v>
      </c>
      <c r="AC86" s="77"/>
      <c r="AD86" s="76" t="e">
        <f>#REF!</f>
        <v>#REF!</v>
      </c>
      <c r="AE86" s="77"/>
      <c r="AF86" s="77" t="e">
        <f>#REF!</f>
        <v>#REF!</v>
      </c>
      <c r="AG86" s="77"/>
      <c r="AH86" s="76" t="e">
        <f>#REF!</f>
        <v>#REF!</v>
      </c>
      <c r="AI86" s="77"/>
      <c r="AJ86" s="91" t="e">
        <f>#REF!</f>
        <v>#REF!</v>
      </c>
      <c r="AL86" s="43">
        <f t="shared" ref="AL86:AL95" ca="1" si="47">RANK(AC187,$AC$187:$AC$196,0)+ROW()%%</f>
        <v>1.0085999999999999</v>
      </c>
      <c r="AM86" s="123">
        <f t="shared" ref="AM86:AM95" ca="1" si="48">IF(AL86="","",RANK(AL86,$AL$86:$AL$95,1))</f>
        <v>1</v>
      </c>
      <c r="AN86" s="43" t="str">
        <f t="shared" ref="AN86:AN95" si="49">AB187</f>
        <v>Brig</v>
      </c>
      <c r="AO86" s="124"/>
      <c r="AP86" s="125"/>
      <c r="AQ86" s="126"/>
      <c r="AR86" s="43">
        <f ca="1">SMALL($AL$86:$AL$95,1)</f>
        <v>1.0085999999999999</v>
      </c>
      <c r="AS86" s="43">
        <f t="shared" ref="AS86:AS95" ca="1" si="50">IF(AR86="","",RANK(AR86,$AR$86:$AR$95,1))</f>
        <v>1</v>
      </c>
      <c r="AT86" s="43" t="str">
        <f t="shared" ref="AT86:AT95" ca="1" si="51">INDEX($AN$86:$AN$95,MATCH(AR86,$AL$86:$AL$95,0),1)</f>
        <v>Brig</v>
      </c>
      <c r="AU86">
        <f ca="1">IFERROR(INDEX(AC187:AC196,MATCH(AT86,AB187:AB196,0)),0)</f>
        <v>0</v>
      </c>
    </row>
    <row r="87" spans="8:47" ht="15" customHeight="1" x14ac:dyDescent="0.25">
      <c r="H87" s="52"/>
      <c r="I87" s="52"/>
      <c r="J87" s="140"/>
      <c r="K87" s="18"/>
      <c r="L87" s="52"/>
      <c r="M87" s="52"/>
      <c r="N87" s="140"/>
      <c r="P87" s="47"/>
      <c r="Q87" s="18"/>
      <c r="R87" s="76" t="s">
        <v>297</v>
      </c>
      <c r="S87" s="83">
        <f t="shared" si="46"/>
        <v>0</v>
      </c>
      <c r="T87" s="18"/>
      <c r="U87" s="18"/>
      <c r="V87" s="18"/>
      <c r="W87" s="18"/>
      <c r="X87" s="100"/>
      <c r="Z87" s="76"/>
      <c r="AA87" s="77"/>
      <c r="AB87" s="76"/>
      <c r="AC87" s="77"/>
      <c r="AD87" s="76"/>
      <c r="AE87" s="77"/>
      <c r="AF87" s="92" t="s">
        <v>346</v>
      </c>
      <c r="AG87" s="81"/>
      <c r="AH87" s="81"/>
      <c r="AI87" s="81"/>
      <c r="AJ87" s="82"/>
      <c r="AL87" s="43">
        <f t="shared" ca="1" si="47"/>
        <v>1.0086999999999999</v>
      </c>
      <c r="AM87" s="123">
        <f t="shared" ca="1" si="48"/>
        <v>2</v>
      </c>
      <c r="AN87" s="43" t="str">
        <f t="shared" si="49"/>
        <v>Collombey-Muraz</v>
      </c>
      <c r="AO87" s="127"/>
      <c r="AP87" s="128"/>
      <c r="AQ87" s="129"/>
      <c r="AR87" s="43">
        <f ca="1">SMALL($AL$86:$AL$95,2)</f>
        <v>1.0086999999999999</v>
      </c>
      <c r="AS87" s="43">
        <f t="shared" ca="1" si="50"/>
        <v>2</v>
      </c>
      <c r="AT87" s="43" t="str">
        <f t="shared" ca="1" si="51"/>
        <v>Collombey-Muraz</v>
      </c>
      <c r="AU87">
        <f t="shared" ref="AU87:AU95" ca="1" si="52">IFERROR(INDEX($AC$187:$AC$196,MATCH(AT87,$AB$187:$AB$196,0)),0)</f>
        <v>0</v>
      </c>
    </row>
    <row r="88" spans="8:47" x14ac:dyDescent="0.25">
      <c r="H88" s="52"/>
      <c r="I88" s="52"/>
      <c r="J88" s="139"/>
      <c r="K88" s="18"/>
      <c r="L88" s="52"/>
      <c r="M88" s="52"/>
      <c r="N88" s="139"/>
      <c r="P88" s="47" t="e">
        <f>#REF!</f>
        <v>#REF!</v>
      </c>
      <c r="Q88" s="18"/>
      <c r="R88" s="76" t="s">
        <v>303</v>
      </c>
      <c r="S88" s="83">
        <f t="shared" si="46"/>
        <v>0</v>
      </c>
      <c r="T88" s="52"/>
      <c r="U88" s="18"/>
      <c r="V88" s="52"/>
      <c r="W88" s="18"/>
      <c r="X88" s="49"/>
      <c r="Z88" s="76" t="e">
        <f>#REF!</f>
        <v>#REF!</v>
      </c>
      <c r="AA88" s="77"/>
      <c r="AB88" s="76" t="e">
        <f>#REF!</f>
        <v>#REF!</v>
      </c>
      <c r="AC88" s="77"/>
      <c r="AD88" s="76" t="e">
        <f>#REF!</f>
        <v>#REF!</v>
      </c>
      <c r="AE88" s="77"/>
      <c r="AF88" s="76" t="e">
        <f>#REF!</f>
        <v>#REF!</v>
      </c>
      <c r="AG88" s="77"/>
      <c r="AH88" s="77" t="e">
        <f>#REF!</f>
        <v>#REF!</v>
      </c>
      <c r="AI88" s="77"/>
      <c r="AJ88" s="89" t="e">
        <f>#REF!</f>
        <v>#REF!</v>
      </c>
      <c r="AL88" s="43">
        <f t="shared" ca="1" si="47"/>
        <v>1.0087999999999999</v>
      </c>
      <c r="AM88" s="123">
        <f t="shared" ca="1" si="48"/>
        <v>3</v>
      </c>
      <c r="AN88" s="43" t="str">
        <f t="shared" si="49"/>
        <v>Dorénaz</v>
      </c>
      <c r="AO88" s="127"/>
      <c r="AP88" s="128"/>
      <c r="AQ88" s="129"/>
      <c r="AR88" s="43">
        <f ca="1">SMALL($AL$86:$AL$95,3)</f>
        <v>1.0087999999999999</v>
      </c>
      <c r="AS88" s="43">
        <f t="shared" ca="1" si="50"/>
        <v>3</v>
      </c>
      <c r="AT88" s="43" t="str">
        <f t="shared" ca="1" si="51"/>
        <v>Dorénaz</v>
      </c>
      <c r="AU88">
        <f t="shared" ca="1" si="52"/>
        <v>0</v>
      </c>
    </row>
    <row r="89" spans="8:47" ht="15" customHeight="1" x14ac:dyDescent="0.25">
      <c r="H89" s="18"/>
      <c r="I89" s="18"/>
      <c r="J89" s="18"/>
      <c r="L89" s="18"/>
      <c r="M89" s="18"/>
      <c r="N89" s="18"/>
      <c r="P89" s="47" t="e">
        <f>#REF!</f>
        <v>#REF!</v>
      </c>
      <c r="Q89" s="18"/>
      <c r="R89" s="78" t="s">
        <v>304</v>
      </c>
      <c r="S89" s="107">
        <f t="shared" si="46"/>
        <v>0</v>
      </c>
      <c r="T89" s="52"/>
      <c r="U89" s="18"/>
      <c r="V89" s="52"/>
      <c r="W89" s="18"/>
      <c r="X89" s="49"/>
      <c r="Z89" s="76" t="e">
        <f>#REF!</f>
        <v>#REF!</v>
      </c>
      <c r="AA89" s="77"/>
      <c r="AB89" s="76" t="e">
        <f>#REF!</f>
        <v>#REF!</v>
      </c>
      <c r="AC89" s="77"/>
      <c r="AD89" s="76" t="e">
        <f>#REF!</f>
        <v>#REF!</v>
      </c>
      <c r="AE89" s="77"/>
      <c r="AF89" s="76" t="e">
        <f>#REF!</f>
        <v>#REF!</v>
      </c>
      <c r="AG89" s="77"/>
      <c r="AH89" s="77" t="e">
        <f>#REF!</f>
        <v>#REF!</v>
      </c>
      <c r="AI89" s="77"/>
      <c r="AJ89" s="89" t="e">
        <f>#REF!</f>
        <v>#REF!</v>
      </c>
      <c r="AL89" s="43">
        <f t="shared" ca="1" si="47"/>
        <v>1.0088999999999999</v>
      </c>
      <c r="AM89" s="123">
        <f t="shared" ca="1" si="48"/>
        <v>4</v>
      </c>
      <c r="AN89" s="43" t="str">
        <f t="shared" si="49"/>
        <v>Gampel-Steg</v>
      </c>
      <c r="AO89" s="127"/>
      <c r="AP89" s="128"/>
      <c r="AQ89" s="129"/>
      <c r="AR89" s="43">
        <f ca="1">SMALL($AL$86:$AL$95,4)</f>
        <v>1.0088999999999999</v>
      </c>
      <c r="AS89" s="43">
        <f t="shared" ca="1" si="50"/>
        <v>4</v>
      </c>
      <c r="AT89" s="43" t="str">
        <f t="shared" ca="1" si="51"/>
        <v>Gampel-Steg</v>
      </c>
      <c r="AU89">
        <f t="shared" ca="1" si="52"/>
        <v>0</v>
      </c>
    </row>
    <row r="90" spans="8:47" ht="15" customHeight="1" x14ac:dyDescent="0.25">
      <c r="P90" s="47"/>
      <c r="Q90" s="18"/>
      <c r="R90" s="76"/>
      <c r="S90" s="17"/>
      <c r="T90" s="55"/>
      <c r="U90" s="18"/>
      <c r="V90" s="18"/>
      <c r="W90" s="18"/>
      <c r="X90" s="48"/>
      <c r="Z90" s="76"/>
      <c r="AA90" s="77"/>
      <c r="AB90" s="76"/>
      <c r="AC90" s="77"/>
      <c r="AD90" s="76"/>
      <c r="AE90" s="77"/>
      <c r="AF90" s="76"/>
      <c r="AG90" s="77"/>
      <c r="AH90" s="77"/>
      <c r="AI90" s="77"/>
      <c r="AJ90" s="90" t="s">
        <v>347</v>
      </c>
      <c r="AL90" s="43">
        <f t="shared" ca="1" si="47"/>
        <v>1.0089999999999999</v>
      </c>
      <c r="AM90" s="123">
        <f t="shared" ca="1" si="48"/>
        <v>5</v>
      </c>
      <c r="AN90" s="43" t="str">
        <f t="shared" si="49"/>
        <v>Grône</v>
      </c>
      <c r="AO90" s="127"/>
      <c r="AP90" s="128"/>
      <c r="AQ90" s="129"/>
      <c r="AR90" s="43">
        <f ca="1">SMALL($AL$86:$AL$95,5)</f>
        <v>1.0089999999999999</v>
      </c>
      <c r="AS90" s="43">
        <f t="shared" ca="1" si="50"/>
        <v>5</v>
      </c>
      <c r="AT90" s="43" t="str">
        <f t="shared" ca="1" si="51"/>
        <v>Grône</v>
      </c>
      <c r="AU90">
        <f t="shared" ca="1" si="52"/>
        <v>0</v>
      </c>
    </row>
    <row r="91" spans="8:47" x14ac:dyDescent="0.25">
      <c r="P91" s="47" t="e">
        <f>#REF!</f>
        <v>#REF!</v>
      </c>
      <c r="Q91" s="18"/>
      <c r="R91" s="163" t="s">
        <v>371</v>
      </c>
      <c r="S91" s="162"/>
      <c r="T91" s="52"/>
      <c r="U91" s="18"/>
      <c r="V91" s="52"/>
      <c r="W91" s="18"/>
      <c r="X91" s="49"/>
      <c r="Z91" s="76" t="e">
        <f>#REF!</f>
        <v>#REF!</v>
      </c>
      <c r="AA91" s="77"/>
      <c r="AB91" s="76" t="e">
        <f>#REF!</f>
        <v>#REF!</v>
      </c>
      <c r="AC91" s="77"/>
      <c r="AD91" s="76" t="e">
        <f>#REF!</f>
        <v>#REF!</v>
      </c>
      <c r="AE91" s="77"/>
      <c r="AF91" s="76" t="e">
        <f>#REF!</f>
        <v>#REF!</v>
      </c>
      <c r="AG91" s="77"/>
      <c r="AH91" s="77" t="e">
        <f>#REF!</f>
        <v>#REF!</v>
      </c>
      <c r="AI91" s="77"/>
      <c r="AJ91" s="91" t="e">
        <f>#REF!</f>
        <v>#REF!</v>
      </c>
      <c r="AL91" s="43">
        <f t="shared" ca="1" si="47"/>
        <v>1.0091000000000001</v>
      </c>
      <c r="AM91" s="123">
        <f t="shared" ca="1" si="48"/>
        <v>6</v>
      </c>
      <c r="AN91" s="43" t="str">
        <f t="shared" si="49"/>
        <v>Martigny</v>
      </c>
      <c r="AO91" s="127"/>
      <c r="AP91" s="128"/>
      <c r="AQ91" s="129"/>
      <c r="AR91" s="43">
        <f ca="1">SMALL($AL$86:$AL$95,6)</f>
        <v>1.0091000000000001</v>
      </c>
      <c r="AS91" s="43">
        <f t="shared" ca="1" si="50"/>
        <v>6</v>
      </c>
      <c r="AT91" s="43" t="str">
        <f t="shared" ca="1" si="51"/>
        <v>Martigny</v>
      </c>
      <c r="AU91">
        <f t="shared" ca="1" si="52"/>
        <v>0</v>
      </c>
    </row>
    <row r="92" spans="8:47" ht="15" customHeight="1" x14ac:dyDescent="0.25">
      <c r="P92" s="47" t="e">
        <f>#REF!</f>
        <v>#REF!</v>
      </c>
      <c r="Q92" s="18"/>
      <c r="R92" s="80" t="s">
        <v>305</v>
      </c>
      <c r="S92" s="82">
        <f t="shared" ref="S92:S101" si="53">SUMIF($U$105:$U$136,R92,$V$105:$V$136)</f>
        <v>0</v>
      </c>
      <c r="T92" s="52"/>
      <c r="U92" s="18"/>
      <c r="V92" s="52"/>
      <c r="W92" s="18"/>
      <c r="X92" s="49"/>
      <c r="Z92" s="76" t="e">
        <f>#REF!</f>
        <v>#REF!</v>
      </c>
      <c r="AA92" s="77"/>
      <c r="AB92" s="76" t="e">
        <f>#REF!</f>
        <v>#REF!</v>
      </c>
      <c r="AC92" s="77"/>
      <c r="AD92" s="76" t="e">
        <f>#REF!</f>
        <v>#REF!</v>
      </c>
      <c r="AE92" s="77"/>
      <c r="AF92" s="76" t="e">
        <f>#REF!</f>
        <v>#REF!</v>
      </c>
      <c r="AG92" s="77"/>
      <c r="AH92" s="77" t="e">
        <f>#REF!</f>
        <v>#REF!</v>
      </c>
      <c r="AI92" s="77"/>
      <c r="AJ92" s="91" t="e">
        <f>#REF!</f>
        <v>#REF!</v>
      </c>
      <c r="AL92" s="43">
        <f t="shared" ca="1" si="47"/>
        <v>1.0092000000000001</v>
      </c>
      <c r="AM92" s="123">
        <f t="shared" ca="1" si="48"/>
        <v>7</v>
      </c>
      <c r="AN92" s="43" t="str">
        <f t="shared" si="49"/>
        <v>Sierre</v>
      </c>
      <c r="AO92" s="127"/>
      <c r="AP92" s="128"/>
      <c r="AQ92" s="129"/>
      <c r="AR92" s="43">
        <f ca="1">SMALL($AL$86:$AL$95,7)</f>
        <v>1.0092000000000001</v>
      </c>
      <c r="AS92" s="43">
        <f t="shared" ca="1" si="50"/>
        <v>7</v>
      </c>
      <c r="AT92" s="43" t="str">
        <f t="shared" ca="1" si="51"/>
        <v>Sierre</v>
      </c>
      <c r="AU92">
        <f t="shared" ca="1" si="52"/>
        <v>0</v>
      </c>
    </row>
    <row r="93" spans="8:47" ht="15" customHeight="1" x14ac:dyDescent="0.25">
      <c r="P93" s="47"/>
      <c r="Q93" s="18"/>
      <c r="R93" s="76" t="s">
        <v>300</v>
      </c>
      <c r="S93" s="83">
        <f t="shared" si="53"/>
        <v>0</v>
      </c>
      <c r="T93" s="18"/>
      <c r="U93" s="18"/>
      <c r="V93" s="18"/>
      <c r="W93" s="18"/>
      <c r="X93" s="100"/>
      <c r="Z93" s="76"/>
      <c r="AA93" s="77"/>
      <c r="AB93" s="76"/>
      <c r="AC93" s="77"/>
      <c r="AD93" s="76"/>
      <c r="AE93" s="77"/>
      <c r="AF93" s="76"/>
      <c r="AG93" s="77"/>
      <c r="AH93" s="92" t="s">
        <v>348</v>
      </c>
      <c r="AI93" s="81"/>
      <c r="AJ93" s="82"/>
      <c r="AL93" s="43">
        <f t="shared" ca="1" si="47"/>
        <v>1.0093000000000001</v>
      </c>
      <c r="AM93" s="123">
        <f t="shared" ca="1" si="48"/>
        <v>8</v>
      </c>
      <c r="AN93" s="43" t="str">
        <f t="shared" si="49"/>
        <v>Sion</v>
      </c>
      <c r="AO93" s="127"/>
      <c r="AP93" s="128"/>
      <c r="AQ93" s="129"/>
      <c r="AR93" s="43">
        <f ca="1">SMALL($AL$86:$AL$95,8)</f>
        <v>1.0093000000000001</v>
      </c>
      <c r="AS93" s="43">
        <f t="shared" ca="1" si="50"/>
        <v>8</v>
      </c>
      <c r="AT93" s="43" t="str">
        <f t="shared" ca="1" si="51"/>
        <v>Sion</v>
      </c>
      <c r="AU93">
        <f t="shared" ca="1" si="52"/>
        <v>0</v>
      </c>
    </row>
    <row r="94" spans="8:47" x14ac:dyDescent="0.25">
      <c r="P94" s="47" t="e">
        <f>#REF!</f>
        <v>#REF!</v>
      </c>
      <c r="Q94" s="18"/>
      <c r="R94" s="76" t="s">
        <v>301</v>
      </c>
      <c r="S94" s="83">
        <f t="shared" si="53"/>
        <v>0</v>
      </c>
      <c r="T94" s="52"/>
      <c r="U94" s="18"/>
      <c r="V94" s="52"/>
      <c r="W94" s="18"/>
      <c r="X94" s="49"/>
      <c r="Z94" s="76" t="e">
        <f>#REF!</f>
        <v>#REF!</v>
      </c>
      <c r="AA94" s="77"/>
      <c r="AB94" s="76" t="e">
        <f>#REF!</f>
        <v>#REF!</v>
      </c>
      <c r="AC94" s="77"/>
      <c r="AD94" s="76" t="e">
        <f>#REF!</f>
        <v>#REF!</v>
      </c>
      <c r="AE94" s="77"/>
      <c r="AF94" s="76" t="e">
        <f>#REF!</f>
        <v>#REF!</v>
      </c>
      <c r="AG94" s="77"/>
      <c r="AH94" s="76" t="e">
        <f>#REF!</f>
        <v>#REF!</v>
      </c>
      <c r="AI94" s="77"/>
      <c r="AJ94" s="83" t="e">
        <f>#REF!</f>
        <v>#REF!</v>
      </c>
      <c r="AL94" s="43">
        <f t="shared" ca="1" si="47"/>
        <v>1.0094000000000001</v>
      </c>
      <c r="AM94" s="123">
        <f t="shared" ca="1" si="48"/>
        <v>9</v>
      </c>
      <c r="AN94" s="43" t="str">
        <f t="shared" si="49"/>
        <v>Stalden</v>
      </c>
      <c r="AO94" s="127"/>
      <c r="AP94" s="128"/>
      <c r="AQ94" s="129"/>
      <c r="AR94" s="43">
        <f ca="1">SMALL($AL$86:$AL$95,9)</f>
        <v>1.0094000000000001</v>
      </c>
      <c r="AS94" s="43">
        <f t="shared" ca="1" si="50"/>
        <v>9</v>
      </c>
      <c r="AT94" s="43" t="str">
        <f t="shared" ca="1" si="51"/>
        <v>Stalden</v>
      </c>
      <c r="AU94">
        <f t="shared" ca="1" si="52"/>
        <v>0</v>
      </c>
    </row>
    <row r="95" spans="8:47" ht="15" customHeight="1" x14ac:dyDescent="0.25">
      <c r="P95" s="47" t="e">
        <f>#REF!</f>
        <v>#REF!</v>
      </c>
      <c r="Q95" s="18"/>
      <c r="R95" s="76" t="s">
        <v>299</v>
      </c>
      <c r="S95" s="83">
        <f t="shared" si="53"/>
        <v>0</v>
      </c>
      <c r="T95" s="52"/>
      <c r="U95" s="18"/>
      <c r="V95" s="52"/>
      <c r="W95" s="18"/>
      <c r="X95" s="49"/>
      <c r="Z95" s="76" t="e">
        <f>#REF!</f>
        <v>#REF!</v>
      </c>
      <c r="AA95" s="77"/>
      <c r="AB95" s="76" t="e">
        <f>#REF!</f>
        <v>#REF!</v>
      </c>
      <c r="AC95" s="77"/>
      <c r="AD95" s="76" t="e">
        <f>#REF!</f>
        <v>#REF!</v>
      </c>
      <c r="AE95" s="77"/>
      <c r="AF95" s="76" t="e">
        <f>#REF!</f>
        <v>#REF!</v>
      </c>
      <c r="AG95" s="77"/>
      <c r="AH95" s="76" t="e">
        <f>#REF!</f>
        <v>#REF!</v>
      </c>
      <c r="AI95" s="77"/>
      <c r="AJ95" s="83" t="e">
        <f>#REF!</f>
        <v>#REF!</v>
      </c>
      <c r="AL95" s="43">
        <f t="shared" ca="1" si="47"/>
        <v>1.0095000000000001</v>
      </c>
      <c r="AM95" s="123">
        <f t="shared" ca="1" si="48"/>
        <v>10</v>
      </c>
      <c r="AN95" s="43" t="str">
        <f t="shared" si="49"/>
        <v>Zermatt</v>
      </c>
      <c r="AO95" s="130"/>
      <c r="AP95" s="131"/>
      <c r="AQ95" s="132"/>
      <c r="AR95" s="43">
        <f ca="1">SMALL($AL$86:$AL$95,10)</f>
        <v>1.0095000000000001</v>
      </c>
      <c r="AS95" s="43">
        <f t="shared" ca="1" si="50"/>
        <v>10</v>
      </c>
      <c r="AT95" s="43" t="str">
        <f t="shared" ca="1" si="51"/>
        <v>Zermatt</v>
      </c>
      <c r="AU95">
        <f t="shared" ca="1" si="52"/>
        <v>0</v>
      </c>
    </row>
    <row r="96" spans="8:47" ht="15" customHeight="1" x14ac:dyDescent="0.25">
      <c r="P96" s="47"/>
      <c r="Q96" s="18"/>
      <c r="R96" s="76" t="s">
        <v>298</v>
      </c>
      <c r="S96" s="83">
        <f t="shared" si="53"/>
        <v>0</v>
      </c>
      <c r="T96" s="18"/>
      <c r="U96" s="18"/>
      <c r="V96" s="55"/>
      <c r="W96" s="18"/>
      <c r="X96" s="48"/>
      <c r="Z96" s="76"/>
      <c r="AA96" s="77"/>
      <c r="AB96" s="76"/>
      <c r="AC96" s="77"/>
      <c r="AD96" s="76"/>
      <c r="AE96" s="77"/>
      <c r="AF96" s="76"/>
      <c r="AG96" s="77"/>
      <c r="AH96" s="76"/>
      <c r="AI96" s="77"/>
      <c r="AJ96" s="90" t="s">
        <v>349</v>
      </c>
    </row>
    <row r="97" spans="16:36" x14ac:dyDescent="0.25">
      <c r="P97" s="47" t="e">
        <f>#REF!</f>
        <v>#REF!</v>
      </c>
      <c r="Q97" s="18"/>
      <c r="R97" s="76" t="s">
        <v>302</v>
      </c>
      <c r="S97" s="83">
        <f t="shared" si="53"/>
        <v>0</v>
      </c>
      <c r="T97" s="52"/>
      <c r="U97" s="18"/>
      <c r="V97" s="52"/>
      <c r="W97" s="18"/>
      <c r="X97" s="49"/>
      <c r="Z97" s="76" t="e">
        <f>#REF!</f>
        <v>#REF!</v>
      </c>
      <c r="AA97" s="77"/>
      <c r="AB97" s="76" t="e">
        <f>#REF!</f>
        <v>#REF!</v>
      </c>
      <c r="AC97" s="77"/>
      <c r="AD97" s="76" t="e">
        <f>#REF!</f>
        <v>#REF!</v>
      </c>
      <c r="AE97" s="77"/>
      <c r="AF97" s="76" t="e">
        <f>#REF!</f>
        <v>#REF!</v>
      </c>
      <c r="AG97" s="77"/>
      <c r="AH97" s="76" t="e">
        <f>#REF!</f>
        <v>#REF!</v>
      </c>
      <c r="AI97" s="77"/>
      <c r="AJ97" s="91" t="e">
        <f>#REF!</f>
        <v>#REF!</v>
      </c>
    </row>
    <row r="98" spans="16:36" ht="15" customHeight="1" x14ac:dyDescent="0.25">
      <c r="P98" s="47" t="e">
        <f>#REF!</f>
        <v>#REF!</v>
      </c>
      <c r="Q98" s="18"/>
      <c r="R98" s="76" t="s">
        <v>296</v>
      </c>
      <c r="S98" s="83">
        <f t="shared" si="53"/>
        <v>0</v>
      </c>
      <c r="T98" s="52"/>
      <c r="U98" s="18"/>
      <c r="V98" s="52"/>
      <c r="W98" s="18"/>
      <c r="X98" s="49"/>
      <c r="Z98" s="78" t="e">
        <f>#REF!</f>
        <v>#REF!</v>
      </c>
      <c r="AA98" s="94"/>
      <c r="AB98" s="78" t="e">
        <f>#REF!</f>
        <v>#REF!</v>
      </c>
      <c r="AC98" s="94"/>
      <c r="AD98" s="78" t="e">
        <f>#REF!</f>
        <v>#REF!</v>
      </c>
      <c r="AE98" s="94"/>
      <c r="AF98" s="78" t="e">
        <f>#REF!</f>
        <v>#REF!</v>
      </c>
      <c r="AG98" s="94"/>
      <c r="AH98" s="78" t="e">
        <f>#REF!</f>
        <v>#REF!</v>
      </c>
      <c r="AI98" s="94"/>
      <c r="AJ98" s="93" t="e">
        <f>#REF!</f>
        <v>#REF!</v>
      </c>
    </row>
    <row r="99" spans="16:36" ht="15" customHeight="1" x14ac:dyDescent="0.25">
      <c r="P99" s="47"/>
      <c r="Q99" s="18"/>
      <c r="R99" s="76" t="s">
        <v>297</v>
      </c>
      <c r="S99" s="83">
        <f t="shared" si="53"/>
        <v>0</v>
      </c>
      <c r="T99" s="18"/>
      <c r="U99" s="18"/>
      <c r="V99" s="18"/>
      <c r="W99" s="18"/>
      <c r="X99" s="100"/>
      <c r="Z99" s="80" t="s">
        <v>368</v>
      </c>
      <c r="AA99" s="81"/>
      <c r="AB99" s="81"/>
      <c r="AC99" s="81"/>
      <c r="AD99" s="81"/>
      <c r="AE99" s="81"/>
      <c r="AF99" s="81"/>
      <c r="AG99" s="81"/>
      <c r="AH99" s="81"/>
      <c r="AI99" s="81"/>
      <c r="AJ99" s="82"/>
    </row>
    <row r="100" spans="16:36" x14ac:dyDescent="0.25">
      <c r="P100" s="47" t="e">
        <f>#REF!</f>
        <v>#REF!</v>
      </c>
      <c r="Q100" s="18"/>
      <c r="R100" s="76" t="s">
        <v>303</v>
      </c>
      <c r="S100" s="83">
        <f t="shared" si="53"/>
        <v>0</v>
      </c>
      <c r="T100" s="52"/>
      <c r="U100" s="18"/>
      <c r="V100" s="52"/>
      <c r="W100" s="18"/>
      <c r="X100" s="49"/>
      <c r="Z100" s="76"/>
      <c r="AA100" s="77"/>
      <c r="AB100" s="77"/>
      <c r="AC100" s="77"/>
      <c r="AD100" s="77"/>
      <c r="AE100" s="77"/>
      <c r="AF100" s="77"/>
      <c r="AG100" s="77"/>
      <c r="AH100" s="77"/>
      <c r="AI100" s="77"/>
      <c r="AJ100" s="83"/>
    </row>
    <row r="101" spans="16:36" ht="15" customHeight="1" x14ac:dyDescent="0.25">
      <c r="P101" s="47" t="e">
        <f>#REF!</f>
        <v>#REF!</v>
      </c>
      <c r="Q101" s="18"/>
      <c r="R101" s="78" t="s">
        <v>304</v>
      </c>
      <c r="S101" s="107">
        <f t="shared" si="53"/>
        <v>0</v>
      </c>
      <c r="T101" s="52"/>
      <c r="U101" s="18"/>
      <c r="V101" s="52"/>
      <c r="W101" s="18"/>
      <c r="X101" s="49"/>
      <c r="Z101" s="84" t="s">
        <v>310</v>
      </c>
      <c r="AA101" s="77"/>
      <c r="AB101" s="85" t="s">
        <v>311</v>
      </c>
      <c r="AC101" s="77"/>
      <c r="AD101" s="85" t="s">
        <v>312</v>
      </c>
      <c r="AE101" s="77"/>
      <c r="AF101" s="86" t="s">
        <v>313</v>
      </c>
      <c r="AG101" s="77"/>
      <c r="AH101" s="86" t="s">
        <v>314</v>
      </c>
      <c r="AI101" s="77"/>
      <c r="AJ101" s="87" t="s">
        <v>334</v>
      </c>
    </row>
    <row r="102" spans="16:36" ht="15" customHeight="1" x14ac:dyDescent="0.25">
      <c r="P102" s="50"/>
      <c r="Q102" s="51"/>
      <c r="R102" s="50"/>
      <c r="S102" s="51"/>
      <c r="T102" s="51"/>
      <c r="U102" s="51"/>
      <c r="V102" s="51"/>
      <c r="W102" s="51"/>
      <c r="X102" s="104"/>
      <c r="Z102" s="76" t="e">
        <f>#REF!</f>
        <v>#REF!</v>
      </c>
      <c r="AA102" s="77"/>
      <c r="AB102" s="77" t="e">
        <f>#REF!</f>
        <v>#REF!</v>
      </c>
      <c r="AC102" s="77"/>
      <c r="AD102" s="88" t="e">
        <f>#REF!</f>
        <v>#REF!</v>
      </c>
      <c r="AE102" s="77"/>
      <c r="AF102" s="88" t="e">
        <f>#REF!</f>
        <v>#REF!</v>
      </c>
      <c r="AG102" s="77"/>
      <c r="AH102" s="88" t="e">
        <f>#REF!</f>
        <v>#REF!</v>
      </c>
      <c r="AI102" s="77"/>
      <c r="AJ102" s="89" t="e">
        <f>#REF!</f>
        <v>#REF!</v>
      </c>
    </row>
    <row r="103" spans="16:36" x14ac:dyDescent="0.25">
      <c r="Z103" s="76" t="e">
        <f>#REF!</f>
        <v>#REF!</v>
      </c>
      <c r="AA103" s="77"/>
      <c r="AB103" s="77" t="e">
        <f>#REF!</f>
        <v>#REF!</v>
      </c>
      <c r="AC103" s="77"/>
      <c r="AD103" s="88" t="e">
        <f>#REF!</f>
        <v>#REF!</v>
      </c>
      <c r="AE103" s="77"/>
      <c r="AF103" s="88" t="e">
        <f>#REF!</f>
        <v>#REF!</v>
      </c>
      <c r="AG103" s="77"/>
      <c r="AH103" s="88" t="e">
        <f>#REF!</f>
        <v>#REF!</v>
      </c>
      <c r="AI103" s="77"/>
      <c r="AJ103" s="89" t="e">
        <f>#REF!</f>
        <v>#REF!</v>
      </c>
    </row>
    <row r="104" spans="16:36" ht="15" customHeight="1" x14ac:dyDescent="0.25">
      <c r="P104" s="155" t="s">
        <v>374</v>
      </c>
      <c r="Q104" s="156"/>
      <c r="R104" s="157"/>
      <c r="T104" s="155" t="s">
        <v>375</v>
      </c>
      <c r="U104" s="156"/>
      <c r="V104" s="157"/>
      <c r="Z104" s="76"/>
      <c r="AA104" s="77"/>
      <c r="AB104" s="77"/>
      <c r="AC104" s="77"/>
      <c r="AD104" s="77"/>
      <c r="AE104" s="77"/>
      <c r="AF104" s="77"/>
      <c r="AG104" s="77"/>
      <c r="AH104" s="77"/>
      <c r="AI104" s="77"/>
      <c r="AJ104" s="90" t="s">
        <v>315</v>
      </c>
    </row>
    <row r="105" spans="16:36" ht="15" customHeight="1" x14ac:dyDescent="0.25">
      <c r="P105" s="98" t="e">
        <f>#REF!</f>
        <v>#REF!</v>
      </c>
      <c r="Q105" s="52" t="e">
        <f>#REF!</f>
        <v>#REF!</v>
      </c>
      <c r="R105" s="121" t="e">
        <f>#REF!</f>
        <v>#REF!</v>
      </c>
      <c r="T105" s="98" t="e">
        <f>#REF!</f>
        <v>#REF!</v>
      </c>
      <c r="U105" s="52" t="e">
        <f>#REF!</f>
        <v>#REF!</v>
      </c>
      <c r="V105" s="121" t="e">
        <f>#REF!</f>
        <v>#REF!</v>
      </c>
      <c r="Z105" s="76" t="e">
        <f>#REF!</f>
        <v>#REF!</v>
      </c>
      <c r="AA105" s="77"/>
      <c r="AB105" s="77" t="e">
        <f>#REF!</f>
        <v>#REF!</v>
      </c>
      <c r="AC105" s="77"/>
      <c r="AD105" s="88" t="e">
        <f>#REF!</f>
        <v>#REF!</v>
      </c>
      <c r="AE105" s="77"/>
      <c r="AF105" s="88" t="e">
        <f>#REF!</f>
        <v>#REF!</v>
      </c>
      <c r="AG105" s="77"/>
      <c r="AH105" s="88" t="e">
        <f>#REF!</f>
        <v>#REF!</v>
      </c>
      <c r="AI105" s="77"/>
      <c r="AJ105" s="91" t="e">
        <f>#REF!</f>
        <v>#REF!</v>
      </c>
    </row>
    <row r="106" spans="16:36" ht="15" customHeight="1" x14ac:dyDescent="0.25">
      <c r="P106" s="98" t="e">
        <f>#REF!</f>
        <v>#REF!</v>
      </c>
      <c r="Q106" s="52" t="e">
        <f>#REF!</f>
        <v>#REF!</v>
      </c>
      <c r="R106" s="121" t="e">
        <f>#REF!</f>
        <v>#REF!</v>
      </c>
      <c r="T106" s="98" t="e">
        <f>#REF!</f>
        <v>#REF!</v>
      </c>
      <c r="U106" s="52" t="e">
        <f>#REF!</f>
        <v>#REF!</v>
      </c>
      <c r="V106" s="121" t="e">
        <f>#REF!</f>
        <v>#REF!</v>
      </c>
      <c r="Z106" s="76" t="e">
        <f>#REF!</f>
        <v>#REF!</v>
      </c>
      <c r="AA106" s="77"/>
      <c r="AB106" s="77" t="e">
        <f>#REF!</f>
        <v>#REF!</v>
      </c>
      <c r="AC106" s="77"/>
      <c r="AD106" s="88" t="e">
        <f>#REF!</f>
        <v>#REF!</v>
      </c>
      <c r="AE106" s="77"/>
      <c r="AF106" s="88" t="e">
        <f>#REF!</f>
        <v>#REF!</v>
      </c>
      <c r="AG106" s="77"/>
      <c r="AH106" s="88" t="e">
        <f>#REF!</f>
        <v>#REF!</v>
      </c>
      <c r="AI106" s="77"/>
      <c r="AJ106" s="93" t="e">
        <f>#REF!</f>
        <v>#REF!</v>
      </c>
    </row>
    <row r="107" spans="16:36" ht="15" customHeight="1" x14ac:dyDescent="0.25">
      <c r="P107" s="98" t="e">
        <f>#REF!</f>
        <v>#REF!</v>
      </c>
      <c r="Q107" s="52" t="e">
        <f>#REF!</f>
        <v>#REF!</v>
      </c>
      <c r="R107" s="121" t="e">
        <f>#REF!</f>
        <v>#REF!</v>
      </c>
      <c r="T107" s="98" t="e">
        <f>#REF!</f>
        <v>#REF!</v>
      </c>
      <c r="U107" s="52" t="e">
        <f>#REF!</f>
        <v>#REF!</v>
      </c>
      <c r="V107" s="121" t="e">
        <f>#REF!</f>
        <v>#REF!</v>
      </c>
      <c r="Z107" s="76"/>
      <c r="AA107" s="77"/>
      <c r="AB107" s="77"/>
      <c r="AC107" s="77"/>
      <c r="AD107" s="77"/>
      <c r="AE107" s="77"/>
      <c r="AF107" s="77"/>
      <c r="AG107" s="77"/>
      <c r="AH107" s="85"/>
      <c r="AI107" s="77"/>
      <c r="AJ107" s="83"/>
    </row>
    <row r="108" spans="16:36" ht="18.75" customHeight="1" x14ac:dyDescent="0.25">
      <c r="P108" s="98" t="e">
        <f>#REF!</f>
        <v>#REF!</v>
      </c>
      <c r="Q108" s="52" t="e">
        <f>#REF!</f>
        <v>#REF!</v>
      </c>
      <c r="R108" s="121" t="e">
        <f>#REF!</f>
        <v>#REF!</v>
      </c>
      <c r="T108" s="98" t="e">
        <f>#REF!</f>
        <v>#REF!</v>
      </c>
      <c r="U108" s="52" t="e">
        <f>#REF!</f>
        <v>#REF!</v>
      </c>
      <c r="V108" s="121" t="e">
        <f>#REF!</f>
        <v>#REF!</v>
      </c>
      <c r="Z108" s="76" t="e">
        <f>#REF!</f>
        <v>#REF!</v>
      </c>
      <c r="AA108" s="77"/>
      <c r="AB108" s="77" t="e">
        <f>#REF!</f>
        <v>#REF!</v>
      </c>
      <c r="AC108" s="77"/>
      <c r="AD108" s="88" t="e">
        <f>#REF!</f>
        <v>#REF!</v>
      </c>
      <c r="AE108" s="77"/>
      <c r="AF108" s="88" t="e">
        <f>#REF!</f>
        <v>#REF!</v>
      </c>
      <c r="AG108" s="77"/>
      <c r="AH108" s="117"/>
      <c r="AI108" s="115"/>
      <c r="AJ108" s="82"/>
    </row>
    <row r="109" spans="16:36" ht="18.75" customHeight="1" x14ac:dyDescent="0.25">
      <c r="P109" s="98" t="e">
        <f>#REF!</f>
        <v>#REF!</v>
      </c>
      <c r="Q109" s="52" t="e">
        <f>#REF!</f>
        <v>#REF!</v>
      </c>
      <c r="R109" s="121" t="e">
        <f>#REF!</f>
        <v>#REF!</v>
      </c>
      <c r="T109" s="98" t="e">
        <f>#REF!</f>
        <v>#REF!</v>
      </c>
      <c r="U109" s="52" t="e">
        <f>#REF!</f>
        <v>#REF!</v>
      </c>
      <c r="V109" s="121" t="e">
        <f>#REF!</f>
        <v>#REF!</v>
      </c>
      <c r="Z109" s="76" t="e">
        <f>#REF!</f>
        <v>#REF!</v>
      </c>
      <c r="AA109" s="77"/>
      <c r="AB109" s="77" t="e">
        <f>#REF!</f>
        <v>#REF!</v>
      </c>
      <c r="AC109" s="77"/>
      <c r="AD109" s="88" t="e">
        <f>#REF!</f>
        <v>#REF!</v>
      </c>
      <c r="AE109" s="77"/>
      <c r="AF109" s="88" t="e">
        <f>#REF!</f>
        <v>#REF!</v>
      </c>
      <c r="AG109" s="77"/>
      <c r="AH109" s="118"/>
      <c r="AI109" s="116"/>
      <c r="AJ109" s="83"/>
    </row>
    <row r="110" spans="16:36" ht="18.75" x14ac:dyDescent="0.25">
      <c r="P110" s="98" t="e">
        <f>#REF!</f>
        <v>#REF!</v>
      </c>
      <c r="Q110" s="52" t="e">
        <f>#REF!</f>
        <v>#REF!</v>
      </c>
      <c r="R110" s="121" t="e">
        <f>#REF!</f>
        <v>#REF!</v>
      </c>
      <c r="T110" s="98" t="e">
        <f>#REF!</f>
        <v>#REF!</v>
      </c>
      <c r="U110" s="52" t="e">
        <f>#REF!</f>
        <v>#REF!</v>
      </c>
      <c r="V110" s="121" t="e">
        <f>#REF!</f>
        <v>#REF!</v>
      </c>
      <c r="Z110" s="76"/>
      <c r="AA110" s="77"/>
      <c r="AB110" s="77"/>
      <c r="AC110" s="77"/>
      <c r="AD110" s="77"/>
      <c r="AE110" s="77"/>
      <c r="AF110" s="77"/>
      <c r="AG110" s="77"/>
      <c r="AH110" s="118"/>
      <c r="AI110" s="116"/>
      <c r="AJ110" s="87"/>
    </row>
    <row r="111" spans="16:36" ht="18.75" x14ac:dyDescent="0.25">
      <c r="P111" s="98" t="e">
        <f>#REF!</f>
        <v>#REF!</v>
      </c>
      <c r="Q111" s="52" t="e">
        <f>#REF!</f>
        <v>#REF!</v>
      </c>
      <c r="R111" s="121" t="e">
        <f>#REF!</f>
        <v>#REF!</v>
      </c>
      <c r="T111" s="98" t="e">
        <f>#REF!</f>
        <v>#REF!</v>
      </c>
      <c r="U111" s="52" t="e">
        <f>#REF!</f>
        <v>#REF!</v>
      </c>
      <c r="V111" s="121" t="e">
        <f>#REF!</f>
        <v>#REF!</v>
      </c>
      <c r="Z111" s="76" t="e">
        <f>#REF!</f>
        <v>#REF!</v>
      </c>
      <c r="AA111" s="77"/>
      <c r="AB111" s="77" t="e">
        <f>#REF!</f>
        <v>#REF!</v>
      </c>
      <c r="AC111" s="77"/>
      <c r="AD111" s="88" t="e">
        <f>#REF!</f>
        <v>#REF!</v>
      </c>
      <c r="AE111" s="77"/>
      <c r="AF111" s="88" t="e">
        <f>#REF!</f>
        <v>#REF!</v>
      </c>
      <c r="AG111" s="77"/>
      <c r="AH111" s="118"/>
      <c r="AI111" s="116"/>
      <c r="AJ111" s="83"/>
    </row>
    <row r="112" spans="16:36" ht="18.75" x14ac:dyDescent="0.25">
      <c r="P112" s="98" t="e">
        <f>#REF!</f>
        <v>#REF!</v>
      </c>
      <c r="Q112" s="52" t="e">
        <f>#REF!</f>
        <v>#REF!</v>
      </c>
      <c r="R112" s="121" t="e">
        <f>#REF!</f>
        <v>#REF!</v>
      </c>
      <c r="T112" s="98" t="e">
        <f>#REF!</f>
        <v>#REF!</v>
      </c>
      <c r="U112" s="52" t="e">
        <f>#REF!</f>
        <v>#REF!</v>
      </c>
      <c r="V112" s="121" t="e">
        <f>#REF!</f>
        <v>#REF!</v>
      </c>
      <c r="Z112" s="76" t="e">
        <f>#REF!</f>
        <v>#REF!</v>
      </c>
      <c r="AA112" s="77"/>
      <c r="AB112" s="77" t="e">
        <f>#REF!</f>
        <v>#REF!</v>
      </c>
      <c r="AC112" s="77"/>
      <c r="AD112" s="88" t="e">
        <f>#REF!</f>
        <v>#REF!</v>
      </c>
      <c r="AE112" s="77"/>
      <c r="AF112" s="88" t="e">
        <f>#REF!</f>
        <v>#REF!</v>
      </c>
      <c r="AG112" s="77"/>
      <c r="AH112" s="118"/>
      <c r="AI112" s="116"/>
      <c r="AJ112" s="83"/>
    </row>
    <row r="113" spans="16:36" ht="18.75" x14ac:dyDescent="0.25">
      <c r="P113" s="98" t="e">
        <f>#REF!</f>
        <v>#REF!</v>
      </c>
      <c r="Q113" s="52" t="e">
        <f>#REF!</f>
        <v>#REF!</v>
      </c>
      <c r="R113" s="121" t="e">
        <f>#REF!</f>
        <v>#REF!</v>
      </c>
      <c r="T113" s="98" t="e">
        <f>#REF!</f>
        <v>#REF!</v>
      </c>
      <c r="U113" s="52" t="e">
        <f>#REF!</f>
        <v>#REF!</v>
      </c>
      <c r="V113" s="121" t="e">
        <f>#REF!</f>
        <v>#REF!</v>
      </c>
      <c r="Z113" s="76"/>
      <c r="AA113" s="77"/>
      <c r="AB113" s="77"/>
      <c r="AC113" s="77"/>
      <c r="AD113" s="77"/>
      <c r="AE113" s="77"/>
      <c r="AF113" s="85"/>
      <c r="AG113" s="77"/>
      <c r="AH113" s="118"/>
      <c r="AI113" s="116"/>
      <c r="AJ113" s="83"/>
    </row>
    <row r="114" spans="16:36" ht="18.75" x14ac:dyDescent="0.25">
      <c r="P114" s="98" t="e">
        <f>#REF!</f>
        <v>#REF!</v>
      </c>
      <c r="Q114" s="52" t="e">
        <f>#REF!</f>
        <v>#REF!</v>
      </c>
      <c r="R114" s="121" t="e">
        <f>#REF!</f>
        <v>#REF!</v>
      </c>
      <c r="T114" s="98" t="e">
        <f>#REF!</f>
        <v>#REF!</v>
      </c>
      <c r="U114" s="52" t="e">
        <f>#REF!</f>
        <v>#REF!</v>
      </c>
      <c r="V114" s="121" t="e">
        <f>#REF!</f>
        <v>#REF!</v>
      </c>
      <c r="Z114" s="76" t="e">
        <f>#REF!</f>
        <v>#REF!</v>
      </c>
      <c r="AA114" s="77"/>
      <c r="AB114" s="77" t="e">
        <f>#REF!</f>
        <v>#REF!</v>
      </c>
      <c r="AC114" s="77"/>
      <c r="AD114" s="88" t="e">
        <f>#REF!</f>
        <v>#REF!</v>
      </c>
      <c r="AE114" s="77"/>
      <c r="AF114" s="80"/>
      <c r="AG114" s="81"/>
      <c r="AH114" s="105"/>
      <c r="AI114" s="116"/>
      <c r="AJ114" s="89"/>
    </row>
    <row r="115" spans="16:36" ht="18.75" customHeight="1" x14ac:dyDescent="0.25">
      <c r="P115" s="98" t="e">
        <f>#REF!</f>
        <v>#REF!</v>
      </c>
      <c r="Q115" s="52" t="e">
        <f>#REF!</f>
        <v>#REF!</v>
      </c>
      <c r="R115" s="121" t="e">
        <f>#REF!</f>
        <v>#REF!</v>
      </c>
      <c r="T115" s="98" t="e">
        <f>#REF!</f>
        <v>#REF!</v>
      </c>
      <c r="U115" s="52" t="e">
        <f>#REF!</f>
        <v>#REF!</v>
      </c>
      <c r="V115" s="121" t="e">
        <f>#REF!</f>
        <v>#REF!</v>
      </c>
      <c r="Z115" s="76" t="e">
        <f>#REF!</f>
        <v>#REF!</v>
      </c>
      <c r="AA115" s="77"/>
      <c r="AB115" s="77" t="e">
        <f>#REF!</f>
        <v>#REF!</v>
      </c>
      <c r="AC115" s="77"/>
      <c r="AD115" s="88" t="e">
        <f>#REF!</f>
        <v>#REF!</v>
      </c>
      <c r="AE115" s="77"/>
      <c r="AF115" s="76"/>
      <c r="AG115" s="77"/>
      <c r="AH115" s="105"/>
      <c r="AI115" s="116"/>
      <c r="AJ115" s="89"/>
    </row>
    <row r="116" spans="16:36" ht="18.75" customHeight="1" x14ac:dyDescent="0.25">
      <c r="P116" s="98" t="e">
        <f>#REF!</f>
        <v>#REF!</v>
      </c>
      <c r="Q116" s="52" t="e">
        <f>#REF!</f>
        <v>#REF!</v>
      </c>
      <c r="R116" s="121" t="e">
        <f>#REF!</f>
        <v>#REF!</v>
      </c>
      <c r="T116" s="98" t="e">
        <f>#REF!</f>
        <v>#REF!</v>
      </c>
      <c r="U116" s="52" t="e">
        <f>#REF!</f>
        <v>#REF!</v>
      </c>
      <c r="V116" s="121" t="e">
        <f>#REF!</f>
        <v>#REF!</v>
      </c>
      <c r="Z116" s="76"/>
      <c r="AA116" s="77"/>
      <c r="AB116" s="77"/>
      <c r="AC116" s="77"/>
      <c r="AD116" s="77"/>
      <c r="AE116" s="77"/>
      <c r="AF116" s="76"/>
      <c r="AG116" s="77"/>
      <c r="AH116" s="105"/>
      <c r="AI116" s="116"/>
      <c r="AJ116" s="87"/>
    </row>
    <row r="117" spans="16:36" ht="18.75" customHeight="1" x14ac:dyDescent="0.25">
      <c r="P117" s="98" t="e">
        <f>#REF!</f>
        <v>#REF!</v>
      </c>
      <c r="Q117" s="52" t="e">
        <f>#REF!</f>
        <v>#REF!</v>
      </c>
      <c r="R117" s="121" t="e">
        <f>#REF!</f>
        <v>#REF!</v>
      </c>
      <c r="T117" s="98" t="e">
        <f>#REF!</f>
        <v>#REF!</v>
      </c>
      <c r="U117" s="52" t="e">
        <f>#REF!</f>
        <v>#REF!</v>
      </c>
      <c r="V117" s="121" t="e">
        <f>#REF!</f>
        <v>#REF!</v>
      </c>
      <c r="Z117" s="76" t="e">
        <f>#REF!</f>
        <v>#REF!</v>
      </c>
      <c r="AA117" s="77"/>
      <c r="AB117" s="77" t="e">
        <f>#REF!</f>
        <v>#REF!</v>
      </c>
      <c r="AC117" s="77"/>
      <c r="AD117" s="88" t="e">
        <f>#REF!</f>
        <v>#REF!</v>
      </c>
      <c r="AE117" s="77"/>
      <c r="AF117" s="76"/>
      <c r="AG117" s="77"/>
      <c r="AH117" s="105"/>
      <c r="AI117" s="116"/>
      <c r="AJ117" s="83"/>
    </row>
    <row r="118" spans="16:36" x14ac:dyDescent="0.25">
      <c r="P118" s="98" t="e">
        <f>#REF!</f>
        <v>#REF!</v>
      </c>
      <c r="Q118" s="52" t="e">
        <f>#REF!</f>
        <v>#REF!</v>
      </c>
      <c r="R118" s="121" t="e">
        <f>#REF!</f>
        <v>#REF!</v>
      </c>
      <c r="T118" s="98" t="e">
        <f>#REF!</f>
        <v>#REF!</v>
      </c>
      <c r="U118" s="52" t="e">
        <f>#REF!</f>
        <v>#REF!</v>
      </c>
      <c r="V118" s="121" t="e">
        <f>#REF!</f>
        <v>#REF!</v>
      </c>
      <c r="Z118" s="76" t="e">
        <f>#REF!</f>
        <v>#REF!</v>
      </c>
      <c r="AA118" s="77"/>
      <c r="AB118" s="77" t="e">
        <f>#REF!</f>
        <v>#REF!</v>
      </c>
      <c r="AC118" s="77"/>
      <c r="AD118" s="88" t="e">
        <f>#REF!</f>
        <v>#REF!</v>
      </c>
      <c r="AE118" s="77"/>
      <c r="AF118" s="76"/>
      <c r="AG118" s="77"/>
      <c r="AH118" s="113"/>
      <c r="AI118" s="116"/>
      <c r="AJ118" s="83"/>
    </row>
    <row r="119" spans="16:36" x14ac:dyDescent="0.25">
      <c r="P119" s="98" t="e">
        <f>#REF!</f>
        <v>#REF!</v>
      </c>
      <c r="Q119" s="52" t="e">
        <f>#REF!</f>
        <v>#REF!</v>
      </c>
      <c r="R119" s="121" t="e">
        <f>#REF!</f>
        <v>#REF!</v>
      </c>
      <c r="T119" s="98" t="e">
        <f>#REF!</f>
        <v>#REF!</v>
      </c>
      <c r="U119" s="52" t="e">
        <f>#REF!</f>
        <v>#REF!</v>
      </c>
      <c r="V119" s="121" t="e">
        <f>#REF!</f>
        <v>#REF!</v>
      </c>
      <c r="Z119" s="76"/>
      <c r="AA119" s="77"/>
      <c r="AB119" s="77"/>
      <c r="AC119" s="77"/>
      <c r="AD119" s="77"/>
      <c r="AE119" s="77"/>
      <c r="AF119" s="76"/>
      <c r="AG119" s="77"/>
      <c r="AH119" s="113"/>
      <c r="AI119" s="116"/>
      <c r="AJ119" s="83"/>
    </row>
    <row r="120" spans="16:36" x14ac:dyDescent="0.25">
      <c r="P120" s="98" t="e">
        <f>#REF!</f>
        <v>#REF!</v>
      </c>
      <c r="Q120" s="52" t="e">
        <f>#REF!</f>
        <v>#REF!</v>
      </c>
      <c r="R120" s="121" t="e">
        <f>#REF!</f>
        <v>#REF!</v>
      </c>
      <c r="T120" s="98" t="e">
        <f>#REF!</f>
        <v>#REF!</v>
      </c>
      <c r="U120" s="52" t="e">
        <f>#REF!</f>
        <v>#REF!</v>
      </c>
      <c r="V120" s="121" t="e">
        <f>#REF!</f>
        <v>#REF!</v>
      </c>
      <c r="Z120" s="76" t="e">
        <f>#REF!</f>
        <v>#REF!</v>
      </c>
      <c r="AA120" s="77"/>
      <c r="AB120" s="77" t="e">
        <f>#REF!</f>
        <v>#REF!</v>
      </c>
      <c r="AC120" s="77"/>
      <c r="AD120" s="88" t="e">
        <f>#REF!</f>
        <v>#REF!</v>
      </c>
      <c r="AE120" s="77"/>
      <c r="AF120" s="76"/>
      <c r="AG120" s="77"/>
      <c r="AH120" s="113"/>
      <c r="AI120" s="116"/>
      <c r="AJ120" s="83"/>
    </row>
    <row r="121" spans="16:36" x14ac:dyDescent="0.25">
      <c r="P121" s="98" t="e">
        <f>#REF!</f>
        <v>#REF!</v>
      </c>
      <c r="Q121" s="52" t="e">
        <f>#REF!</f>
        <v>#REF!</v>
      </c>
      <c r="R121" s="121" t="e">
        <f>#REF!</f>
        <v>#REF!</v>
      </c>
      <c r="T121" s="98" t="e">
        <f>#REF!</f>
        <v>#REF!</v>
      </c>
      <c r="U121" s="52" t="e">
        <f>#REF!</f>
        <v>#REF!</v>
      </c>
      <c r="V121" s="121" t="e">
        <f>#REF!</f>
        <v>#REF!</v>
      </c>
      <c r="Z121" s="76" t="e">
        <f>#REF!</f>
        <v>#REF!</v>
      </c>
      <c r="AA121" s="77"/>
      <c r="AB121" s="77" t="e">
        <f>#REF!</f>
        <v>#REF!</v>
      </c>
      <c r="AC121" s="77"/>
      <c r="AD121" s="88" t="e">
        <f>#REF!</f>
        <v>#REF!</v>
      </c>
      <c r="AE121" s="77"/>
      <c r="AF121" s="76"/>
      <c r="AG121" s="77"/>
      <c r="AH121" s="113"/>
      <c r="AI121" s="116"/>
      <c r="AJ121" s="83"/>
    </row>
    <row r="122" spans="16:36" x14ac:dyDescent="0.25">
      <c r="P122" s="98" t="e">
        <f>#REF!</f>
        <v>#REF!</v>
      </c>
      <c r="Q122" s="52" t="e">
        <f>#REF!</f>
        <v>#REF!</v>
      </c>
      <c r="R122" s="121" t="e">
        <f>#REF!</f>
        <v>#REF!</v>
      </c>
      <c r="T122" s="98" t="e">
        <f>#REF!</f>
        <v>#REF!</v>
      </c>
      <c r="U122" s="52" t="e">
        <f>#REF!</f>
        <v>#REF!</v>
      </c>
      <c r="V122" s="121" t="e">
        <f>#REF!</f>
        <v>#REF!</v>
      </c>
      <c r="Z122" s="76"/>
      <c r="AA122" s="77"/>
      <c r="AB122" s="77"/>
      <c r="AC122" s="77"/>
      <c r="AD122" s="77"/>
      <c r="AE122" s="77"/>
      <c r="AF122" s="76"/>
      <c r="AG122" s="77"/>
      <c r="AH122" s="113"/>
      <c r="AI122" s="116"/>
      <c r="AJ122" s="87"/>
    </row>
    <row r="123" spans="16:36" x14ac:dyDescent="0.25">
      <c r="P123" s="98" t="e">
        <f>#REF!</f>
        <v>#REF!</v>
      </c>
      <c r="Q123" s="52" t="e">
        <f>#REF!</f>
        <v>#REF!</v>
      </c>
      <c r="R123" s="121" t="e">
        <f>#REF!</f>
        <v>#REF!</v>
      </c>
      <c r="T123" s="98" t="e">
        <f>#REF!</f>
        <v>#REF!</v>
      </c>
      <c r="U123" s="52" t="e">
        <f>#REF!</f>
        <v>#REF!</v>
      </c>
      <c r="V123" s="121" t="e">
        <f>#REF!</f>
        <v>#REF!</v>
      </c>
      <c r="Z123" s="76" t="e">
        <f>#REF!</f>
        <v>#REF!</v>
      </c>
      <c r="AA123" s="77"/>
      <c r="AB123" s="77" t="e">
        <f>#REF!</f>
        <v>#REF!</v>
      </c>
      <c r="AC123" s="77"/>
      <c r="AD123" s="88" t="e">
        <f>#REF!</f>
        <v>#REF!</v>
      </c>
      <c r="AE123" s="77"/>
      <c r="AF123" s="76"/>
      <c r="AG123" s="77"/>
      <c r="AH123" s="113"/>
      <c r="AI123" s="116"/>
      <c r="AJ123" s="83"/>
    </row>
    <row r="124" spans="16:36" x14ac:dyDescent="0.25">
      <c r="P124" s="98" t="e">
        <f>#REF!</f>
        <v>#REF!</v>
      </c>
      <c r="Q124" s="52" t="e">
        <f>#REF!</f>
        <v>#REF!</v>
      </c>
      <c r="R124" s="121" t="e">
        <f>#REF!</f>
        <v>#REF!</v>
      </c>
      <c r="T124" s="98" t="e">
        <f>#REF!</f>
        <v>#REF!</v>
      </c>
      <c r="U124" s="52" t="e">
        <f>#REF!</f>
        <v>#REF!</v>
      </c>
      <c r="V124" s="121" t="e">
        <f>#REF!</f>
        <v>#REF!</v>
      </c>
      <c r="Z124" s="76" t="e">
        <f>#REF!</f>
        <v>#REF!</v>
      </c>
      <c r="AA124" s="77"/>
      <c r="AB124" s="77" t="e">
        <f>#REF!</f>
        <v>#REF!</v>
      </c>
      <c r="AC124" s="77"/>
      <c r="AD124" s="88" t="e">
        <f>#REF!</f>
        <v>#REF!</v>
      </c>
      <c r="AE124" s="77"/>
      <c r="AF124" s="76"/>
      <c r="AG124" s="77"/>
      <c r="AH124" s="113"/>
      <c r="AI124" s="116"/>
      <c r="AJ124" s="83"/>
    </row>
    <row r="125" spans="16:36" x14ac:dyDescent="0.25">
      <c r="P125" s="98" t="e">
        <f>#REF!</f>
        <v>#REF!</v>
      </c>
      <c r="Q125" s="52" t="e">
        <f>#REF!</f>
        <v>#REF!</v>
      </c>
      <c r="R125" s="121" t="e">
        <f>#REF!</f>
        <v>#REF!</v>
      </c>
      <c r="T125" s="98" t="e">
        <f>#REF!</f>
        <v>#REF!</v>
      </c>
      <c r="U125" s="52" t="e">
        <f>#REF!</f>
        <v>#REF!</v>
      </c>
      <c r="V125" s="121" t="e">
        <f>#REF!</f>
        <v>#REF!</v>
      </c>
      <c r="Z125" s="76"/>
      <c r="AA125" s="77"/>
      <c r="AB125" s="77"/>
      <c r="AC125" s="77"/>
      <c r="AD125" s="85"/>
      <c r="AE125" s="77"/>
      <c r="AF125" s="76"/>
      <c r="AG125" s="77"/>
      <c r="AH125" s="113"/>
      <c r="AI125" s="116"/>
      <c r="AJ125" s="83"/>
    </row>
    <row r="126" spans="16:36" ht="15" customHeight="1" x14ac:dyDescent="0.25">
      <c r="P126" s="98" t="e">
        <f>#REF!</f>
        <v>#REF!</v>
      </c>
      <c r="Q126" s="52" t="e">
        <f>#REF!</f>
        <v>#REF!</v>
      </c>
      <c r="R126" s="121" t="e">
        <f>#REF!</f>
        <v>#REF!</v>
      </c>
      <c r="T126" s="98" t="e">
        <f>#REF!</f>
        <v>#REF!</v>
      </c>
      <c r="U126" s="52" t="e">
        <f>#REF!</f>
        <v>#REF!</v>
      </c>
      <c r="V126" s="121" t="e">
        <f>#REF!</f>
        <v>#REF!</v>
      </c>
      <c r="Z126" s="76" t="e">
        <f>#REF!</f>
        <v>#REF!</v>
      </c>
      <c r="AA126" s="77"/>
      <c r="AB126" s="77" t="e">
        <f>#REF!</f>
        <v>#REF!</v>
      </c>
      <c r="AC126" s="77"/>
      <c r="AD126" s="110"/>
      <c r="AE126" s="81"/>
      <c r="AF126" s="88"/>
      <c r="AG126" s="77"/>
      <c r="AH126" s="114"/>
      <c r="AI126" s="116"/>
      <c r="AJ126" s="89"/>
    </row>
    <row r="127" spans="16:36" ht="15" customHeight="1" x14ac:dyDescent="0.25">
      <c r="P127" s="98" t="e">
        <f>#REF!</f>
        <v>#REF!</v>
      </c>
      <c r="Q127" s="52" t="e">
        <f>#REF!</f>
        <v>#REF!</v>
      </c>
      <c r="R127" s="121" t="e">
        <f>#REF!</f>
        <v>#REF!</v>
      </c>
      <c r="T127" s="98" t="e">
        <f>#REF!</f>
        <v>#REF!</v>
      </c>
      <c r="U127" s="52" t="e">
        <f>#REF!</f>
        <v>#REF!</v>
      </c>
      <c r="V127" s="121" t="e">
        <f>#REF!</f>
        <v>#REF!</v>
      </c>
      <c r="Z127" s="76" t="e">
        <f>#REF!</f>
        <v>#REF!</v>
      </c>
      <c r="AA127" s="77"/>
      <c r="AB127" s="77" t="e">
        <f>#REF!</f>
        <v>#REF!</v>
      </c>
      <c r="AC127" s="77"/>
      <c r="AD127" s="76"/>
      <c r="AE127" s="77"/>
      <c r="AF127" s="77"/>
      <c r="AG127" s="77"/>
      <c r="AH127" s="114"/>
      <c r="AI127" s="116"/>
      <c r="AJ127" s="89"/>
    </row>
    <row r="128" spans="16:36" x14ac:dyDescent="0.25">
      <c r="P128" s="98" t="e">
        <f>#REF!</f>
        <v>#REF!</v>
      </c>
      <c r="Q128" s="52" t="e">
        <f>#REF!</f>
        <v>#REF!</v>
      </c>
      <c r="R128" s="121" t="e">
        <f>#REF!</f>
        <v>#REF!</v>
      </c>
      <c r="T128" s="98" t="e">
        <f>#REF!</f>
        <v>#REF!</v>
      </c>
      <c r="U128" s="52" t="e">
        <f>#REF!</f>
        <v>#REF!</v>
      </c>
      <c r="V128" s="121" t="e">
        <f>#REF!</f>
        <v>#REF!</v>
      </c>
      <c r="Z128" s="76"/>
      <c r="AA128" s="77"/>
      <c r="AB128" s="77"/>
      <c r="AC128" s="77"/>
      <c r="AD128" s="76"/>
      <c r="AE128" s="77"/>
      <c r="AF128" s="77"/>
      <c r="AG128" s="77"/>
      <c r="AH128" s="113"/>
      <c r="AI128" s="116"/>
      <c r="AJ128" s="87"/>
    </row>
    <row r="129" spans="16:36" x14ac:dyDescent="0.25">
      <c r="P129" s="98" t="e">
        <f>#REF!</f>
        <v>#REF!</v>
      </c>
      <c r="Q129" s="52" t="e">
        <f>#REF!</f>
        <v>#REF!</v>
      </c>
      <c r="R129" s="121" t="e">
        <f>#REF!</f>
        <v>#REF!</v>
      </c>
      <c r="T129" s="98" t="e">
        <f>#REF!</f>
        <v>#REF!</v>
      </c>
      <c r="U129" s="52" t="e">
        <f>#REF!</f>
        <v>#REF!</v>
      </c>
      <c r="V129" s="121" t="e">
        <f>#REF!</f>
        <v>#REF!</v>
      </c>
      <c r="Z129" s="76" t="e">
        <f>#REF!</f>
        <v>#REF!</v>
      </c>
      <c r="AA129" s="77"/>
      <c r="AB129" s="77" t="e">
        <f>#REF!</f>
        <v>#REF!</v>
      </c>
      <c r="AC129" s="77"/>
      <c r="AD129" s="76"/>
      <c r="AE129" s="77"/>
      <c r="AF129" s="77"/>
      <c r="AG129" s="77"/>
      <c r="AH129" s="114"/>
      <c r="AI129" s="116"/>
      <c r="AJ129" s="83"/>
    </row>
    <row r="130" spans="16:36" x14ac:dyDescent="0.25">
      <c r="P130" s="98" t="e">
        <f>#REF!</f>
        <v>#REF!</v>
      </c>
      <c r="Q130" s="52" t="e">
        <f>#REF!</f>
        <v>#REF!</v>
      </c>
      <c r="R130" s="121" t="e">
        <f>#REF!</f>
        <v>#REF!</v>
      </c>
      <c r="T130" s="98" t="e">
        <f>#REF!</f>
        <v>#REF!</v>
      </c>
      <c r="U130" s="52" t="e">
        <f>#REF!</f>
        <v>#REF!</v>
      </c>
      <c r="V130" s="121" t="e">
        <f>#REF!</f>
        <v>#REF!</v>
      </c>
      <c r="Z130" s="76" t="e">
        <f>#REF!</f>
        <v>#REF!</v>
      </c>
      <c r="AA130" s="77"/>
      <c r="AB130" s="77" t="e">
        <f>#REF!</f>
        <v>#REF!</v>
      </c>
      <c r="AC130" s="77"/>
      <c r="AD130" s="76"/>
      <c r="AE130" s="77"/>
      <c r="AF130" s="77"/>
      <c r="AG130" s="77"/>
      <c r="AH130" s="114"/>
      <c r="AI130" s="116"/>
      <c r="AJ130" s="83"/>
    </row>
    <row r="131" spans="16:36" ht="15" customHeight="1" x14ac:dyDescent="0.25">
      <c r="P131" s="98" t="e">
        <f>#REF!</f>
        <v>#REF!</v>
      </c>
      <c r="Q131" s="52" t="e">
        <f>#REF!</f>
        <v>#REF!</v>
      </c>
      <c r="R131" s="121" t="e">
        <f>#REF!</f>
        <v>#REF!</v>
      </c>
      <c r="T131" s="98" t="e">
        <f>#REF!</f>
        <v>#REF!</v>
      </c>
      <c r="U131" s="52" t="e">
        <f>#REF!</f>
        <v>#REF!</v>
      </c>
      <c r="V131" s="121" t="e">
        <f>#REF!</f>
        <v>#REF!</v>
      </c>
      <c r="Z131" s="76"/>
      <c r="AA131" s="77"/>
      <c r="AB131" s="77"/>
      <c r="AC131" s="77"/>
      <c r="AD131" s="76"/>
      <c r="AE131" s="158" t="s">
        <v>376</v>
      </c>
      <c r="AF131" s="159"/>
      <c r="AG131" s="160"/>
      <c r="AH131" s="155" t="s">
        <v>377</v>
      </c>
      <c r="AI131" s="156"/>
      <c r="AJ131" s="157"/>
    </row>
    <row r="132" spans="16:36" ht="15" customHeight="1" x14ac:dyDescent="0.25">
      <c r="P132" s="98" t="e">
        <f>#REF!</f>
        <v>#REF!</v>
      </c>
      <c r="Q132" s="52" t="e">
        <f>#REF!</f>
        <v>#REF!</v>
      </c>
      <c r="R132" s="121" t="e">
        <f>#REF!</f>
        <v>#REF!</v>
      </c>
      <c r="T132" s="98" t="e">
        <f>#REF!</f>
        <v>#REF!</v>
      </c>
      <c r="U132" s="52" t="e">
        <f>#REF!</f>
        <v>#REF!</v>
      </c>
      <c r="V132" s="121" t="e">
        <f>#REF!</f>
        <v>#REF!</v>
      </c>
      <c r="Z132" s="76" t="e">
        <f>#REF!</f>
        <v>#REF!</v>
      </c>
      <c r="AA132" s="77"/>
      <c r="AB132" s="77" t="e">
        <f>#REF!</f>
        <v>#REF!</v>
      </c>
      <c r="AC132" s="77"/>
      <c r="AD132" s="47">
        <v>1</v>
      </c>
      <c r="AE132" s="98" t="e">
        <f>#REF!</f>
        <v>#REF!</v>
      </c>
      <c r="AF132" s="52" t="e">
        <f>#REF!</f>
        <v>#REF!</v>
      </c>
      <c r="AG132" s="119" t="e">
        <f>#REF!</f>
        <v>#REF!</v>
      </c>
      <c r="AH132" s="98" t="e">
        <f>#REF!</f>
        <v>#REF!</v>
      </c>
      <c r="AI132" s="52" t="e">
        <f>#REF!</f>
        <v>#REF!</v>
      </c>
      <c r="AJ132" s="121" t="e">
        <f>#REF!</f>
        <v>#REF!</v>
      </c>
    </row>
    <row r="133" spans="16:36" x14ac:dyDescent="0.25">
      <c r="P133" s="98" t="e">
        <f>#REF!</f>
        <v>#REF!</v>
      </c>
      <c r="Q133" s="52" t="e">
        <f>#REF!</f>
        <v>#REF!</v>
      </c>
      <c r="R133" s="121" t="e">
        <f>#REF!</f>
        <v>#REF!</v>
      </c>
      <c r="T133" s="98" t="e">
        <f>#REF!</f>
        <v>#REF!</v>
      </c>
      <c r="U133" s="52" t="e">
        <f>#REF!</f>
        <v>#REF!</v>
      </c>
      <c r="V133" s="121" t="e">
        <f>#REF!</f>
        <v>#REF!</v>
      </c>
      <c r="Z133" s="76" t="e">
        <f>#REF!</f>
        <v>#REF!</v>
      </c>
      <c r="AA133" s="77"/>
      <c r="AB133" s="77" t="e">
        <f>#REF!</f>
        <v>#REF!</v>
      </c>
      <c r="AC133" s="77"/>
      <c r="AD133" s="47">
        <v>2</v>
      </c>
      <c r="AE133" s="98" t="e">
        <f>#REF!</f>
        <v>#REF!</v>
      </c>
      <c r="AF133" s="52" t="e">
        <f>#REF!</f>
        <v>#REF!</v>
      </c>
      <c r="AG133" s="119" t="e">
        <f>#REF!</f>
        <v>#REF!</v>
      </c>
      <c r="AH133" s="98" t="e">
        <f>#REF!</f>
        <v>#REF!</v>
      </c>
      <c r="AI133" s="52" t="e">
        <f>#REF!</f>
        <v>#REF!</v>
      </c>
      <c r="AJ133" s="121" t="e">
        <f>#REF!</f>
        <v>#REF!</v>
      </c>
    </row>
    <row r="134" spans="16:36" x14ac:dyDescent="0.25">
      <c r="P134" s="98" t="e">
        <f>#REF!</f>
        <v>#REF!</v>
      </c>
      <c r="Q134" s="52" t="e">
        <f>#REF!</f>
        <v>#REF!</v>
      </c>
      <c r="R134" s="121" t="e">
        <f>#REF!</f>
        <v>#REF!</v>
      </c>
      <c r="T134" s="98" t="e">
        <f>#REF!</f>
        <v>#REF!</v>
      </c>
      <c r="U134" s="52" t="e">
        <f>#REF!</f>
        <v>#REF!</v>
      </c>
      <c r="V134" s="121" t="e">
        <f>#REF!</f>
        <v>#REF!</v>
      </c>
      <c r="Z134" s="76"/>
      <c r="AA134" s="77"/>
      <c r="AB134" s="77"/>
      <c r="AC134" s="77"/>
      <c r="AD134" s="47">
        <v>3</v>
      </c>
      <c r="AE134" s="98" t="e">
        <f>#REF!</f>
        <v>#REF!</v>
      </c>
      <c r="AF134" s="52" t="e">
        <f>#REF!</f>
        <v>#REF!</v>
      </c>
      <c r="AG134" s="119" t="e">
        <f>#REF!</f>
        <v>#REF!</v>
      </c>
      <c r="AH134" s="98" t="e">
        <f>#REF!</f>
        <v>#REF!</v>
      </c>
      <c r="AI134" s="52" t="e">
        <f>#REF!</f>
        <v>#REF!</v>
      </c>
      <c r="AJ134" s="121" t="e">
        <f>#REF!</f>
        <v>#REF!</v>
      </c>
    </row>
    <row r="135" spans="16:36" x14ac:dyDescent="0.25">
      <c r="P135" s="98" t="e">
        <f>#REF!</f>
        <v>#REF!</v>
      </c>
      <c r="Q135" s="52" t="e">
        <f>#REF!</f>
        <v>#REF!</v>
      </c>
      <c r="R135" s="122" t="e">
        <f>#REF!</f>
        <v>#REF!</v>
      </c>
      <c r="T135" s="98" t="e">
        <f>#REF!</f>
        <v>#REF!</v>
      </c>
      <c r="U135" s="52" t="e">
        <f>#REF!</f>
        <v>#REF!</v>
      </c>
      <c r="V135" s="122" t="e">
        <f>#REF!</f>
        <v>#REF!</v>
      </c>
      <c r="Z135" s="76" t="e">
        <f>#REF!</f>
        <v>#REF!</v>
      </c>
      <c r="AA135" s="77"/>
      <c r="AB135" s="77" t="e">
        <f>#REF!</f>
        <v>#REF!</v>
      </c>
      <c r="AC135" s="77"/>
      <c r="AD135" s="47">
        <v>4</v>
      </c>
      <c r="AE135" s="98" t="e">
        <f>#REF!</f>
        <v>#REF!</v>
      </c>
      <c r="AF135" s="52" t="e">
        <f>#REF!</f>
        <v>#REF!</v>
      </c>
      <c r="AG135" s="119" t="e">
        <f>#REF!</f>
        <v>#REF!</v>
      </c>
      <c r="AH135" s="98" t="e">
        <f>#REF!</f>
        <v>#REF!</v>
      </c>
      <c r="AI135" s="52" t="e">
        <f>#REF!</f>
        <v>#REF!</v>
      </c>
      <c r="AJ135" s="121" t="e">
        <f>#REF!</f>
        <v>#REF!</v>
      </c>
    </row>
    <row r="136" spans="16:36" ht="15" customHeight="1" x14ac:dyDescent="0.25">
      <c r="P136" s="98" t="e">
        <f>#REF!</f>
        <v>#REF!</v>
      </c>
      <c r="Q136" s="52" t="e">
        <f>#REF!</f>
        <v>#REF!</v>
      </c>
      <c r="R136" s="121" t="e">
        <f>#REF!</f>
        <v>#REF!</v>
      </c>
      <c r="T136" s="98" t="e">
        <f>#REF!</f>
        <v>#REF!</v>
      </c>
      <c r="U136" s="52" t="e">
        <f>#REF!</f>
        <v>#REF!</v>
      </c>
      <c r="V136" s="121" t="e">
        <f>#REF!</f>
        <v>#REF!</v>
      </c>
      <c r="Z136" s="76" t="e">
        <f>#REF!</f>
        <v>#REF!</v>
      </c>
      <c r="AA136" s="77"/>
      <c r="AB136" s="77" t="e">
        <f>#REF!</f>
        <v>#REF!</v>
      </c>
      <c r="AC136" s="77"/>
      <c r="AD136" s="47">
        <v>5</v>
      </c>
      <c r="AE136" s="98" t="e">
        <f>#REF!</f>
        <v>#REF!</v>
      </c>
      <c r="AF136" s="52" t="e">
        <f>#REF!</f>
        <v>#REF!</v>
      </c>
      <c r="AG136" s="119" t="e">
        <f>#REF!</f>
        <v>#REF!</v>
      </c>
      <c r="AH136" s="98" t="e">
        <f>#REF!</f>
        <v>#REF!</v>
      </c>
      <c r="AI136" s="52" t="e">
        <f>#REF!</f>
        <v>#REF!</v>
      </c>
      <c r="AJ136" s="121" t="e">
        <f>#REF!</f>
        <v>#REF!</v>
      </c>
    </row>
    <row r="137" spans="16:36" ht="15" customHeight="1" x14ac:dyDescent="0.25">
      <c r="P137" s="45"/>
      <c r="Q137" s="45"/>
      <c r="R137" s="45"/>
      <c r="T137" s="45"/>
      <c r="U137" s="45"/>
      <c r="V137" s="45"/>
      <c r="Z137" s="76"/>
      <c r="AA137" s="77"/>
      <c r="AB137" s="77"/>
      <c r="AC137" s="77"/>
      <c r="AD137" s="47">
        <v>6</v>
      </c>
      <c r="AE137" s="98" t="e">
        <f>#REF!</f>
        <v>#REF!</v>
      </c>
      <c r="AF137" s="52" t="e">
        <f>#REF!</f>
        <v>#REF!</v>
      </c>
      <c r="AG137" s="119" t="e">
        <f>#REF!</f>
        <v>#REF!</v>
      </c>
      <c r="AH137" s="98" t="e">
        <f>#REF!</f>
        <v>#REF!</v>
      </c>
      <c r="AI137" s="52" t="e">
        <f>#REF!</f>
        <v>#REF!</v>
      </c>
      <c r="AJ137" s="121" t="e">
        <f>#REF!</f>
        <v>#REF!</v>
      </c>
    </row>
    <row r="138" spans="16:36" x14ac:dyDescent="0.25">
      <c r="Z138" s="76" t="e">
        <f>#REF!</f>
        <v>#REF!</v>
      </c>
      <c r="AA138" s="77"/>
      <c r="AB138" s="77" t="e">
        <f>#REF!</f>
        <v>#REF!</v>
      </c>
      <c r="AC138" s="77"/>
      <c r="AD138" s="47">
        <v>7</v>
      </c>
      <c r="AE138" s="98" t="e">
        <f>#REF!</f>
        <v>#REF!</v>
      </c>
      <c r="AF138" s="52" t="e">
        <f>#REF!</f>
        <v>#REF!</v>
      </c>
      <c r="AG138" s="119" t="e">
        <f>#REF!</f>
        <v>#REF!</v>
      </c>
      <c r="AH138" s="98" t="e">
        <f>#REF!</f>
        <v>#REF!</v>
      </c>
      <c r="AI138" s="52" t="e">
        <f>#REF!</f>
        <v>#REF!</v>
      </c>
      <c r="AJ138" s="121" t="e">
        <f>#REF!</f>
        <v>#REF!</v>
      </c>
    </row>
    <row r="139" spans="16:36" x14ac:dyDescent="0.25">
      <c r="Z139" s="76" t="e">
        <f>#REF!</f>
        <v>#REF!</v>
      </c>
      <c r="AA139" s="77"/>
      <c r="AB139" s="77" t="e">
        <f>#REF!</f>
        <v>#REF!</v>
      </c>
      <c r="AC139" s="77"/>
      <c r="AD139" s="47">
        <v>8</v>
      </c>
      <c r="AE139" s="98" t="e">
        <f>#REF!</f>
        <v>#REF!</v>
      </c>
      <c r="AF139" s="52" t="e">
        <f>#REF!</f>
        <v>#REF!</v>
      </c>
      <c r="AG139" s="119" t="e">
        <f>#REF!</f>
        <v>#REF!</v>
      </c>
      <c r="AH139" s="98" t="e">
        <f>#REF!</f>
        <v>#REF!</v>
      </c>
      <c r="AI139" s="52" t="e">
        <f>#REF!</f>
        <v>#REF!</v>
      </c>
      <c r="AJ139" s="121" t="e">
        <f>#REF!</f>
        <v>#REF!</v>
      </c>
    </row>
    <row r="140" spans="16:36" x14ac:dyDescent="0.25">
      <c r="Z140" s="76"/>
      <c r="AA140" s="77"/>
      <c r="AB140" s="77"/>
      <c r="AC140" s="77"/>
      <c r="AD140" s="47">
        <v>9</v>
      </c>
      <c r="AE140" s="98" t="e">
        <f>#REF!</f>
        <v>#REF!</v>
      </c>
      <c r="AF140" s="52" t="e">
        <f>#REF!</f>
        <v>#REF!</v>
      </c>
      <c r="AG140" s="119" t="e">
        <f>#REF!</f>
        <v>#REF!</v>
      </c>
      <c r="AH140" s="98" t="e">
        <f>#REF!</f>
        <v>#REF!</v>
      </c>
      <c r="AI140" s="52" t="e">
        <f>#REF!</f>
        <v>#REF!</v>
      </c>
      <c r="AJ140" s="121" t="e">
        <f>#REF!</f>
        <v>#REF!</v>
      </c>
    </row>
    <row r="141" spans="16:36" ht="15" customHeight="1" x14ac:dyDescent="0.25">
      <c r="Z141" s="76" t="e">
        <f>#REF!</f>
        <v>#REF!</v>
      </c>
      <c r="AA141" s="77"/>
      <c r="AB141" s="77" t="e">
        <f>#REF!</f>
        <v>#REF!</v>
      </c>
      <c r="AC141" s="77"/>
      <c r="AD141" s="47">
        <v>10</v>
      </c>
      <c r="AE141" s="98" t="e">
        <f>#REF!</f>
        <v>#REF!</v>
      </c>
      <c r="AF141" s="52" t="e">
        <f>#REF!</f>
        <v>#REF!</v>
      </c>
      <c r="AG141" s="120" t="e">
        <f>#REF!</f>
        <v>#REF!</v>
      </c>
      <c r="AH141" s="98" t="e">
        <f>#REF!</f>
        <v>#REF!</v>
      </c>
      <c r="AI141" s="52" t="e">
        <f>#REF!</f>
        <v>#REF!</v>
      </c>
      <c r="AJ141" s="121" t="e">
        <f>#REF!</f>
        <v>#REF!</v>
      </c>
    </row>
    <row r="142" spans="16:36" ht="15" customHeight="1" x14ac:dyDescent="0.25">
      <c r="Z142" s="76" t="e">
        <f>#REF!</f>
        <v>#REF!</v>
      </c>
      <c r="AA142" s="77"/>
      <c r="AB142" s="77" t="e">
        <f>#REF!</f>
        <v>#REF!</v>
      </c>
      <c r="AC142" s="77"/>
      <c r="AD142" s="47">
        <v>11</v>
      </c>
      <c r="AE142" s="98" t="e">
        <f>#REF!</f>
        <v>#REF!</v>
      </c>
      <c r="AF142" s="52" t="e">
        <f>#REF!</f>
        <v>#REF!</v>
      </c>
      <c r="AG142" s="119" t="e">
        <f>#REF!</f>
        <v>#REF!</v>
      </c>
      <c r="AH142" s="98" t="e">
        <f>#REF!</f>
        <v>#REF!</v>
      </c>
      <c r="AI142" s="52" t="e">
        <f>#REF!</f>
        <v>#REF!</v>
      </c>
      <c r="AJ142" s="121" t="e">
        <f>#REF!</f>
        <v>#REF!</v>
      </c>
    </row>
    <row r="143" spans="16:36" x14ac:dyDescent="0.25">
      <c r="Z143" s="76"/>
      <c r="AA143" s="77"/>
      <c r="AB143" s="77"/>
      <c r="AC143" s="77"/>
      <c r="AD143" s="47">
        <v>12</v>
      </c>
      <c r="AE143" s="98" t="e">
        <f>#REF!</f>
        <v>#REF!</v>
      </c>
      <c r="AF143" s="52" t="e">
        <f>#REF!</f>
        <v>#REF!</v>
      </c>
      <c r="AG143" s="119" t="e">
        <f>#REF!</f>
        <v>#REF!</v>
      </c>
      <c r="AH143" s="98" t="e">
        <f>#REF!</f>
        <v>#REF!</v>
      </c>
      <c r="AI143" s="52" t="e">
        <f>#REF!</f>
        <v>#REF!</v>
      </c>
      <c r="AJ143" s="121" t="e">
        <f>#REF!</f>
        <v>#REF!</v>
      </c>
    </row>
    <row r="144" spans="16:36" x14ac:dyDescent="0.25">
      <c r="Z144" s="76" t="e">
        <f>#REF!</f>
        <v>#REF!</v>
      </c>
      <c r="AA144" s="77"/>
      <c r="AB144" s="77" t="e">
        <f>#REF!</f>
        <v>#REF!</v>
      </c>
      <c r="AC144" s="77"/>
      <c r="AD144" s="47">
        <v>13</v>
      </c>
      <c r="AE144" s="98" t="e">
        <f>#REF!</f>
        <v>#REF!</v>
      </c>
      <c r="AF144" s="52" t="e">
        <f>#REF!</f>
        <v>#REF!</v>
      </c>
      <c r="AG144" s="119" t="e">
        <f>#REF!</f>
        <v>#REF!</v>
      </c>
      <c r="AH144" s="98" t="e">
        <f>#REF!</f>
        <v>#REF!</v>
      </c>
      <c r="AI144" s="52" t="e">
        <f>#REF!</f>
        <v>#REF!</v>
      </c>
      <c r="AJ144" s="121" t="e">
        <f>#REF!</f>
        <v>#REF!</v>
      </c>
    </row>
    <row r="145" spans="26:36" x14ac:dyDescent="0.25">
      <c r="Z145" s="76" t="e">
        <f>#REF!</f>
        <v>#REF!</v>
      </c>
      <c r="AA145" s="77"/>
      <c r="AB145" s="77" t="e">
        <f>#REF!</f>
        <v>#REF!</v>
      </c>
      <c r="AC145" s="77"/>
      <c r="AD145" s="47">
        <v>14</v>
      </c>
      <c r="AE145" s="98" t="e">
        <f>#REF!</f>
        <v>#REF!</v>
      </c>
      <c r="AF145" s="52" t="e">
        <f>#REF!</f>
        <v>#REF!</v>
      </c>
      <c r="AG145" s="119" t="e">
        <f>#REF!</f>
        <v>#REF!</v>
      </c>
      <c r="AH145" s="98" t="e">
        <f>#REF!</f>
        <v>#REF!</v>
      </c>
      <c r="AI145" s="52" t="e">
        <f>#REF!</f>
        <v>#REF!</v>
      </c>
      <c r="AJ145" s="121" t="e">
        <f>#REF!</f>
        <v>#REF!</v>
      </c>
    </row>
    <row r="146" spans="26:36" ht="15" customHeight="1" x14ac:dyDescent="0.25">
      <c r="Z146" s="76"/>
      <c r="AA146" s="77"/>
      <c r="AB146" s="77"/>
      <c r="AC146" s="77"/>
      <c r="AD146" s="47">
        <v>15</v>
      </c>
      <c r="AE146" s="98" t="e">
        <f>#REF!</f>
        <v>#REF!</v>
      </c>
      <c r="AF146" s="52" t="e">
        <f>#REF!</f>
        <v>#REF!</v>
      </c>
      <c r="AG146" s="119" t="e">
        <f>#REF!</f>
        <v>#REF!</v>
      </c>
      <c r="AH146" s="98" t="e">
        <f>#REF!</f>
        <v>#REF!</v>
      </c>
      <c r="AI146" s="52" t="e">
        <f>#REF!</f>
        <v>#REF!</v>
      </c>
      <c r="AJ146" s="121" t="e">
        <f>#REF!</f>
        <v>#REF!</v>
      </c>
    </row>
    <row r="147" spans="26:36" ht="15" customHeight="1" x14ac:dyDescent="0.25">
      <c r="Z147" s="76" t="e">
        <f>#REF!</f>
        <v>#REF!</v>
      </c>
      <c r="AA147" s="77"/>
      <c r="AB147" s="77" t="e">
        <f>#REF!</f>
        <v>#REF!</v>
      </c>
      <c r="AC147" s="77"/>
      <c r="AD147" s="47">
        <v>16</v>
      </c>
      <c r="AE147" s="98" t="e">
        <f>#REF!</f>
        <v>#REF!</v>
      </c>
      <c r="AF147" s="52" t="e">
        <f>#REF!</f>
        <v>#REF!</v>
      </c>
      <c r="AG147" s="120" t="e">
        <f>#REF!</f>
        <v>#REF!</v>
      </c>
      <c r="AH147" s="98" t="e">
        <f>#REF!</f>
        <v>#REF!</v>
      </c>
      <c r="AI147" s="52" t="e">
        <f>#REF!</f>
        <v>#REF!</v>
      </c>
      <c r="AJ147" s="121" t="e">
        <f>#REF!</f>
        <v>#REF!</v>
      </c>
    </row>
    <row r="148" spans="26:36" x14ac:dyDescent="0.25">
      <c r="Z148" s="76" t="e">
        <f>#REF!</f>
        <v>#REF!</v>
      </c>
      <c r="AA148" s="77"/>
      <c r="AB148" s="77" t="e">
        <f>#REF!</f>
        <v>#REF!</v>
      </c>
      <c r="AC148" s="77"/>
      <c r="AD148" s="47">
        <v>17</v>
      </c>
      <c r="AE148" s="98" t="e">
        <f>#REF!</f>
        <v>#REF!</v>
      </c>
      <c r="AF148" s="52" t="e">
        <f>#REF!</f>
        <v>#REF!</v>
      </c>
      <c r="AG148" s="119" t="e">
        <f>#REF!</f>
        <v>#REF!</v>
      </c>
      <c r="AH148" s="98" t="e">
        <f>#REF!</f>
        <v>#REF!</v>
      </c>
      <c r="AI148" s="52" t="e">
        <f>#REF!</f>
        <v>#REF!</v>
      </c>
      <c r="AJ148" s="121" t="e">
        <f>#REF!</f>
        <v>#REF!</v>
      </c>
    </row>
    <row r="149" spans="26:36" x14ac:dyDescent="0.25">
      <c r="Z149" s="76"/>
      <c r="AA149" s="77"/>
      <c r="AB149" s="85"/>
      <c r="AC149" s="77"/>
      <c r="AD149" s="47">
        <v>18</v>
      </c>
      <c r="AE149" s="98" t="e">
        <f>#REF!</f>
        <v>#REF!</v>
      </c>
      <c r="AF149" s="52" t="e">
        <f>#REF!</f>
        <v>#REF!</v>
      </c>
      <c r="AG149" s="119" t="e">
        <f>#REF!</f>
        <v>#REF!</v>
      </c>
      <c r="AH149" s="98" t="e">
        <f>#REF!</f>
        <v>#REF!</v>
      </c>
      <c r="AI149" s="52" t="e">
        <f>#REF!</f>
        <v>#REF!</v>
      </c>
      <c r="AJ149" s="121" t="e">
        <f>#REF!</f>
        <v>#REF!</v>
      </c>
    </row>
    <row r="150" spans="26:36" x14ac:dyDescent="0.25">
      <c r="Z150" s="76" t="e">
        <f>#REF!</f>
        <v>#REF!</v>
      </c>
      <c r="AA150" s="77"/>
      <c r="AB150" s="80"/>
      <c r="AC150" s="81"/>
      <c r="AD150">
        <v>19</v>
      </c>
      <c r="AE150" s="98" t="e">
        <f>#REF!</f>
        <v>#REF!</v>
      </c>
      <c r="AF150" s="52" t="e">
        <f>#REF!</f>
        <v>#REF!</v>
      </c>
      <c r="AG150" s="120" t="e">
        <f>#REF!</f>
        <v>#REF!</v>
      </c>
      <c r="AH150" s="98" t="e">
        <f>#REF!</f>
        <v>#REF!</v>
      </c>
      <c r="AI150" s="52" t="e">
        <f>#REF!</f>
        <v>#REF!</v>
      </c>
      <c r="AJ150" s="121" t="e">
        <f>#REF!</f>
        <v>#REF!</v>
      </c>
    </row>
    <row r="151" spans="26:36" ht="15" customHeight="1" x14ac:dyDescent="0.25">
      <c r="Z151" s="76" t="e">
        <f>#REF!</f>
        <v>#REF!</v>
      </c>
      <c r="AA151" s="77"/>
      <c r="AB151" s="76"/>
      <c r="AC151" s="77"/>
      <c r="AD151">
        <v>20</v>
      </c>
      <c r="AE151" s="98" t="e">
        <f>#REF!</f>
        <v>#REF!</v>
      </c>
      <c r="AF151" s="52" t="e">
        <f>#REF!</f>
        <v>#REF!</v>
      </c>
      <c r="AG151" s="119" t="e">
        <f>#REF!</f>
        <v>#REF!</v>
      </c>
      <c r="AH151" s="98" t="e">
        <f>#REF!</f>
        <v>#REF!</v>
      </c>
      <c r="AI151" s="52" t="e">
        <f>#REF!</f>
        <v>#REF!</v>
      </c>
      <c r="AJ151" s="121" t="e">
        <f>#REF!</f>
        <v>#REF!</v>
      </c>
    </row>
    <row r="152" spans="26:36" ht="15" customHeight="1" x14ac:dyDescent="0.25">
      <c r="Z152" s="76"/>
      <c r="AA152" s="77"/>
      <c r="AB152" s="76"/>
      <c r="AC152" s="77"/>
      <c r="AD152">
        <v>21</v>
      </c>
      <c r="AE152" s="98" t="e">
        <f>#REF!</f>
        <v>#REF!</v>
      </c>
      <c r="AF152" s="52" t="e">
        <f>#REF!</f>
        <v>#REF!</v>
      </c>
      <c r="AG152" s="119" t="e">
        <f>#REF!</f>
        <v>#REF!</v>
      </c>
      <c r="AH152" s="98" t="e">
        <f>#REF!</f>
        <v>#REF!</v>
      </c>
      <c r="AI152" s="52" t="e">
        <f>#REF!</f>
        <v>#REF!</v>
      </c>
      <c r="AJ152" s="121" t="e">
        <f>#REF!</f>
        <v>#REF!</v>
      </c>
    </row>
    <row r="153" spans="26:36" x14ac:dyDescent="0.25">
      <c r="Z153" s="76" t="e">
        <f>#REF!</f>
        <v>#REF!</v>
      </c>
      <c r="AA153" s="77"/>
      <c r="AB153" s="76"/>
      <c r="AC153" s="77"/>
      <c r="AD153">
        <v>22</v>
      </c>
      <c r="AE153" s="98" t="e">
        <f>#REF!</f>
        <v>#REF!</v>
      </c>
      <c r="AF153" s="52" t="e">
        <f>#REF!</f>
        <v>#REF!</v>
      </c>
      <c r="AG153" s="119" t="e">
        <f>#REF!</f>
        <v>#REF!</v>
      </c>
      <c r="AH153" s="98" t="e">
        <f>#REF!</f>
        <v>#REF!</v>
      </c>
      <c r="AI153" s="52" t="e">
        <f>#REF!</f>
        <v>#REF!</v>
      </c>
      <c r="AJ153" s="121" t="e">
        <f>#REF!</f>
        <v>#REF!</v>
      </c>
    </row>
    <row r="154" spans="26:36" x14ac:dyDescent="0.25">
      <c r="Z154" s="76" t="e">
        <f>#REF!</f>
        <v>#REF!</v>
      </c>
      <c r="AA154" s="77"/>
      <c r="AB154" s="76"/>
      <c r="AC154" s="77"/>
      <c r="AD154">
        <v>23</v>
      </c>
      <c r="AE154" s="98" t="e">
        <f>#REF!</f>
        <v>#REF!</v>
      </c>
      <c r="AF154" s="52" t="e">
        <f>#REF!</f>
        <v>#REF!</v>
      </c>
      <c r="AG154" s="119" t="e">
        <f>#REF!</f>
        <v>#REF!</v>
      </c>
      <c r="AH154" s="98" t="e">
        <f>#REF!</f>
        <v>#REF!</v>
      </c>
      <c r="AI154" s="52" t="e">
        <f>#REF!</f>
        <v>#REF!</v>
      </c>
      <c r="AJ154" s="121" t="e">
        <f>#REF!</f>
        <v>#REF!</v>
      </c>
    </row>
    <row r="155" spans="26:36" x14ac:dyDescent="0.25">
      <c r="Z155" s="76"/>
      <c r="AA155" s="77"/>
      <c r="AB155" s="76"/>
      <c r="AC155" s="77"/>
      <c r="AD155">
        <v>24</v>
      </c>
      <c r="AE155" s="98" t="e">
        <f>#REF!</f>
        <v>#REF!</v>
      </c>
      <c r="AF155" s="52" t="e">
        <f>#REF!</f>
        <v>#REF!</v>
      </c>
      <c r="AG155" s="119" t="e">
        <f>#REF!</f>
        <v>#REF!</v>
      </c>
      <c r="AH155" s="98" t="e">
        <f>#REF!</f>
        <v>#REF!</v>
      </c>
      <c r="AI155" s="52" t="e">
        <f>#REF!</f>
        <v>#REF!</v>
      </c>
      <c r="AJ155" s="121" t="e">
        <f>#REF!</f>
        <v>#REF!</v>
      </c>
    </row>
    <row r="156" spans="26:36" ht="15" customHeight="1" x14ac:dyDescent="0.25">
      <c r="Z156" s="76" t="e">
        <f>#REF!</f>
        <v>#REF!</v>
      </c>
      <c r="AA156" s="77"/>
      <c r="AB156" s="76"/>
      <c r="AC156" s="77"/>
      <c r="AD156">
        <v>25</v>
      </c>
      <c r="AE156" s="98" t="e">
        <f>#REF!</f>
        <v>#REF!</v>
      </c>
      <c r="AF156" s="52" t="e">
        <f>#REF!</f>
        <v>#REF!</v>
      </c>
      <c r="AG156" s="119" t="e">
        <f>#REF!</f>
        <v>#REF!</v>
      </c>
      <c r="AH156" s="98" t="e">
        <f>#REF!</f>
        <v>#REF!</v>
      </c>
      <c r="AI156" s="52" t="e">
        <f>#REF!</f>
        <v>#REF!</v>
      </c>
      <c r="AJ156" s="121" t="e">
        <f>#REF!</f>
        <v>#REF!</v>
      </c>
    </row>
    <row r="157" spans="26:36" ht="15" customHeight="1" x14ac:dyDescent="0.25">
      <c r="Z157" s="76" t="e">
        <f>#REF!</f>
        <v>#REF!</v>
      </c>
      <c r="AA157" s="77"/>
      <c r="AB157" s="76"/>
      <c r="AC157" s="77"/>
      <c r="AD157">
        <v>26</v>
      </c>
      <c r="AE157" s="98" t="e">
        <f>#REF!</f>
        <v>#REF!</v>
      </c>
      <c r="AF157" s="52" t="e">
        <f>#REF!</f>
        <v>#REF!</v>
      </c>
      <c r="AG157" s="119" t="e">
        <f>#REF!</f>
        <v>#REF!</v>
      </c>
      <c r="AH157" s="98" t="e">
        <f>#REF!</f>
        <v>#REF!</v>
      </c>
      <c r="AI157" s="52" t="e">
        <f>#REF!</f>
        <v>#REF!</v>
      </c>
      <c r="AJ157" s="121" t="e">
        <f>#REF!</f>
        <v>#REF!</v>
      </c>
    </row>
    <row r="158" spans="26:36" x14ac:dyDescent="0.25">
      <c r="Z158" s="76"/>
      <c r="AA158" s="77"/>
      <c r="AB158" s="76"/>
      <c r="AC158" s="77"/>
      <c r="AD158">
        <v>27</v>
      </c>
      <c r="AE158" s="98" t="e">
        <f>#REF!</f>
        <v>#REF!</v>
      </c>
      <c r="AF158" s="52" t="e">
        <f>#REF!</f>
        <v>#REF!</v>
      </c>
      <c r="AG158" s="119" t="e">
        <f>#REF!</f>
        <v>#REF!</v>
      </c>
      <c r="AH158" s="98" t="e">
        <f>#REF!</f>
        <v>#REF!</v>
      </c>
      <c r="AI158" s="52" t="e">
        <f>#REF!</f>
        <v>#REF!</v>
      </c>
      <c r="AJ158" s="121" t="e">
        <f>#REF!</f>
        <v>#REF!</v>
      </c>
    </row>
    <row r="159" spans="26:36" x14ac:dyDescent="0.25">
      <c r="Z159" s="76" t="e">
        <f>#REF!</f>
        <v>#REF!</v>
      </c>
      <c r="AA159" s="77"/>
      <c r="AB159" s="76"/>
      <c r="AC159" s="77"/>
      <c r="AD159">
        <v>28</v>
      </c>
      <c r="AE159" s="98" t="e">
        <f>#REF!</f>
        <v>#REF!</v>
      </c>
      <c r="AF159" s="52" t="e">
        <f>#REF!</f>
        <v>#REF!</v>
      </c>
      <c r="AG159" s="119" t="e">
        <f>#REF!</f>
        <v>#REF!</v>
      </c>
      <c r="AH159" s="98" t="e">
        <f>#REF!</f>
        <v>#REF!</v>
      </c>
      <c r="AI159" s="52" t="e">
        <f>#REF!</f>
        <v>#REF!</v>
      </c>
      <c r="AJ159" s="121" t="e">
        <f>#REF!</f>
        <v>#REF!</v>
      </c>
    </row>
    <row r="160" spans="26:36" x14ac:dyDescent="0.25">
      <c r="Z160" s="76" t="e">
        <f>#REF!</f>
        <v>#REF!</v>
      </c>
      <c r="AA160" s="77"/>
      <c r="AB160" s="76"/>
      <c r="AC160" s="77"/>
      <c r="AD160">
        <v>29</v>
      </c>
      <c r="AE160" s="98" t="e">
        <f>#REF!</f>
        <v>#REF!</v>
      </c>
      <c r="AF160" s="52" t="e">
        <f>#REF!</f>
        <v>#REF!</v>
      </c>
      <c r="AG160" s="119" t="e">
        <f>#REF!</f>
        <v>#REF!</v>
      </c>
      <c r="AH160" s="98" t="e">
        <f>#REF!</f>
        <v>#REF!</v>
      </c>
      <c r="AI160" s="52" t="e">
        <f>#REF!</f>
        <v>#REF!</v>
      </c>
      <c r="AJ160" s="121" t="e">
        <f>#REF!</f>
        <v>#REF!</v>
      </c>
    </row>
    <row r="161" spans="22:37" ht="15" customHeight="1" x14ac:dyDescent="0.25">
      <c r="Z161" s="76"/>
      <c r="AA161" s="77"/>
      <c r="AB161" s="76"/>
      <c r="AC161" s="77"/>
      <c r="AD161">
        <v>30</v>
      </c>
      <c r="AE161" s="98" t="e">
        <f>#REF!</f>
        <v>#REF!</v>
      </c>
      <c r="AF161" s="52" t="e">
        <f>#REF!</f>
        <v>#REF!</v>
      </c>
      <c r="AG161" s="119" t="e">
        <f>#REF!</f>
        <v>#REF!</v>
      </c>
      <c r="AH161" s="98" t="e">
        <f>#REF!</f>
        <v>#REF!</v>
      </c>
      <c r="AI161" s="52" t="e">
        <f>#REF!</f>
        <v>#REF!</v>
      </c>
      <c r="AJ161" s="121" t="e">
        <f>#REF!</f>
        <v>#REF!</v>
      </c>
    </row>
    <row r="162" spans="22:37" ht="15" customHeight="1" x14ac:dyDescent="0.25">
      <c r="V162" s="18"/>
      <c r="W162" s="18"/>
      <c r="X162" s="18"/>
      <c r="Z162" s="76" t="e">
        <f>#REF!</f>
        <v>#REF!</v>
      </c>
      <c r="AA162" s="77"/>
      <c r="AB162" s="76"/>
      <c r="AC162" s="77"/>
      <c r="AD162">
        <v>31</v>
      </c>
      <c r="AE162" s="98" t="e">
        <f>#REF!</f>
        <v>#REF!</v>
      </c>
      <c r="AF162" s="52" t="e">
        <f>#REF!</f>
        <v>#REF!</v>
      </c>
      <c r="AG162" s="120" t="e">
        <f>#REF!</f>
        <v>#REF!</v>
      </c>
      <c r="AH162" s="98" t="e">
        <f>#REF!</f>
        <v>#REF!</v>
      </c>
      <c r="AI162" s="52" t="e">
        <f>#REF!</f>
        <v>#REF!</v>
      </c>
      <c r="AJ162" s="122" t="e">
        <f>#REF!</f>
        <v>#REF!</v>
      </c>
    </row>
    <row r="163" spans="22:37" x14ac:dyDescent="0.25">
      <c r="V163" s="52"/>
      <c r="W163" s="52"/>
      <c r="X163" s="139"/>
      <c r="Z163" s="76" t="e">
        <f>#REF!</f>
        <v>#REF!</v>
      </c>
      <c r="AA163" s="77"/>
      <c r="AB163" s="76"/>
      <c r="AC163" s="77"/>
      <c r="AD163">
        <v>32</v>
      </c>
      <c r="AE163" s="98" t="e">
        <f>#REF!</f>
        <v>#REF!</v>
      </c>
      <c r="AF163" s="52" t="e">
        <f>#REF!</f>
        <v>#REF!</v>
      </c>
      <c r="AG163" s="120" t="e">
        <f>#REF!</f>
        <v>#REF!</v>
      </c>
      <c r="AH163" s="98" t="e">
        <f>#REF!</f>
        <v>#REF!</v>
      </c>
      <c r="AI163" s="52" t="e">
        <f>#REF!</f>
        <v>#REF!</v>
      </c>
      <c r="AJ163" s="121" t="e">
        <f>#REF!</f>
        <v>#REF!</v>
      </c>
    </row>
    <row r="164" spans="22:37" x14ac:dyDescent="0.25">
      <c r="Z164" s="76"/>
      <c r="AA164" s="77"/>
      <c r="AB164" s="76"/>
      <c r="AC164" s="77"/>
      <c r="AD164">
        <v>33</v>
      </c>
      <c r="AE164" s="98" t="e">
        <f>#REF!</f>
        <v>#REF!</v>
      </c>
      <c r="AF164" s="52" t="e">
        <f>#REF!</f>
        <v>#REF!</v>
      </c>
      <c r="AG164" s="119" t="e">
        <f>#REF!</f>
        <v>#REF!</v>
      </c>
      <c r="AH164" s="98" t="e">
        <f>#REF!</f>
        <v>#REF!</v>
      </c>
      <c r="AI164" s="52" t="e">
        <f>#REF!</f>
        <v>#REF!</v>
      </c>
      <c r="AJ164" s="121" t="e">
        <f>#REF!</f>
        <v>#REF!</v>
      </c>
    </row>
    <row r="165" spans="22:37" x14ac:dyDescent="0.25">
      <c r="Z165" s="76" t="e">
        <f>#REF!</f>
        <v>#REF!</v>
      </c>
      <c r="AA165" s="77"/>
      <c r="AB165" s="76"/>
      <c r="AC165" s="77"/>
      <c r="AD165">
        <v>34</v>
      </c>
      <c r="AE165" s="98" t="e">
        <f>#REF!</f>
        <v>#REF!</v>
      </c>
      <c r="AF165" s="52" t="e">
        <f>#REF!</f>
        <v>#REF!</v>
      </c>
      <c r="AG165" s="119" t="e">
        <f>#REF!</f>
        <v>#REF!</v>
      </c>
      <c r="AH165" s="98" t="e">
        <f>#REF!</f>
        <v>#REF!</v>
      </c>
      <c r="AI165" s="52" t="e">
        <f>#REF!</f>
        <v>#REF!</v>
      </c>
      <c r="AJ165" s="121" t="e">
        <f>#REF!</f>
        <v>#REF!</v>
      </c>
    </row>
    <row r="166" spans="22:37" ht="15" customHeight="1" x14ac:dyDescent="0.25">
      <c r="Z166" s="76" t="e">
        <f>#REF!</f>
        <v>#REF!</v>
      </c>
      <c r="AA166" s="77"/>
      <c r="AB166" s="76"/>
      <c r="AC166" s="77"/>
      <c r="AD166">
        <v>35</v>
      </c>
      <c r="AE166" s="98" t="e">
        <f>#REF!</f>
        <v>#REF!</v>
      </c>
      <c r="AF166" s="52" t="e">
        <f>#REF!</f>
        <v>#REF!</v>
      </c>
      <c r="AG166" s="120" t="e">
        <f>#REF!</f>
        <v>#REF!</v>
      </c>
      <c r="AH166" s="98" t="e">
        <f>#REF!</f>
        <v>#REF!</v>
      </c>
      <c r="AI166" s="52" t="e">
        <f>#REF!</f>
        <v>#REF!</v>
      </c>
      <c r="AJ166" s="121" t="e">
        <f>#REF!</f>
        <v>#REF!</v>
      </c>
    </row>
    <row r="167" spans="22:37" ht="15" customHeight="1" x14ac:dyDescent="0.25">
      <c r="Z167" s="76"/>
      <c r="AA167" s="77"/>
      <c r="AB167" s="76"/>
      <c r="AC167" s="77"/>
      <c r="AD167">
        <v>36</v>
      </c>
      <c r="AE167" s="98" t="e">
        <f>#REF!</f>
        <v>#REF!</v>
      </c>
      <c r="AF167" s="52" t="e">
        <f>#REF!</f>
        <v>#REF!</v>
      </c>
      <c r="AG167" s="120" t="e">
        <f>#REF!</f>
        <v>#REF!</v>
      </c>
      <c r="AH167" s="98" t="e">
        <f>#REF!</f>
        <v>#REF!</v>
      </c>
      <c r="AI167" s="52" t="e">
        <f>#REF!</f>
        <v>#REF!</v>
      </c>
      <c r="AJ167" s="122" t="e">
        <f>#REF!</f>
        <v>#REF!</v>
      </c>
    </row>
    <row r="168" spans="22:37" x14ac:dyDescent="0.25">
      <c r="Z168" s="76" t="e">
        <f>#REF!</f>
        <v>#REF!</v>
      </c>
      <c r="AA168" s="77"/>
      <c r="AB168" s="76"/>
      <c r="AC168" s="77"/>
      <c r="AD168">
        <v>37</v>
      </c>
      <c r="AE168" s="98" t="e">
        <f>#REF!</f>
        <v>#REF!</v>
      </c>
      <c r="AF168" s="52" t="e">
        <f>#REF!</f>
        <v>#REF!</v>
      </c>
      <c r="AG168" s="119" t="e">
        <f>#REF!</f>
        <v>#REF!</v>
      </c>
      <c r="AH168" s="98" t="e">
        <f>#REF!</f>
        <v>#REF!</v>
      </c>
      <c r="AI168" s="52" t="e">
        <f>#REF!</f>
        <v>#REF!</v>
      </c>
      <c r="AJ168" s="121" t="e">
        <f>#REF!</f>
        <v>#REF!</v>
      </c>
    </row>
    <row r="169" spans="22:37" x14ac:dyDescent="0.25">
      <c r="Z169" s="76" t="e">
        <f>#REF!</f>
        <v>#REF!</v>
      </c>
      <c r="AA169" s="77"/>
      <c r="AB169" s="76"/>
      <c r="AC169" s="77"/>
      <c r="AD169">
        <v>38</v>
      </c>
      <c r="AE169" s="98" t="e">
        <f>#REF!</f>
        <v>#REF!</v>
      </c>
      <c r="AF169" s="52" t="e">
        <f>#REF!</f>
        <v>#REF!</v>
      </c>
      <c r="AG169" s="119" t="e">
        <f>#REF!</f>
        <v>#REF!</v>
      </c>
      <c r="AH169" s="98" t="e">
        <f>#REF!</f>
        <v>#REF!</v>
      </c>
      <c r="AI169" s="52" t="e">
        <f>#REF!</f>
        <v>#REF!</v>
      </c>
      <c r="AJ169" s="121" t="e">
        <f>#REF!</f>
        <v>#REF!</v>
      </c>
    </row>
    <row r="170" spans="22:37" x14ac:dyDescent="0.25">
      <c r="Z170" s="76"/>
      <c r="AA170" s="77"/>
      <c r="AB170" s="76"/>
      <c r="AC170" s="77"/>
      <c r="AD170">
        <v>39</v>
      </c>
      <c r="AE170" s="98" t="e">
        <f>#REF!</f>
        <v>#REF!</v>
      </c>
      <c r="AF170" s="52" t="e">
        <f>#REF!</f>
        <v>#REF!</v>
      </c>
      <c r="AG170" s="119" t="e">
        <f>#REF!</f>
        <v>#REF!</v>
      </c>
      <c r="AH170" s="98" t="e">
        <f>#REF!</f>
        <v>#REF!</v>
      </c>
      <c r="AI170" s="52" t="e">
        <f>#REF!</f>
        <v>#REF!</v>
      </c>
      <c r="AJ170" s="121" t="e">
        <f>#REF!</f>
        <v>#REF!</v>
      </c>
    </row>
    <row r="171" spans="22:37" ht="15" customHeight="1" x14ac:dyDescent="0.25">
      <c r="Z171" s="76" t="e">
        <f>#REF!</f>
        <v>#REF!</v>
      </c>
      <c r="AA171" s="77"/>
      <c r="AB171" s="76"/>
      <c r="AC171" s="77"/>
      <c r="AD171">
        <v>40</v>
      </c>
      <c r="AE171" s="98" t="e">
        <f>#REF!</f>
        <v>#REF!</v>
      </c>
      <c r="AF171" s="52" t="e">
        <f>#REF!</f>
        <v>#REF!</v>
      </c>
      <c r="AG171" s="119" t="e">
        <f>#REF!</f>
        <v>#REF!</v>
      </c>
      <c r="AH171" s="98" t="e">
        <f>#REF!</f>
        <v>#REF!</v>
      </c>
      <c r="AI171" s="52" t="e">
        <f>#REF!</f>
        <v>#REF!</v>
      </c>
      <c r="AJ171" s="121" t="e">
        <f>#REF!</f>
        <v>#REF!</v>
      </c>
    </row>
    <row r="172" spans="22:37" ht="15" customHeight="1" x14ac:dyDescent="0.25">
      <c r="Z172" s="76" t="e">
        <f>#REF!</f>
        <v>#REF!</v>
      </c>
      <c r="AA172" s="77"/>
      <c r="AB172" s="76"/>
      <c r="AC172" s="77"/>
      <c r="AD172">
        <v>41</v>
      </c>
      <c r="AE172" s="98" t="e">
        <f>#REF!</f>
        <v>#REF!</v>
      </c>
      <c r="AF172" s="52" t="e">
        <f>#REF!</f>
        <v>#REF!</v>
      </c>
      <c r="AG172" s="119" t="e">
        <f>#REF!</f>
        <v>#REF!</v>
      </c>
      <c r="AH172" s="98" t="e">
        <f>#REF!</f>
        <v>#REF!</v>
      </c>
      <c r="AI172" s="52" t="e">
        <f>#REF!</f>
        <v>#REF!</v>
      </c>
      <c r="AJ172" s="121" t="e">
        <f>#REF!</f>
        <v>#REF!</v>
      </c>
    </row>
    <row r="173" spans="22:37" x14ac:dyDescent="0.25">
      <c r="Z173" s="76"/>
      <c r="AA173" s="77"/>
      <c r="AB173" s="76"/>
      <c r="AD173">
        <v>42</v>
      </c>
      <c r="AE173" s="98" t="e">
        <f>#REF!</f>
        <v>#REF!</v>
      </c>
      <c r="AF173" s="52" t="e">
        <f>#REF!</f>
        <v>#REF!</v>
      </c>
      <c r="AG173" s="119" t="e">
        <f>#REF!</f>
        <v>#REF!</v>
      </c>
      <c r="AH173" s="98" t="e">
        <f>#REF!</f>
        <v>#REF!</v>
      </c>
      <c r="AI173" s="52" t="e">
        <f>#REF!</f>
        <v>#REF!</v>
      </c>
      <c r="AJ173" s="121" t="e">
        <f>#REF!</f>
        <v>#REF!</v>
      </c>
      <c r="AK173" s="17"/>
    </row>
    <row r="174" spans="22:37" x14ac:dyDescent="0.25">
      <c r="Z174" s="76" t="e">
        <f>#REF!</f>
        <v>#REF!</v>
      </c>
      <c r="AA174" s="77"/>
      <c r="AB174" s="163" t="s">
        <v>372</v>
      </c>
      <c r="AC174" s="162"/>
      <c r="AD174">
        <v>43</v>
      </c>
      <c r="AE174" s="98" t="e">
        <f>#REF!</f>
        <v>#REF!</v>
      </c>
      <c r="AF174" s="52" t="e">
        <f>#REF!</f>
        <v>#REF!</v>
      </c>
      <c r="AG174" s="119" t="e">
        <f>#REF!</f>
        <v>#REF!</v>
      </c>
      <c r="AH174" s="98" t="e">
        <f>#REF!</f>
        <v>#REF!</v>
      </c>
      <c r="AI174" s="52" t="e">
        <f>#REF!</f>
        <v>#REF!</v>
      </c>
      <c r="AJ174" s="121" t="e">
        <f>#REF!</f>
        <v>#REF!</v>
      </c>
    </row>
    <row r="175" spans="22:37" x14ac:dyDescent="0.25">
      <c r="Z175" s="76" t="e">
        <f>#REF!</f>
        <v>#REF!</v>
      </c>
      <c r="AA175" s="77"/>
      <c r="AB175" s="80" t="s">
        <v>305</v>
      </c>
      <c r="AC175" s="82">
        <f ca="1">SUMIF($AI$132:$AJ$195,AB175,$AJ$132:$AJ$195)</f>
        <v>0</v>
      </c>
      <c r="AD175">
        <v>44</v>
      </c>
      <c r="AE175" s="98" t="e">
        <f>#REF!</f>
        <v>#REF!</v>
      </c>
      <c r="AF175" s="52" t="e">
        <f>#REF!</f>
        <v>#REF!</v>
      </c>
      <c r="AG175" s="119" t="e">
        <f>#REF!</f>
        <v>#REF!</v>
      </c>
      <c r="AH175" s="98" t="e">
        <f>#REF!</f>
        <v>#REF!</v>
      </c>
      <c r="AI175" s="52" t="e">
        <f>#REF!</f>
        <v>#REF!</v>
      </c>
      <c r="AJ175" s="121" t="e">
        <f>#REF!</f>
        <v>#REF!</v>
      </c>
    </row>
    <row r="176" spans="22:37" ht="15" customHeight="1" x14ac:dyDescent="0.25">
      <c r="Z176" s="76"/>
      <c r="AA176" s="77"/>
      <c r="AB176" s="76" t="s">
        <v>300</v>
      </c>
      <c r="AC176" s="83">
        <f t="shared" ref="AC176:AC184" ca="1" si="54">SUMIF($AI$132:$AJ$195,AB176,$AJ$132:$AJ$195)</f>
        <v>0</v>
      </c>
      <c r="AD176">
        <v>45</v>
      </c>
      <c r="AE176" s="98" t="e">
        <f>#REF!</f>
        <v>#REF!</v>
      </c>
      <c r="AF176" s="52" t="e">
        <f>#REF!</f>
        <v>#REF!</v>
      </c>
      <c r="AG176" s="119" t="e">
        <f>#REF!</f>
        <v>#REF!</v>
      </c>
      <c r="AH176" s="98" t="e">
        <f>#REF!</f>
        <v>#REF!</v>
      </c>
      <c r="AI176" s="52" t="e">
        <f>#REF!</f>
        <v>#REF!</v>
      </c>
      <c r="AJ176" s="121" t="e">
        <f>#REF!</f>
        <v>#REF!</v>
      </c>
    </row>
    <row r="177" spans="26:36" ht="15" customHeight="1" x14ac:dyDescent="0.25">
      <c r="Z177" s="76" t="e">
        <f>#REF!</f>
        <v>#REF!</v>
      </c>
      <c r="AA177" s="77"/>
      <c r="AB177" s="76" t="s">
        <v>301</v>
      </c>
      <c r="AC177" s="83">
        <f t="shared" ca="1" si="54"/>
        <v>0</v>
      </c>
      <c r="AD177">
        <v>46</v>
      </c>
      <c r="AE177" s="98" t="e">
        <f>#REF!</f>
        <v>#REF!</v>
      </c>
      <c r="AF177" s="52" t="e">
        <f>#REF!</f>
        <v>#REF!</v>
      </c>
      <c r="AG177" s="120" t="e">
        <f>#REF!</f>
        <v>#REF!</v>
      </c>
      <c r="AH177" s="98" t="e">
        <f>#REF!</f>
        <v>#REF!</v>
      </c>
      <c r="AI177" s="52" t="e">
        <f>#REF!</f>
        <v>#REF!</v>
      </c>
      <c r="AJ177" s="122" t="e">
        <f>#REF!</f>
        <v>#REF!</v>
      </c>
    </row>
    <row r="178" spans="26:36" x14ac:dyDescent="0.25">
      <c r="Z178" s="76" t="e">
        <f>#REF!</f>
        <v>#REF!</v>
      </c>
      <c r="AA178" s="77"/>
      <c r="AB178" s="76" t="s">
        <v>299</v>
      </c>
      <c r="AC178" s="83">
        <f t="shared" ca="1" si="54"/>
        <v>0</v>
      </c>
      <c r="AD178">
        <v>47</v>
      </c>
      <c r="AE178" s="98" t="e">
        <f>#REF!</f>
        <v>#REF!</v>
      </c>
      <c r="AF178" s="52" t="e">
        <f>#REF!</f>
        <v>#REF!</v>
      </c>
      <c r="AG178" s="119" t="e">
        <f>#REF!</f>
        <v>#REF!</v>
      </c>
      <c r="AH178" s="98" t="e">
        <f>#REF!</f>
        <v>#REF!</v>
      </c>
      <c r="AI178" s="52" t="e">
        <f>#REF!</f>
        <v>#REF!</v>
      </c>
      <c r="AJ178" s="121" t="e">
        <f>#REF!</f>
        <v>#REF!</v>
      </c>
    </row>
    <row r="179" spans="26:36" x14ac:dyDescent="0.25">
      <c r="Z179" s="76"/>
      <c r="AA179" s="77"/>
      <c r="AB179" s="76" t="s">
        <v>298</v>
      </c>
      <c r="AC179" s="83">
        <f t="shared" ca="1" si="54"/>
        <v>0</v>
      </c>
      <c r="AD179">
        <v>48</v>
      </c>
      <c r="AE179" s="98" t="e">
        <f>#REF!</f>
        <v>#REF!</v>
      </c>
      <c r="AF179" s="52" t="e">
        <f>#REF!</f>
        <v>#REF!</v>
      </c>
      <c r="AG179" s="119" t="e">
        <f>#REF!</f>
        <v>#REF!</v>
      </c>
      <c r="AH179" s="98" t="e">
        <f>#REF!</f>
        <v>#REF!</v>
      </c>
      <c r="AI179" s="52" t="e">
        <f>#REF!</f>
        <v>#REF!</v>
      </c>
      <c r="AJ179" s="121" t="e">
        <f>#REF!</f>
        <v>#REF!</v>
      </c>
    </row>
    <row r="180" spans="26:36" x14ac:dyDescent="0.25">
      <c r="Z180" s="76" t="e">
        <f>#REF!</f>
        <v>#REF!</v>
      </c>
      <c r="AA180" s="77"/>
      <c r="AB180" s="76" t="s">
        <v>302</v>
      </c>
      <c r="AC180" s="83">
        <f t="shared" ca="1" si="54"/>
        <v>0</v>
      </c>
      <c r="AD180">
        <v>49</v>
      </c>
      <c r="AE180" s="98" t="e">
        <f>#REF!</f>
        <v>#REF!</v>
      </c>
      <c r="AF180" s="52" t="e">
        <f>#REF!</f>
        <v>#REF!</v>
      </c>
      <c r="AG180" s="119" t="e">
        <f>#REF!</f>
        <v>#REF!</v>
      </c>
      <c r="AH180" s="98" t="e">
        <f>#REF!</f>
        <v>#REF!</v>
      </c>
      <c r="AI180" s="52" t="e">
        <f>#REF!</f>
        <v>#REF!</v>
      </c>
      <c r="AJ180" s="121" t="e">
        <f>#REF!</f>
        <v>#REF!</v>
      </c>
    </row>
    <row r="181" spans="26:36" ht="15" customHeight="1" x14ac:dyDescent="0.25">
      <c r="Z181" s="76" t="e">
        <f>#REF!</f>
        <v>#REF!</v>
      </c>
      <c r="AA181" s="77"/>
      <c r="AB181" s="76" t="s">
        <v>296</v>
      </c>
      <c r="AC181" s="83">
        <f t="shared" ca="1" si="54"/>
        <v>0</v>
      </c>
      <c r="AD181">
        <v>50</v>
      </c>
      <c r="AE181" s="98" t="e">
        <f>#REF!</f>
        <v>#REF!</v>
      </c>
      <c r="AF181" s="52" t="e">
        <f>#REF!</f>
        <v>#REF!</v>
      </c>
      <c r="AG181" s="119" t="e">
        <f>#REF!</f>
        <v>#REF!</v>
      </c>
      <c r="AH181" s="98" t="e">
        <f>#REF!</f>
        <v>#REF!</v>
      </c>
      <c r="AI181" s="52" t="e">
        <f>#REF!</f>
        <v>#REF!</v>
      </c>
      <c r="AJ181" s="121" t="e">
        <f>#REF!</f>
        <v>#REF!</v>
      </c>
    </row>
    <row r="182" spans="26:36" ht="15" customHeight="1" x14ac:dyDescent="0.25">
      <c r="Z182" s="76"/>
      <c r="AA182" s="77"/>
      <c r="AB182" s="76" t="s">
        <v>297</v>
      </c>
      <c r="AC182" s="83">
        <f t="shared" ca="1" si="54"/>
        <v>0</v>
      </c>
      <c r="AD182">
        <v>51</v>
      </c>
      <c r="AE182" s="98" t="e">
        <f>#REF!</f>
        <v>#REF!</v>
      </c>
      <c r="AF182" s="52" t="e">
        <f>#REF!</f>
        <v>#REF!</v>
      </c>
      <c r="AG182" s="119" t="e">
        <f>#REF!</f>
        <v>#REF!</v>
      </c>
      <c r="AH182" s="98" t="e">
        <f>#REF!</f>
        <v>#REF!</v>
      </c>
      <c r="AI182" s="52" t="e">
        <f>#REF!</f>
        <v>#REF!</v>
      </c>
      <c r="AJ182" s="121" t="e">
        <f>#REF!</f>
        <v>#REF!</v>
      </c>
    </row>
    <row r="183" spans="26:36" x14ac:dyDescent="0.25">
      <c r="Z183" s="76" t="e">
        <f>#REF!</f>
        <v>#REF!</v>
      </c>
      <c r="AA183" s="77"/>
      <c r="AB183" s="76" t="s">
        <v>303</v>
      </c>
      <c r="AC183" s="83">
        <f t="shared" ca="1" si="54"/>
        <v>0</v>
      </c>
      <c r="AD183">
        <v>52</v>
      </c>
      <c r="AE183" s="98" t="e">
        <f>#REF!</f>
        <v>#REF!</v>
      </c>
      <c r="AF183" s="52" t="e">
        <f>#REF!</f>
        <v>#REF!</v>
      </c>
      <c r="AG183" s="119" t="e">
        <f>#REF!</f>
        <v>#REF!</v>
      </c>
      <c r="AH183" s="98" t="e">
        <f>#REF!</f>
        <v>#REF!</v>
      </c>
      <c r="AI183" s="52" t="e">
        <f>#REF!</f>
        <v>#REF!</v>
      </c>
      <c r="AJ183" s="121" t="e">
        <f>#REF!</f>
        <v>#REF!</v>
      </c>
    </row>
    <row r="184" spans="26:36" x14ac:dyDescent="0.25">
      <c r="Z184" s="76" t="e">
        <f>#REF!</f>
        <v>#REF!</v>
      </c>
      <c r="AA184" s="77"/>
      <c r="AB184" s="78" t="s">
        <v>304</v>
      </c>
      <c r="AC184" s="107">
        <f t="shared" ca="1" si="54"/>
        <v>0</v>
      </c>
      <c r="AD184">
        <v>53</v>
      </c>
      <c r="AE184" s="98" t="e">
        <f>#REF!</f>
        <v>#REF!</v>
      </c>
      <c r="AF184" s="52" t="e">
        <f>#REF!</f>
        <v>#REF!</v>
      </c>
      <c r="AG184" s="120" t="e">
        <f>#REF!</f>
        <v>#REF!</v>
      </c>
      <c r="AH184" s="98" t="e">
        <f>#REF!</f>
        <v>#REF!</v>
      </c>
      <c r="AI184" s="52" t="e">
        <f>#REF!</f>
        <v>#REF!</v>
      </c>
      <c r="AJ184" s="121" t="e">
        <f>#REF!</f>
        <v>#REF!</v>
      </c>
    </row>
    <row r="185" spans="26:36" x14ac:dyDescent="0.25">
      <c r="Z185" s="76"/>
      <c r="AA185" s="77"/>
      <c r="AB185" s="76"/>
      <c r="AD185">
        <v>54</v>
      </c>
      <c r="AE185" s="98" t="e">
        <f>#REF!</f>
        <v>#REF!</v>
      </c>
      <c r="AF185" s="52" t="e">
        <f>#REF!</f>
        <v>#REF!</v>
      </c>
      <c r="AG185" s="119" t="e">
        <f>#REF!</f>
        <v>#REF!</v>
      </c>
      <c r="AH185" s="98" t="e">
        <f>#REF!</f>
        <v>#REF!</v>
      </c>
      <c r="AI185" s="52" t="e">
        <f>#REF!</f>
        <v>#REF!</v>
      </c>
      <c r="AJ185" s="121" t="e">
        <f>#REF!</f>
        <v>#REF!</v>
      </c>
    </row>
    <row r="186" spans="26:36" ht="15" customHeight="1" x14ac:dyDescent="0.25">
      <c r="Z186" s="76" t="e">
        <f>#REF!</f>
        <v>#REF!</v>
      </c>
      <c r="AA186" s="77"/>
      <c r="AB186" s="163" t="s">
        <v>370</v>
      </c>
      <c r="AC186" s="162"/>
      <c r="AD186">
        <v>55</v>
      </c>
      <c r="AE186" s="98" t="e">
        <f>#REF!</f>
        <v>#REF!</v>
      </c>
      <c r="AF186" s="52" t="e">
        <f>#REF!</f>
        <v>#REF!</v>
      </c>
      <c r="AG186" s="119" t="e">
        <f>#REF!</f>
        <v>#REF!</v>
      </c>
      <c r="AH186" s="98" t="e">
        <f>#REF!</f>
        <v>#REF!</v>
      </c>
      <c r="AI186" s="52" t="e">
        <f>#REF!</f>
        <v>#REF!</v>
      </c>
      <c r="AJ186" s="121" t="e">
        <f>#REF!</f>
        <v>#REF!</v>
      </c>
    </row>
    <row r="187" spans="26:36" ht="15" customHeight="1" x14ac:dyDescent="0.25">
      <c r="Z187" s="76" t="e">
        <f>#REF!</f>
        <v>#REF!</v>
      </c>
      <c r="AA187" s="77"/>
      <c r="AB187" s="80" t="s">
        <v>305</v>
      </c>
      <c r="AC187" s="82">
        <f ca="1">SUMIF($AF$132:$AG$195,AB187,$AG$132:$AG$195)</f>
        <v>0</v>
      </c>
      <c r="AD187">
        <v>56</v>
      </c>
      <c r="AE187" s="98" t="e">
        <f>#REF!</f>
        <v>#REF!</v>
      </c>
      <c r="AF187" s="52" t="e">
        <f>#REF!</f>
        <v>#REF!</v>
      </c>
      <c r="AG187" s="119" t="e">
        <f>#REF!</f>
        <v>#REF!</v>
      </c>
      <c r="AH187" s="98" t="e">
        <f>#REF!</f>
        <v>#REF!</v>
      </c>
      <c r="AI187" s="52" t="e">
        <f>#REF!</f>
        <v>#REF!</v>
      </c>
      <c r="AJ187" s="121" t="e">
        <f>#REF!</f>
        <v>#REF!</v>
      </c>
    </row>
    <row r="188" spans="26:36" x14ac:dyDescent="0.25">
      <c r="Z188" s="76"/>
      <c r="AA188" s="77"/>
      <c r="AB188" s="76" t="s">
        <v>300</v>
      </c>
      <c r="AC188" s="83">
        <f t="shared" ref="AC188:AC196" ca="1" si="55">SUMIF($AF$132:$AG$195,AB188,$AG$132:$AG$195)</f>
        <v>0</v>
      </c>
      <c r="AD188">
        <v>57</v>
      </c>
      <c r="AE188" s="98" t="e">
        <f>#REF!</f>
        <v>#REF!</v>
      </c>
      <c r="AF188" s="52" t="e">
        <f>#REF!</f>
        <v>#REF!</v>
      </c>
      <c r="AG188" s="119" t="e">
        <f>#REF!</f>
        <v>#REF!</v>
      </c>
      <c r="AH188" s="98" t="e">
        <f>#REF!</f>
        <v>#REF!</v>
      </c>
      <c r="AI188" s="52" t="e">
        <f>#REF!</f>
        <v>#REF!</v>
      </c>
      <c r="AJ188" s="121" t="e">
        <f>#REF!</f>
        <v>#REF!</v>
      </c>
    </row>
    <row r="189" spans="26:36" x14ac:dyDescent="0.25">
      <c r="Z189" s="76" t="e">
        <f>#REF!</f>
        <v>#REF!</v>
      </c>
      <c r="AA189" s="77"/>
      <c r="AB189" s="76" t="s">
        <v>301</v>
      </c>
      <c r="AC189" s="83">
        <f t="shared" ca="1" si="55"/>
        <v>0</v>
      </c>
      <c r="AD189">
        <v>58</v>
      </c>
      <c r="AE189" s="98" t="e">
        <f>#REF!</f>
        <v>#REF!</v>
      </c>
      <c r="AF189" s="52" t="e">
        <f>#REF!</f>
        <v>#REF!</v>
      </c>
      <c r="AG189" s="119" t="e">
        <f>#REF!</f>
        <v>#REF!</v>
      </c>
      <c r="AH189" s="98" t="e">
        <f>#REF!</f>
        <v>#REF!</v>
      </c>
      <c r="AI189" s="52" t="e">
        <f>#REF!</f>
        <v>#REF!</v>
      </c>
      <c r="AJ189" s="121" t="e">
        <f>#REF!</f>
        <v>#REF!</v>
      </c>
    </row>
    <row r="190" spans="26:36" x14ac:dyDescent="0.25">
      <c r="Z190" s="76" t="e">
        <f>#REF!</f>
        <v>#REF!</v>
      </c>
      <c r="AA190" s="77"/>
      <c r="AB190" s="76" t="s">
        <v>299</v>
      </c>
      <c r="AC190" s="83">
        <f t="shared" ca="1" si="55"/>
        <v>0</v>
      </c>
      <c r="AD190">
        <v>59</v>
      </c>
      <c r="AE190" s="98" t="e">
        <f>#REF!</f>
        <v>#REF!</v>
      </c>
      <c r="AF190" s="52" t="e">
        <f>#REF!</f>
        <v>#REF!</v>
      </c>
      <c r="AG190" s="120" t="e">
        <f>#REF!</f>
        <v>#REF!</v>
      </c>
      <c r="AH190" s="98" t="e">
        <f>#REF!</f>
        <v>#REF!</v>
      </c>
      <c r="AI190" s="52" t="e">
        <f>#REF!</f>
        <v>#REF!</v>
      </c>
      <c r="AJ190" s="121" t="e">
        <f>#REF!</f>
        <v>#REF!</v>
      </c>
    </row>
    <row r="191" spans="26:36" ht="15" customHeight="1" x14ac:dyDescent="0.25">
      <c r="Z191" s="76"/>
      <c r="AA191" s="77"/>
      <c r="AB191" s="76" t="s">
        <v>298</v>
      </c>
      <c r="AC191" s="83">
        <f t="shared" ca="1" si="55"/>
        <v>0</v>
      </c>
      <c r="AD191">
        <v>60</v>
      </c>
      <c r="AE191" s="98" t="e">
        <f>#REF!</f>
        <v>#REF!</v>
      </c>
      <c r="AF191" s="52" t="e">
        <f>#REF!</f>
        <v>#REF!</v>
      </c>
      <c r="AG191" s="119" t="e">
        <f>#REF!</f>
        <v>#REF!</v>
      </c>
      <c r="AH191" s="98" t="e">
        <f>#REF!</f>
        <v>#REF!</v>
      </c>
      <c r="AI191" s="52" t="e">
        <f>#REF!</f>
        <v>#REF!</v>
      </c>
      <c r="AJ191" s="121" t="e">
        <f>#REF!</f>
        <v>#REF!</v>
      </c>
    </row>
    <row r="192" spans="26:36" ht="15" customHeight="1" x14ac:dyDescent="0.25">
      <c r="Z192" s="76" t="e">
        <f>#REF!</f>
        <v>#REF!</v>
      </c>
      <c r="AA192" s="77"/>
      <c r="AB192" s="76" t="s">
        <v>302</v>
      </c>
      <c r="AC192" s="83">
        <f t="shared" ca="1" si="55"/>
        <v>0</v>
      </c>
      <c r="AD192">
        <v>61</v>
      </c>
      <c r="AE192" s="98" t="e">
        <f>#REF!</f>
        <v>#REF!</v>
      </c>
      <c r="AF192" s="52" t="e">
        <f>#REF!</f>
        <v>#REF!</v>
      </c>
      <c r="AG192" s="119" t="e">
        <f>#REF!</f>
        <v>#REF!</v>
      </c>
      <c r="AH192" s="98" t="e">
        <f>#REF!</f>
        <v>#REF!</v>
      </c>
      <c r="AI192" s="52" t="e">
        <f>#REF!</f>
        <v>#REF!</v>
      </c>
      <c r="AJ192" s="121" t="e">
        <f>#REF!</f>
        <v>#REF!</v>
      </c>
    </row>
    <row r="193" spans="26:36" x14ac:dyDescent="0.25">
      <c r="Z193" s="76" t="e">
        <f>#REF!</f>
        <v>#REF!</v>
      </c>
      <c r="AA193" s="77"/>
      <c r="AB193" s="76" t="s">
        <v>296</v>
      </c>
      <c r="AC193" s="83">
        <f t="shared" ca="1" si="55"/>
        <v>0</v>
      </c>
      <c r="AD193">
        <v>62</v>
      </c>
      <c r="AE193" s="98" t="e">
        <f>#REF!</f>
        <v>#REF!</v>
      </c>
      <c r="AF193" s="52" t="e">
        <f>#REF!</f>
        <v>#REF!</v>
      </c>
      <c r="AG193" s="119" t="e">
        <f>#REF!</f>
        <v>#REF!</v>
      </c>
      <c r="AH193" s="98" t="e">
        <f>#REF!</f>
        <v>#REF!</v>
      </c>
      <c r="AI193" s="52" t="e">
        <f>#REF!</f>
        <v>#REF!</v>
      </c>
      <c r="AJ193" s="121" t="e">
        <f>#REF!</f>
        <v>#REF!</v>
      </c>
    </row>
    <row r="194" spans="26:36" x14ac:dyDescent="0.25">
      <c r="Z194" s="76"/>
      <c r="AA194" s="77"/>
      <c r="AB194" s="76" t="s">
        <v>297</v>
      </c>
      <c r="AC194" s="83">
        <f t="shared" ca="1" si="55"/>
        <v>0</v>
      </c>
      <c r="AD194">
        <v>63</v>
      </c>
      <c r="AE194" s="98" t="e">
        <f>#REF!</f>
        <v>#REF!</v>
      </c>
      <c r="AF194" s="52" t="e">
        <f>#REF!</f>
        <v>#REF!</v>
      </c>
      <c r="AG194" s="120" t="e">
        <f>#REF!</f>
        <v>#REF!</v>
      </c>
      <c r="AH194" s="98" t="e">
        <f>#REF!</f>
        <v>#REF!</v>
      </c>
      <c r="AI194" s="52" t="e">
        <f>#REF!</f>
        <v>#REF!</v>
      </c>
      <c r="AJ194" s="121" t="e">
        <f>#REF!</f>
        <v>#REF!</v>
      </c>
    </row>
    <row r="195" spans="26:36" x14ac:dyDescent="0.25">
      <c r="Z195" s="76" t="e">
        <f>#REF!</f>
        <v>#REF!</v>
      </c>
      <c r="AA195" s="77"/>
      <c r="AB195" s="76" t="s">
        <v>303</v>
      </c>
      <c r="AC195" s="83">
        <f t="shared" ca="1" si="55"/>
        <v>0</v>
      </c>
      <c r="AD195">
        <v>64</v>
      </c>
      <c r="AE195" s="98" t="e">
        <f>#REF!</f>
        <v>#REF!</v>
      </c>
      <c r="AF195" s="52" t="e">
        <f>#REF!</f>
        <v>#REF!</v>
      </c>
      <c r="AG195" s="119" t="e">
        <f>#REF!</f>
        <v>#REF!</v>
      </c>
      <c r="AH195" s="98" t="e">
        <f>#REF!</f>
        <v>#REF!</v>
      </c>
      <c r="AI195" s="52" t="e">
        <f>#REF!</f>
        <v>#REF!</v>
      </c>
      <c r="AJ195" s="121" t="e">
        <f>#REF!</f>
        <v>#REF!</v>
      </c>
    </row>
    <row r="196" spans="26:36" ht="15" customHeight="1" x14ac:dyDescent="0.25">
      <c r="Z196" s="78" t="e">
        <f>#REF!</f>
        <v>#REF!</v>
      </c>
      <c r="AA196" s="94"/>
      <c r="AB196" s="78" t="s">
        <v>304</v>
      </c>
      <c r="AC196" s="107">
        <f t="shared" ca="1" si="55"/>
        <v>0</v>
      </c>
      <c r="AD196" s="94"/>
      <c r="AE196" s="78"/>
      <c r="AF196" s="94"/>
      <c r="AG196" s="107"/>
      <c r="AH196" s="78"/>
      <c r="AI196" s="94"/>
      <c r="AJ196" s="107"/>
    </row>
  </sheetData>
  <sheetProtection selectLockedCells="1" selectUnlockedCells="1"/>
  <mergeCells count="16">
    <mergeCell ref="B31:C31"/>
    <mergeCell ref="B43:C43"/>
    <mergeCell ref="D31:F31"/>
    <mergeCell ref="D43:F43"/>
    <mergeCell ref="J43:K43"/>
    <mergeCell ref="L43:M43"/>
    <mergeCell ref="AH131:AJ131"/>
    <mergeCell ref="AB186:AC186"/>
    <mergeCell ref="AB174:AC174"/>
    <mergeCell ref="R79:S79"/>
    <mergeCell ref="R91:S91"/>
    <mergeCell ref="H56:J56"/>
    <mergeCell ref="L56:N56"/>
    <mergeCell ref="P104:R104"/>
    <mergeCell ref="T104:V104"/>
    <mergeCell ref="AE131:AG131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5"/>
  <dimension ref="A1:Q22"/>
  <sheetViews>
    <sheetView tabSelected="1" workbookViewId="0">
      <selection activeCell="D8" sqref="D8"/>
    </sheetView>
  </sheetViews>
  <sheetFormatPr baseColWidth="10" defaultColWidth="19.7109375" defaultRowHeight="21.75" customHeight="1" x14ac:dyDescent="0.25"/>
  <cols>
    <col min="1" max="1" width="27.5703125" style="5" bestFit="1" customWidth="1"/>
    <col min="2" max="2" width="10.42578125" style="5" customWidth="1"/>
    <col min="3" max="3" width="5.140625" style="5" bestFit="1" customWidth="1"/>
    <col min="4" max="4" width="23.28515625" style="5" customWidth="1"/>
    <col min="5" max="5" width="5.28515625" style="5" customWidth="1"/>
    <col min="6" max="6" width="4.85546875" style="5" customWidth="1"/>
    <col min="7" max="7" width="19.5703125" style="5" customWidth="1"/>
    <col min="8" max="8" width="20.5703125" style="5" bestFit="1" customWidth="1"/>
    <col min="9" max="9" width="7.140625" style="5" customWidth="1"/>
    <col min="10" max="10" width="0.140625" style="5" hidden="1" customWidth="1"/>
    <col min="11" max="11" width="27.140625" style="5" customWidth="1"/>
    <col min="12" max="12" width="5" style="5" customWidth="1"/>
    <col min="13" max="13" width="19.7109375" style="5" customWidth="1"/>
    <col min="14" max="14" width="7.140625" style="5" customWidth="1"/>
    <col min="15" max="15" width="2.140625" style="5" hidden="1" customWidth="1"/>
    <col min="16" max="16" width="27.140625" style="5" customWidth="1"/>
    <col min="17" max="17" width="5" style="5" customWidth="1"/>
    <col min="18" max="16384" width="19.7109375" style="5"/>
  </cols>
  <sheetData>
    <row r="1" spans="1:17" s="1" customFormat="1" ht="34.5" customHeight="1" x14ac:dyDescent="0.25">
      <c r="A1" s="108" t="s">
        <v>0</v>
      </c>
      <c r="B1" s="172" t="s">
        <v>394</v>
      </c>
      <c r="C1" s="172"/>
      <c r="D1" s="172"/>
      <c r="E1" s="172"/>
      <c r="F1" s="172"/>
      <c r="K1" s="2"/>
      <c r="L1" s="3"/>
    </row>
    <row r="2" spans="1:17" ht="21.75" customHeight="1" x14ac:dyDescent="0.25">
      <c r="A2" s="108" t="s">
        <v>1</v>
      </c>
      <c r="B2" s="1" t="s">
        <v>2</v>
      </c>
      <c r="C2" s="96" t="str">
        <f>IF($E$2="x","","x")</f>
        <v>x</v>
      </c>
      <c r="D2" s="16" t="s">
        <v>3</v>
      </c>
      <c r="E2" s="95"/>
      <c r="H2" s="169" t="e">
        <f>"Simple : "&amp;$B$8&amp;" joueurs"</f>
        <v>#REF!</v>
      </c>
      <c r="I2" s="170"/>
      <c r="J2" s="170"/>
      <c r="K2" s="170"/>
      <c r="L2" s="171"/>
      <c r="M2" s="169" t="e">
        <f>"Double : "&amp;ROUNDDOWN($B$8/2,0)&amp;" paires"</f>
        <v>#REF!</v>
      </c>
      <c r="N2" s="170"/>
      <c r="O2" s="170"/>
      <c r="P2" s="170"/>
      <c r="Q2" s="171"/>
    </row>
    <row r="3" spans="1:17" ht="21.75" customHeight="1" x14ac:dyDescent="0.25">
      <c r="A3" s="108" t="s">
        <v>4</v>
      </c>
      <c r="B3" s="173" t="s">
        <v>367</v>
      </c>
      <c r="C3" s="173"/>
      <c r="D3" s="173"/>
      <c r="H3" s="6" t="s">
        <v>5</v>
      </c>
      <c r="I3" s="7" t="e">
        <f>IF($C$2="x",ROUNDDOWN($B$8/3,0)," ")</f>
        <v>#REF!</v>
      </c>
      <c r="J3" s="8" t="e">
        <f>IF($C$2="x",MOD($B$8,3)," ")</f>
        <v>#REF!</v>
      </c>
      <c r="K3" s="9" t="e">
        <f>IF($C$2="x","+ une poule de "&amp;MOD($B$8,3)&amp;" joueur(s)"," ")</f>
        <v>#REF!</v>
      </c>
      <c r="L3" s="11" t="e">
        <f>IF($C$2="x",IF(J3=0,1,IF(J3&gt;=3,1,0))," ")</f>
        <v>#REF!</v>
      </c>
      <c r="M3" s="64" t="s">
        <v>13</v>
      </c>
      <c r="N3" s="7" t="str">
        <f>IF($E$2="x",(ROUNDDOWN($B$8/2/3,0))," ")</f>
        <v xml:space="preserve"> </v>
      </c>
      <c r="O3" s="9" t="str">
        <f>IF($E$2="x",MOD($C$8,3)," ")</f>
        <v xml:space="preserve"> </v>
      </c>
      <c r="P3" s="9" t="str">
        <f>IF($E$2="x","+ une poule de "&amp;MOD($C$8,3)&amp;" paire(s)"," ")</f>
        <v xml:space="preserve"> </v>
      </c>
      <c r="Q3" s="7" t="str">
        <f>IF($E$2="x",IF(O3=0,1,IF(O3&gt;=3,1,0))," ")</f>
        <v xml:space="preserve"> </v>
      </c>
    </row>
    <row r="4" spans="1:17" ht="21.75" customHeight="1" x14ac:dyDescent="0.25">
      <c r="A4" s="108" t="s">
        <v>6</v>
      </c>
      <c r="B4" s="174">
        <v>44884</v>
      </c>
      <c r="C4" s="174"/>
      <c r="H4" s="10" t="s">
        <v>7</v>
      </c>
      <c r="I4" s="11" t="e">
        <f>IF($C$2="x",ROUNDDOWN($B$8/4,0)," ")</f>
        <v>#REF!</v>
      </c>
      <c r="J4" s="8" t="e">
        <f>IF($C$2="x",MOD($B$8,4)," ")</f>
        <v>#REF!</v>
      </c>
      <c r="K4" s="12" t="e">
        <f>IF($C$2="x","+ une poule de "&amp;MOD($B$8,4)&amp;" joueur(s)"," ")</f>
        <v>#REF!</v>
      </c>
      <c r="L4" s="11" t="e">
        <f t="shared" ref="L4:L6" si="0">IF($C$2="x",IF(J4=0,1,IF(J4&gt;=3,1,0))," ")</f>
        <v>#REF!</v>
      </c>
      <c r="M4" s="14" t="s">
        <v>14</v>
      </c>
      <c r="N4" s="11" t="str">
        <f>IF($E$2="x",(ROUNDDOWN($B$8/2/4,0))," ")</f>
        <v xml:space="preserve"> </v>
      </c>
      <c r="O4" s="12" t="str">
        <f>IF($E$2="x",MOD($C$8,4)," ")</f>
        <v xml:space="preserve"> </v>
      </c>
      <c r="P4" s="12" t="str">
        <f>IF($E$2="x","+ une poule de "&amp;MOD($C$8,4)&amp;" paire(s)"," ")</f>
        <v xml:space="preserve"> </v>
      </c>
      <c r="Q4" s="11" t="str">
        <f>IF($E$2="x",IF(O4=0,1,IF(O4&gt;=3,1,0))," ")</f>
        <v xml:space="preserve"> </v>
      </c>
    </row>
    <row r="5" spans="1:17" ht="21.75" customHeight="1" x14ac:dyDescent="0.25">
      <c r="A5" s="108" t="s">
        <v>8</v>
      </c>
      <c r="B5" s="165">
        <v>0.5625</v>
      </c>
      <c r="C5" s="165"/>
      <c r="H5" s="10" t="s">
        <v>9</v>
      </c>
      <c r="I5" s="11" t="e">
        <f>IF($C$2="x",ROUNDDOWN($B$8/5,0)," ")</f>
        <v>#REF!</v>
      </c>
      <c r="J5" s="8" t="e">
        <f>IF($C$2="x",MOD($B$8,5)," ")</f>
        <v>#REF!</v>
      </c>
      <c r="K5" s="12" t="e">
        <f>IF($C$2="x","+ une poule de "&amp;MOD($B$8,5)&amp;" joueur(s)"," ")</f>
        <v>#REF!</v>
      </c>
      <c r="L5" s="11" t="e">
        <f t="shared" si="0"/>
        <v>#REF!</v>
      </c>
      <c r="M5" s="14" t="s">
        <v>15</v>
      </c>
      <c r="N5" s="11" t="str">
        <f>IF($E$2="x",(ROUNDDOWN($B$8/2/5,0))," ")</f>
        <v xml:space="preserve"> </v>
      </c>
      <c r="O5" s="12" t="str">
        <f>IF($E$2="x",MOD($C$8,5)," ")</f>
        <v xml:space="preserve"> </v>
      </c>
      <c r="P5" s="12" t="str">
        <f>IF($E$2="x","+ une poule de "&amp;MOD($C$8,5)&amp;" paire(s)"," ")</f>
        <v xml:space="preserve"> </v>
      </c>
      <c r="Q5" s="11" t="str">
        <f>IF($E$2="x",IF(O5=0,1,IF(O5&gt;=3,1,0))," ")</f>
        <v xml:space="preserve"> </v>
      </c>
    </row>
    <row r="6" spans="1:17" ht="21.75" customHeight="1" x14ac:dyDescent="0.25">
      <c r="A6" s="108" t="s">
        <v>10</v>
      </c>
      <c r="B6" s="165"/>
      <c r="C6" s="165"/>
      <c r="H6" s="10" t="s">
        <v>11</v>
      </c>
      <c r="I6" s="11" t="e">
        <f>IF($C$2="x",ROUNDDOWN($B$8/6,0)," ")</f>
        <v>#REF!</v>
      </c>
      <c r="J6" s="8" t="e">
        <f>IF($C$2="x",MOD($B$8,6)," ")</f>
        <v>#REF!</v>
      </c>
      <c r="K6" s="12" t="e">
        <f>IF($C$2="x","+ une poule de "&amp;MOD($B$8,6)&amp;" joueur(s)"," ")</f>
        <v>#REF!</v>
      </c>
      <c r="L6" s="11" t="e">
        <f t="shared" si="0"/>
        <v>#REF!</v>
      </c>
      <c r="M6" s="14" t="s">
        <v>16</v>
      </c>
      <c r="N6" s="11" t="str">
        <f>IF($E$2="x",(ROUNDDOWN($B$8/2/6,0))," ")</f>
        <v xml:space="preserve"> </v>
      </c>
      <c r="O6" s="12" t="str">
        <f>IF($E$2="x",MOD($C$8,6)," ")</f>
        <v xml:space="preserve"> </v>
      </c>
      <c r="P6" s="12" t="str">
        <f>IF($E$2="x","+ une poule de "&amp;MOD($C$8,6)&amp;" paire(s)"," ")</f>
        <v xml:space="preserve"> </v>
      </c>
      <c r="Q6" s="11" t="str">
        <f>IF($E$2="x",IF(O6=0,1,IF(O6&gt;=3,1,0))," ")</f>
        <v xml:space="preserve"> </v>
      </c>
    </row>
    <row r="7" spans="1:17" ht="21.75" customHeight="1" x14ac:dyDescent="0.25">
      <c r="A7" s="109"/>
      <c r="H7" s="10" t="s">
        <v>356</v>
      </c>
      <c r="I7" s="11" t="e">
        <f>IF($C$2="x",ROUNDDOWN($B$8/7,0)," ")</f>
        <v>#REF!</v>
      </c>
      <c r="J7" s="8" t="e">
        <f>IF($C$2="x",MOD($B$8,7)," ")</f>
        <v>#REF!</v>
      </c>
      <c r="K7" s="12" t="e">
        <f>IF($C$2="x","+ une poule de "&amp;MOD($B$8,7)&amp;" joueur(s)"," ")</f>
        <v>#REF!</v>
      </c>
      <c r="L7" s="11" t="e">
        <f t="shared" ref="L7:L10" si="1">IF($C$2="x",IF(J7=0,1,IF(J7&gt;=3,1,0))," ")</f>
        <v>#REF!</v>
      </c>
      <c r="M7" s="14" t="s">
        <v>360</v>
      </c>
      <c r="N7" s="11" t="str">
        <f>IF($E$2="x",(ROUNDDOWN($B$8/2/7,0))," ")</f>
        <v xml:space="preserve"> </v>
      </c>
      <c r="O7" s="12" t="str">
        <f>IF($E$2="x",MOD($C$8,7)," ")</f>
        <v xml:space="preserve"> </v>
      </c>
      <c r="P7" s="12" t="str">
        <f>IF($E$2="x","+ une poule de "&amp;MOD($C$8,7)&amp;" paire(s)"," ")</f>
        <v xml:space="preserve"> </v>
      </c>
      <c r="Q7" s="11" t="str">
        <f t="shared" ref="Q7:Q10" si="2">IF($E$2="x",IF(O7=0,1,IF(O7&gt;=3,1,0))," ")</f>
        <v xml:space="preserve"> </v>
      </c>
    </row>
    <row r="8" spans="1:17" ht="21.75" customHeight="1" x14ac:dyDescent="0.25">
      <c r="A8" s="109" t="s">
        <v>12</v>
      </c>
      <c r="B8" s="4" t="e">
        <f>#REF!</f>
        <v>#REF!</v>
      </c>
      <c r="C8" s="13" t="e">
        <f>ROUNDDOWN(B8/2,0)</f>
        <v>#REF!</v>
      </c>
      <c r="H8" s="10" t="s">
        <v>357</v>
      </c>
      <c r="I8" s="11" t="e">
        <f>IF($C$2="x",ROUNDDOWN($B$8/8,0)," ")</f>
        <v>#REF!</v>
      </c>
      <c r="J8" s="8" t="e">
        <f>IF($C$2="x",MOD($B$8,8)," ")</f>
        <v>#REF!</v>
      </c>
      <c r="K8" s="12" t="e">
        <f>IF($C$2="x","+ une poule de "&amp;MOD($B$8,8)&amp;" joueur(s)"," ")</f>
        <v>#REF!</v>
      </c>
      <c r="L8" s="11" t="e">
        <f t="shared" si="1"/>
        <v>#REF!</v>
      </c>
      <c r="M8" s="14" t="s">
        <v>361</v>
      </c>
      <c r="N8" s="11" t="str">
        <f>IF($E$2="x",(ROUNDDOWN($B$8/2/8,0))," ")</f>
        <v xml:space="preserve"> </v>
      </c>
      <c r="O8" s="12" t="str">
        <f>IF($E$2="x",MOD($C$8,8)," ")</f>
        <v xml:space="preserve"> </v>
      </c>
      <c r="P8" s="12" t="str">
        <f>IF($E$2="x","+ une poule de "&amp;MOD($C$8,8)&amp;" paire(s)"," ")</f>
        <v xml:space="preserve"> </v>
      </c>
      <c r="Q8" s="11" t="str">
        <f t="shared" si="2"/>
        <v xml:space="preserve"> </v>
      </c>
    </row>
    <row r="9" spans="1:17" ht="21.75" customHeight="1" x14ac:dyDescent="0.25">
      <c r="B9" s="2"/>
      <c r="C9" s="13"/>
      <c r="H9" s="10" t="s">
        <v>358</v>
      </c>
      <c r="I9" s="11" t="e">
        <f>IF($C$2="x",ROUNDDOWN($B$8/9,0)," ")</f>
        <v>#REF!</v>
      </c>
      <c r="J9" s="8" t="e">
        <f>IF($C$2="x",MOD($B$8,9)," ")</f>
        <v>#REF!</v>
      </c>
      <c r="K9" s="12" t="e">
        <f>IF($C$2="x","+ une poule de "&amp;MOD($B$8,9)&amp;" joueur(s)"," ")</f>
        <v>#REF!</v>
      </c>
      <c r="L9" s="11" t="e">
        <f t="shared" si="1"/>
        <v>#REF!</v>
      </c>
      <c r="M9" s="14" t="s">
        <v>362</v>
      </c>
      <c r="N9" s="11" t="str">
        <f>IF($E$2="x",(ROUNDDOWN($B$8/2/9,0))," ")</f>
        <v xml:space="preserve"> </v>
      </c>
      <c r="O9" s="12" t="str">
        <f>IF($E$2="x",MOD($C$8,9)," ")</f>
        <v xml:space="preserve"> </v>
      </c>
      <c r="P9" s="12" t="str">
        <f>IF($E$2="x","+ une poule de "&amp;MOD($C$8,9)&amp;" paire(s)"," ")</f>
        <v xml:space="preserve"> </v>
      </c>
      <c r="Q9" s="11" t="str">
        <f t="shared" si="2"/>
        <v xml:space="preserve"> </v>
      </c>
    </row>
    <row r="10" spans="1:17" ht="21.75" customHeight="1" x14ac:dyDescent="0.25">
      <c r="B10" s="2"/>
      <c r="C10" s="13"/>
      <c r="H10" s="10" t="s">
        <v>359</v>
      </c>
      <c r="I10" s="11" t="e">
        <f>IF($C$2="x",ROUNDDOWN($B$8/10,0)," ")</f>
        <v>#REF!</v>
      </c>
      <c r="J10" s="8" t="e">
        <f>IF($C$2="x",MOD($B$8,10)," ")</f>
        <v>#REF!</v>
      </c>
      <c r="K10" s="12" t="e">
        <f>IF($C$2="x","+ une poule de "&amp;MOD($B$8,10)&amp;" joueur(s)"," ")</f>
        <v>#REF!</v>
      </c>
      <c r="L10" s="11" t="e">
        <f t="shared" si="1"/>
        <v>#REF!</v>
      </c>
      <c r="M10" s="14" t="s">
        <v>363</v>
      </c>
      <c r="N10" s="11" t="str">
        <f>IF($E$2="x",(ROUNDDOWN($B$8/2/10,0))," ")</f>
        <v xml:space="preserve"> </v>
      </c>
      <c r="O10" s="12" t="str">
        <f>IF($E$2="x",MOD($C$8,10)," ")</f>
        <v xml:space="preserve"> </v>
      </c>
      <c r="P10" s="12" t="str">
        <f>IF($E$2="x","+ une poule de "&amp;MOD($C$8,10)&amp;" paire(s)"," ")</f>
        <v xml:space="preserve"> </v>
      </c>
      <c r="Q10" s="11" t="str">
        <f t="shared" si="2"/>
        <v xml:space="preserve"> </v>
      </c>
    </row>
    <row r="11" spans="1:17" ht="21.75" customHeight="1" x14ac:dyDescent="0.25">
      <c r="B11" s="2"/>
      <c r="C11" s="13"/>
    </row>
    <row r="13" spans="1:17" ht="21.75" customHeight="1" x14ac:dyDescent="0.25">
      <c r="A13" s="166" t="s">
        <v>354</v>
      </c>
      <c r="B13" s="168"/>
      <c r="C13" s="168"/>
      <c r="D13" s="168"/>
      <c r="E13" s="168"/>
      <c r="F13" s="167"/>
      <c r="H13" s="166" t="s">
        <v>353</v>
      </c>
      <c r="I13" s="167"/>
      <c r="K13" s="74" t="s">
        <v>352</v>
      </c>
      <c r="L13" s="65"/>
      <c r="M13" s="175" t="s">
        <v>355</v>
      </c>
      <c r="N13" s="176"/>
      <c r="O13" s="176"/>
      <c r="P13" s="176"/>
    </row>
    <row r="14" spans="1:17" ht="21.75" customHeight="1" x14ac:dyDescent="0.25">
      <c r="A14" s="66"/>
      <c r="B14" s="72"/>
      <c r="C14" s="15"/>
      <c r="D14" s="72"/>
      <c r="E14" s="72"/>
      <c r="F14" s="67"/>
      <c r="H14" s="66"/>
      <c r="I14" s="67"/>
      <c r="K14" s="70"/>
      <c r="M14" s="176"/>
      <c r="N14" s="176"/>
      <c r="O14" s="176"/>
      <c r="P14" s="176"/>
    </row>
    <row r="15" spans="1:17" ht="21.75" customHeight="1" x14ac:dyDescent="0.25">
      <c r="A15" s="66"/>
      <c r="B15" s="72"/>
      <c r="C15" s="15"/>
      <c r="D15" s="72"/>
      <c r="E15" s="72"/>
      <c r="F15" s="67"/>
      <c r="H15" s="66"/>
      <c r="I15" s="67"/>
      <c r="K15" s="70"/>
      <c r="M15" s="176"/>
      <c r="N15" s="176"/>
      <c r="O15" s="176"/>
      <c r="P15" s="176"/>
    </row>
    <row r="16" spans="1:17" ht="21.75" customHeight="1" x14ac:dyDescent="0.25">
      <c r="A16" s="66"/>
      <c r="B16" s="72"/>
      <c r="C16" s="15"/>
      <c r="D16" s="72"/>
      <c r="E16" s="72"/>
      <c r="F16" s="67"/>
      <c r="H16" s="66"/>
      <c r="I16" s="67"/>
      <c r="K16" s="70"/>
      <c r="M16" s="176"/>
      <c r="N16" s="176"/>
      <c r="O16" s="176"/>
      <c r="P16" s="176"/>
    </row>
    <row r="17" spans="1:16" ht="21.75" customHeight="1" x14ac:dyDescent="0.25">
      <c r="A17" s="66"/>
      <c r="B17" s="72"/>
      <c r="C17" s="72"/>
      <c r="D17" s="72"/>
      <c r="E17" s="72"/>
      <c r="F17" s="67"/>
      <c r="H17" s="66"/>
      <c r="I17" s="67"/>
      <c r="K17" s="70"/>
      <c r="M17" s="176"/>
      <c r="N17" s="176"/>
      <c r="O17" s="176"/>
      <c r="P17" s="176"/>
    </row>
    <row r="18" spans="1:16" ht="21.75" customHeight="1" x14ac:dyDescent="0.25">
      <c r="A18" s="66"/>
      <c r="B18" s="72"/>
      <c r="C18" s="72"/>
      <c r="D18" s="72"/>
      <c r="E18" s="72"/>
      <c r="F18" s="67"/>
      <c r="H18" s="66"/>
      <c r="I18" s="67"/>
      <c r="K18" s="70"/>
      <c r="M18" s="176"/>
      <c r="N18" s="176"/>
      <c r="O18" s="176"/>
      <c r="P18" s="176"/>
    </row>
    <row r="19" spans="1:16" ht="21.75" customHeight="1" x14ac:dyDescent="0.25">
      <c r="A19" s="66"/>
      <c r="B19" s="72"/>
      <c r="C19" s="72"/>
      <c r="D19" s="72"/>
      <c r="E19" s="72"/>
      <c r="F19" s="67"/>
      <c r="G19" s="75"/>
      <c r="H19" s="66"/>
      <c r="I19" s="67"/>
      <c r="K19" s="70"/>
      <c r="M19" s="176"/>
      <c r="N19" s="176"/>
      <c r="O19" s="176"/>
      <c r="P19" s="176"/>
    </row>
    <row r="20" spans="1:16" ht="21.75" customHeight="1" x14ac:dyDescent="0.25">
      <c r="A20" s="66"/>
      <c r="B20" s="72"/>
      <c r="C20" s="72"/>
      <c r="D20" s="72"/>
      <c r="E20" s="72"/>
      <c r="F20" s="67"/>
      <c r="H20" s="66"/>
      <c r="I20" s="67"/>
      <c r="K20" s="70"/>
      <c r="M20" s="176"/>
      <c r="N20" s="176"/>
      <c r="O20" s="176"/>
      <c r="P20" s="176"/>
    </row>
    <row r="21" spans="1:16" ht="21.75" customHeight="1" x14ac:dyDescent="0.25">
      <c r="A21" s="66"/>
      <c r="B21" s="72"/>
      <c r="C21" s="72"/>
      <c r="D21" s="72"/>
      <c r="E21" s="72"/>
      <c r="F21" s="67"/>
      <c r="G21" s="75"/>
      <c r="H21" s="66"/>
      <c r="I21" s="67"/>
      <c r="K21" s="70"/>
      <c r="M21" s="176"/>
      <c r="N21" s="176"/>
      <c r="O21" s="176"/>
      <c r="P21" s="176"/>
    </row>
    <row r="22" spans="1:16" ht="21.75" customHeight="1" x14ac:dyDescent="0.25">
      <c r="A22" s="68"/>
      <c r="B22" s="73"/>
      <c r="C22" s="73"/>
      <c r="D22" s="73"/>
      <c r="E22" s="73"/>
      <c r="F22" s="69"/>
      <c r="H22" s="68"/>
      <c r="I22" s="69"/>
      <c r="K22" s="71"/>
      <c r="M22" s="176"/>
      <c r="N22" s="176"/>
      <c r="O22" s="176"/>
      <c r="P22" s="176"/>
    </row>
  </sheetData>
  <sheetProtection selectLockedCells="1"/>
  <mergeCells count="10">
    <mergeCell ref="B6:C6"/>
    <mergeCell ref="H13:I13"/>
    <mergeCell ref="A13:F13"/>
    <mergeCell ref="M2:Q2"/>
    <mergeCell ref="B1:F1"/>
    <mergeCell ref="H2:L2"/>
    <mergeCell ref="B3:D3"/>
    <mergeCell ref="B4:C4"/>
    <mergeCell ref="B5:C5"/>
    <mergeCell ref="M13:P22"/>
  </mergeCells>
  <conditionalFormatting sqref="J3:J10">
    <cfRule type="containsText" dxfId="6" priority="8" operator="containsText" text="une poule de 0 paire(s)">
      <formula>NOT(ISERROR(SEARCH("une poule de 0 paire(s)",J3)))</formula>
    </cfRule>
  </conditionalFormatting>
  <conditionalFormatting sqref="M2 M3:Q10">
    <cfRule type="containsText" dxfId="5" priority="5" operator="containsText" text="une poule de 0 paire(s)">
      <formula>NOT(ISERROR(SEARCH("une poule de 0 paire(s)",M2)))</formula>
    </cfRule>
  </conditionalFormatting>
  <conditionalFormatting sqref="H2 H3:L10">
    <cfRule type="containsText" dxfId="4" priority="3" operator="containsText" text="une poule de 0 joueur(s)">
      <formula>NOT(ISERROR(SEARCH("une poule de 0 joueur(s)",H2)))</formula>
    </cfRule>
  </conditionalFormatting>
  <conditionalFormatting sqref="L2:L10">
    <cfRule type="expression" dxfId="3" priority="2">
      <formula>IF($C$2="x",0,1)</formula>
    </cfRule>
  </conditionalFormatting>
  <conditionalFormatting sqref="M2:M10">
    <cfRule type="expression" dxfId="2" priority="1">
      <formula>IF($E$2="x",0,1)</formula>
    </cfRule>
  </conditionalFormatting>
  <conditionalFormatting sqref="H2:L10">
    <cfRule type="expression" dxfId="1" priority="4">
      <formula>IF($C$2="x",0,1)</formula>
    </cfRule>
  </conditionalFormatting>
  <conditionalFormatting sqref="M2:Q10">
    <cfRule type="expression" dxfId="0" priority="6">
      <formula>IF($E$2="x",0,1)</formula>
    </cfRule>
  </conditionalFormatting>
  <pageMargins left="0.7" right="0.7" top="0.78740157499999996" bottom="0.78740157499999996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6405" r:id="rId4" name="CommandButton16">
          <controlPr defaultSize="0" autoLine="0" r:id="rId5">
            <anchor moveWithCells="1">
              <from>
                <xdr:col>2</xdr:col>
                <xdr:colOff>257175</xdr:colOff>
                <xdr:row>20</xdr:row>
                <xdr:rowOff>0</xdr:rowOff>
              </from>
              <to>
                <xdr:col>5</xdr:col>
                <xdr:colOff>66675</xdr:colOff>
                <xdr:row>21</xdr:row>
                <xdr:rowOff>9525</xdr:rowOff>
              </to>
            </anchor>
          </controlPr>
        </control>
      </mc:Choice>
      <mc:Fallback>
        <control shapeId="16405" r:id="rId4" name="CommandButton16"/>
      </mc:Fallback>
    </mc:AlternateContent>
    <mc:AlternateContent xmlns:mc="http://schemas.openxmlformats.org/markup-compatibility/2006">
      <mc:Choice Requires="x14">
        <control shapeId="16404" r:id="rId6" name="CommandButton15">
          <controlPr autoLine="0" r:id="rId7">
            <anchor moveWithCells="1">
              <from>
                <xdr:col>2</xdr:col>
                <xdr:colOff>257175</xdr:colOff>
                <xdr:row>17</xdr:row>
                <xdr:rowOff>266700</xdr:rowOff>
              </from>
              <to>
                <xdr:col>5</xdr:col>
                <xdr:colOff>66675</xdr:colOff>
                <xdr:row>19</xdr:row>
                <xdr:rowOff>0</xdr:rowOff>
              </to>
            </anchor>
          </controlPr>
        </control>
      </mc:Choice>
      <mc:Fallback>
        <control shapeId="16404" r:id="rId6" name="CommandButton15"/>
      </mc:Fallback>
    </mc:AlternateContent>
    <mc:AlternateContent xmlns:mc="http://schemas.openxmlformats.org/markup-compatibility/2006">
      <mc:Choice Requires="x14">
        <control shapeId="16403" r:id="rId8" name="CommandButton14">
          <controlPr autoLine="0" r:id="rId9">
            <anchor moveWithCells="1">
              <from>
                <xdr:col>2</xdr:col>
                <xdr:colOff>257175</xdr:colOff>
                <xdr:row>16</xdr:row>
                <xdr:rowOff>0</xdr:rowOff>
              </from>
              <to>
                <xdr:col>5</xdr:col>
                <xdr:colOff>66675</xdr:colOff>
                <xdr:row>17</xdr:row>
                <xdr:rowOff>9525</xdr:rowOff>
              </to>
            </anchor>
          </controlPr>
        </control>
      </mc:Choice>
      <mc:Fallback>
        <control shapeId="16403" r:id="rId8" name="CommandButton14"/>
      </mc:Fallback>
    </mc:AlternateContent>
    <mc:AlternateContent xmlns:mc="http://schemas.openxmlformats.org/markup-compatibility/2006">
      <mc:Choice Requires="x14">
        <control shapeId="16402" r:id="rId10" name="CommandButton13">
          <controlPr autoLine="0" r:id="rId11">
            <anchor moveWithCells="1">
              <from>
                <xdr:col>2</xdr:col>
                <xdr:colOff>257175</xdr:colOff>
                <xdr:row>14</xdr:row>
                <xdr:rowOff>0</xdr:rowOff>
              </from>
              <to>
                <xdr:col>5</xdr:col>
                <xdr:colOff>66675</xdr:colOff>
                <xdr:row>15</xdr:row>
                <xdr:rowOff>9525</xdr:rowOff>
              </to>
            </anchor>
          </controlPr>
        </control>
      </mc:Choice>
      <mc:Fallback>
        <control shapeId="16402" r:id="rId10" name="CommandButton13"/>
      </mc:Fallback>
    </mc:AlternateContent>
    <mc:AlternateContent xmlns:mc="http://schemas.openxmlformats.org/markup-compatibility/2006">
      <mc:Choice Requires="x14">
        <control shapeId="16401" r:id="rId12" name="CommandButton12">
          <controlPr defaultSize="0" autoLine="0" r:id="rId13">
            <anchor moveWithCells="1">
              <from>
                <xdr:col>10</xdr:col>
                <xdr:colOff>209550</xdr:colOff>
                <xdr:row>20</xdr:row>
                <xdr:rowOff>0</xdr:rowOff>
              </from>
              <to>
                <xdr:col>10</xdr:col>
                <xdr:colOff>1562100</xdr:colOff>
                <xdr:row>21</xdr:row>
                <xdr:rowOff>9525</xdr:rowOff>
              </to>
            </anchor>
          </controlPr>
        </control>
      </mc:Choice>
      <mc:Fallback>
        <control shapeId="16401" r:id="rId12" name="CommandButton12"/>
      </mc:Fallback>
    </mc:AlternateContent>
    <mc:AlternateContent xmlns:mc="http://schemas.openxmlformats.org/markup-compatibility/2006">
      <mc:Choice Requires="x14">
        <control shapeId="16400" r:id="rId14" name="CommandButton11">
          <controlPr defaultSize="0" autoLine="0" r:id="rId15">
            <anchor moveWithCells="1">
              <from>
                <xdr:col>10</xdr:col>
                <xdr:colOff>209550</xdr:colOff>
                <xdr:row>17</xdr:row>
                <xdr:rowOff>266700</xdr:rowOff>
              </from>
              <to>
                <xdr:col>10</xdr:col>
                <xdr:colOff>1562100</xdr:colOff>
                <xdr:row>19</xdr:row>
                <xdr:rowOff>0</xdr:rowOff>
              </to>
            </anchor>
          </controlPr>
        </control>
      </mc:Choice>
      <mc:Fallback>
        <control shapeId="16400" r:id="rId14" name="CommandButton11"/>
      </mc:Fallback>
    </mc:AlternateContent>
    <mc:AlternateContent xmlns:mc="http://schemas.openxmlformats.org/markup-compatibility/2006">
      <mc:Choice Requires="x14">
        <control shapeId="16399" r:id="rId16" name="CommandButton10">
          <controlPr autoLine="0" r:id="rId17">
            <anchor moveWithCells="1">
              <from>
                <xdr:col>10</xdr:col>
                <xdr:colOff>209550</xdr:colOff>
                <xdr:row>16</xdr:row>
                <xdr:rowOff>0</xdr:rowOff>
              </from>
              <to>
                <xdr:col>10</xdr:col>
                <xdr:colOff>1562100</xdr:colOff>
                <xdr:row>17</xdr:row>
                <xdr:rowOff>9525</xdr:rowOff>
              </to>
            </anchor>
          </controlPr>
        </control>
      </mc:Choice>
      <mc:Fallback>
        <control shapeId="16399" r:id="rId16" name="CommandButton10"/>
      </mc:Fallback>
    </mc:AlternateContent>
    <mc:AlternateContent xmlns:mc="http://schemas.openxmlformats.org/markup-compatibility/2006">
      <mc:Choice Requires="x14">
        <control shapeId="16398" r:id="rId18" name="CommandButton9">
          <controlPr defaultSize="0" autoLine="0" r:id="rId19">
            <anchor moveWithCells="1">
              <from>
                <xdr:col>10</xdr:col>
                <xdr:colOff>209550</xdr:colOff>
                <xdr:row>14</xdr:row>
                <xdr:rowOff>0</xdr:rowOff>
              </from>
              <to>
                <xdr:col>10</xdr:col>
                <xdr:colOff>1562100</xdr:colOff>
                <xdr:row>15</xdr:row>
                <xdr:rowOff>9525</xdr:rowOff>
              </to>
            </anchor>
          </controlPr>
        </control>
      </mc:Choice>
      <mc:Fallback>
        <control shapeId="16398" r:id="rId18" name="CommandButton9"/>
      </mc:Fallback>
    </mc:AlternateContent>
    <mc:AlternateContent xmlns:mc="http://schemas.openxmlformats.org/markup-compatibility/2006">
      <mc:Choice Requires="x14">
        <control shapeId="16392" r:id="rId20" name="CommandButton8">
          <controlPr defaultSize="0" autoLine="0" r:id="rId21">
            <anchor moveWithCells="1">
              <from>
                <xdr:col>0</xdr:col>
                <xdr:colOff>257175</xdr:colOff>
                <xdr:row>20</xdr:row>
                <xdr:rowOff>0</xdr:rowOff>
              </from>
              <to>
                <xdr:col>1</xdr:col>
                <xdr:colOff>476250</xdr:colOff>
                <xdr:row>21</xdr:row>
                <xdr:rowOff>9525</xdr:rowOff>
              </to>
            </anchor>
          </controlPr>
        </control>
      </mc:Choice>
      <mc:Fallback>
        <control shapeId="16392" r:id="rId20" name="CommandButton8"/>
      </mc:Fallback>
    </mc:AlternateContent>
    <mc:AlternateContent xmlns:mc="http://schemas.openxmlformats.org/markup-compatibility/2006">
      <mc:Choice Requires="x14">
        <control shapeId="16391" r:id="rId22" name="CommandButton7">
          <controlPr autoLine="0" r:id="rId23">
            <anchor moveWithCells="1">
              <from>
                <xdr:col>0</xdr:col>
                <xdr:colOff>257175</xdr:colOff>
                <xdr:row>17</xdr:row>
                <xdr:rowOff>266700</xdr:rowOff>
              </from>
              <to>
                <xdr:col>1</xdr:col>
                <xdr:colOff>476250</xdr:colOff>
                <xdr:row>19</xdr:row>
                <xdr:rowOff>0</xdr:rowOff>
              </to>
            </anchor>
          </controlPr>
        </control>
      </mc:Choice>
      <mc:Fallback>
        <control shapeId="16391" r:id="rId22" name="CommandButton7"/>
      </mc:Fallback>
    </mc:AlternateContent>
    <mc:AlternateContent xmlns:mc="http://schemas.openxmlformats.org/markup-compatibility/2006">
      <mc:Choice Requires="x14">
        <control shapeId="16390" r:id="rId24" name="CommandButton6">
          <controlPr autoLine="0" r:id="rId25">
            <anchor moveWithCells="1">
              <from>
                <xdr:col>0</xdr:col>
                <xdr:colOff>257175</xdr:colOff>
                <xdr:row>16</xdr:row>
                <xdr:rowOff>0</xdr:rowOff>
              </from>
              <to>
                <xdr:col>1</xdr:col>
                <xdr:colOff>476250</xdr:colOff>
                <xdr:row>17</xdr:row>
                <xdr:rowOff>9525</xdr:rowOff>
              </to>
            </anchor>
          </controlPr>
        </control>
      </mc:Choice>
      <mc:Fallback>
        <control shapeId="16390" r:id="rId24" name="CommandButton6"/>
      </mc:Fallback>
    </mc:AlternateContent>
    <mc:AlternateContent xmlns:mc="http://schemas.openxmlformats.org/markup-compatibility/2006">
      <mc:Choice Requires="x14">
        <control shapeId="16389" r:id="rId26" name="CommandButton5">
          <controlPr autoLine="0" r:id="rId27">
            <anchor moveWithCells="1">
              <from>
                <xdr:col>0</xdr:col>
                <xdr:colOff>257175</xdr:colOff>
                <xdr:row>14</xdr:row>
                <xdr:rowOff>0</xdr:rowOff>
              </from>
              <to>
                <xdr:col>1</xdr:col>
                <xdr:colOff>476250</xdr:colOff>
                <xdr:row>15</xdr:row>
                <xdr:rowOff>9525</xdr:rowOff>
              </to>
            </anchor>
          </controlPr>
        </control>
      </mc:Choice>
      <mc:Fallback>
        <control shapeId="16389" r:id="rId26" name="CommandButton5"/>
      </mc:Fallback>
    </mc:AlternateContent>
    <mc:AlternateContent xmlns:mc="http://schemas.openxmlformats.org/markup-compatibility/2006">
      <mc:Choice Requires="x14">
        <control shapeId="16388" r:id="rId28" name="CommandButton4">
          <controlPr defaultSize="0" autoLine="0" r:id="rId29">
            <anchor moveWithCells="1">
              <from>
                <xdr:col>7</xdr:col>
                <xdr:colOff>190500</xdr:colOff>
                <xdr:row>20</xdr:row>
                <xdr:rowOff>0</xdr:rowOff>
              </from>
              <to>
                <xdr:col>8</xdr:col>
                <xdr:colOff>171450</xdr:colOff>
                <xdr:row>21</xdr:row>
                <xdr:rowOff>9525</xdr:rowOff>
              </to>
            </anchor>
          </controlPr>
        </control>
      </mc:Choice>
      <mc:Fallback>
        <control shapeId="16388" r:id="rId28" name="CommandButton4"/>
      </mc:Fallback>
    </mc:AlternateContent>
    <mc:AlternateContent xmlns:mc="http://schemas.openxmlformats.org/markup-compatibility/2006">
      <mc:Choice Requires="x14">
        <control shapeId="16387" r:id="rId30" name="CommandButton3">
          <controlPr defaultSize="0" autoLine="0" r:id="rId31">
            <anchor moveWithCells="1">
              <from>
                <xdr:col>7</xdr:col>
                <xdr:colOff>190500</xdr:colOff>
                <xdr:row>17</xdr:row>
                <xdr:rowOff>266700</xdr:rowOff>
              </from>
              <to>
                <xdr:col>8</xdr:col>
                <xdr:colOff>171450</xdr:colOff>
                <xdr:row>19</xdr:row>
                <xdr:rowOff>0</xdr:rowOff>
              </to>
            </anchor>
          </controlPr>
        </control>
      </mc:Choice>
      <mc:Fallback>
        <control shapeId="16387" r:id="rId30" name="CommandButton3"/>
      </mc:Fallback>
    </mc:AlternateContent>
    <mc:AlternateContent xmlns:mc="http://schemas.openxmlformats.org/markup-compatibility/2006">
      <mc:Choice Requires="x14">
        <control shapeId="16386" r:id="rId32" name="CommandButton2">
          <controlPr autoLine="0" r:id="rId33">
            <anchor moveWithCells="1">
              <from>
                <xdr:col>7</xdr:col>
                <xdr:colOff>190500</xdr:colOff>
                <xdr:row>16</xdr:row>
                <xdr:rowOff>0</xdr:rowOff>
              </from>
              <to>
                <xdr:col>8</xdr:col>
                <xdr:colOff>171450</xdr:colOff>
                <xdr:row>17</xdr:row>
                <xdr:rowOff>9525</xdr:rowOff>
              </to>
            </anchor>
          </controlPr>
        </control>
      </mc:Choice>
      <mc:Fallback>
        <control shapeId="16386" r:id="rId32" name="CommandButton2"/>
      </mc:Fallback>
    </mc:AlternateContent>
    <mc:AlternateContent xmlns:mc="http://schemas.openxmlformats.org/markup-compatibility/2006">
      <mc:Choice Requires="x14">
        <control shapeId="16385" r:id="rId34" name="CommandButton1">
          <controlPr defaultSize="0" autoLine="0" r:id="rId35">
            <anchor moveWithCells="1">
              <from>
                <xdr:col>7</xdr:col>
                <xdr:colOff>190500</xdr:colOff>
                <xdr:row>14</xdr:row>
                <xdr:rowOff>0</xdr:rowOff>
              </from>
              <to>
                <xdr:col>8</xdr:col>
                <xdr:colOff>171450</xdr:colOff>
                <xdr:row>15</xdr:row>
                <xdr:rowOff>9525</xdr:rowOff>
              </to>
            </anchor>
          </controlPr>
        </control>
      </mc:Choice>
      <mc:Fallback>
        <control shapeId="16385" r:id="rId34" name="CommandButton1"/>
      </mc:Fallback>
    </mc:AlternateContent>
    <mc:AlternateContent xmlns:mc="http://schemas.openxmlformats.org/markup-compatibility/2006">
      <mc:Choice Requires="x14">
        <control shapeId="16406" r:id="rId36" name="Check Box 22">
          <controlPr defaultSize="0" autoFill="0" autoLine="0" autoPict="0">
            <anchor moveWithCells="1">
              <from>
                <xdr:col>0</xdr:col>
                <xdr:colOff>1828800</xdr:colOff>
                <xdr:row>8</xdr:row>
                <xdr:rowOff>266700</xdr:rowOff>
              </from>
              <to>
                <xdr:col>2</xdr:col>
                <xdr:colOff>333375</xdr:colOff>
                <xdr:row>10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7" id="{D2B9891E-6501-4742-9635-12DE0E6C7AAA}">
            <x14:iconSet iconSet="3Symbols2" showValue="0" custom="1">
              <x14:cfvo type="percent">
                <xm:f>0</xm:f>
              </x14:cfvo>
              <x14:cfvo type="percent">
                <xm:f>3</xm:f>
              </x14:cfvo>
              <x14:cfvo type="percent">
                <xm:f>3</xm:f>
              </x14:cfvo>
              <x14:cfIcon iconSet="3Symbols2" iconId="0"/>
              <x14:cfIcon iconSet="NoIcons" iconId="0"/>
              <x14:cfIcon iconSet="3Symbols2" iconId="2"/>
            </x14:iconSet>
          </x14:cfRule>
          <xm:sqref>L3:L10 Q3:Q10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"/>
  <dimension ref="A2:AE266"/>
  <sheetViews>
    <sheetView showGridLines="0" zoomScale="110" zoomScaleNormal="110" workbookViewId="0">
      <selection activeCell="J3" sqref="J3"/>
    </sheetView>
  </sheetViews>
  <sheetFormatPr baseColWidth="10" defaultRowHeight="15" x14ac:dyDescent="0.25"/>
  <cols>
    <col min="1" max="1" width="4.85546875" style="20" customWidth="1"/>
    <col min="2" max="2" width="17.5703125" style="20" bestFit="1" customWidth="1"/>
    <col min="3" max="3" width="23.140625" style="20" customWidth="1"/>
    <col min="4" max="4" width="4.28515625" style="20" customWidth="1"/>
    <col min="5" max="5" width="6.28515625" style="20" customWidth="1"/>
    <col min="6" max="6" width="1.5703125" style="20" customWidth="1"/>
    <col min="7" max="8" width="6.28515625" style="20" customWidth="1"/>
    <col min="9" max="9" width="1.5703125" style="20" customWidth="1"/>
    <col min="10" max="11" width="6.28515625" style="20" customWidth="1"/>
    <col min="12" max="12" width="1.5703125" style="20" customWidth="1"/>
    <col min="13" max="14" width="6.28515625" style="20" customWidth="1"/>
    <col min="15" max="16" width="6.140625" style="20" customWidth="1"/>
    <col min="17" max="17" width="1.5703125" style="20" customWidth="1"/>
    <col min="18" max="18" width="6.140625" style="20" customWidth="1"/>
    <col min="19" max="19" width="7.140625" style="20" customWidth="1"/>
    <col min="20" max="20" width="4.7109375" style="20" customWidth="1"/>
    <col min="21" max="21" width="4.28515625" style="20" customWidth="1"/>
    <col min="22" max="22" width="16.7109375" style="20" customWidth="1"/>
    <col min="23" max="23" width="30.28515625" style="20" customWidth="1"/>
    <col min="24" max="24" width="3.140625" style="20" customWidth="1"/>
    <col min="25" max="25" width="4.28515625" style="20" customWidth="1"/>
    <col min="26" max="27" width="22.7109375" style="20" customWidth="1"/>
    <col min="28" max="28" width="5.140625" style="20" customWidth="1"/>
    <col min="29" max="16384" width="11.42578125" style="20"/>
  </cols>
  <sheetData>
    <row r="2" spans="1:31" ht="15" customHeight="1" x14ac:dyDescent="0.25">
      <c r="A2" s="19"/>
      <c r="B2" s="19"/>
      <c r="C2" s="19"/>
      <c r="E2" s="177" t="s">
        <v>23</v>
      </c>
      <c r="F2" s="177"/>
      <c r="G2" s="177"/>
      <c r="H2" s="178"/>
      <c r="I2" s="21"/>
      <c r="J2" s="37"/>
      <c r="K2" s="189">
        <v>3</v>
      </c>
      <c r="L2" s="190"/>
      <c r="M2" s="190"/>
      <c r="N2" s="179" t="s">
        <v>351</v>
      </c>
      <c r="O2" s="180"/>
      <c r="P2" s="180"/>
      <c r="Q2" s="180"/>
      <c r="R2" s="180"/>
      <c r="S2" s="180"/>
      <c r="T2" s="180"/>
      <c r="U2" s="180"/>
      <c r="V2" s="180"/>
      <c r="W2" s="180"/>
      <c r="X2" s="180"/>
      <c r="Y2" s="180"/>
      <c r="Z2" s="181"/>
      <c r="AA2" s="62"/>
      <c r="AB2" s="63"/>
      <c r="AC2" s="63"/>
      <c r="AD2" s="63"/>
      <c r="AE2" s="63"/>
    </row>
    <row r="3" spans="1:31" ht="15" customHeight="1" x14ac:dyDescent="0.25">
      <c r="A3" s="19"/>
      <c r="B3" s="19"/>
      <c r="C3" s="19"/>
      <c r="E3" s="177" t="s">
        <v>24</v>
      </c>
      <c r="F3" s="177"/>
      <c r="G3" s="177"/>
      <c r="H3" s="178"/>
      <c r="I3" s="21"/>
      <c r="J3" s="37"/>
      <c r="K3" s="191"/>
      <c r="L3" s="192"/>
      <c r="M3" s="192"/>
      <c r="N3" s="182"/>
      <c r="O3" s="183"/>
      <c r="P3" s="183"/>
      <c r="Q3" s="183"/>
      <c r="R3" s="183"/>
      <c r="S3" s="183"/>
      <c r="T3" s="183"/>
      <c r="U3" s="183"/>
      <c r="V3" s="183"/>
      <c r="W3" s="183"/>
      <c r="X3" s="183"/>
      <c r="Y3" s="183"/>
      <c r="Z3" s="184"/>
      <c r="AA3" s="63"/>
      <c r="AB3" s="63"/>
      <c r="AC3" s="63"/>
      <c r="AD3" s="63"/>
      <c r="AE3" s="63"/>
    </row>
    <row r="4" spans="1:31" ht="15" customHeight="1" x14ac:dyDescent="0.25">
      <c r="A4" s="19"/>
      <c r="B4" s="19"/>
      <c r="C4" s="19"/>
      <c r="E4" s="177" t="s">
        <v>25</v>
      </c>
      <c r="F4" s="177"/>
      <c r="G4" s="177"/>
      <c r="H4" s="178"/>
      <c r="I4" s="21"/>
      <c r="J4" s="37"/>
      <c r="K4" s="191"/>
      <c r="L4" s="192"/>
      <c r="M4" s="192"/>
      <c r="N4" s="182"/>
      <c r="O4" s="183"/>
      <c r="P4" s="183"/>
      <c r="Q4" s="183"/>
      <c r="R4" s="183"/>
      <c r="S4" s="183"/>
      <c r="T4" s="183"/>
      <c r="U4" s="183"/>
      <c r="V4" s="183"/>
      <c r="W4" s="183"/>
      <c r="X4" s="183"/>
      <c r="Y4" s="183"/>
      <c r="Z4" s="184"/>
      <c r="AA4" s="63"/>
      <c r="AB4" s="63"/>
      <c r="AC4" s="63"/>
      <c r="AD4" s="63"/>
      <c r="AE4" s="63"/>
    </row>
    <row r="5" spans="1:31" ht="15" customHeight="1" x14ac:dyDescent="0.25">
      <c r="A5" s="19"/>
      <c r="B5" s="19"/>
      <c r="C5" s="19"/>
      <c r="E5" s="177" t="s">
        <v>26</v>
      </c>
      <c r="F5" s="177"/>
      <c r="G5" s="177"/>
      <c r="H5" s="178"/>
      <c r="I5" s="21"/>
      <c r="J5" s="37"/>
      <c r="K5" s="191"/>
      <c r="L5" s="192"/>
      <c r="M5" s="192"/>
      <c r="N5" s="182"/>
      <c r="O5" s="183"/>
      <c r="P5" s="183"/>
      <c r="Q5" s="183"/>
      <c r="R5" s="183"/>
      <c r="S5" s="183"/>
      <c r="T5" s="183"/>
      <c r="U5" s="183"/>
      <c r="V5" s="183"/>
      <c r="W5" s="183"/>
      <c r="X5" s="183"/>
      <c r="Y5" s="183"/>
      <c r="Z5" s="184"/>
      <c r="AA5" s="63"/>
      <c r="AB5" s="63"/>
      <c r="AC5" s="63"/>
      <c r="AD5" s="63"/>
      <c r="AE5" s="63"/>
    </row>
    <row r="6" spans="1:31" ht="15" customHeight="1" x14ac:dyDescent="0.25">
      <c r="A6" s="19"/>
      <c r="B6" s="19"/>
      <c r="C6" s="19"/>
      <c r="E6" s="177" t="s">
        <v>27</v>
      </c>
      <c r="F6" s="177"/>
      <c r="G6" s="177"/>
      <c r="H6" s="178"/>
      <c r="I6" s="21"/>
      <c r="J6" s="37"/>
      <c r="K6" s="191"/>
      <c r="L6" s="192"/>
      <c r="M6" s="192"/>
      <c r="N6" s="182"/>
      <c r="O6" s="183"/>
      <c r="P6" s="183"/>
      <c r="Q6" s="183"/>
      <c r="R6" s="183"/>
      <c r="S6" s="183"/>
      <c r="T6" s="183"/>
      <c r="U6" s="183"/>
      <c r="V6" s="183"/>
      <c r="W6" s="183"/>
      <c r="X6" s="183"/>
      <c r="Y6" s="183"/>
      <c r="Z6" s="184"/>
      <c r="AA6" s="63"/>
      <c r="AB6" s="63"/>
      <c r="AC6" s="63"/>
      <c r="AD6" s="63"/>
      <c r="AE6" s="63"/>
    </row>
    <row r="7" spans="1:31" ht="15" customHeight="1" x14ac:dyDescent="0.25">
      <c r="A7" s="19"/>
      <c r="B7" s="19"/>
      <c r="C7" s="19"/>
      <c r="E7" s="177" t="s">
        <v>28</v>
      </c>
      <c r="F7" s="177"/>
      <c r="G7" s="177"/>
      <c r="H7" s="178"/>
      <c r="I7" s="21"/>
      <c r="J7" s="37"/>
      <c r="K7" s="193"/>
      <c r="L7" s="194"/>
      <c r="M7" s="194"/>
      <c r="N7" s="185"/>
      <c r="O7" s="186"/>
      <c r="P7" s="186"/>
      <c r="Q7" s="186"/>
      <c r="R7" s="186"/>
      <c r="S7" s="186"/>
      <c r="T7" s="186"/>
      <c r="U7" s="186"/>
      <c r="V7" s="186"/>
      <c r="W7" s="186"/>
      <c r="X7" s="186"/>
      <c r="Y7" s="186"/>
      <c r="Z7" s="187"/>
    </row>
    <row r="8" spans="1:31" ht="15" customHeight="1" x14ac:dyDescent="0.25">
      <c r="A8" s="22"/>
      <c r="B8" s="22"/>
      <c r="C8" s="22"/>
      <c r="E8" s="23"/>
      <c r="F8" s="23"/>
      <c r="G8" s="23"/>
      <c r="H8" s="24"/>
      <c r="I8" s="24"/>
      <c r="J8" s="24"/>
      <c r="K8" s="25"/>
      <c r="L8" s="25"/>
      <c r="M8" s="26"/>
      <c r="O8" s="25"/>
      <c r="P8" s="25"/>
      <c r="Q8" s="25"/>
      <c r="R8" s="27"/>
    </row>
    <row r="9" spans="1:31" x14ac:dyDescent="0.25">
      <c r="Y9" s="41" t="s">
        <v>29</v>
      </c>
      <c r="Z9" s="41" t="s">
        <v>30</v>
      </c>
      <c r="AA9" s="41" t="s">
        <v>20</v>
      </c>
      <c r="AB9" s="42" t="s">
        <v>17</v>
      </c>
    </row>
    <row r="10" spans="1:31" x14ac:dyDescent="0.25">
      <c r="E10" s="188" t="s">
        <v>21</v>
      </c>
      <c r="F10" s="188"/>
      <c r="G10" s="188"/>
      <c r="H10" s="188" t="s">
        <v>31</v>
      </c>
      <c r="I10" s="188"/>
      <c r="J10" s="188"/>
      <c r="K10" s="188" t="s">
        <v>32</v>
      </c>
      <c r="L10" s="188"/>
      <c r="M10" s="188"/>
      <c r="N10" s="28" t="s">
        <v>33</v>
      </c>
      <c r="Y10" s="29"/>
    </row>
    <row r="11" spans="1:31" x14ac:dyDescent="0.25">
      <c r="A11" s="38"/>
      <c r="B11" s="31" t="s">
        <v>35</v>
      </c>
      <c r="C11" s="32" t="str">
        <f>IF('Infos générales'!$E$2="x",IF(A11&gt;0,INDEX(DP!$A$10:$G$265,MATCH(A11,DP!$A$10:$A$265,0),6)," "),IF(A11&gt;0,INDEX(DP!$A$10:$G$265,MATCH(A11,DP!$A$10:$A$265,0),4)," "))</f>
        <v xml:space="preserve"> </v>
      </c>
      <c r="E11" s="39"/>
      <c r="F11" s="33" t="s">
        <v>34</v>
      </c>
      <c r="G11" s="40"/>
      <c r="H11" s="39"/>
      <c r="I11" s="33" t="s">
        <v>34</v>
      </c>
      <c r="J11" s="40"/>
      <c r="K11" s="39"/>
      <c r="L11" s="33" t="s">
        <v>34</v>
      </c>
      <c r="M11" s="40"/>
      <c r="N11" s="34">
        <f t="shared" ref="N11:N74" si="0">IF($J$2="x",IFERROR(IF(O11="","",RANK(O11,$O$11:$O$14,1)),0),IF($J$3="x",IFERROR(IF(O11="","",RANK(O11,$O$11:$O$18,1)),0),IF($J$4="x",IFERROR(IF(O11="","",RANK(O11,$O$11:$O$26,1)),0),IF($J$5="x",IFERROR(IF(O11="","",RANK(O11,$O$11:$O$42,1)),0),IF($J$6="x",IFERROR(IF(O11="","",RANK(O11,$O$11:$O$74,1)),0),IF($J$7="x",IFERROR(IF(O11="","",RANK(O11,$O$11:$O$138,1)),0),IFERROR(IF(O11="","",RANK(O11,$O$11:$O$266,1)),0)))))))</f>
        <v>1</v>
      </c>
      <c r="O11" s="20">
        <f t="shared" ref="O11:O74" si="1">IF($J$2="x",(IFERROR(IF(C11="","-",RANK(R11,$R$11:$R$14,0)+RANK(S11,$S$11:$S$14,0)%+RANK(T11,$T$11:$T$14,0)%%+ROW()%%%),"-")),IF($J$3="x",(IFERROR(IF(C11="","-",RANK(R11,$R$11:$R$18,0)+RANK(S11,$S$11:$S$18,0)%+RANK(T11,$T$11:$T$18,0)%%+ROW()%%%),"-")),IF($J$4="x",(IFERROR(IF(C11="","-",RANK(R11,$R$11:$R$26,0)+RANK(S11,$S$11:$S$26,0)%+RANK(T11,$T$11:$T$26,0)%%+ROW()%%%),"-")),IF($J$5="x",(IFERROR(IF(C11="","-",RANK(R11,$R$11:$R$42,0)+RANK(S11,$S$11:$S$42,0)%+RANK(T11,$T$11:$T$42,0)%%+ROW()%%%),"-")),IF($J$6="x",(IFERROR(IF(C11="","-",RANK(R11,$R$11:$R$74,0)+RANK(S11,$S$11:$S$74,0)%+RANK(T11,$T$11:$T$74,0)%%+ROW()%%%),"-")),IF($J$7="x",(IFERROR(IF(C11="","-",RANK(R11,$R$11:$R$138,0)+RANK(S11,$S$11:$S$138,0)%+RANK(T11,$T$11:$T$138,0)%%+ROW()%%%),"-")),(IFERROR(IF(C11="","-",RANK(R11,$R$11:$R$266,0)+RANK(S11,$S$11:$S$266,0)%+RANK(T11,$T$11:$T$266,0)%%+ROW()%%%),"-"))))))))</f>
        <v>1.010111</v>
      </c>
      <c r="P11" s="20">
        <f t="shared" ref="P11:P74" si="2">IF($J$2="x",IFERROR(IF(O11="","",RANK(O11,$O$11:$O$14,1)),"-"),IF($J$3="x",IFERROR(IF(O11="","",RANK(O11,$O$11:$O$18,1)),"-"),IF($J$4="x",IFERROR(IF(O11="","",RANK(O11,$O$11:$O$26,1)),"-"),IF($J$5="x",IFERROR(IF(O11="","",RANK(O11,$O$11:$O$42,1)),"-"),IF($J$6="x",IFERROR(IF(O11="","",RANK(O11,$O$11:$O$74,1)),"-"),IF($J$7="x",IFERROR(IF(O11="","",RANK(O11,$O$11:$O$138,1)),"-"),IFERROR(IF(O11="","",RANK(O11,$O$11:$O$266,1)),"-")))))))</f>
        <v>1</v>
      </c>
      <c r="Q11" s="20" t="str">
        <f t="shared" ref="Q11:Q74" si="3">C11</f>
        <v xml:space="preserve"> </v>
      </c>
      <c r="R11" s="20">
        <f t="shared" ref="R11:R74" si="4">SUM(E11-G11)</f>
        <v>0</v>
      </c>
      <c r="S11" s="20">
        <f t="shared" ref="S11:S74" si="5">SUM(H11-J11)</f>
        <v>0</v>
      </c>
      <c r="T11" s="20">
        <f t="shared" ref="T11:T74" si="6">SUM(K11-M11)</f>
        <v>0</v>
      </c>
      <c r="U11" s="20">
        <f>IF($J$2="x",IFERROR(SMALL($O$11:$O$14,1),0),IF($J$3="x",IFERROR(SMALL($O$11:$O$18,1),0),IF($J$4="x",IFERROR(SMALL($O$11:$O$26,1),0),IF($J$5="x",IFERROR(SMALL($O$11:$O$42,1),0),IF($J$6="x",IFERROR(SMALL($O$11:$O$74,1),0),IF($J$7="x",IFERROR(SMALL($O$11:$O$138,1),0),IFERROR(SMALL($O$11:$O$266,1),0)))))))</f>
        <v>1.010111</v>
      </c>
      <c r="V11" s="20">
        <f t="shared" ref="V11:V74" si="7">IF($J$2="x",IFERROR(IF(U11="","",RANK(U11,$U$11:$U$14,1)),0),IF($J$3="x",IFERROR(IF(U11="","",RANK(U11,$U$11:$U$18,1)),0),IF($J$4="x",IFERROR(IF(U11="","",RANK(U11,$U$11:$U$26,1)),0),IF($J$5="x",IFERROR(IF(U11="","",RANK(U11,$U$11:$U$42,1)),0),IF($J$6="x",IFERROR(IF(U11="","",RANK(U11,$U$11:$U$74,1)),0),IF($J$7="x",IFERROR(IF(U11="","",RANK(U11,$U$11:$U$138,1)),0),IFERROR(IF(U11="","",RANK(U11,$U$11:$U$266,1)),0)))))))</f>
        <v>1</v>
      </c>
      <c r="W11" s="20" t="str">
        <f t="shared" ref="W11:W74" si="8">IF($J$2="x",IFERROR(INDEX($Q$11:$Q$14,MATCH(U11,$O$11:$O$14,0),1),0),IF($J$3="x",IFERROR(INDEX($Q$11:$Q$18,MATCH(U11,$O$11:$O$18,0),1),0),IF($J$4="x",IFERROR(INDEX($Q$11:$Q$26,MATCH(U11,$O$11:$O$26,0),1),0),IF($J$5="x",IFERROR(INDEX($Q$11:$Q$42,MATCH(U11,$O$11:$O$42,0),1),0),IF($J$6="x",IFERROR(INDEX($Q$11:$Q$74,MATCH(U11,$O$11:$O$74,0),1),0),IF($J$7="x",IFERROR(INDEX($Q$11:$Q$138,MATCH(U11,$O$11:$O$138,0),1),0),IFERROR(INDEX($Q$11:$Q$266,MATCH(U11,$O$11:$O$266,0),1),0)))))))</f>
        <v xml:space="preserve"> </v>
      </c>
      <c r="Y11" s="29">
        <v>1</v>
      </c>
      <c r="Z11" s="32" t="str">
        <f t="shared" ref="Z11:Z74" si="9">W11</f>
        <v xml:space="preserve"> </v>
      </c>
      <c r="AA11" s="35" t="str">
        <f>IFERROR(INDEX(#REF!,MATCH(AB11,#REF!,0))," ")</f>
        <v xml:space="preserve"> </v>
      </c>
      <c r="AB11" s="30">
        <f t="shared" ref="AB11:AB74" si="10">IFERROR(INDEX($A$11:$A$266,MATCH(Z11,$C$11:$C$266,0)),0)</f>
        <v>0</v>
      </c>
    </row>
    <row r="12" spans="1:31" x14ac:dyDescent="0.25">
      <c r="A12" s="38"/>
      <c r="B12" s="31" t="s">
        <v>36</v>
      </c>
      <c r="C12" s="32" t="str">
        <f>IF('Infos générales'!$E$2="x",IF(A12&gt;0,INDEX(DP!$A$10:$G$265,MATCH(A12,DP!$A$10:$A$265,0),6)," "),IF(A12&gt;0,INDEX(DP!$A$10:$G$265,MATCH(A12,DP!$A$10:$A$265,0),4)," "))</f>
        <v xml:space="preserve"> </v>
      </c>
      <c r="E12" s="39"/>
      <c r="F12" s="33" t="s">
        <v>34</v>
      </c>
      <c r="G12" s="40"/>
      <c r="H12" s="39"/>
      <c r="I12" s="33" t="s">
        <v>34</v>
      </c>
      <c r="J12" s="40"/>
      <c r="K12" s="39"/>
      <c r="L12" s="33" t="s">
        <v>34</v>
      </c>
      <c r="M12" s="40"/>
      <c r="N12" s="34">
        <f t="shared" si="0"/>
        <v>2</v>
      </c>
      <c r="O12" s="20">
        <f t="shared" si="1"/>
        <v>1.0101119999999999</v>
      </c>
      <c r="P12" s="20">
        <f t="shared" si="2"/>
        <v>2</v>
      </c>
      <c r="Q12" s="20" t="str">
        <f t="shared" si="3"/>
        <v xml:space="preserve"> </v>
      </c>
      <c r="R12" s="20">
        <f t="shared" si="4"/>
        <v>0</v>
      </c>
      <c r="S12" s="20">
        <f t="shared" si="5"/>
        <v>0</v>
      </c>
      <c r="T12" s="20">
        <f t="shared" si="6"/>
        <v>0</v>
      </c>
      <c r="U12" s="20">
        <f>IF($J$2="x",IFERROR(SMALL($O$11:$O$14,2),0),IF($J$3="x",IFERROR(SMALL($O$11:$O$18,2),0),IF($J$4="x",IFERROR(SMALL($O$11:$O$26,2),0),IF($J$5="x",IFERROR(SMALL($O$11:$O$42,2),0),IF($J$6="x",IFERROR(SMALL($O$11:$O$74,2),0),IF($J$7="x",IFERROR(SMALL($O$11:$O$138,2),0),IFERROR(SMALL($O$11:$O$266,2),0)))))))</f>
        <v>1.0101119999999999</v>
      </c>
      <c r="V12" s="20">
        <f t="shared" si="7"/>
        <v>2</v>
      </c>
      <c r="W12" s="20" t="str">
        <f t="shared" si="8"/>
        <v xml:space="preserve"> </v>
      </c>
      <c r="Y12" s="29">
        <v>2</v>
      </c>
      <c r="Z12" s="36" t="str">
        <f t="shared" si="9"/>
        <v xml:space="preserve"> </v>
      </c>
      <c r="AA12" s="35" t="str">
        <f>IFERROR(INDEX(#REF!,MATCH(AB12,#REF!,0))," ")</f>
        <v xml:space="preserve"> </v>
      </c>
      <c r="AB12" s="30">
        <f t="shared" si="10"/>
        <v>0</v>
      </c>
    </row>
    <row r="13" spans="1:31" x14ac:dyDescent="0.25">
      <c r="A13" s="38"/>
      <c r="B13" s="31" t="s">
        <v>37</v>
      </c>
      <c r="C13" s="32" t="str">
        <f>IF('Infos générales'!$E$2="x",IF(A13&gt;0,INDEX(DP!$A$10:$G$265,MATCH(A13,DP!$A$10:$A$265,0),6)," "),IF(A13&gt;0,INDEX(DP!$A$10:$G$265,MATCH(A13,DP!$A$10:$A$265,0),4)," "))</f>
        <v xml:space="preserve"> </v>
      </c>
      <c r="E13" s="39"/>
      <c r="F13" s="33" t="s">
        <v>34</v>
      </c>
      <c r="G13" s="40"/>
      <c r="H13" s="39"/>
      <c r="I13" s="33" t="s">
        <v>34</v>
      </c>
      <c r="J13" s="40"/>
      <c r="K13" s="39"/>
      <c r="L13" s="33" t="s">
        <v>34</v>
      </c>
      <c r="M13" s="40"/>
      <c r="N13" s="34">
        <f t="shared" si="0"/>
        <v>3</v>
      </c>
      <c r="O13" s="20">
        <f t="shared" si="1"/>
        <v>1.010113</v>
      </c>
      <c r="P13" s="20">
        <f t="shared" si="2"/>
        <v>3</v>
      </c>
      <c r="Q13" s="20" t="str">
        <f t="shared" si="3"/>
        <v xml:space="preserve"> </v>
      </c>
      <c r="R13" s="20">
        <f t="shared" si="4"/>
        <v>0</v>
      </c>
      <c r="S13" s="20">
        <f t="shared" si="5"/>
        <v>0</v>
      </c>
      <c r="T13" s="20">
        <f t="shared" si="6"/>
        <v>0</v>
      </c>
      <c r="U13" s="20">
        <f>IF($J$2="x",IFERROR(SMALL($O$11:$O$14,3),0),IF($J$3="x",IFERROR(SMALL($O$11:$O$18,3),0),IF($J$4="x",IFERROR(SMALL($O$11:$O$26,3),0),IF($J$5="x",IFERROR(SMALL($O$11:$O$42,3),0),IF($J$6="x",IFERROR(SMALL($O$11:$O$74,3),0),IF($J$7="x",IFERROR(SMALL($O$11:$O$138,3),0),IFERROR(SMALL($O$11:$O$266,3),0)))))))</f>
        <v>1.010113</v>
      </c>
      <c r="V13" s="20">
        <f t="shared" si="7"/>
        <v>3</v>
      </c>
      <c r="W13" s="20" t="str">
        <f t="shared" si="8"/>
        <v xml:space="preserve"> </v>
      </c>
      <c r="Y13" s="29">
        <v>3</v>
      </c>
      <c r="Z13" s="36" t="str">
        <f t="shared" si="9"/>
        <v xml:space="preserve"> </v>
      </c>
      <c r="AA13" s="35" t="str">
        <f>IFERROR(INDEX(#REF!,MATCH(AB13,#REF!,0))," ")</f>
        <v xml:space="preserve"> </v>
      </c>
      <c r="AB13" s="30">
        <f t="shared" si="10"/>
        <v>0</v>
      </c>
    </row>
    <row r="14" spans="1:31" x14ac:dyDescent="0.25">
      <c r="A14" s="38"/>
      <c r="B14" s="31" t="s">
        <v>38</v>
      </c>
      <c r="C14" s="32" t="str">
        <f>IF('Infos générales'!$E$2="x",IF(A14&gt;0,INDEX(DP!$A$10:$G$265,MATCH(A14,DP!$A$10:$A$265,0),6)," "),IF(A14&gt;0,INDEX(DP!$A$10:$G$265,MATCH(A14,DP!$A$10:$A$265,0),4)," "))</f>
        <v xml:space="preserve"> </v>
      </c>
      <c r="E14" s="39"/>
      <c r="F14" s="33" t="s">
        <v>34</v>
      </c>
      <c r="G14" s="40"/>
      <c r="H14" s="39"/>
      <c r="I14" s="33" t="s">
        <v>34</v>
      </c>
      <c r="J14" s="40"/>
      <c r="K14" s="39"/>
      <c r="L14" s="33" t="s">
        <v>34</v>
      </c>
      <c r="M14" s="40"/>
      <c r="N14" s="34">
        <f t="shared" si="0"/>
        <v>4</v>
      </c>
      <c r="O14" s="20">
        <f t="shared" si="1"/>
        <v>1.010114</v>
      </c>
      <c r="P14" s="20">
        <f t="shared" si="2"/>
        <v>4</v>
      </c>
      <c r="Q14" s="20" t="str">
        <f t="shared" si="3"/>
        <v xml:space="preserve"> </v>
      </c>
      <c r="R14" s="20">
        <f t="shared" si="4"/>
        <v>0</v>
      </c>
      <c r="S14" s="20">
        <f t="shared" si="5"/>
        <v>0</v>
      </c>
      <c r="T14" s="20">
        <f t="shared" si="6"/>
        <v>0</v>
      </c>
      <c r="U14" s="20">
        <f>IF($J$2="x",IFERROR(SMALL($O$11:$O$14,4),0),IF($J$3="x",IFERROR(SMALL($O$11:$O$18,4),0),IF($J$4="x",IFERROR(SMALL($O$11:$O$26,4),0),IF($J$5="x",IFERROR(SMALL($O$11:$O$42,4),0),IF($J$6="x",IFERROR(SMALL($O$11:$O$74,4),0),IF($J$7="x",IFERROR(SMALL($O$11:$O$138,4),0),IFERROR(SMALL($O$11:$O$266,4),0)))))))</f>
        <v>1.010114</v>
      </c>
      <c r="V14" s="20">
        <f t="shared" si="7"/>
        <v>4</v>
      </c>
      <c r="W14" s="20" t="str">
        <f t="shared" si="8"/>
        <v xml:space="preserve"> </v>
      </c>
      <c r="Y14" s="29">
        <v>4</v>
      </c>
      <c r="Z14" s="36" t="str">
        <f t="shared" si="9"/>
        <v xml:space="preserve"> </v>
      </c>
      <c r="AA14" s="35" t="str">
        <f>IFERROR(INDEX(#REF!,MATCH(AB14,#REF!,0))," ")</f>
        <v xml:space="preserve"> </v>
      </c>
      <c r="AB14" s="30">
        <f t="shared" si="10"/>
        <v>0</v>
      </c>
    </row>
    <row r="15" spans="1:31" x14ac:dyDescent="0.25">
      <c r="A15" s="38"/>
      <c r="B15" s="31" t="s">
        <v>39</v>
      </c>
      <c r="C15" s="32" t="str">
        <f>IF('Infos générales'!$E$2="x",IF(A15&gt;0,INDEX(DP!$A$10:$G$265,MATCH(A15,DP!$A$10:$A$265,0),6)," "),IF(A15&gt;0,INDEX(DP!$A$10:$G$265,MATCH(A15,DP!$A$10:$A$265,0),4)," "))</f>
        <v xml:space="preserve"> </v>
      </c>
      <c r="E15" s="39"/>
      <c r="F15" s="33" t="s">
        <v>34</v>
      </c>
      <c r="G15" s="40"/>
      <c r="H15" s="39"/>
      <c r="I15" s="33" t="s">
        <v>34</v>
      </c>
      <c r="J15" s="40"/>
      <c r="K15" s="39"/>
      <c r="L15" s="33" t="s">
        <v>34</v>
      </c>
      <c r="M15" s="40"/>
      <c r="N15" s="34">
        <f t="shared" si="0"/>
        <v>5</v>
      </c>
      <c r="O15" s="20">
        <f t="shared" si="1"/>
        <v>1.0101150000000001</v>
      </c>
      <c r="P15" s="20">
        <f t="shared" si="2"/>
        <v>5</v>
      </c>
      <c r="Q15" s="20" t="str">
        <f t="shared" si="3"/>
        <v xml:space="preserve"> </v>
      </c>
      <c r="R15" s="20">
        <f t="shared" si="4"/>
        <v>0</v>
      </c>
      <c r="S15" s="20">
        <f t="shared" si="5"/>
        <v>0</v>
      </c>
      <c r="T15" s="20">
        <f t="shared" si="6"/>
        <v>0</v>
      </c>
      <c r="U15" s="20">
        <f>IF($J$2="x",IFERROR(SMALL($O$11:$O$14,5),0),IF($J$3="x",IFERROR(SMALL($O$11:$O$18,5),0),IF($J$4="x",IFERROR(SMALL($O$11:$O$26,5),0),IF($J$5="x",IFERROR(SMALL($O$11:$O$42,5),0),IF($J$6="x",IFERROR(SMALL($O$11:$O$74,5),0),IF($J$7="x",IFERROR(SMALL($O$11:$O$138,5),0),IFERROR(SMALL($O$11:$O$266,5),0)))))))</f>
        <v>1.0101150000000001</v>
      </c>
      <c r="V15" s="20">
        <f t="shared" si="7"/>
        <v>5</v>
      </c>
      <c r="W15" s="20" t="str">
        <f t="shared" si="8"/>
        <v xml:space="preserve"> </v>
      </c>
      <c r="Y15" s="29">
        <v>5</v>
      </c>
      <c r="Z15" s="36" t="str">
        <f t="shared" si="9"/>
        <v xml:space="preserve"> </v>
      </c>
      <c r="AA15" s="35" t="str">
        <f>IFERROR(INDEX(#REF!,MATCH(AB15,#REF!,0))," ")</f>
        <v xml:space="preserve"> </v>
      </c>
      <c r="AB15" s="30">
        <f t="shared" si="10"/>
        <v>0</v>
      </c>
    </row>
    <row r="16" spans="1:31" x14ac:dyDescent="0.25">
      <c r="A16" s="38"/>
      <c r="B16" s="31" t="s">
        <v>40</v>
      </c>
      <c r="C16" s="32" t="str">
        <f>IF('Infos générales'!$E$2="x",IF(A16&gt;0,INDEX(DP!$A$10:$G$265,MATCH(A16,DP!$A$10:$A$265,0),6)," "),IF(A16&gt;0,INDEX(DP!$A$10:$G$265,MATCH(A16,DP!$A$10:$A$265,0),4)," "))</f>
        <v xml:space="preserve"> </v>
      </c>
      <c r="E16" s="39"/>
      <c r="F16" s="33" t="s">
        <v>34</v>
      </c>
      <c r="G16" s="40"/>
      <c r="H16" s="39"/>
      <c r="I16" s="33" t="s">
        <v>34</v>
      </c>
      <c r="J16" s="40"/>
      <c r="K16" s="39"/>
      <c r="L16" s="33" t="s">
        <v>34</v>
      </c>
      <c r="M16" s="40"/>
      <c r="N16" s="34">
        <f t="shared" si="0"/>
        <v>6</v>
      </c>
      <c r="O16" s="20">
        <f t="shared" si="1"/>
        <v>1.010116</v>
      </c>
      <c r="P16" s="20">
        <f t="shared" si="2"/>
        <v>6</v>
      </c>
      <c r="Q16" s="20" t="str">
        <f t="shared" si="3"/>
        <v xml:space="preserve"> </v>
      </c>
      <c r="R16" s="20">
        <f t="shared" si="4"/>
        <v>0</v>
      </c>
      <c r="S16" s="20">
        <f t="shared" si="5"/>
        <v>0</v>
      </c>
      <c r="T16" s="20">
        <f t="shared" si="6"/>
        <v>0</v>
      </c>
      <c r="U16" s="20">
        <f>IF($J$2="x",IFERROR(SMALL($O$11:$O$14,6),0),IF($J$3="x",IFERROR(SMALL($O$11:$O$18,6),0),IF($J$4="x",IFERROR(SMALL($O$11:$O$26,6),0),IF($J$5="x",IFERROR(SMALL($O$11:$O$42,6),0),IF($J$6="x",IFERROR(SMALL($O$11:$O$74,6),0),IF($J$7="x",IFERROR(SMALL($O$11:$O$138,6),0),IFERROR(SMALL($O$11:$O$266,6),0)))))))</f>
        <v>1.010116</v>
      </c>
      <c r="V16" s="20">
        <f t="shared" si="7"/>
        <v>6</v>
      </c>
      <c r="W16" s="20" t="str">
        <f t="shared" si="8"/>
        <v xml:space="preserve"> </v>
      </c>
      <c r="Y16" s="29">
        <v>6</v>
      </c>
      <c r="Z16" s="36" t="str">
        <f t="shared" si="9"/>
        <v xml:space="preserve"> </v>
      </c>
      <c r="AA16" s="35" t="str">
        <f>IFERROR(INDEX(#REF!,MATCH(AB16,#REF!,0))," ")</f>
        <v xml:space="preserve"> </v>
      </c>
      <c r="AB16" s="30">
        <f t="shared" si="10"/>
        <v>0</v>
      </c>
    </row>
    <row r="17" spans="1:28" x14ac:dyDescent="0.25">
      <c r="A17" s="38"/>
      <c r="B17" s="31" t="s">
        <v>41</v>
      </c>
      <c r="C17" s="32" t="str">
        <f>IF('Infos générales'!$E$2="x",IF(A17&gt;0,INDEX(DP!$A$10:$G$265,MATCH(A17,DP!$A$10:$A$265,0),6)," "),IF(A17&gt;0,INDEX(DP!$A$10:$G$265,MATCH(A17,DP!$A$10:$A$265,0),4)," "))</f>
        <v xml:space="preserve"> </v>
      </c>
      <c r="E17" s="39"/>
      <c r="F17" s="33" t="s">
        <v>34</v>
      </c>
      <c r="G17" s="40"/>
      <c r="H17" s="39"/>
      <c r="I17" s="33" t="s">
        <v>34</v>
      </c>
      <c r="J17" s="40"/>
      <c r="K17" s="39"/>
      <c r="L17" s="33" t="s">
        <v>34</v>
      </c>
      <c r="M17" s="40"/>
      <c r="N17" s="34">
        <f t="shared" si="0"/>
        <v>7</v>
      </c>
      <c r="O17" s="20">
        <f t="shared" si="1"/>
        <v>1.0101169999999999</v>
      </c>
      <c r="P17" s="20">
        <f t="shared" si="2"/>
        <v>7</v>
      </c>
      <c r="Q17" s="20" t="str">
        <f t="shared" si="3"/>
        <v xml:space="preserve"> </v>
      </c>
      <c r="R17" s="20">
        <f t="shared" si="4"/>
        <v>0</v>
      </c>
      <c r="S17" s="20">
        <f t="shared" si="5"/>
        <v>0</v>
      </c>
      <c r="T17" s="20">
        <f t="shared" si="6"/>
        <v>0</v>
      </c>
      <c r="U17" s="20">
        <f>IF($J$2="x",IFERROR(SMALL($O$11:$O$14,7),0),IF($J$3="x",IFERROR(SMALL($O$11:$O$18,7),0),IF($J$4="x",IFERROR(SMALL($O$11:$O$26,7),0),IF($J$5="x",IFERROR(SMALL($O$11:$O$42,7),0),IF($J$6="x",IFERROR(SMALL($O$11:$O$74,7),0),IF($J$7="x",IFERROR(SMALL($O$11:$O$138,7),0),IFERROR(SMALL($O$11:$O$266,7),0)))))))</f>
        <v>1.0101169999999999</v>
      </c>
      <c r="V17" s="20">
        <f t="shared" si="7"/>
        <v>7</v>
      </c>
      <c r="W17" s="20" t="str">
        <f t="shared" si="8"/>
        <v xml:space="preserve"> </v>
      </c>
      <c r="Y17" s="29">
        <v>7</v>
      </c>
      <c r="Z17" s="36" t="str">
        <f t="shared" si="9"/>
        <v xml:space="preserve"> </v>
      </c>
      <c r="AA17" s="35" t="str">
        <f>IFERROR(INDEX(#REF!,MATCH(AB17,#REF!,0))," ")</f>
        <v xml:space="preserve"> </v>
      </c>
      <c r="AB17" s="30">
        <f t="shared" si="10"/>
        <v>0</v>
      </c>
    </row>
    <row r="18" spans="1:28" x14ac:dyDescent="0.25">
      <c r="A18" s="38"/>
      <c r="B18" s="31" t="s">
        <v>42</v>
      </c>
      <c r="C18" s="32" t="str">
        <f>IF('Infos générales'!$E$2="x",IF(A18&gt;0,INDEX(DP!$A$10:$G$265,MATCH(A18,DP!$A$10:$A$265,0),6)," "),IF(A18&gt;0,INDEX(DP!$A$10:$G$265,MATCH(A18,DP!$A$10:$A$265,0),4)," "))</f>
        <v xml:space="preserve"> </v>
      </c>
      <c r="E18" s="39"/>
      <c r="F18" s="33" t="s">
        <v>34</v>
      </c>
      <c r="G18" s="40"/>
      <c r="H18" s="39"/>
      <c r="I18" s="33" t="s">
        <v>34</v>
      </c>
      <c r="J18" s="40"/>
      <c r="K18" s="39"/>
      <c r="L18" s="33" t="s">
        <v>34</v>
      </c>
      <c r="M18" s="40"/>
      <c r="N18" s="34">
        <f t="shared" si="0"/>
        <v>8</v>
      </c>
      <c r="O18" s="20">
        <f t="shared" si="1"/>
        <v>1.0101180000000001</v>
      </c>
      <c r="P18" s="20">
        <f t="shared" si="2"/>
        <v>8</v>
      </c>
      <c r="Q18" s="20" t="str">
        <f t="shared" si="3"/>
        <v xml:space="preserve"> </v>
      </c>
      <c r="R18" s="20">
        <f t="shared" si="4"/>
        <v>0</v>
      </c>
      <c r="S18" s="20">
        <f t="shared" si="5"/>
        <v>0</v>
      </c>
      <c r="T18" s="20">
        <f t="shared" si="6"/>
        <v>0</v>
      </c>
      <c r="U18" s="20">
        <f>IF($J$2="x",IFERROR(SMALL($O$11:$O$14,8),0),IF($J$3="x",IFERROR(SMALL($O$11:$O$18,8),0),IF($J$4="x",IFERROR(SMALL($O$11:$O$26,8),0),IF($J$5="x",IFERROR(SMALL($O$11:$O$42,8),0),IF($J$6="x",IFERROR(SMALL($O$11:$O$74,8),0),IF($J$7="x",IFERROR(SMALL($O$11:$O$138,8),0),IFERROR(SMALL($O$11:$O$266,8),0)))))))</f>
        <v>1.0101180000000001</v>
      </c>
      <c r="V18" s="20">
        <f t="shared" si="7"/>
        <v>8</v>
      </c>
      <c r="W18" s="20" t="str">
        <f t="shared" si="8"/>
        <v xml:space="preserve"> </v>
      </c>
      <c r="Y18" s="29">
        <v>8</v>
      </c>
      <c r="Z18" s="36" t="str">
        <f t="shared" si="9"/>
        <v xml:space="preserve"> </v>
      </c>
      <c r="AA18" s="35" t="str">
        <f>IFERROR(INDEX(#REF!,MATCH(AB18,#REF!,0))," ")</f>
        <v xml:space="preserve"> </v>
      </c>
      <c r="AB18" s="30">
        <f t="shared" si="10"/>
        <v>0</v>
      </c>
    </row>
    <row r="19" spans="1:28" x14ac:dyDescent="0.25">
      <c r="A19" s="38"/>
      <c r="B19" s="31" t="s">
        <v>43</v>
      </c>
      <c r="C19" s="32" t="str">
        <f>IF('Infos générales'!$E$2="x",IF(A19&gt;0,INDEX(DP!$A$10:$G$265,MATCH(A19,DP!$A$10:$A$265,0),6)," "),IF(A19&gt;0,INDEX(DP!$A$10:$G$265,MATCH(A19,DP!$A$10:$A$265,0),4)," "))</f>
        <v xml:space="preserve"> </v>
      </c>
      <c r="E19" s="39"/>
      <c r="F19" s="33" t="s">
        <v>34</v>
      </c>
      <c r="G19" s="40"/>
      <c r="H19" s="39"/>
      <c r="I19" s="33" t="s">
        <v>34</v>
      </c>
      <c r="J19" s="40"/>
      <c r="K19" s="39"/>
      <c r="L19" s="33" t="s">
        <v>34</v>
      </c>
      <c r="M19" s="40"/>
      <c r="N19" s="34">
        <f t="shared" si="0"/>
        <v>9</v>
      </c>
      <c r="O19" s="20">
        <f t="shared" si="1"/>
        <v>1.010119</v>
      </c>
      <c r="P19" s="20">
        <f t="shared" si="2"/>
        <v>9</v>
      </c>
      <c r="Q19" s="20" t="str">
        <f t="shared" si="3"/>
        <v xml:space="preserve"> </v>
      </c>
      <c r="R19" s="20">
        <f t="shared" si="4"/>
        <v>0</v>
      </c>
      <c r="S19" s="20">
        <f t="shared" si="5"/>
        <v>0</v>
      </c>
      <c r="T19" s="20">
        <f t="shared" si="6"/>
        <v>0</v>
      </c>
      <c r="U19" s="20">
        <f>IF($J$2="x",IFERROR(SMALL($O$11:$O$14,9),0),IF($J$3="x",IFERROR(SMALL($O$11:$O$18,9),0),IF($J$4="x",IFERROR(SMALL($O$11:$O$26,9),0),IF($J$5="x",IFERROR(SMALL($O$11:$O$42,9),0),IF($J$6="x",IFERROR(SMALL($O$11:$O$74,9),0),IF($J$7="x",IFERROR(SMALL($O$11:$O$138,9),0),IFERROR(SMALL($O$11:$O$266,9),0)))))))</f>
        <v>1.010119</v>
      </c>
      <c r="V19" s="20">
        <f t="shared" si="7"/>
        <v>9</v>
      </c>
      <c r="W19" s="20" t="str">
        <f t="shared" si="8"/>
        <v xml:space="preserve"> </v>
      </c>
      <c r="Y19" s="29">
        <v>9</v>
      </c>
      <c r="Z19" s="36" t="str">
        <f t="shared" si="9"/>
        <v xml:space="preserve"> </v>
      </c>
      <c r="AA19" s="35" t="str">
        <f>IFERROR(INDEX(#REF!,MATCH(AB19,#REF!,0))," ")</f>
        <v xml:space="preserve"> </v>
      </c>
      <c r="AB19" s="30">
        <f t="shared" si="10"/>
        <v>0</v>
      </c>
    </row>
    <row r="20" spans="1:28" x14ac:dyDescent="0.25">
      <c r="A20" s="38"/>
      <c r="B20" s="31" t="s">
        <v>44</v>
      </c>
      <c r="C20" s="32" t="str">
        <f>IF('Infos générales'!$E$2="x",IF(A20&gt;0,INDEX(DP!$A$10:$G$265,MATCH(A20,DP!$A$10:$A$265,0),6)," "),IF(A20&gt;0,INDEX(DP!$A$10:$G$265,MATCH(A20,DP!$A$10:$A$265,0),4)," "))</f>
        <v xml:space="preserve"> </v>
      </c>
      <c r="E20" s="39"/>
      <c r="F20" s="33" t="s">
        <v>34</v>
      </c>
      <c r="G20" s="40"/>
      <c r="H20" s="39"/>
      <c r="I20" s="33" t="s">
        <v>34</v>
      </c>
      <c r="J20" s="40"/>
      <c r="K20" s="39"/>
      <c r="L20" s="33" t="s">
        <v>34</v>
      </c>
      <c r="M20" s="40"/>
      <c r="N20" s="34">
        <f t="shared" si="0"/>
        <v>10</v>
      </c>
      <c r="O20" s="20">
        <f t="shared" si="1"/>
        <v>1.0101199999999999</v>
      </c>
      <c r="P20" s="20">
        <f t="shared" si="2"/>
        <v>10</v>
      </c>
      <c r="Q20" s="20" t="str">
        <f t="shared" si="3"/>
        <v xml:space="preserve"> </v>
      </c>
      <c r="R20" s="20">
        <f t="shared" si="4"/>
        <v>0</v>
      </c>
      <c r="S20" s="20">
        <f t="shared" si="5"/>
        <v>0</v>
      </c>
      <c r="T20" s="20">
        <f t="shared" si="6"/>
        <v>0</v>
      </c>
      <c r="U20" s="20">
        <f>IF($J$2="x",IFERROR(SMALL($O$11:$O$14,10),0),IF($J$3="x",IFERROR(SMALL($O$11:$O$18,10),0),IF($J$4="x",IFERROR(SMALL($O$11:$O$26,10),0),IF($J$5="x",IFERROR(SMALL($O$11:$O$42,10),0),IF($J$6="x",IFERROR(SMALL($O$11:$O$74,10),0),IF($J$7="x",IFERROR(SMALL($O$11:$O$138,10),0),IFERROR(SMALL($O$11:$O$266,10),0)))))))</f>
        <v>1.0101199999999999</v>
      </c>
      <c r="V20" s="20">
        <f t="shared" si="7"/>
        <v>10</v>
      </c>
      <c r="W20" s="20" t="str">
        <f t="shared" si="8"/>
        <v xml:space="preserve"> </v>
      </c>
      <c r="Y20" s="29">
        <v>10</v>
      </c>
      <c r="Z20" s="36" t="str">
        <f t="shared" si="9"/>
        <v xml:space="preserve"> </v>
      </c>
      <c r="AA20" s="35" t="str">
        <f>IFERROR(INDEX(#REF!,MATCH(AB20,#REF!,0))," ")</f>
        <v xml:space="preserve"> </v>
      </c>
      <c r="AB20" s="30">
        <f t="shared" si="10"/>
        <v>0</v>
      </c>
    </row>
    <row r="21" spans="1:28" x14ac:dyDescent="0.25">
      <c r="A21" s="38"/>
      <c r="B21" s="31" t="s">
        <v>45</v>
      </c>
      <c r="C21" s="32" t="str">
        <f>IF('Infos générales'!$E$2="x",IF(A21&gt;0,INDEX(DP!$A$10:$G$265,MATCH(A21,DP!$A$10:$A$265,0),6)," "),IF(A21&gt;0,INDEX(DP!$A$10:$G$265,MATCH(A21,DP!$A$10:$A$265,0),4)," "))</f>
        <v xml:space="preserve"> </v>
      </c>
      <c r="E21" s="39"/>
      <c r="F21" s="33" t="s">
        <v>34</v>
      </c>
      <c r="G21" s="40"/>
      <c r="H21" s="39"/>
      <c r="I21" s="33" t="s">
        <v>34</v>
      </c>
      <c r="J21" s="40"/>
      <c r="K21" s="39"/>
      <c r="L21" s="33" t="s">
        <v>34</v>
      </c>
      <c r="M21" s="40"/>
      <c r="N21" s="34">
        <f t="shared" si="0"/>
        <v>11</v>
      </c>
      <c r="O21" s="20">
        <f t="shared" si="1"/>
        <v>1.010121</v>
      </c>
      <c r="P21" s="20">
        <f t="shared" si="2"/>
        <v>11</v>
      </c>
      <c r="Q21" s="20" t="str">
        <f t="shared" si="3"/>
        <v xml:space="preserve"> </v>
      </c>
      <c r="R21" s="20">
        <f t="shared" si="4"/>
        <v>0</v>
      </c>
      <c r="S21" s="20">
        <f t="shared" si="5"/>
        <v>0</v>
      </c>
      <c r="T21" s="20">
        <f t="shared" si="6"/>
        <v>0</v>
      </c>
      <c r="U21" s="20">
        <f>IF($J$2="x",IFERROR(SMALL($O$11:$O$14,11),0),IF($J$3="x",IFERROR(SMALL($O$11:$O$18,11),0),IF($J$4="x",IFERROR(SMALL($O$11:$O$26,11),0),IF($J$5="x",IFERROR(SMALL($O$11:$O$42,11),0),IF($J$6="x",IFERROR(SMALL($O$11:$O$74,11),0),IF($J$7="x",IFERROR(SMALL($O$11:$O$138,11),0),IFERROR(SMALL($O$11:$O$266,11),0)))))))</f>
        <v>1.010121</v>
      </c>
      <c r="V21" s="20">
        <f t="shared" si="7"/>
        <v>11</v>
      </c>
      <c r="W21" s="20" t="str">
        <f t="shared" si="8"/>
        <v xml:space="preserve"> </v>
      </c>
      <c r="Y21" s="29">
        <v>11</v>
      </c>
      <c r="Z21" s="36" t="str">
        <f t="shared" si="9"/>
        <v xml:space="preserve"> </v>
      </c>
      <c r="AA21" s="35" t="str">
        <f>IFERROR(INDEX(#REF!,MATCH(AB21,#REF!,0))," ")</f>
        <v xml:space="preserve"> </v>
      </c>
      <c r="AB21" s="30">
        <f t="shared" si="10"/>
        <v>0</v>
      </c>
    </row>
    <row r="22" spans="1:28" x14ac:dyDescent="0.25">
      <c r="A22" s="38"/>
      <c r="B22" s="31" t="s">
        <v>46</v>
      </c>
      <c r="C22" s="32" t="str">
        <f>IF('Infos générales'!$E$2="x",IF(A22&gt;0,INDEX(DP!$A$10:$G$265,MATCH(A22,DP!$A$10:$A$265,0),6)," "),IF(A22&gt;0,INDEX(DP!$A$10:$G$265,MATCH(A22,DP!$A$10:$A$265,0),4)," "))</f>
        <v xml:space="preserve"> </v>
      </c>
      <c r="E22" s="39"/>
      <c r="F22" s="33" t="s">
        <v>34</v>
      </c>
      <c r="G22" s="40"/>
      <c r="H22" s="39"/>
      <c r="I22" s="33" t="s">
        <v>34</v>
      </c>
      <c r="J22" s="40"/>
      <c r="K22" s="39"/>
      <c r="L22" s="33" t="s">
        <v>34</v>
      </c>
      <c r="M22" s="40"/>
      <c r="N22" s="34">
        <f t="shared" si="0"/>
        <v>12</v>
      </c>
      <c r="O22" s="20">
        <f t="shared" si="1"/>
        <v>1.010122</v>
      </c>
      <c r="P22" s="20">
        <f t="shared" si="2"/>
        <v>12</v>
      </c>
      <c r="Q22" s="20" t="str">
        <f t="shared" si="3"/>
        <v xml:space="preserve"> </v>
      </c>
      <c r="R22" s="20">
        <f t="shared" si="4"/>
        <v>0</v>
      </c>
      <c r="S22" s="20">
        <f t="shared" si="5"/>
        <v>0</v>
      </c>
      <c r="T22" s="20">
        <f t="shared" si="6"/>
        <v>0</v>
      </c>
      <c r="U22" s="20">
        <f>IF($J$2="x",IFERROR(SMALL($O$11:$O$14,12),0),IF($J$3="x",IFERROR(SMALL($O$11:$O$18,12),0),IF($J$4="x",IFERROR(SMALL($O$11:$O$26,12),0),IF($J$5="x",IFERROR(SMALL($O$11:$O$42,12),0),IF($J$6="x",IFERROR(SMALL($O$11:$O$74,12),0),IF($J$7="x",IFERROR(SMALL($O$11:$O$138,12),0),IFERROR(SMALL($O$11:$O$266,12),0)))))))</f>
        <v>1.010122</v>
      </c>
      <c r="V22" s="20">
        <f t="shared" si="7"/>
        <v>12</v>
      </c>
      <c r="W22" s="20" t="str">
        <f t="shared" si="8"/>
        <v xml:space="preserve"> </v>
      </c>
      <c r="Y22" s="29">
        <v>12</v>
      </c>
      <c r="Z22" s="36" t="str">
        <f t="shared" si="9"/>
        <v xml:space="preserve"> </v>
      </c>
      <c r="AA22" s="35" t="str">
        <f>IFERROR(INDEX(#REF!,MATCH(AB22,#REF!,0))," ")</f>
        <v xml:space="preserve"> </v>
      </c>
      <c r="AB22" s="30">
        <f t="shared" si="10"/>
        <v>0</v>
      </c>
    </row>
    <row r="23" spans="1:28" x14ac:dyDescent="0.25">
      <c r="A23" s="38"/>
      <c r="B23" s="31" t="s">
        <v>47</v>
      </c>
      <c r="C23" s="32" t="str">
        <f>IF('Infos générales'!$E$2="x",IF(A23&gt;0,INDEX(DP!$A$10:$G$265,MATCH(A23,DP!$A$10:$A$265,0),6)," "),IF(A23&gt;0,INDEX(DP!$A$10:$G$265,MATCH(A23,DP!$A$10:$A$265,0),4)," "))</f>
        <v xml:space="preserve"> </v>
      </c>
      <c r="E23" s="39"/>
      <c r="F23" s="33" t="s">
        <v>34</v>
      </c>
      <c r="G23" s="40"/>
      <c r="H23" s="39"/>
      <c r="I23" s="33" t="s">
        <v>34</v>
      </c>
      <c r="J23" s="40"/>
      <c r="K23" s="39"/>
      <c r="L23" s="33" t="s">
        <v>34</v>
      </c>
      <c r="M23" s="40"/>
      <c r="N23" s="34">
        <f t="shared" si="0"/>
        <v>13</v>
      </c>
      <c r="O23" s="20">
        <f t="shared" si="1"/>
        <v>1.0101230000000001</v>
      </c>
      <c r="P23" s="20">
        <f t="shared" si="2"/>
        <v>13</v>
      </c>
      <c r="Q23" s="20" t="str">
        <f t="shared" si="3"/>
        <v xml:space="preserve"> </v>
      </c>
      <c r="R23" s="20">
        <f t="shared" si="4"/>
        <v>0</v>
      </c>
      <c r="S23" s="20">
        <f t="shared" si="5"/>
        <v>0</v>
      </c>
      <c r="T23" s="20">
        <f t="shared" si="6"/>
        <v>0</v>
      </c>
      <c r="U23" s="20">
        <f>IF($J$2="x",IFERROR(SMALL($O$11:$O$14,13),0),IF($J$3="x",IFERROR(SMALL($O$11:$O$18,13),0),IF($J$4="x",IFERROR(SMALL($O$11:$O$26,13),0),IF($J$5="x",IFERROR(SMALL($O$11:$O$42,13),0),IF($J$6="x",IFERROR(SMALL($O$11:$O$74,13),0),IF($J$7="x",IFERROR(SMALL($O$11:$O$138,13),0),IFERROR(SMALL($O$11:$O$266,13),0)))))))</f>
        <v>1.0101230000000001</v>
      </c>
      <c r="V23" s="20">
        <f t="shared" si="7"/>
        <v>13</v>
      </c>
      <c r="W23" s="20" t="str">
        <f t="shared" si="8"/>
        <v xml:space="preserve"> </v>
      </c>
      <c r="Y23" s="29">
        <v>13</v>
      </c>
      <c r="Z23" s="36" t="str">
        <f t="shared" si="9"/>
        <v xml:space="preserve"> </v>
      </c>
      <c r="AA23" s="35" t="str">
        <f>IFERROR(INDEX(#REF!,MATCH(AB23,#REF!,0))," ")</f>
        <v xml:space="preserve"> </v>
      </c>
      <c r="AB23" s="30">
        <f t="shared" si="10"/>
        <v>0</v>
      </c>
    </row>
    <row r="24" spans="1:28" x14ac:dyDescent="0.25">
      <c r="A24" s="38"/>
      <c r="B24" s="31" t="s">
        <v>48</v>
      </c>
      <c r="C24" s="32" t="str">
        <f>IF('Infos générales'!$E$2="x",IF(A24&gt;0,INDEX(DP!$A$10:$G$265,MATCH(A24,DP!$A$10:$A$265,0),6)," "),IF(A24&gt;0,INDEX(DP!$A$10:$G$265,MATCH(A24,DP!$A$10:$A$265,0),4)," "))</f>
        <v xml:space="preserve"> </v>
      </c>
      <c r="E24" s="39"/>
      <c r="F24" s="33" t="s">
        <v>34</v>
      </c>
      <c r="G24" s="40"/>
      <c r="H24" s="39"/>
      <c r="I24" s="33" t="s">
        <v>34</v>
      </c>
      <c r="J24" s="40"/>
      <c r="K24" s="39"/>
      <c r="L24" s="33" t="s">
        <v>34</v>
      </c>
      <c r="M24" s="40"/>
      <c r="N24" s="34">
        <f t="shared" si="0"/>
        <v>14</v>
      </c>
      <c r="O24" s="20">
        <f t="shared" si="1"/>
        <v>1.010124</v>
      </c>
      <c r="P24" s="20">
        <f t="shared" si="2"/>
        <v>14</v>
      </c>
      <c r="Q24" s="20" t="str">
        <f t="shared" si="3"/>
        <v xml:space="preserve"> </v>
      </c>
      <c r="R24" s="20">
        <f t="shared" si="4"/>
        <v>0</v>
      </c>
      <c r="S24" s="20">
        <f t="shared" si="5"/>
        <v>0</v>
      </c>
      <c r="T24" s="20">
        <f t="shared" si="6"/>
        <v>0</v>
      </c>
      <c r="U24" s="20">
        <f>IF($J$2="x",IFERROR(SMALL($O$11:$O$14,14),0),IF($J$3="x",IFERROR(SMALL($O$11:$O$18,14),0),IF($J$4="x",IFERROR(SMALL($O$11:$O$26,14),0),IF($J$5="x",IFERROR(SMALL($O$11:$O$42,14),0),IF($J$6="x",IFERROR(SMALL($O$11:$O$74,14),0),IF($J$7="x",IFERROR(SMALL($O$11:$O$138,14),0),IFERROR(SMALL($O$11:$O$266,14),0)))))))</f>
        <v>1.010124</v>
      </c>
      <c r="V24" s="20">
        <f t="shared" si="7"/>
        <v>14</v>
      </c>
      <c r="W24" s="20" t="str">
        <f t="shared" si="8"/>
        <v xml:space="preserve"> </v>
      </c>
      <c r="Y24" s="29">
        <v>14</v>
      </c>
      <c r="Z24" s="36" t="str">
        <f t="shared" si="9"/>
        <v xml:space="preserve"> </v>
      </c>
      <c r="AA24" s="35" t="str">
        <f>IFERROR(INDEX(#REF!,MATCH(AB24,#REF!,0))," ")</f>
        <v xml:space="preserve"> </v>
      </c>
      <c r="AB24" s="30">
        <f t="shared" si="10"/>
        <v>0</v>
      </c>
    </row>
    <row r="25" spans="1:28" x14ac:dyDescent="0.25">
      <c r="A25" s="38"/>
      <c r="B25" s="31" t="s">
        <v>49</v>
      </c>
      <c r="C25" s="32" t="str">
        <f>IF('Infos générales'!$E$2="x",IF(A25&gt;0,INDEX(DP!$A$10:$G$265,MATCH(A25,DP!$A$10:$A$265,0),6)," "),IF(A25&gt;0,INDEX(DP!$A$10:$G$265,MATCH(A25,DP!$A$10:$A$265,0),4)," "))</f>
        <v xml:space="preserve"> </v>
      </c>
      <c r="E25" s="39"/>
      <c r="F25" s="33" t="s">
        <v>34</v>
      </c>
      <c r="G25" s="40"/>
      <c r="H25" s="39"/>
      <c r="I25" s="33" t="s">
        <v>34</v>
      </c>
      <c r="J25" s="40"/>
      <c r="K25" s="39"/>
      <c r="L25" s="33" t="s">
        <v>34</v>
      </c>
      <c r="M25" s="40"/>
      <c r="N25" s="34">
        <f t="shared" si="0"/>
        <v>15</v>
      </c>
      <c r="O25" s="20">
        <f t="shared" si="1"/>
        <v>1.0101249999999999</v>
      </c>
      <c r="P25" s="20">
        <f t="shared" si="2"/>
        <v>15</v>
      </c>
      <c r="Q25" s="20" t="str">
        <f t="shared" si="3"/>
        <v xml:space="preserve"> </v>
      </c>
      <c r="R25" s="20">
        <f t="shared" si="4"/>
        <v>0</v>
      </c>
      <c r="S25" s="20">
        <f t="shared" si="5"/>
        <v>0</v>
      </c>
      <c r="T25" s="20">
        <f t="shared" si="6"/>
        <v>0</v>
      </c>
      <c r="U25" s="20">
        <f>IF($J$2="x",IFERROR(SMALL($O$11:$O$14,15),0),IF($J$3="x",IFERROR(SMALL($O$11:$O$18,15),0),IF($J$4="x",IFERROR(SMALL($O$11:$O$26,15),0),IF($J$5="x",IFERROR(SMALL($O$11:$O$42,15),0),IF($J$6="x",IFERROR(SMALL($O$11:$O$74,15),0),IF($J$7="x",IFERROR(SMALL($O$11:$O$138,15),0),IFERROR(SMALL($O$11:$O$266,15),0)))))))</f>
        <v>1.0101249999999999</v>
      </c>
      <c r="V25" s="20">
        <f t="shared" si="7"/>
        <v>15</v>
      </c>
      <c r="W25" s="20" t="str">
        <f t="shared" si="8"/>
        <v xml:space="preserve"> </v>
      </c>
      <c r="Y25" s="29">
        <v>15</v>
      </c>
      <c r="Z25" s="36" t="str">
        <f t="shared" si="9"/>
        <v xml:space="preserve"> </v>
      </c>
      <c r="AA25" s="35" t="str">
        <f>IFERROR(INDEX(#REF!,MATCH(AB25,#REF!,0))," ")</f>
        <v xml:space="preserve"> </v>
      </c>
      <c r="AB25" s="30">
        <f t="shared" si="10"/>
        <v>0</v>
      </c>
    </row>
    <row r="26" spans="1:28" x14ac:dyDescent="0.25">
      <c r="A26" s="38"/>
      <c r="B26" s="31" t="s">
        <v>50</v>
      </c>
      <c r="C26" s="32" t="str">
        <f>IF('Infos générales'!$E$2="x",IF(A26&gt;0,INDEX(DP!$A$10:$G$265,MATCH(A26,DP!$A$10:$A$265,0),6)," "),IF(A26&gt;0,INDEX(DP!$A$10:$G$265,MATCH(A26,DP!$A$10:$A$265,0),4)," "))</f>
        <v xml:space="preserve"> </v>
      </c>
      <c r="E26" s="39"/>
      <c r="F26" s="33" t="s">
        <v>34</v>
      </c>
      <c r="G26" s="40"/>
      <c r="H26" s="39"/>
      <c r="I26" s="33" t="s">
        <v>34</v>
      </c>
      <c r="J26" s="40"/>
      <c r="K26" s="39"/>
      <c r="L26" s="33" t="s">
        <v>34</v>
      </c>
      <c r="M26" s="40"/>
      <c r="N26" s="34">
        <f t="shared" si="0"/>
        <v>16</v>
      </c>
      <c r="O26" s="20">
        <f t="shared" si="1"/>
        <v>1.0101260000000001</v>
      </c>
      <c r="P26" s="20">
        <f t="shared" si="2"/>
        <v>16</v>
      </c>
      <c r="Q26" s="20" t="str">
        <f t="shared" si="3"/>
        <v xml:space="preserve"> </v>
      </c>
      <c r="R26" s="20">
        <f t="shared" si="4"/>
        <v>0</v>
      </c>
      <c r="S26" s="20">
        <f t="shared" si="5"/>
        <v>0</v>
      </c>
      <c r="T26" s="20">
        <f t="shared" si="6"/>
        <v>0</v>
      </c>
      <c r="U26" s="20">
        <f>IF($J$2="x",IFERROR(SMALL($O$11:$O$14,16),0),IF($J$3="x",IFERROR(SMALL($O$11:$O$18,16),0),IF($J$4="x",IFERROR(SMALL($O$11:$O$26,16),0),IF($J$5="x",IFERROR(SMALL($O$11:$O$42,16),0),IF($J$6="x",IFERROR(SMALL($O$11:$O$74,16),0),IF($J$7="x",IFERROR(SMALL($O$11:$O$138,16),0),IFERROR(SMALL($O$11:$O$266,16),0)))))))</f>
        <v>1.0101260000000001</v>
      </c>
      <c r="V26" s="20">
        <f t="shared" si="7"/>
        <v>16</v>
      </c>
      <c r="W26" s="20" t="str">
        <f t="shared" si="8"/>
        <v xml:space="preserve"> </v>
      </c>
      <c r="Y26" s="29">
        <v>16</v>
      </c>
      <c r="Z26" s="36" t="str">
        <f t="shared" si="9"/>
        <v xml:space="preserve"> </v>
      </c>
      <c r="AA26" s="35" t="str">
        <f>IFERROR(INDEX(#REF!,MATCH(AB26,#REF!,0))," ")</f>
        <v xml:space="preserve"> </v>
      </c>
      <c r="AB26" s="30">
        <f t="shared" si="10"/>
        <v>0</v>
      </c>
    </row>
    <row r="27" spans="1:28" x14ac:dyDescent="0.25">
      <c r="A27" s="38"/>
      <c r="B27" s="31" t="s">
        <v>51</v>
      </c>
      <c r="C27" s="32" t="str">
        <f>IF('Infos générales'!$E$2="x",IF(A27&gt;0,INDEX(DP!$A$10:$G$265,MATCH(A27,DP!$A$10:$A$265,0),6)," "),IF(A27&gt;0,INDEX(DP!$A$10:$G$265,MATCH(A27,DP!$A$10:$A$265,0),4)," "))</f>
        <v xml:space="preserve"> </v>
      </c>
      <c r="E27" s="39"/>
      <c r="F27" s="33" t="s">
        <v>34</v>
      </c>
      <c r="G27" s="40"/>
      <c r="H27" s="39"/>
      <c r="I27" s="33" t="s">
        <v>34</v>
      </c>
      <c r="J27" s="40"/>
      <c r="K27" s="39"/>
      <c r="L27" s="33" t="s">
        <v>34</v>
      </c>
      <c r="M27" s="40"/>
      <c r="N27" s="34">
        <f t="shared" si="0"/>
        <v>17</v>
      </c>
      <c r="O27" s="20">
        <f t="shared" si="1"/>
        <v>1.010127</v>
      </c>
      <c r="P27" s="20">
        <f t="shared" si="2"/>
        <v>17</v>
      </c>
      <c r="Q27" s="20" t="str">
        <f t="shared" si="3"/>
        <v xml:space="preserve"> </v>
      </c>
      <c r="R27" s="20">
        <f t="shared" si="4"/>
        <v>0</v>
      </c>
      <c r="S27" s="20">
        <f t="shared" si="5"/>
        <v>0</v>
      </c>
      <c r="T27" s="20">
        <f t="shared" si="6"/>
        <v>0</v>
      </c>
      <c r="U27" s="20">
        <f>IF($J$2="x",IFERROR(SMALL($O$11:$O$14,17),0),IF($J$3="x",IFERROR(SMALL($O$11:$O$18,17),0),IF($J$4="x",IFERROR(SMALL($O$11:$O$26,17),0),IF($J$5="x",IFERROR(SMALL($O$11:$O$42,17),0),IF($J$6="x",IFERROR(SMALL($O$11:$O$74,17),0),IF($J$7="x",IFERROR(SMALL($O$11:$O$138,17),0),IFERROR(SMALL($O$11:$O$266,17),0)))))))</f>
        <v>1.010127</v>
      </c>
      <c r="V27" s="20">
        <f t="shared" si="7"/>
        <v>17</v>
      </c>
      <c r="W27" s="20" t="str">
        <f t="shared" si="8"/>
        <v xml:space="preserve"> </v>
      </c>
      <c r="Y27" s="29">
        <v>17</v>
      </c>
      <c r="Z27" s="36" t="str">
        <f t="shared" si="9"/>
        <v xml:space="preserve"> </v>
      </c>
      <c r="AA27" s="35" t="str">
        <f>IFERROR(INDEX(#REF!,MATCH(AB27,#REF!,0))," ")</f>
        <v xml:space="preserve"> </v>
      </c>
      <c r="AB27" s="30">
        <f t="shared" si="10"/>
        <v>0</v>
      </c>
    </row>
    <row r="28" spans="1:28" x14ac:dyDescent="0.25">
      <c r="A28" s="38"/>
      <c r="B28" s="31" t="s">
        <v>52</v>
      </c>
      <c r="C28" s="32" t="str">
        <f>IF('Infos générales'!$E$2="x",IF(A28&gt;0,INDEX(DP!$A$10:$G$265,MATCH(A28,DP!$A$10:$A$265,0),6)," "),IF(A28&gt;0,INDEX(DP!$A$10:$G$265,MATCH(A28,DP!$A$10:$A$265,0),4)," "))</f>
        <v xml:space="preserve"> </v>
      </c>
      <c r="E28" s="39"/>
      <c r="F28" s="33" t="s">
        <v>34</v>
      </c>
      <c r="G28" s="40"/>
      <c r="H28" s="39"/>
      <c r="I28" s="33" t="s">
        <v>34</v>
      </c>
      <c r="J28" s="40"/>
      <c r="K28" s="39"/>
      <c r="L28" s="33" t="s">
        <v>34</v>
      </c>
      <c r="M28" s="40"/>
      <c r="N28" s="34">
        <f t="shared" si="0"/>
        <v>18</v>
      </c>
      <c r="O28" s="20">
        <f t="shared" si="1"/>
        <v>1.0101279999999999</v>
      </c>
      <c r="P28" s="20">
        <f t="shared" si="2"/>
        <v>18</v>
      </c>
      <c r="Q28" s="20" t="str">
        <f t="shared" si="3"/>
        <v xml:space="preserve"> </v>
      </c>
      <c r="R28" s="20">
        <f t="shared" si="4"/>
        <v>0</v>
      </c>
      <c r="S28" s="20">
        <f t="shared" si="5"/>
        <v>0</v>
      </c>
      <c r="T28" s="20">
        <f t="shared" si="6"/>
        <v>0</v>
      </c>
      <c r="U28" s="20">
        <f>IF($J$2="x",IFERROR(SMALL($O$11:$O$14,18),0),IF($J$3="x",IFERROR(SMALL($O$11:$O$18,18),0),IF($J$4="x",IFERROR(SMALL($O$11:$O$26,18),0),IF($J$5="x",IFERROR(SMALL($O$11:$O$42,18),0),IF($J$6="x",IFERROR(SMALL($O$11:$O$74,18),0),IF($J$7="x",IFERROR(SMALL($O$11:$O$138,18),0),IFERROR(SMALL($O$11:$O$266,18),0)))))))</f>
        <v>1.0101279999999999</v>
      </c>
      <c r="V28" s="20">
        <f t="shared" si="7"/>
        <v>18</v>
      </c>
      <c r="W28" s="20" t="str">
        <f t="shared" si="8"/>
        <v xml:space="preserve"> </v>
      </c>
      <c r="Y28" s="29">
        <v>18</v>
      </c>
      <c r="Z28" s="36" t="str">
        <f t="shared" si="9"/>
        <v xml:space="preserve"> </v>
      </c>
      <c r="AA28" s="35" t="str">
        <f>IFERROR(INDEX(#REF!,MATCH(AB28,#REF!,0))," ")</f>
        <v xml:space="preserve"> </v>
      </c>
      <c r="AB28" s="30">
        <f t="shared" si="10"/>
        <v>0</v>
      </c>
    </row>
    <row r="29" spans="1:28" x14ac:dyDescent="0.25">
      <c r="A29" s="38"/>
      <c r="B29" s="31" t="s">
        <v>53</v>
      </c>
      <c r="C29" s="32" t="str">
        <f>IF('Infos générales'!$E$2="x",IF(A29&gt;0,INDEX(DP!$A$10:$G$265,MATCH(A29,DP!$A$10:$A$265,0),6)," "),IF(A29&gt;0,INDEX(DP!$A$10:$G$265,MATCH(A29,DP!$A$10:$A$265,0),4)," "))</f>
        <v xml:space="preserve"> </v>
      </c>
      <c r="E29" s="39"/>
      <c r="F29" s="33" t="s">
        <v>34</v>
      </c>
      <c r="G29" s="40"/>
      <c r="H29" s="39"/>
      <c r="I29" s="33" t="s">
        <v>34</v>
      </c>
      <c r="J29" s="40"/>
      <c r="K29" s="39"/>
      <c r="L29" s="33" t="s">
        <v>34</v>
      </c>
      <c r="M29" s="40"/>
      <c r="N29" s="34">
        <f t="shared" si="0"/>
        <v>19</v>
      </c>
      <c r="O29" s="20">
        <f t="shared" si="1"/>
        <v>1.0101290000000001</v>
      </c>
      <c r="P29" s="20">
        <f t="shared" si="2"/>
        <v>19</v>
      </c>
      <c r="Q29" s="20" t="str">
        <f t="shared" si="3"/>
        <v xml:space="preserve"> </v>
      </c>
      <c r="R29" s="20">
        <f t="shared" si="4"/>
        <v>0</v>
      </c>
      <c r="S29" s="20">
        <f t="shared" si="5"/>
        <v>0</v>
      </c>
      <c r="T29" s="20">
        <f t="shared" si="6"/>
        <v>0</v>
      </c>
      <c r="U29" s="20">
        <f>IF($J$2="x",IFERROR(SMALL($O$11:$O$14,19),0),IF($J$3="x",IFERROR(SMALL($O$11:$O$18,19),0),IF($J$4="x",IFERROR(SMALL($O$11:$O$26,19),0),IF($J$5="x",IFERROR(SMALL($O$11:$O$42,19),0),IF($J$6="x",IFERROR(SMALL($O$11:$O$74,19),0),IF($J$7="x",IFERROR(SMALL($O$11:$O$138,19),0),IFERROR(SMALL($O$11:$O$266,19),0)))))))</f>
        <v>1.0101290000000001</v>
      </c>
      <c r="V29" s="20">
        <f t="shared" si="7"/>
        <v>19</v>
      </c>
      <c r="W29" s="20" t="str">
        <f t="shared" si="8"/>
        <v xml:space="preserve"> </v>
      </c>
      <c r="Y29" s="29">
        <v>19</v>
      </c>
      <c r="Z29" s="36" t="str">
        <f t="shared" si="9"/>
        <v xml:space="preserve"> </v>
      </c>
      <c r="AA29" s="35" t="str">
        <f>IFERROR(INDEX(#REF!,MATCH(AB29,#REF!,0))," ")</f>
        <v xml:space="preserve"> </v>
      </c>
      <c r="AB29" s="30">
        <f t="shared" si="10"/>
        <v>0</v>
      </c>
    </row>
    <row r="30" spans="1:28" x14ac:dyDescent="0.25">
      <c r="A30" s="38"/>
      <c r="B30" s="31" t="s">
        <v>54</v>
      </c>
      <c r="C30" s="32" t="str">
        <f>IF('Infos générales'!$E$2="x",IF(A30&gt;0,INDEX(DP!$A$10:$G$265,MATCH(A30,DP!$A$10:$A$265,0),6)," "),IF(A30&gt;0,INDEX(DP!$A$10:$G$265,MATCH(A30,DP!$A$10:$A$265,0),4)," "))</f>
        <v xml:space="preserve"> </v>
      </c>
      <c r="E30" s="39"/>
      <c r="F30" s="33" t="s">
        <v>34</v>
      </c>
      <c r="G30" s="40"/>
      <c r="H30" s="39"/>
      <c r="I30" s="33" t="s">
        <v>34</v>
      </c>
      <c r="J30" s="40"/>
      <c r="K30" s="39"/>
      <c r="L30" s="33" t="s">
        <v>34</v>
      </c>
      <c r="M30" s="40"/>
      <c r="N30" s="34">
        <f t="shared" si="0"/>
        <v>20</v>
      </c>
      <c r="O30" s="20">
        <f t="shared" si="1"/>
        <v>1.01013</v>
      </c>
      <c r="P30" s="20">
        <f t="shared" si="2"/>
        <v>20</v>
      </c>
      <c r="Q30" s="20" t="str">
        <f t="shared" si="3"/>
        <v xml:space="preserve"> </v>
      </c>
      <c r="R30" s="20">
        <f t="shared" si="4"/>
        <v>0</v>
      </c>
      <c r="S30" s="20">
        <f t="shared" si="5"/>
        <v>0</v>
      </c>
      <c r="T30" s="20">
        <f t="shared" si="6"/>
        <v>0</v>
      </c>
      <c r="U30" s="20">
        <f>IF($J$2="x",IFERROR(SMALL($O$11:$O$14,20),0),IF($J$3="x",IFERROR(SMALL($O$11:$O$18,20),0),IF($J$4="x",IFERROR(SMALL($O$11:$O$26,20),0),IF($J$5="x",IFERROR(SMALL($O$11:$O$42,20),0),IF($J$6="x",IFERROR(SMALL($O$11:$O$74,20),0),IF($J$7="x",IFERROR(SMALL($O$11:$O$138,20),0),IFERROR(SMALL($O$11:$O$266,20),0)))))))</f>
        <v>1.01013</v>
      </c>
      <c r="V30" s="20">
        <f t="shared" si="7"/>
        <v>20</v>
      </c>
      <c r="W30" s="20" t="str">
        <f t="shared" si="8"/>
        <v xml:space="preserve"> </v>
      </c>
      <c r="Y30" s="29">
        <v>20</v>
      </c>
      <c r="Z30" s="36" t="str">
        <f t="shared" si="9"/>
        <v xml:space="preserve"> </v>
      </c>
      <c r="AA30" s="35" t="str">
        <f>IFERROR(INDEX(#REF!,MATCH(AB30,#REF!,0))," ")</f>
        <v xml:space="preserve"> </v>
      </c>
      <c r="AB30" s="30">
        <f t="shared" si="10"/>
        <v>0</v>
      </c>
    </row>
    <row r="31" spans="1:28" x14ac:dyDescent="0.25">
      <c r="A31" s="38"/>
      <c r="B31" s="31" t="s">
        <v>55</v>
      </c>
      <c r="C31" s="32" t="str">
        <f>IF('Infos générales'!$E$2="x",IF(A31&gt;0,INDEX(DP!$A$10:$G$265,MATCH(A31,DP!$A$10:$A$265,0),6)," "),IF(A31&gt;0,INDEX(DP!$A$10:$G$265,MATCH(A31,DP!$A$10:$A$265,0),4)," "))</f>
        <v xml:space="preserve"> </v>
      </c>
      <c r="E31" s="39"/>
      <c r="F31" s="33" t="s">
        <v>34</v>
      </c>
      <c r="G31" s="40"/>
      <c r="H31" s="39"/>
      <c r="I31" s="33" t="s">
        <v>34</v>
      </c>
      <c r="J31" s="40"/>
      <c r="K31" s="39"/>
      <c r="L31" s="33" t="s">
        <v>34</v>
      </c>
      <c r="M31" s="40"/>
      <c r="N31" s="34">
        <f t="shared" si="0"/>
        <v>21</v>
      </c>
      <c r="O31" s="20">
        <f t="shared" si="1"/>
        <v>1.0101309999999999</v>
      </c>
      <c r="P31" s="20">
        <f t="shared" si="2"/>
        <v>21</v>
      </c>
      <c r="Q31" s="20" t="str">
        <f t="shared" si="3"/>
        <v xml:space="preserve"> </v>
      </c>
      <c r="R31" s="20">
        <f t="shared" si="4"/>
        <v>0</v>
      </c>
      <c r="S31" s="20">
        <f t="shared" si="5"/>
        <v>0</v>
      </c>
      <c r="T31" s="20">
        <f t="shared" si="6"/>
        <v>0</v>
      </c>
      <c r="U31" s="20">
        <f>IF($J$2="x",IFERROR(SMALL($O$11:$O$14,21),0),IF($J$3="x",IFERROR(SMALL($O$11:$O$18,21),0),IF($J$4="x",IFERROR(SMALL($O$11:$O$26,21),0),IF($J$5="x",IFERROR(SMALL($O$11:$O$42,21),0),IF($J$6="x",IFERROR(SMALL($O$11:$O$74,21),0),IF($J$7="x",IFERROR(SMALL($O$11:$O$138,21),0),IFERROR(SMALL($O$11:$O$266,21),0)))))))</f>
        <v>1.0101309999999999</v>
      </c>
      <c r="V31" s="20">
        <f t="shared" si="7"/>
        <v>21</v>
      </c>
      <c r="W31" s="20" t="str">
        <f t="shared" si="8"/>
        <v xml:space="preserve"> </v>
      </c>
      <c r="Y31" s="29">
        <v>21</v>
      </c>
      <c r="Z31" s="36" t="str">
        <f t="shared" si="9"/>
        <v xml:space="preserve"> </v>
      </c>
      <c r="AA31" s="35" t="str">
        <f>IFERROR(INDEX(#REF!,MATCH(AB31,#REF!,0))," ")</f>
        <v xml:space="preserve"> </v>
      </c>
      <c r="AB31" s="30">
        <f t="shared" si="10"/>
        <v>0</v>
      </c>
    </row>
    <row r="32" spans="1:28" x14ac:dyDescent="0.25">
      <c r="A32" s="38"/>
      <c r="B32" s="31" t="s">
        <v>56</v>
      </c>
      <c r="C32" s="32" t="str">
        <f>IF('Infos générales'!$E$2="x",IF(A32&gt;0,INDEX(DP!$A$10:$G$265,MATCH(A32,DP!$A$10:$A$265,0),6)," "),IF(A32&gt;0,INDEX(DP!$A$10:$G$265,MATCH(A32,DP!$A$10:$A$265,0),4)," "))</f>
        <v xml:space="preserve"> </v>
      </c>
      <c r="E32" s="39"/>
      <c r="F32" s="33" t="s">
        <v>34</v>
      </c>
      <c r="G32" s="40"/>
      <c r="H32" s="39"/>
      <c r="I32" s="33" t="s">
        <v>34</v>
      </c>
      <c r="J32" s="40"/>
      <c r="K32" s="39"/>
      <c r="L32" s="33" t="s">
        <v>34</v>
      </c>
      <c r="M32" s="40"/>
      <c r="N32" s="34">
        <f t="shared" si="0"/>
        <v>22</v>
      </c>
      <c r="O32" s="20">
        <f t="shared" si="1"/>
        <v>1.010132</v>
      </c>
      <c r="P32" s="20">
        <f t="shared" si="2"/>
        <v>22</v>
      </c>
      <c r="Q32" s="20" t="str">
        <f t="shared" si="3"/>
        <v xml:space="preserve"> </v>
      </c>
      <c r="R32" s="20">
        <f t="shared" si="4"/>
        <v>0</v>
      </c>
      <c r="S32" s="20">
        <f t="shared" si="5"/>
        <v>0</v>
      </c>
      <c r="T32" s="20">
        <f t="shared" si="6"/>
        <v>0</v>
      </c>
      <c r="U32" s="20">
        <f>IF($J$2="x",IFERROR(SMALL($O$11:$O$14,22),0),IF($J$3="x",IFERROR(SMALL($O$11:$O$18,22),0),IF($J$4="x",IFERROR(SMALL($O$11:$O$26,22),0),IF($J$5="x",IFERROR(SMALL($O$11:$O$42,22),0),IF($J$6="x",IFERROR(SMALL($O$11:$O$74,22),0),IF($J$7="x",IFERROR(SMALL($O$11:$O$138,22),0),IFERROR(SMALL($O$11:$O$266,22),0)))))))</f>
        <v>1.010132</v>
      </c>
      <c r="V32" s="20">
        <f t="shared" si="7"/>
        <v>22</v>
      </c>
      <c r="W32" s="20" t="str">
        <f t="shared" si="8"/>
        <v xml:space="preserve"> </v>
      </c>
      <c r="Y32" s="29">
        <v>22</v>
      </c>
      <c r="Z32" s="36" t="str">
        <f t="shared" si="9"/>
        <v xml:space="preserve"> </v>
      </c>
      <c r="AA32" s="35" t="str">
        <f>IFERROR(INDEX(#REF!,MATCH(AB32,#REF!,0))," ")</f>
        <v xml:space="preserve"> </v>
      </c>
      <c r="AB32" s="30">
        <f t="shared" si="10"/>
        <v>0</v>
      </c>
    </row>
    <row r="33" spans="1:28" x14ac:dyDescent="0.25">
      <c r="A33" s="38"/>
      <c r="B33" s="31" t="s">
        <v>57</v>
      </c>
      <c r="C33" s="32" t="str">
        <f>IF('Infos générales'!$E$2="x",IF(A33&gt;0,INDEX(DP!$A$10:$G$265,MATCH(A33,DP!$A$10:$A$265,0),6)," "),IF(A33&gt;0,INDEX(DP!$A$10:$G$265,MATCH(A33,DP!$A$10:$A$265,0),4)," "))</f>
        <v xml:space="preserve"> </v>
      </c>
      <c r="E33" s="39"/>
      <c r="F33" s="33" t="s">
        <v>34</v>
      </c>
      <c r="G33" s="40"/>
      <c r="H33" s="39"/>
      <c r="I33" s="33" t="s">
        <v>34</v>
      </c>
      <c r="J33" s="40"/>
      <c r="K33" s="39"/>
      <c r="L33" s="33" t="s">
        <v>34</v>
      </c>
      <c r="M33" s="40"/>
      <c r="N33" s="34">
        <f t="shared" si="0"/>
        <v>23</v>
      </c>
      <c r="O33" s="20">
        <f t="shared" si="1"/>
        <v>1.0101329999999999</v>
      </c>
      <c r="P33" s="20">
        <f t="shared" si="2"/>
        <v>23</v>
      </c>
      <c r="Q33" s="20" t="str">
        <f t="shared" si="3"/>
        <v xml:space="preserve"> </v>
      </c>
      <c r="R33" s="20">
        <f t="shared" si="4"/>
        <v>0</v>
      </c>
      <c r="S33" s="20">
        <f t="shared" si="5"/>
        <v>0</v>
      </c>
      <c r="T33" s="20">
        <f t="shared" si="6"/>
        <v>0</v>
      </c>
      <c r="U33" s="20">
        <f>IF($J$2="x",IFERROR(SMALL($O$11:$O$14,23),0),IF($J$3="x",IFERROR(SMALL($O$11:$O$18,23),0),IF($J$4="x",IFERROR(SMALL($O$11:$O$26,23),0),IF($J$5="x",IFERROR(SMALL($O$11:$O$42,23),0),IF($J$6="x",IFERROR(SMALL($O$11:$O$74,23),0),IF($J$7="x",IFERROR(SMALL($O$11:$O$138,23),0),IFERROR(SMALL($O$11:$O$266,23),0)))))))</f>
        <v>1.0101329999999999</v>
      </c>
      <c r="V33" s="20">
        <f t="shared" si="7"/>
        <v>23</v>
      </c>
      <c r="W33" s="20" t="str">
        <f t="shared" si="8"/>
        <v xml:space="preserve"> </v>
      </c>
      <c r="Y33" s="29">
        <v>23</v>
      </c>
      <c r="Z33" s="36" t="str">
        <f t="shared" si="9"/>
        <v xml:space="preserve"> </v>
      </c>
      <c r="AA33" s="35" t="str">
        <f>IFERROR(INDEX(#REF!,MATCH(AB33,#REF!,0))," ")</f>
        <v xml:space="preserve"> </v>
      </c>
      <c r="AB33" s="30">
        <f t="shared" si="10"/>
        <v>0</v>
      </c>
    </row>
    <row r="34" spans="1:28" x14ac:dyDescent="0.25">
      <c r="A34" s="38"/>
      <c r="B34" s="31" t="s">
        <v>58</v>
      </c>
      <c r="C34" s="32" t="str">
        <f>IF('Infos générales'!$E$2="x",IF(A34&gt;0,INDEX(DP!$A$10:$G$265,MATCH(A34,DP!$A$10:$A$265,0),6)," "),IF(A34&gt;0,INDEX(DP!$A$10:$G$265,MATCH(A34,DP!$A$10:$A$265,0),4)," "))</f>
        <v xml:space="preserve"> </v>
      </c>
      <c r="E34" s="39"/>
      <c r="F34" s="33" t="s">
        <v>34</v>
      </c>
      <c r="G34" s="40"/>
      <c r="H34" s="39"/>
      <c r="I34" s="33" t="s">
        <v>34</v>
      </c>
      <c r="J34" s="40"/>
      <c r="K34" s="39"/>
      <c r="L34" s="33" t="s">
        <v>34</v>
      </c>
      <c r="M34" s="40"/>
      <c r="N34" s="34">
        <f t="shared" si="0"/>
        <v>24</v>
      </c>
      <c r="O34" s="20">
        <f t="shared" si="1"/>
        <v>1.0101340000000001</v>
      </c>
      <c r="P34" s="20">
        <f t="shared" si="2"/>
        <v>24</v>
      </c>
      <c r="Q34" s="20" t="str">
        <f t="shared" si="3"/>
        <v xml:space="preserve"> </v>
      </c>
      <c r="R34" s="20">
        <f t="shared" si="4"/>
        <v>0</v>
      </c>
      <c r="S34" s="20">
        <f t="shared" si="5"/>
        <v>0</v>
      </c>
      <c r="T34" s="20">
        <f t="shared" si="6"/>
        <v>0</v>
      </c>
      <c r="U34" s="20">
        <f>IF($J$2="x",IFERROR(SMALL($O$11:$O$14,24),0),IF($J$3="x",IFERROR(SMALL($O$11:$O$18,24),0),IF($J$4="x",IFERROR(SMALL($O$11:$O$26,24),0),IF($J$5="x",IFERROR(SMALL($O$11:$O$42,24),0),IF($J$6="x",IFERROR(SMALL($O$11:$O$74,24),0),IF($J$7="x",IFERROR(SMALL($O$11:$O$138,24),0),IFERROR(SMALL($O$11:$O$266,24),0)))))))</f>
        <v>1.0101340000000001</v>
      </c>
      <c r="V34" s="20">
        <f t="shared" si="7"/>
        <v>24</v>
      </c>
      <c r="W34" s="20" t="str">
        <f t="shared" si="8"/>
        <v xml:space="preserve"> </v>
      </c>
      <c r="Y34" s="29">
        <v>24</v>
      </c>
      <c r="Z34" s="36" t="str">
        <f t="shared" si="9"/>
        <v xml:space="preserve"> </v>
      </c>
      <c r="AA34" s="35" t="str">
        <f>IFERROR(INDEX(#REF!,MATCH(AB34,#REF!,0))," ")</f>
        <v xml:space="preserve"> </v>
      </c>
      <c r="AB34" s="30">
        <f t="shared" si="10"/>
        <v>0</v>
      </c>
    </row>
    <row r="35" spans="1:28" x14ac:dyDescent="0.25">
      <c r="A35" s="38"/>
      <c r="B35" s="31" t="s">
        <v>59</v>
      </c>
      <c r="C35" s="32" t="str">
        <f>IF('Infos générales'!$E$2="x",IF(A35&gt;0,INDEX(DP!$A$10:$G$265,MATCH(A35,DP!$A$10:$A$265,0),6)," "),IF(A35&gt;0,INDEX(DP!$A$10:$G$265,MATCH(A35,DP!$A$10:$A$265,0),4)," "))</f>
        <v xml:space="preserve"> </v>
      </c>
      <c r="E35" s="39"/>
      <c r="F35" s="33" t="s">
        <v>34</v>
      </c>
      <c r="G35" s="40"/>
      <c r="H35" s="39"/>
      <c r="I35" s="33" t="s">
        <v>34</v>
      </c>
      <c r="J35" s="40"/>
      <c r="K35" s="39"/>
      <c r="L35" s="33" t="s">
        <v>34</v>
      </c>
      <c r="M35" s="40"/>
      <c r="N35" s="34">
        <f t="shared" si="0"/>
        <v>25</v>
      </c>
      <c r="O35" s="20">
        <f t="shared" si="1"/>
        <v>1.010135</v>
      </c>
      <c r="P35" s="20">
        <f t="shared" si="2"/>
        <v>25</v>
      </c>
      <c r="Q35" s="20" t="str">
        <f t="shared" si="3"/>
        <v xml:space="preserve"> </v>
      </c>
      <c r="R35" s="20">
        <f t="shared" si="4"/>
        <v>0</v>
      </c>
      <c r="S35" s="20">
        <f t="shared" si="5"/>
        <v>0</v>
      </c>
      <c r="T35" s="20">
        <f t="shared" si="6"/>
        <v>0</v>
      </c>
      <c r="U35" s="20">
        <f>IF($J$2="x",IFERROR(SMALL($O$11:$O$14,25),0),IF($J$3="x",IFERROR(SMALL($O$11:$O$18,25),0),IF($J$4="x",IFERROR(SMALL($O$11:$O$26,25),0),IF($J$5="x",IFERROR(SMALL($O$11:$O$42,25),0),IF($J$6="x",IFERROR(SMALL($O$11:$O$74,25),0),IF($J$7="x",IFERROR(SMALL($O$11:$O$138,25),0),IFERROR(SMALL($O$11:$O$266,25),0)))))))</f>
        <v>1.010135</v>
      </c>
      <c r="V35" s="20">
        <f t="shared" si="7"/>
        <v>25</v>
      </c>
      <c r="W35" s="20" t="str">
        <f t="shared" si="8"/>
        <v xml:space="preserve"> </v>
      </c>
      <c r="Y35" s="29">
        <v>25</v>
      </c>
      <c r="Z35" s="36" t="str">
        <f t="shared" si="9"/>
        <v xml:space="preserve"> </v>
      </c>
      <c r="AA35" s="35" t="str">
        <f>IFERROR(INDEX(#REF!,MATCH(AB35,#REF!,0))," ")</f>
        <v xml:space="preserve"> </v>
      </c>
      <c r="AB35" s="30">
        <f t="shared" si="10"/>
        <v>0</v>
      </c>
    </row>
    <row r="36" spans="1:28" x14ac:dyDescent="0.25">
      <c r="A36" s="38"/>
      <c r="B36" s="31" t="s">
        <v>60</v>
      </c>
      <c r="C36" s="32" t="str">
        <f>IF('Infos générales'!$E$2="x",IF(A36&gt;0,INDEX(DP!$A$10:$G$265,MATCH(A36,DP!$A$10:$A$265,0),6)," "),IF(A36&gt;0,INDEX(DP!$A$10:$G$265,MATCH(A36,DP!$A$10:$A$265,0),4)," "))</f>
        <v xml:space="preserve"> </v>
      </c>
      <c r="E36" s="39"/>
      <c r="F36" s="33" t="s">
        <v>34</v>
      </c>
      <c r="G36" s="40"/>
      <c r="H36" s="39"/>
      <c r="I36" s="33" t="s">
        <v>34</v>
      </c>
      <c r="J36" s="40"/>
      <c r="K36" s="39"/>
      <c r="L36" s="33" t="s">
        <v>34</v>
      </c>
      <c r="M36" s="40"/>
      <c r="N36" s="34">
        <f t="shared" si="0"/>
        <v>26</v>
      </c>
      <c r="O36" s="20">
        <f t="shared" si="1"/>
        <v>1.0101359999999999</v>
      </c>
      <c r="P36" s="20">
        <f t="shared" si="2"/>
        <v>26</v>
      </c>
      <c r="Q36" s="20" t="str">
        <f t="shared" si="3"/>
        <v xml:space="preserve"> </v>
      </c>
      <c r="R36" s="20">
        <f t="shared" si="4"/>
        <v>0</v>
      </c>
      <c r="S36" s="20">
        <f t="shared" si="5"/>
        <v>0</v>
      </c>
      <c r="T36" s="20">
        <f t="shared" si="6"/>
        <v>0</v>
      </c>
      <c r="U36" s="20">
        <f>IF($J$2="x",IFERROR(SMALL($O$11:$O$14,26),0),IF($J$3="x",IFERROR(SMALL($O$11:$O$18,26),0),IF($J$4="x",IFERROR(SMALL($O$11:$O$26,26),0),IF($J$5="x",IFERROR(SMALL($O$11:$O$42,26),0),IF($J$6="x",IFERROR(SMALL($O$11:$O$74,26),0),IF($J$7="x",IFERROR(SMALL($O$11:$O$138,26),0),IFERROR(SMALL($O$11:$O$266,26),0)))))))</f>
        <v>1.0101359999999999</v>
      </c>
      <c r="V36" s="20">
        <f t="shared" si="7"/>
        <v>26</v>
      </c>
      <c r="W36" s="20" t="str">
        <f t="shared" si="8"/>
        <v xml:space="preserve"> </v>
      </c>
      <c r="Y36" s="29">
        <v>26</v>
      </c>
      <c r="Z36" s="36" t="str">
        <f t="shared" si="9"/>
        <v xml:space="preserve"> </v>
      </c>
      <c r="AA36" s="35" t="str">
        <f>IFERROR(INDEX(#REF!,MATCH(AB36,#REF!,0))," ")</f>
        <v xml:space="preserve"> </v>
      </c>
      <c r="AB36" s="30">
        <f t="shared" si="10"/>
        <v>0</v>
      </c>
    </row>
    <row r="37" spans="1:28" x14ac:dyDescent="0.25">
      <c r="A37" s="38"/>
      <c r="B37" s="31" t="s">
        <v>61</v>
      </c>
      <c r="C37" s="32" t="str">
        <f>IF('Infos générales'!$E$2="x",IF(A37&gt;0,INDEX(DP!$A$10:$G$265,MATCH(A37,DP!$A$10:$A$265,0),6)," "),IF(A37&gt;0,INDEX(DP!$A$10:$G$265,MATCH(A37,DP!$A$10:$A$265,0),4)," "))</f>
        <v xml:space="preserve"> </v>
      </c>
      <c r="E37" s="39"/>
      <c r="F37" s="33" t="s">
        <v>34</v>
      </c>
      <c r="G37" s="40"/>
      <c r="H37" s="39"/>
      <c r="I37" s="33" t="s">
        <v>34</v>
      </c>
      <c r="J37" s="40"/>
      <c r="K37" s="39"/>
      <c r="L37" s="33" t="s">
        <v>34</v>
      </c>
      <c r="M37" s="40"/>
      <c r="N37" s="34">
        <f t="shared" si="0"/>
        <v>27</v>
      </c>
      <c r="O37" s="20">
        <f t="shared" si="1"/>
        <v>1.0101370000000001</v>
      </c>
      <c r="P37" s="20">
        <f t="shared" si="2"/>
        <v>27</v>
      </c>
      <c r="Q37" s="20" t="str">
        <f t="shared" si="3"/>
        <v xml:space="preserve"> </v>
      </c>
      <c r="R37" s="20">
        <f t="shared" si="4"/>
        <v>0</v>
      </c>
      <c r="S37" s="20">
        <f t="shared" si="5"/>
        <v>0</v>
      </c>
      <c r="T37" s="20">
        <f t="shared" si="6"/>
        <v>0</v>
      </c>
      <c r="U37" s="20">
        <f>IF($J$2="x",IFERROR(SMALL($O$11:$O$14,27),0),IF($J$3="x",IFERROR(SMALL($O$11:$O$18,27),0),IF($J$4="x",IFERROR(SMALL($O$11:$O$26,27),0),IF($J$5="x",IFERROR(SMALL($O$11:$O$42,27),0),IF($J$6="x",IFERROR(SMALL($O$11:$O$74,27),0),IF($J$7="x",IFERROR(SMALL($O$11:$O$138,27),0),IFERROR(SMALL($O$11:$O$266,27),0)))))))</f>
        <v>1.0101370000000001</v>
      </c>
      <c r="V37" s="20">
        <f t="shared" si="7"/>
        <v>27</v>
      </c>
      <c r="W37" s="20" t="str">
        <f t="shared" si="8"/>
        <v xml:space="preserve"> </v>
      </c>
      <c r="Y37" s="29">
        <v>27</v>
      </c>
      <c r="Z37" s="36" t="str">
        <f t="shared" si="9"/>
        <v xml:space="preserve"> </v>
      </c>
      <c r="AA37" s="35" t="str">
        <f>IFERROR(INDEX(#REF!,MATCH(AB37,#REF!,0))," ")</f>
        <v xml:space="preserve"> </v>
      </c>
      <c r="AB37" s="30">
        <f t="shared" si="10"/>
        <v>0</v>
      </c>
    </row>
    <row r="38" spans="1:28" x14ac:dyDescent="0.25">
      <c r="A38" s="38"/>
      <c r="B38" s="31" t="s">
        <v>62</v>
      </c>
      <c r="C38" s="32" t="str">
        <f>IF('Infos générales'!$E$2="x",IF(A38&gt;0,INDEX(DP!$A$10:$G$265,MATCH(A38,DP!$A$10:$A$265,0),6)," "),IF(A38&gt;0,INDEX(DP!$A$10:$G$265,MATCH(A38,DP!$A$10:$A$265,0),4)," "))</f>
        <v xml:space="preserve"> </v>
      </c>
      <c r="E38" s="39"/>
      <c r="F38" s="33" t="s">
        <v>34</v>
      </c>
      <c r="G38" s="40"/>
      <c r="H38" s="39"/>
      <c r="I38" s="33" t="s">
        <v>34</v>
      </c>
      <c r="J38" s="40"/>
      <c r="K38" s="39"/>
      <c r="L38" s="33" t="s">
        <v>34</v>
      </c>
      <c r="M38" s="40"/>
      <c r="N38" s="34">
        <f t="shared" si="0"/>
        <v>28</v>
      </c>
      <c r="O38" s="20">
        <f t="shared" si="1"/>
        <v>1.010138</v>
      </c>
      <c r="P38" s="20">
        <f t="shared" si="2"/>
        <v>28</v>
      </c>
      <c r="Q38" s="20" t="str">
        <f t="shared" si="3"/>
        <v xml:space="preserve"> </v>
      </c>
      <c r="R38" s="20">
        <f t="shared" si="4"/>
        <v>0</v>
      </c>
      <c r="S38" s="20">
        <f t="shared" si="5"/>
        <v>0</v>
      </c>
      <c r="T38" s="20">
        <f t="shared" si="6"/>
        <v>0</v>
      </c>
      <c r="U38" s="20">
        <f>IF($J$2="x",IFERROR(SMALL($O$11:$O$14,28),0),IF($J$3="x",IFERROR(SMALL($O$11:$O$18,28),0),IF($J$4="x",IFERROR(SMALL($O$11:$O$26,28),0),IF($J$5="x",IFERROR(SMALL($O$11:$O$42,28),0),IF($J$6="x",IFERROR(SMALL($O$11:$O$74,28),0),IF($J$7="x",IFERROR(SMALL($O$11:$O$138,28),0),IFERROR(SMALL($O$11:$O$266,28),0)))))))</f>
        <v>1.010138</v>
      </c>
      <c r="V38" s="20">
        <f t="shared" si="7"/>
        <v>28</v>
      </c>
      <c r="W38" s="20" t="str">
        <f t="shared" si="8"/>
        <v xml:space="preserve"> </v>
      </c>
      <c r="Y38" s="29">
        <v>28</v>
      </c>
      <c r="Z38" s="36" t="str">
        <f t="shared" si="9"/>
        <v xml:space="preserve"> </v>
      </c>
      <c r="AA38" s="35" t="str">
        <f>IFERROR(INDEX(#REF!,MATCH(AB38,#REF!,0))," ")</f>
        <v xml:space="preserve"> </v>
      </c>
      <c r="AB38" s="30">
        <f t="shared" si="10"/>
        <v>0</v>
      </c>
    </row>
    <row r="39" spans="1:28" x14ac:dyDescent="0.25">
      <c r="A39" s="38"/>
      <c r="B39" s="31" t="s">
        <v>63</v>
      </c>
      <c r="C39" s="32" t="str">
        <f>IF('Infos générales'!$E$2="x",IF(A39&gt;0,INDEX(DP!$A$10:$G$265,MATCH(A39,DP!$A$10:$A$265,0),6)," "),IF(A39&gt;0,INDEX(DP!$A$10:$G$265,MATCH(A39,DP!$A$10:$A$265,0),4)," "))</f>
        <v xml:space="preserve"> </v>
      </c>
      <c r="E39" s="39"/>
      <c r="F39" s="33" t="s">
        <v>34</v>
      </c>
      <c r="G39" s="40"/>
      <c r="H39" s="39"/>
      <c r="I39" s="33" t="s">
        <v>34</v>
      </c>
      <c r="J39" s="40"/>
      <c r="K39" s="39"/>
      <c r="L39" s="33" t="s">
        <v>34</v>
      </c>
      <c r="M39" s="40"/>
      <c r="N39" s="34">
        <f t="shared" si="0"/>
        <v>29</v>
      </c>
      <c r="O39" s="20">
        <f t="shared" si="1"/>
        <v>1.0101389999999999</v>
      </c>
      <c r="P39" s="20">
        <f t="shared" si="2"/>
        <v>29</v>
      </c>
      <c r="Q39" s="20" t="str">
        <f t="shared" si="3"/>
        <v xml:space="preserve"> </v>
      </c>
      <c r="R39" s="20">
        <f t="shared" si="4"/>
        <v>0</v>
      </c>
      <c r="S39" s="20">
        <f t="shared" si="5"/>
        <v>0</v>
      </c>
      <c r="T39" s="20">
        <f t="shared" si="6"/>
        <v>0</v>
      </c>
      <c r="U39" s="20">
        <f>IF($J$2="x",IFERROR(SMALL($O$11:$O$14,29),0),IF($J$3="x",IFERROR(SMALL($O$11:$O$18,29),0),IF($J$4="x",IFERROR(SMALL($O$11:$O$26,29),0),IF($J$5="x",IFERROR(SMALL($O$11:$O$42,29),0),IF($J$6="x",IFERROR(SMALL($O$11:$O$74,29),0),IF($J$7="x",IFERROR(SMALL($O$11:$O$138,29),0),IFERROR(SMALL($O$11:$O$266,29),0)))))))</f>
        <v>1.0101389999999999</v>
      </c>
      <c r="V39" s="20">
        <f t="shared" si="7"/>
        <v>29</v>
      </c>
      <c r="W39" s="20" t="str">
        <f t="shared" si="8"/>
        <v xml:space="preserve"> </v>
      </c>
      <c r="Y39" s="29">
        <v>29</v>
      </c>
      <c r="Z39" s="36" t="str">
        <f t="shared" si="9"/>
        <v xml:space="preserve"> </v>
      </c>
      <c r="AA39" s="35" t="str">
        <f>IFERROR(INDEX(#REF!,MATCH(AB39,#REF!,0))," ")</f>
        <v xml:space="preserve"> </v>
      </c>
      <c r="AB39" s="30">
        <f t="shared" si="10"/>
        <v>0</v>
      </c>
    </row>
    <row r="40" spans="1:28" x14ac:dyDescent="0.25">
      <c r="A40" s="38"/>
      <c r="B40" s="31" t="s">
        <v>64</v>
      </c>
      <c r="C40" s="32" t="str">
        <f>IF('Infos générales'!$E$2="x",IF(A40&gt;0,INDEX(DP!$A$10:$G$265,MATCH(A40,DP!$A$10:$A$265,0),6)," "),IF(A40&gt;0,INDEX(DP!$A$10:$G$265,MATCH(A40,DP!$A$10:$A$265,0),4)," "))</f>
        <v xml:space="preserve"> </v>
      </c>
      <c r="E40" s="39"/>
      <c r="F40" s="33" t="s">
        <v>34</v>
      </c>
      <c r="G40" s="40"/>
      <c r="H40" s="39"/>
      <c r="I40" s="33" t="s">
        <v>34</v>
      </c>
      <c r="J40" s="40"/>
      <c r="K40" s="39"/>
      <c r="L40" s="33" t="s">
        <v>34</v>
      </c>
      <c r="M40" s="40"/>
      <c r="N40" s="34">
        <f t="shared" si="0"/>
        <v>30</v>
      </c>
      <c r="O40" s="20">
        <f t="shared" si="1"/>
        <v>1.01014</v>
      </c>
      <c r="P40" s="20">
        <f t="shared" si="2"/>
        <v>30</v>
      </c>
      <c r="Q40" s="20" t="str">
        <f t="shared" si="3"/>
        <v xml:space="preserve"> </v>
      </c>
      <c r="R40" s="20">
        <f t="shared" si="4"/>
        <v>0</v>
      </c>
      <c r="S40" s="20">
        <f t="shared" si="5"/>
        <v>0</v>
      </c>
      <c r="T40" s="20">
        <f t="shared" si="6"/>
        <v>0</v>
      </c>
      <c r="U40" s="20">
        <f>IF($J$2="x",IFERROR(SMALL($O$11:$O$14,30),0),IF($J$3="x",IFERROR(SMALL($O$11:$O$18,30),0),IF($J$4="x",IFERROR(SMALL($O$11:$O$26,30),0),IF($J$5="x",IFERROR(SMALL($O$11:$O$42,30),0),IF($J$6="x",IFERROR(SMALL($O$11:$O$74,30),0),IF($J$7="x",IFERROR(SMALL($O$11:$O$138,30),0),IFERROR(SMALL($O$11:$O$266,30),0)))))))</f>
        <v>1.01014</v>
      </c>
      <c r="V40" s="20">
        <f t="shared" si="7"/>
        <v>30</v>
      </c>
      <c r="W40" s="20" t="str">
        <f t="shared" si="8"/>
        <v xml:space="preserve"> </v>
      </c>
      <c r="Y40" s="29">
        <v>30</v>
      </c>
      <c r="Z40" s="36" t="str">
        <f t="shared" si="9"/>
        <v xml:space="preserve"> </v>
      </c>
      <c r="AA40" s="35" t="str">
        <f>IFERROR(INDEX(#REF!,MATCH(AB40,#REF!,0))," ")</f>
        <v xml:space="preserve"> </v>
      </c>
      <c r="AB40" s="30">
        <f t="shared" si="10"/>
        <v>0</v>
      </c>
    </row>
    <row r="41" spans="1:28" x14ac:dyDescent="0.25">
      <c r="A41" s="38"/>
      <c r="B41" s="31" t="s">
        <v>65</v>
      </c>
      <c r="C41" s="32" t="str">
        <f>IF('Infos générales'!$E$2="x",IF(A41&gt;0,INDEX(DP!$A$10:$G$265,MATCH(A41,DP!$A$10:$A$265,0),6)," "),IF(A41&gt;0,INDEX(DP!$A$10:$G$265,MATCH(A41,DP!$A$10:$A$265,0),4)," "))</f>
        <v xml:space="preserve"> </v>
      </c>
      <c r="E41" s="39"/>
      <c r="F41" s="33" t="s">
        <v>34</v>
      </c>
      <c r="G41" s="40"/>
      <c r="H41" s="39"/>
      <c r="I41" s="33" t="s">
        <v>34</v>
      </c>
      <c r="J41" s="40"/>
      <c r="K41" s="39"/>
      <c r="L41" s="33" t="s">
        <v>34</v>
      </c>
      <c r="M41" s="40"/>
      <c r="N41" s="34">
        <f t="shared" si="0"/>
        <v>31</v>
      </c>
      <c r="O41" s="20">
        <f t="shared" si="1"/>
        <v>1.010141</v>
      </c>
      <c r="P41" s="20">
        <f t="shared" si="2"/>
        <v>31</v>
      </c>
      <c r="Q41" s="20" t="str">
        <f t="shared" si="3"/>
        <v xml:space="preserve"> </v>
      </c>
      <c r="R41" s="20">
        <f t="shared" si="4"/>
        <v>0</v>
      </c>
      <c r="S41" s="20">
        <f t="shared" si="5"/>
        <v>0</v>
      </c>
      <c r="T41" s="20">
        <f t="shared" si="6"/>
        <v>0</v>
      </c>
      <c r="U41" s="20">
        <f>IF($J$2="x",IFERROR(SMALL($O$11:$O$14,31),0),IF($J$3="x",IFERROR(SMALL($O$11:$O$18,31),0),IF($J$4="x",IFERROR(SMALL($O$11:$O$26,31),0),IF($J$5="x",IFERROR(SMALL($O$11:$O$42,31),0),IF($J$6="x",IFERROR(SMALL($O$11:$O$74,31),0),IF($J$7="x",IFERROR(SMALL($O$11:$O$138,31),0),IFERROR(SMALL($O$11:$O$266,31),0)))))))</f>
        <v>1.010141</v>
      </c>
      <c r="V41" s="20">
        <f t="shared" si="7"/>
        <v>31</v>
      </c>
      <c r="W41" s="20" t="str">
        <f t="shared" si="8"/>
        <v xml:space="preserve"> </v>
      </c>
      <c r="Y41" s="29">
        <v>31</v>
      </c>
      <c r="Z41" s="36" t="str">
        <f t="shared" si="9"/>
        <v xml:space="preserve"> </v>
      </c>
      <c r="AA41" s="35" t="str">
        <f>IFERROR(INDEX(#REF!,MATCH(AB41,#REF!,0))," ")</f>
        <v xml:space="preserve"> </v>
      </c>
      <c r="AB41" s="30">
        <f t="shared" si="10"/>
        <v>0</v>
      </c>
    </row>
    <row r="42" spans="1:28" x14ac:dyDescent="0.25">
      <c r="A42" s="38"/>
      <c r="B42" s="31" t="s">
        <v>66</v>
      </c>
      <c r="C42" s="32" t="str">
        <f>IF('Infos générales'!$E$2="x",IF(A42&gt;0,INDEX(DP!$A$10:$G$265,MATCH(A42,DP!$A$10:$A$265,0),6)," "),IF(A42&gt;0,INDEX(DP!$A$10:$G$265,MATCH(A42,DP!$A$10:$A$265,0),4)," "))</f>
        <v xml:space="preserve"> </v>
      </c>
      <c r="E42" s="39"/>
      <c r="F42" s="33" t="s">
        <v>34</v>
      </c>
      <c r="G42" s="40"/>
      <c r="H42" s="39"/>
      <c r="I42" s="33" t="s">
        <v>34</v>
      </c>
      <c r="J42" s="40"/>
      <c r="K42" s="39"/>
      <c r="L42" s="33" t="s">
        <v>34</v>
      </c>
      <c r="M42" s="40"/>
      <c r="N42" s="34">
        <f t="shared" si="0"/>
        <v>32</v>
      </c>
      <c r="O42" s="20">
        <f t="shared" si="1"/>
        <v>1.0101420000000001</v>
      </c>
      <c r="P42" s="20">
        <f t="shared" si="2"/>
        <v>32</v>
      </c>
      <c r="Q42" s="20" t="str">
        <f t="shared" si="3"/>
        <v xml:space="preserve"> </v>
      </c>
      <c r="R42" s="20">
        <f t="shared" si="4"/>
        <v>0</v>
      </c>
      <c r="S42" s="20">
        <f t="shared" si="5"/>
        <v>0</v>
      </c>
      <c r="T42" s="20">
        <f t="shared" si="6"/>
        <v>0</v>
      </c>
      <c r="U42" s="20">
        <f>IF($J$2="x",IFERROR(SMALL($O$11:$O$14,32),0),IF($J$3="x",IFERROR(SMALL($O$11:$O$18,32),0),IF($J$4="x",IFERROR(SMALL($O$11:$O$26,32),0),IF($J$5="x",IFERROR(SMALL($O$11:$O$42,32),0),IF($J$6="x",IFERROR(SMALL($O$11:$O$74,32),0),IF($J$7="x",IFERROR(SMALL($O$11:$O$138,32),0),IFERROR(SMALL($O$11:$O$266,32),0)))))))</f>
        <v>1.0101420000000001</v>
      </c>
      <c r="V42" s="20">
        <f t="shared" si="7"/>
        <v>32</v>
      </c>
      <c r="W42" s="20" t="str">
        <f t="shared" si="8"/>
        <v xml:space="preserve"> </v>
      </c>
      <c r="Y42" s="29">
        <v>32</v>
      </c>
      <c r="Z42" s="36" t="str">
        <f t="shared" si="9"/>
        <v xml:space="preserve"> </v>
      </c>
      <c r="AA42" s="35" t="str">
        <f>IFERROR(INDEX(#REF!,MATCH(AB42,#REF!,0))," ")</f>
        <v xml:space="preserve"> </v>
      </c>
      <c r="AB42" s="30">
        <f t="shared" si="10"/>
        <v>0</v>
      </c>
    </row>
    <row r="43" spans="1:28" x14ac:dyDescent="0.25">
      <c r="A43" s="38"/>
      <c r="B43" s="31" t="s">
        <v>67</v>
      </c>
      <c r="C43" s="32" t="str">
        <f>IF('Infos générales'!$E$2="x",IF(A43&gt;0,INDEX(DP!$A$10:$G$265,MATCH(A43,DP!$A$10:$A$265,0),6)," "),IF(A43&gt;0,INDEX(DP!$A$10:$G$265,MATCH(A43,DP!$A$10:$A$265,0),4)," "))</f>
        <v xml:space="preserve"> </v>
      </c>
      <c r="E43" s="39"/>
      <c r="F43" s="33" t="s">
        <v>34</v>
      </c>
      <c r="G43" s="40"/>
      <c r="H43" s="39"/>
      <c r="I43" s="33" t="s">
        <v>34</v>
      </c>
      <c r="J43" s="40"/>
      <c r="K43" s="39"/>
      <c r="L43" s="33" t="s">
        <v>34</v>
      </c>
      <c r="M43" s="40"/>
      <c r="N43" s="34">
        <f t="shared" si="0"/>
        <v>33</v>
      </c>
      <c r="O43" s="20">
        <f t="shared" si="1"/>
        <v>1.010143</v>
      </c>
      <c r="P43" s="20">
        <f t="shared" si="2"/>
        <v>33</v>
      </c>
      <c r="Q43" s="20" t="str">
        <f t="shared" si="3"/>
        <v xml:space="preserve"> </v>
      </c>
      <c r="R43" s="20">
        <f t="shared" si="4"/>
        <v>0</v>
      </c>
      <c r="S43" s="20">
        <f t="shared" si="5"/>
        <v>0</v>
      </c>
      <c r="T43" s="20">
        <f t="shared" si="6"/>
        <v>0</v>
      </c>
      <c r="U43" s="20">
        <f>IF($J$2="x",IFERROR(SMALL($O$11:$O$14,33),0),IF($J$3="x",IFERROR(SMALL($O$11:$O$18,33),0),IF($J$4="x",IFERROR(SMALL($O$11:$O$26,33),0),IF($J$5="x",IFERROR(SMALL($O$11:$O$42,33),0),IF($J$6="x",IFERROR(SMALL($O$11:$O$74,33),0),IF($J$7="x",IFERROR(SMALL($O$11:$O$138,33),0),IFERROR(SMALL($O$11:$O$266,33),0)))))))</f>
        <v>1.010143</v>
      </c>
      <c r="V43" s="20">
        <f t="shared" si="7"/>
        <v>33</v>
      </c>
      <c r="W43" s="20" t="str">
        <f t="shared" si="8"/>
        <v xml:space="preserve"> </v>
      </c>
      <c r="Y43" s="29">
        <v>33</v>
      </c>
      <c r="Z43" s="36" t="str">
        <f t="shared" si="9"/>
        <v xml:space="preserve"> </v>
      </c>
      <c r="AA43" s="35" t="str">
        <f>IFERROR(INDEX(#REF!,MATCH(AB43,#REF!,0))," ")</f>
        <v xml:space="preserve"> </v>
      </c>
      <c r="AB43" s="30">
        <f t="shared" si="10"/>
        <v>0</v>
      </c>
    </row>
    <row r="44" spans="1:28" x14ac:dyDescent="0.25">
      <c r="A44" s="38"/>
      <c r="B44" s="31" t="s">
        <v>68</v>
      </c>
      <c r="C44" s="32" t="str">
        <f>IF('Infos générales'!$E$2="x",IF(A44&gt;0,INDEX(DP!$A$10:$G$265,MATCH(A44,DP!$A$10:$A$265,0),6)," "),IF(A44&gt;0,INDEX(DP!$A$10:$G$265,MATCH(A44,DP!$A$10:$A$265,0),4)," "))</f>
        <v xml:space="preserve"> </v>
      </c>
      <c r="E44" s="39"/>
      <c r="F44" s="33" t="s">
        <v>34</v>
      </c>
      <c r="G44" s="40"/>
      <c r="H44" s="39"/>
      <c r="I44" s="33" t="s">
        <v>34</v>
      </c>
      <c r="J44" s="40"/>
      <c r="K44" s="39"/>
      <c r="L44" s="33" t="s">
        <v>34</v>
      </c>
      <c r="M44" s="40"/>
      <c r="N44" s="34">
        <f t="shared" si="0"/>
        <v>34</v>
      </c>
      <c r="O44" s="20">
        <f t="shared" si="1"/>
        <v>1.0101439999999999</v>
      </c>
      <c r="P44" s="20">
        <f t="shared" si="2"/>
        <v>34</v>
      </c>
      <c r="Q44" s="20" t="str">
        <f t="shared" si="3"/>
        <v xml:space="preserve"> </v>
      </c>
      <c r="R44" s="20">
        <f t="shared" si="4"/>
        <v>0</v>
      </c>
      <c r="S44" s="20">
        <f t="shared" si="5"/>
        <v>0</v>
      </c>
      <c r="T44" s="20">
        <f t="shared" si="6"/>
        <v>0</v>
      </c>
      <c r="U44" s="20">
        <f>IF($J$2="x",IFERROR(SMALL($O$11:$O$14,34),0),IF($J$3="x",IFERROR(SMALL($O$11:$O$18,34),0),IF($J$4="x",IFERROR(SMALL($O$11:$O$26,34),0),IF($J$5="x",IFERROR(SMALL($O$11:$O$42,34),0),IF($J$6="x",IFERROR(SMALL($O$11:$O$74,34),0),IF($J$7="x",IFERROR(SMALL($O$11:$O$138,34),0),IFERROR(SMALL($O$11:$O$266,34),0)))))))</f>
        <v>1.0101439999999999</v>
      </c>
      <c r="V44" s="20">
        <f t="shared" si="7"/>
        <v>34</v>
      </c>
      <c r="W44" s="20" t="str">
        <f t="shared" si="8"/>
        <v xml:space="preserve"> </v>
      </c>
      <c r="Y44" s="29">
        <v>34</v>
      </c>
      <c r="Z44" s="36" t="str">
        <f t="shared" si="9"/>
        <v xml:space="preserve"> </v>
      </c>
      <c r="AA44" s="35" t="str">
        <f>IFERROR(INDEX(#REF!,MATCH(AB44,#REF!,0))," ")</f>
        <v xml:space="preserve"> </v>
      </c>
      <c r="AB44" s="30">
        <f t="shared" si="10"/>
        <v>0</v>
      </c>
    </row>
    <row r="45" spans="1:28" x14ac:dyDescent="0.25">
      <c r="A45" s="38"/>
      <c r="B45" s="31" t="s">
        <v>69</v>
      </c>
      <c r="C45" s="32" t="str">
        <f>IF('Infos générales'!$E$2="x",IF(A45&gt;0,INDEX(DP!$A$10:$G$265,MATCH(A45,DP!$A$10:$A$265,0),6)," "),IF(A45&gt;0,INDEX(DP!$A$10:$G$265,MATCH(A45,DP!$A$10:$A$265,0),4)," "))</f>
        <v xml:space="preserve"> </v>
      </c>
      <c r="E45" s="39"/>
      <c r="F45" s="33" t="s">
        <v>34</v>
      </c>
      <c r="G45" s="40"/>
      <c r="H45" s="39"/>
      <c r="I45" s="33" t="s">
        <v>34</v>
      </c>
      <c r="J45" s="40"/>
      <c r="K45" s="39"/>
      <c r="L45" s="33" t="s">
        <v>34</v>
      </c>
      <c r="M45" s="40"/>
      <c r="N45" s="34">
        <f t="shared" si="0"/>
        <v>35</v>
      </c>
      <c r="O45" s="20">
        <f t="shared" si="1"/>
        <v>1.0101450000000001</v>
      </c>
      <c r="P45" s="20">
        <f t="shared" si="2"/>
        <v>35</v>
      </c>
      <c r="Q45" s="20" t="str">
        <f t="shared" si="3"/>
        <v xml:space="preserve"> </v>
      </c>
      <c r="R45" s="20">
        <f t="shared" si="4"/>
        <v>0</v>
      </c>
      <c r="S45" s="20">
        <f t="shared" si="5"/>
        <v>0</v>
      </c>
      <c r="T45" s="20">
        <f t="shared" si="6"/>
        <v>0</v>
      </c>
      <c r="U45" s="20">
        <f>IF($J$2="x",IFERROR(SMALL($O$11:$O$14,35),0),IF($J$3="x",IFERROR(SMALL($O$11:$O$18,35),0),IF($J$4="x",IFERROR(SMALL($O$11:$O$26,35),0),IF($J$5="x",IFERROR(SMALL($O$11:$O$42,35),0),IF($J$6="x",IFERROR(SMALL($O$11:$O$74,35),0),IF($J$7="x",IFERROR(SMALL($O$11:$O$138,35),0),IFERROR(SMALL($O$11:$O$266,35),0)))))))</f>
        <v>1.0101450000000001</v>
      </c>
      <c r="V45" s="20">
        <f t="shared" si="7"/>
        <v>35</v>
      </c>
      <c r="W45" s="20" t="str">
        <f t="shared" si="8"/>
        <v xml:space="preserve"> </v>
      </c>
      <c r="Y45" s="29">
        <v>35</v>
      </c>
      <c r="Z45" s="36" t="str">
        <f t="shared" si="9"/>
        <v xml:space="preserve"> </v>
      </c>
      <c r="AA45" s="35" t="str">
        <f>IFERROR(INDEX(#REF!,MATCH(AB45,#REF!,0))," ")</f>
        <v xml:space="preserve"> </v>
      </c>
      <c r="AB45" s="30">
        <f t="shared" si="10"/>
        <v>0</v>
      </c>
    </row>
    <row r="46" spans="1:28" x14ac:dyDescent="0.25">
      <c r="A46" s="38"/>
      <c r="B46" s="31" t="s">
        <v>70</v>
      </c>
      <c r="C46" s="32" t="str">
        <f>IF('Infos générales'!$E$2="x",IF(A46&gt;0,INDEX(DP!$A$10:$G$265,MATCH(A46,DP!$A$10:$A$265,0),6)," "),IF(A46&gt;0,INDEX(DP!$A$10:$G$265,MATCH(A46,DP!$A$10:$A$265,0),4)," "))</f>
        <v xml:space="preserve"> </v>
      </c>
      <c r="E46" s="39"/>
      <c r="F46" s="33" t="s">
        <v>34</v>
      </c>
      <c r="G46" s="40"/>
      <c r="H46" s="39"/>
      <c r="I46" s="33" t="s">
        <v>34</v>
      </c>
      <c r="J46" s="40"/>
      <c r="K46" s="39"/>
      <c r="L46" s="33" t="s">
        <v>34</v>
      </c>
      <c r="M46" s="40"/>
      <c r="N46" s="34">
        <f t="shared" si="0"/>
        <v>36</v>
      </c>
      <c r="O46" s="20">
        <f t="shared" si="1"/>
        <v>1.010146</v>
      </c>
      <c r="P46" s="20">
        <f t="shared" si="2"/>
        <v>36</v>
      </c>
      <c r="Q46" s="20" t="str">
        <f t="shared" si="3"/>
        <v xml:space="preserve"> </v>
      </c>
      <c r="R46" s="20">
        <f t="shared" si="4"/>
        <v>0</v>
      </c>
      <c r="S46" s="20">
        <f t="shared" si="5"/>
        <v>0</v>
      </c>
      <c r="T46" s="20">
        <f t="shared" si="6"/>
        <v>0</v>
      </c>
      <c r="U46" s="20">
        <f>IF($J$2="x",IFERROR(SMALL($O$11:$O$14,36),0),IF($J$3="x",IFERROR(SMALL($O$11:$O$18,36),0),IF($J$4="x",IFERROR(SMALL($O$11:$O$26,36),0),IF($J$5="x",IFERROR(SMALL($O$11:$O$42,36),0),IF($J$6="x",IFERROR(SMALL($O$11:$O$74,36),0),IF($J$7="x",IFERROR(SMALL($O$11:$O$138,36),0),IFERROR(SMALL($O$11:$O$266,36),0)))))))</f>
        <v>1.010146</v>
      </c>
      <c r="V46" s="20">
        <f t="shared" si="7"/>
        <v>36</v>
      </c>
      <c r="W46" s="20" t="str">
        <f t="shared" si="8"/>
        <v xml:space="preserve"> </v>
      </c>
      <c r="Y46" s="29">
        <v>36</v>
      </c>
      <c r="Z46" s="36" t="str">
        <f t="shared" si="9"/>
        <v xml:space="preserve"> </v>
      </c>
      <c r="AA46" s="35" t="str">
        <f>IFERROR(INDEX(#REF!,MATCH(AB46,#REF!,0))," ")</f>
        <v xml:space="preserve"> </v>
      </c>
      <c r="AB46" s="30">
        <f t="shared" si="10"/>
        <v>0</v>
      </c>
    </row>
    <row r="47" spans="1:28" x14ac:dyDescent="0.25">
      <c r="A47" s="38"/>
      <c r="B47" s="31" t="s">
        <v>71</v>
      </c>
      <c r="C47" s="32" t="str">
        <f>IF('Infos générales'!$E$2="x",IF(A47&gt;0,INDEX(DP!$A$10:$G$265,MATCH(A47,DP!$A$10:$A$265,0),6)," "),IF(A47&gt;0,INDEX(DP!$A$10:$G$265,MATCH(A47,DP!$A$10:$A$265,0),4)," "))</f>
        <v xml:space="preserve"> </v>
      </c>
      <c r="E47" s="39"/>
      <c r="F47" s="33" t="s">
        <v>34</v>
      </c>
      <c r="G47" s="40"/>
      <c r="H47" s="39"/>
      <c r="I47" s="33" t="s">
        <v>34</v>
      </c>
      <c r="J47" s="40"/>
      <c r="K47" s="39"/>
      <c r="L47" s="33" t="s">
        <v>34</v>
      </c>
      <c r="M47" s="40"/>
      <c r="N47" s="34">
        <f t="shared" si="0"/>
        <v>37</v>
      </c>
      <c r="O47" s="20">
        <f t="shared" si="1"/>
        <v>1.0101469999999999</v>
      </c>
      <c r="P47" s="20">
        <f t="shared" si="2"/>
        <v>37</v>
      </c>
      <c r="Q47" s="20" t="str">
        <f t="shared" si="3"/>
        <v xml:space="preserve"> </v>
      </c>
      <c r="R47" s="20">
        <f t="shared" si="4"/>
        <v>0</v>
      </c>
      <c r="S47" s="20">
        <f t="shared" si="5"/>
        <v>0</v>
      </c>
      <c r="T47" s="20">
        <f t="shared" si="6"/>
        <v>0</v>
      </c>
      <c r="U47" s="20">
        <f>IF($J$2="x",IFERROR(SMALL($O$11:$O$14,37),0),IF($J$3="x",IFERROR(SMALL($O$11:$O$18,37),0),IF($J$4="x",IFERROR(SMALL($O$11:$O$26,37),0),IF($J$5="x",IFERROR(SMALL($O$11:$O$42,37),0),IF($J$6="x",IFERROR(SMALL($O$11:$O$74,37),0),IF($J$7="x",IFERROR(SMALL($O$11:$O$138,37),0),IFERROR(SMALL($O$11:$O$266,37),0)))))))</f>
        <v>1.0101469999999999</v>
      </c>
      <c r="V47" s="20">
        <f t="shared" si="7"/>
        <v>37</v>
      </c>
      <c r="W47" s="20" t="str">
        <f t="shared" si="8"/>
        <v xml:space="preserve"> </v>
      </c>
      <c r="Y47" s="29">
        <v>37</v>
      </c>
      <c r="Z47" s="36" t="str">
        <f t="shared" si="9"/>
        <v xml:space="preserve"> </v>
      </c>
      <c r="AA47" s="35" t="str">
        <f>IFERROR(INDEX(#REF!,MATCH(AB47,#REF!,0))," ")</f>
        <v xml:space="preserve"> </v>
      </c>
      <c r="AB47" s="30">
        <f t="shared" si="10"/>
        <v>0</v>
      </c>
    </row>
    <row r="48" spans="1:28" x14ac:dyDescent="0.25">
      <c r="A48" s="38"/>
      <c r="B48" s="31" t="s">
        <v>72</v>
      </c>
      <c r="C48" s="32" t="str">
        <f>IF('Infos générales'!$E$2="x",IF(A48&gt;0,INDEX(DP!$A$10:$G$265,MATCH(A48,DP!$A$10:$A$265,0),6)," "),IF(A48&gt;0,INDEX(DP!$A$10:$G$265,MATCH(A48,DP!$A$10:$A$265,0),4)," "))</f>
        <v xml:space="preserve"> </v>
      </c>
      <c r="E48" s="39"/>
      <c r="F48" s="33" t="s">
        <v>34</v>
      </c>
      <c r="G48" s="40"/>
      <c r="H48" s="39"/>
      <c r="I48" s="33" t="s">
        <v>34</v>
      </c>
      <c r="J48" s="40"/>
      <c r="K48" s="39"/>
      <c r="L48" s="33" t="s">
        <v>34</v>
      </c>
      <c r="M48" s="40"/>
      <c r="N48" s="34">
        <f t="shared" si="0"/>
        <v>38</v>
      </c>
      <c r="O48" s="20">
        <f t="shared" si="1"/>
        <v>1.010148</v>
      </c>
      <c r="P48" s="20">
        <f t="shared" si="2"/>
        <v>38</v>
      </c>
      <c r="Q48" s="20" t="str">
        <f t="shared" si="3"/>
        <v xml:space="preserve"> </v>
      </c>
      <c r="R48" s="20">
        <f t="shared" si="4"/>
        <v>0</v>
      </c>
      <c r="S48" s="20">
        <f t="shared" si="5"/>
        <v>0</v>
      </c>
      <c r="T48" s="20">
        <f t="shared" si="6"/>
        <v>0</v>
      </c>
      <c r="U48" s="20">
        <f>IF($J$2="x",IFERROR(SMALL($O$11:$O$14,38),0),IF($J$3="x",IFERROR(SMALL($O$11:$O$18,38),0),IF($J$4="x",IFERROR(SMALL($O$11:$O$26,38),0),IF($J$5="x",IFERROR(SMALL($O$11:$O$42,38),0),IF($J$6="x",IFERROR(SMALL($O$11:$O$74,38),0),IF($J$7="x",IFERROR(SMALL($O$11:$O$138,38),0),IFERROR(SMALL($O$11:$O$266,38),0)))))))</f>
        <v>1.010148</v>
      </c>
      <c r="V48" s="20">
        <f t="shared" si="7"/>
        <v>38</v>
      </c>
      <c r="W48" s="20" t="str">
        <f t="shared" si="8"/>
        <v xml:space="preserve"> </v>
      </c>
      <c r="Y48" s="29">
        <v>38</v>
      </c>
      <c r="Z48" s="36" t="str">
        <f t="shared" si="9"/>
        <v xml:space="preserve"> </v>
      </c>
      <c r="AA48" s="35" t="str">
        <f>IFERROR(INDEX(#REF!,MATCH(AB48,#REF!,0))," ")</f>
        <v xml:space="preserve"> </v>
      </c>
      <c r="AB48" s="30">
        <f t="shared" si="10"/>
        <v>0</v>
      </c>
    </row>
    <row r="49" spans="1:28" x14ac:dyDescent="0.25">
      <c r="A49" s="38"/>
      <c r="B49" s="31" t="s">
        <v>73</v>
      </c>
      <c r="C49" s="32" t="str">
        <f>IF('Infos générales'!$E$2="x",IF(A49&gt;0,INDEX(DP!$A$10:$G$265,MATCH(A49,DP!$A$10:$A$265,0),6)," "),IF(A49&gt;0,INDEX(DP!$A$10:$G$265,MATCH(A49,DP!$A$10:$A$265,0),4)," "))</f>
        <v xml:space="preserve"> </v>
      </c>
      <c r="E49" s="39"/>
      <c r="F49" s="33" t="s">
        <v>34</v>
      </c>
      <c r="G49" s="40"/>
      <c r="H49" s="39"/>
      <c r="I49" s="33" t="s">
        <v>34</v>
      </c>
      <c r="J49" s="40"/>
      <c r="K49" s="39"/>
      <c r="L49" s="33" t="s">
        <v>34</v>
      </c>
      <c r="M49" s="40"/>
      <c r="N49" s="34">
        <f t="shared" si="0"/>
        <v>39</v>
      </c>
      <c r="O49" s="20">
        <f t="shared" si="1"/>
        <v>1.010149</v>
      </c>
      <c r="P49" s="20">
        <f t="shared" si="2"/>
        <v>39</v>
      </c>
      <c r="Q49" s="20" t="str">
        <f t="shared" si="3"/>
        <v xml:space="preserve"> </v>
      </c>
      <c r="R49" s="20">
        <f t="shared" si="4"/>
        <v>0</v>
      </c>
      <c r="S49" s="20">
        <f t="shared" si="5"/>
        <v>0</v>
      </c>
      <c r="T49" s="20">
        <f t="shared" si="6"/>
        <v>0</v>
      </c>
      <c r="U49" s="20">
        <f>IF($J$2="x",IFERROR(SMALL($O$11:$O$14,39),0),IF($J$3="x",IFERROR(SMALL($O$11:$O$18,39),0),IF($J$4="x",IFERROR(SMALL($O$11:$O$26,39),0),IF($J$5="x",IFERROR(SMALL($O$11:$O$42,39),0),IF($J$6="x",IFERROR(SMALL($O$11:$O$74,39),0),IF($J$7="x",IFERROR(SMALL($O$11:$O$138,39),0),IFERROR(SMALL($O$11:$O$266,39),0)))))))</f>
        <v>1.010149</v>
      </c>
      <c r="V49" s="20">
        <f t="shared" si="7"/>
        <v>39</v>
      </c>
      <c r="W49" s="20" t="str">
        <f t="shared" si="8"/>
        <v xml:space="preserve"> </v>
      </c>
      <c r="Y49" s="29">
        <v>39</v>
      </c>
      <c r="Z49" s="36" t="str">
        <f t="shared" si="9"/>
        <v xml:space="preserve"> </v>
      </c>
      <c r="AA49" s="35" t="str">
        <f>IFERROR(INDEX(#REF!,MATCH(AB49,#REF!,0))," ")</f>
        <v xml:space="preserve"> </v>
      </c>
      <c r="AB49" s="30">
        <f t="shared" si="10"/>
        <v>0</v>
      </c>
    </row>
    <row r="50" spans="1:28" x14ac:dyDescent="0.25">
      <c r="A50" s="38"/>
      <c r="B50" s="31" t="s">
        <v>74</v>
      </c>
      <c r="C50" s="32" t="str">
        <f>IF('Infos générales'!$E$2="x",IF(A50&gt;0,INDEX(DP!$A$10:$G$265,MATCH(A50,DP!$A$10:$A$265,0),6)," "),IF(A50&gt;0,INDEX(DP!$A$10:$G$265,MATCH(A50,DP!$A$10:$A$265,0),4)," "))</f>
        <v xml:space="preserve"> </v>
      </c>
      <c r="E50" s="39"/>
      <c r="F50" s="33" t="s">
        <v>34</v>
      </c>
      <c r="G50" s="40"/>
      <c r="H50" s="39"/>
      <c r="I50" s="33" t="s">
        <v>34</v>
      </c>
      <c r="J50" s="40"/>
      <c r="K50" s="39"/>
      <c r="L50" s="33" t="s">
        <v>34</v>
      </c>
      <c r="M50" s="40"/>
      <c r="N50" s="34">
        <f t="shared" si="0"/>
        <v>40</v>
      </c>
      <c r="O50" s="20">
        <f t="shared" si="1"/>
        <v>1.0101500000000001</v>
      </c>
      <c r="P50" s="20">
        <f t="shared" si="2"/>
        <v>40</v>
      </c>
      <c r="Q50" s="20" t="str">
        <f t="shared" si="3"/>
        <v xml:space="preserve"> </v>
      </c>
      <c r="R50" s="20">
        <f t="shared" si="4"/>
        <v>0</v>
      </c>
      <c r="S50" s="20">
        <f t="shared" si="5"/>
        <v>0</v>
      </c>
      <c r="T50" s="20">
        <f t="shared" si="6"/>
        <v>0</v>
      </c>
      <c r="U50" s="20">
        <f>IF($J$2="x",IFERROR(SMALL($O$11:$O$14,40),0),IF($J$3="x",IFERROR(SMALL($O$11:$O$18,40),0),IF($J$4="x",IFERROR(SMALL($O$11:$O$26,40),0),IF($J$5="x",IFERROR(SMALL($O$11:$O$42,40),0),IF($J$6="x",IFERROR(SMALL($O$11:$O$74,40),0),IF($J$7="x",IFERROR(SMALL($O$11:$O$138,40),0),IFERROR(SMALL($O$11:$O$266,40),0)))))))</f>
        <v>1.0101500000000001</v>
      </c>
      <c r="V50" s="20">
        <f t="shared" si="7"/>
        <v>40</v>
      </c>
      <c r="W50" s="20" t="str">
        <f t="shared" si="8"/>
        <v xml:space="preserve"> </v>
      </c>
      <c r="Y50" s="29">
        <v>40</v>
      </c>
      <c r="Z50" s="36" t="str">
        <f t="shared" si="9"/>
        <v xml:space="preserve"> </v>
      </c>
      <c r="AA50" s="35" t="str">
        <f>IFERROR(INDEX(#REF!,MATCH(AB50,#REF!,0))," ")</f>
        <v xml:space="preserve"> </v>
      </c>
      <c r="AB50" s="30">
        <f t="shared" si="10"/>
        <v>0</v>
      </c>
    </row>
    <row r="51" spans="1:28" x14ac:dyDescent="0.25">
      <c r="A51" s="38"/>
      <c r="B51" s="31" t="s">
        <v>75</v>
      </c>
      <c r="C51" s="32" t="str">
        <f>IF('Infos générales'!$E$2="x",IF(A51&gt;0,INDEX(DP!$A$10:$G$265,MATCH(A51,DP!$A$10:$A$265,0),6)," "),IF(A51&gt;0,INDEX(DP!$A$10:$G$265,MATCH(A51,DP!$A$10:$A$265,0),4)," "))</f>
        <v xml:space="preserve"> </v>
      </c>
      <c r="E51" s="39"/>
      <c r="F51" s="33" t="s">
        <v>34</v>
      </c>
      <c r="G51" s="40"/>
      <c r="H51" s="39"/>
      <c r="I51" s="33" t="s">
        <v>34</v>
      </c>
      <c r="J51" s="40"/>
      <c r="K51" s="39"/>
      <c r="L51" s="33" t="s">
        <v>34</v>
      </c>
      <c r="M51" s="40"/>
      <c r="N51" s="34">
        <f t="shared" si="0"/>
        <v>41</v>
      </c>
      <c r="O51" s="20">
        <f t="shared" si="1"/>
        <v>1.010151</v>
      </c>
      <c r="P51" s="20">
        <f t="shared" si="2"/>
        <v>41</v>
      </c>
      <c r="Q51" s="20" t="str">
        <f t="shared" si="3"/>
        <v xml:space="preserve"> </v>
      </c>
      <c r="R51" s="20">
        <f t="shared" si="4"/>
        <v>0</v>
      </c>
      <c r="S51" s="20">
        <f t="shared" si="5"/>
        <v>0</v>
      </c>
      <c r="T51" s="20">
        <f t="shared" si="6"/>
        <v>0</v>
      </c>
      <c r="U51" s="20">
        <f>IF($J$2="x",IFERROR(SMALL($O$11:$O$14,41),0),IF($J$3="x",IFERROR(SMALL($O$11:$O$18,41),0),IF($J$4="x",IFERROR(SMALL($O$11:$O$26,41),0),IF($J$5="x",IFERROR(SMALL($O$11:$O$42,41),0),IF($J$6="x",IFERROR(SMALL($O$11:$O$74,41),0),IF($J$7="x",IFERROR(SMALL($O$11:$O$138,41),0),IFERROR(SMALL($O$11:$O$266,41),0)))))))</f>
        <v>1.010151</v>
      </c>
      <c r="V51" s="20">
        <f t="shared" si="7"/>
        <v>41</v>
      </c>
      <c r="W51" s="20" t="str">
        <f t="shared" si="8"/>
        <v xml:space="preserve"> </v>
      </c>
      <c r="Y51" s="29">
        <v>41</v>
      </c>
      <c r="Z51" s="36" t="str">
        <f t="shared" si="9"/>
        <v xml:space="preserve"> </v>
      </c>
      <c r="AA51" s="35" t="str">
        <f>IFERROR(INDEX(#REF!,MATCH(AB51,#REF!,0))," ")</f>
        <v xml:space="preserve"> </v>
      </c>
      <c r="AB51" s="30">
        <f t="shared" si="10"/>
        <v>0</v>
      </c>
    </row>
    <row r="52" spans="1:28" x14ac:dyDescent="0.25">
      <c r="A52" s="38"/>
      <c r="B52" s="31" t="s">
        <v>76</v>
      </c>
      <c r="C52" s="32" t="str">
        <f>IF('Infos générales'!$E$2="x",IF(A52&gt;0,INDEX(DP!$A$10:$G$265,MATCH(A52,DP!$A$10:$A$265,0),6)," "),IF(A52&gt;0,INDEX(DP!$A$10:$G$265,MATCH(A52,DP!$A$10:$A$265,0),4)," "))</f>
        <v xml:space="preserve"> </v>
      </c>
      <c r="E52" s="39"/>
      <c r="F52" s="33" t="s">
        <v>34</v>
      </c>
      <c r="G52" s="40"/>
      <c r="H52" s="39"/>
      <c r="I52" s="33" t="s">
        <v>34</v>
      </c>
      <c r="J52" s="40"/>
      <c r="K52" s="39"/>
      <c r="L52" s="33" t="s">
        <v>34</v>
      </c>
      <c r="M52" s="40"/>
      <c r="N52" s="34">
        <f t="shared" si="0"/>
        <v>42</v>
      </c>
      <c r="O52" s="20">
        <f t="shared" si="1"/>
        <v>1.0101519999999999</v>
      </c>
      <c r="P52" s="20">
        <f t="shared" si="2"/>
        <v>42</v>
      </c>
      <c r="Q52" s="20" t="str">
        <f t="shared" si="3"/>
        <v xml:space="preserve"> </v>
      </c>
      <c r="R52" s="20">
        <f t="shared" si="4"/>
        <v>0</v>
      </c>
      <c r="S52" s="20">
        <f t="shared" si="5"/>
        <v>0</v>
      </c>
      <c r="T52" s="20">
        <f t="shared" si="6"/>
        <v>0</v>
      </c>
      <c r="U52" s="20">
        <f>IF($J$2="x",IFERROR(SMALL($O$11:$O$14,42),0),IF($J$3="x",IFERROR(SMALL($O$11:$O$18,42),0),IF($J$4="x",IFERROR(SMALL($O$11:$O$26,42),0),IF($J$5="x",IFERROR(SMALL($O$11:$O$42,42),0),IF($J$6="x",IFERROR(SMALL($O$11:$O$74,42),0),IF($J$7="x",IFERROR(SMALL($O$11:$O$138,42),0),IFERROR(SMALL($O$11:$O$266,42),0)))))))</f>
        <v>1.0101519999999999</v>
      </c>
      <c r="V52" s="20">
        <f t="shared" si="7"/>
        <v>42</v>
      </c>
      <c r="W52" s="20" t="str">
        <f t="shared" si="8"/>
        <v xml:space="preserve"> </v>
      </c>
      <c r="Y52" s="29">
        <v>42</v>
      </c>
      <c r="Z52" s="36" t="str">
        <f t="shared" si="9"/>
        <v xml:space="preserve"> </v>
      </c>
      <c r="AA52" s="35" t="str">
        <f>IFERROR(INDEX(#REF!,MATCH(AB52,#REF!,0))," ")</f>
        <v xml:space="preserve"> </v>
      </c>
      <c r="AB52" s="30">
        <f t="shared" si="10"/>
        <v>0</v>
      </c>
    </row>
    <row r="53" spans="1:28" x14ac:dyDescent="0.25">
      <c r="A53" s="38"/>
      <c r="B53" s="31" t="s">
        <v>77</v>
      </c>
      <c r="C53" s="32" t="str">
        <f>IF('Infos générales'!$E$2="x",IF(A53&gt;0,INDEX(DP!$A$10:$G$265,MATCH(A53,DP!$A$10:$A$265,0),6)," "),IF(A53&gt;0,INDEX(DP!$A$10:$G$265,MATCH(A53,DP!$A$10:$A$265,0),4)," "))</f>
        <v xml:space="preserve"> </v>
      </c>
      <c r="E53" s="39"/>
      <c r="F53" s="33" t="s">
        <v>34</v>
      </c>
      <c r="G53" s="40"/>
      <c r="H53" s="39"/>
      <c r="I53" s="33" t="s">
        <v>34</v>
      </c>
      <c r="J53" s="40"/>
      <c r="K53" s="39"/>
      <c r="L53" s="33" t="s">
        <v>34</v>
      </c>
      <c r="M53" s="40"/>
      <c r="N53" s="34">
        <f t="shared" si="0"/>
        <v>43</v>
      </c>
      <c r="O53" s="20">
        <f t="shared" si="1"/>
        <v>1.0101530000000001</v>
      </c>
      <c r="P53" s="20">
        <f t="shared" si="2"/>
        <v>43</v>
      </c>
      <c r="Q53" s="20" t="str">
        <f t="shared" si="3"/>
        <v xml:space="preserve"> </v>
      </c>
      <c r="R53" s="20">
        <f t="shared" si="4"/>
        <v>0</v>
      </c>
      <c r="S53" s="20">
        <f t="shared" si="5"/>
        <v>0</v>
      </c>
      <c r="T53" s="20">
        <f t="shared" si="6"/>
        <v>0</v>
      </c>
      <c r="U53" s="20">
        <f>IF($J$2="x",IFERROR(SMALL($O$11:$O$14,43),0),IF($J$3="x",IFERROR(SMALL($O$11:$O$18,43),0),IF($J$4="x",IFERROR(SMALL($O$11:$O$26,43),0),IF($J$5="x",IFERROR(SMALL($O$11:$O$42,43),0),IF($J$6="x",IFERROR(SMALL($O$11:$O$74,43),0),IF($J$7="x",IFERROR(SMALL($O$11:$O$138,43),0),IFERROR(SMALL($O$11:$O$266,43),0)))))))</f>
        <v>1.0101530000000001</v>
      </c>
      <c r="V53" s="20">
        <f t="shared" si="7"/>
        <v>43</v>
      </c>
      <c r="W53" s="20" t="str">
        <f t="shared" si="8"/>
        <v xml:space="preserve"> </v>
      </c>
      <c r="Y53" s="29">
        <v>43</v>
      </c>
      <c r="Z53" s="36" t="str">
        <f t="shared" si="9"/>
        <v xml:space="preserve"> </v>
      </c>
      <c r="AA53" s="35" t="str">
        <f>IFERROR(INDEX(#REF!,MATCH(AB53,#REF!,0))," ")</f>
        <v xml:space="preserve"> </v>
      </c>
      <c r="AB53" s="30">
        <f t="shared" si="10"/>
        <v>0</v>
      </c>
    </row>
    <row r="54" spans="1:28" x14ac:dyDescent="0.25">
      <c r="A54" s="38"/>
      <c r="B54" s="31" t="s">
        <v>78</v>
      </c>
      <c r="C54" s="32" t="str">
        <f>IF('Infos générales'!$E$2="x",IF(A54&gt;0,INDEX(DP!$A$10:$G$265,MATCH(A54,DP!$A$10:$A$265,0),6)," "),IF(A54&gt;0,INDEX(DP!$A$10:$G$265,MATCH(A54,DP!$A$10:$A$265,0),4)," "))</f>
        <v xml:space="preserve"> </v>
      </c>
      <c r="E54" s="39"/>
      <c r="F54" s="33" t="s">
        <v>34</v>
      </c>
      <c r="G54" s="40"/>
      <c r="H54" s="39"/>
      <c r="I54" s="33" t="s">
        <v>34</v>
      </c>
      <c r="J54" s="40"/>
      <c r="K54" s="39"/>
      <c r="L54" s="33" t="s">
        <v>34</v>
      </c>
      <c r="M54" s="40"/>
      <c r="N54" s="34">
        <f t="shared" si="0"/>
        <v>44</v>
      </c>
      <c r="O54" s="20">
        <f t="shared" si="1"/>
        <v>1.010154</v>
      </c>
      <c r="P54" s="20">
        <f t="shared" si="2"/>
        <v>44</v>
      </c>
      <c r="Q54" s="20" t="str">
        <f t="shared" si="3"/>
        <v xml:space="preserve"> </v>
      </c>
      <c r="R54" s="20">
        <f t="shared" si="4"/>
        <v>0</v>
      </c>
      <c r="S54" s="20">
        <f t="shared" si="5"/>
        <v>0</v>
      </c>
      <c r="T54" s="20">
        <f t="shared" si="6"/>
        <v>0</v>
      </c>
      <c r="U54" s="20">
        <f>IF($J$2="x",IFERROR(SMALL($O$11:$O$14,44),0),IF($J$3="x",IFERROR(SMALL($O$11:$O$18,44),0),IF($J$4="x",IFERROR(SMALL($O$11:$O$26,44),0),IF($J$5="x",IFERROR(SMALL($O$11:$O$42,44),0),IF($J$6="x",IFERROR(SMALL($O$11:$O$74,44),0),IF($J$7="x",IFERROR(SMALL($O$11:$O$138,44),0),IFERROR(SMALL($O$11:$O$266,44),0)))))))</f>
        <v>1.010154</v>
      </c>
      <c r="V54" s="20">
        <f t="shared" si="7"/>
        <v>44</v>
      </c>
      <c r="W54" s="20" t="str">
        <f t="shared" si="8"/>
        <v xml:space="preserve"> </v>
      </c>
      <c r="Y54" s="29">
        <v>44</v>
      </c>
      <c r="Z54" s="36" t="str">
        <f t="shared" si="9"/>
        <v xml:space="preserve"> </v>
      </c>
      <c r="AA54" s="35" t="str">
        <f>IFERROR(INDEX(#REF!,MATCH(AB54,#REF!,0))," ")</f>
        <v xml:space="preserve"> </v>
      </c>
      <c r="AB54" s="30">
        <f t="shared" si="10"/>
        <v>0</v>
      </c>
    </row>
    <row r="55" spans="1:28" x14ac:dyDescent="0.25">
      <c r="A55" s="38"/>
      <c r="B55" s="31" t="s">
        <v>79</v>
      </c>
      <c r="C55" s="32" t="str">
        <f>IF('Infos générales'!$E$2="x",IF(A55&gt;0,INDEX(DP!$A$10:$G$265,MATCH(A55,DP!$A$10:$A$265,0),6)," "),IF(A55&gt;0,INDEX(DP!$A$10:$G$265,MATCH(A55,DP!$A$10:$A$265,0),4)," "))</f>
        <v xml:space="preserve"> </v>
      </c>
      <c r="E55" s="39"/>
      <c r="F55" s="33" t="s">
        <v>34</v>
      </c>
      <c r="G55" s="40"/>
      <c r="H55" s="39"/>
      <c r="I55" s="33" t="s">
        <v>34</v>
      </c>
      <c r="J55" s="40"/>
      <c r="K55" s="39"/>
      <c r="L55" s="33" t="s">
        <v>34</v>
      </c>
      <c r="M55" s="40"/>
      <c r="N55" s="34">
        <f t="shared" si="0"/>
        <v>45</v>
      </c>
      <c r="O55" s="20">
        <f t="shared" si="1"/>
        <v>1.0101549999999999</v>
      </c>
      <c r="P55" s="20">
        <f t="shared" si="2"/>
        <v>45</v>
      </c>
      <c r="Q55" s="20" t="str">
        <f t="shared" si="3"/>
        <v xml:space="preserve"> </v>
      </c>
      <c r="R55" s="20">
        <f t="shared" si="4"/>
        <v>0</v>
      </c>
      <c r="S55" s="20">
        <f t="shared" si="5"/>
        <v>0</v>
      </c>
      <c r="T55" s="20">
        <f t="shared" si="6"/>
        <v>0</v>
      </c>
      <c r="U55" s="20">
        <f>IF($J$2="x",IFERROR(SMALL($O$11:$O$14,45),0),IF($J$3="x",IFERROR(SMALL($O$11:$O$18,45),0),IF($J$4="x",IFERROR(SMALL($O$11:$O$26,45),0),IF($J$5="x",IFERROR(SMALL($O$11:$O$42,45),0),IF($J$6="x",IFERROR(SMALL($O$11:$O$74,45),0),IF($J$7="x",IFERROR(SMALL($O$11:$O$138,45),0),IFERROR(SMALL($O$11:$O$266,45),0)))))))</f>
        <v>1.0101549999999999</v>
      </c>
      <c r="V55" s="20">
        <f t="shared" si="7"/>
        <v>45</v>
      </c>
      <c r="W55" s="20" t="str">
        <f t="shared" si="8"/>
        <v xml:space="preserve"> </v>
      </c>
      <c r="Y55" s="29">
        <v>45</v>
      </c>
      <c r="Z55" s="36" t="str">
        <f t="shared" si="9"/>
        <v xml:space="preserve"> </v>
      </c>
      <c r="AA55" s="35" t="str">
        <f>IFERROR(INDEX(#REF!,MATCH(AB55,#REF!,0))," ")</f>
        <v xml:space="preserve"> </v>
      </c>
      <c r="AB55" s="30">
        <f t="shared" si="10"/>
        <v>0</v>
      </c>
    </row>
    <row r="56" spans="1:28" x14ac:dyDescent="0.25">
      <c r="A56" s="38"/>
      <c r="B56" s="31" t="s">
        <v>80</v>
      </c>
      <c r="C56" s="32" t="str">
        <f>IF('Infos générales'!$E$2="x",IF(A56&gt;0,INDEX(DP!$A$10:$G$265,MATCH(A56,DP!$A$10:$A$265,0),6)," "),IF(A56&gt;0,INDEX(DP!$A$10:$G$265,MATCH(A56,DP!$A$10:$A$265,0),4)," "))</f>
        <v xml:space="preserve"> </v>
      </c>
      <c r="E56" s="39"/>
      <c r="F56" s="33" t="s">
        <v>34</v>
      </c>
      <c r="G56" s="40"/>
      <c r="H56" s="39"/>
      <c r="I56" s="33" t="s">
        <v>34</v>
      </c>
      <c r="J56" s="40"/>
      <c r="K56" s="39"/>
      <c r="L56" s="33" t="s">
        <v>34</v>
      </c>
      <c r="M56" s="40"/>
      <c r="N56" s="34">
        <f t="shared" si="0"/>
        <v>46</v>
      </c>
      <c r="O56" s="20">
        <f t="shared" si="1"/>
        <v>1.0101560000000001</v>
      </c>
      <c r="P56" s="20">
        <f t="shared" si="2"/>
        <v>46</v>
      </c>
      <c r="Q56" s="20" t="str">
        <f t="shared" si="3"/>
        <v xml:space="preserve"> </v>
      </c>
      <c r="R56" s="20">
        <f t="shared" si="4"/>
        <v>0</v>
      </c>
      <c r="S56" s="20">
        <f t="shared" si="5"/>
        <v>0</v>
      </c>
      <c r="T56" s="20">
        <f t="shared" si="6"/>
        <v>0</v>
      </c>
      <c r="U56" s="20">
        <f>IF($J$2="x",IFERROR(SMALL($O$11:$O$14,46),0),IF($J$3="x",IFERROR(SMALL($O$11:$O$18,46),0),IF($J$4="x",IFERROR(SMALL($O$11:$O$26,46),0),IF($J$5="x",IFERROR(SMALL($O$11:$O$42,46),0),IF($J$6="x",IFERROR(SMALL($O$11:$O$74,46),0),IF($J$7="x",IFERROR(SMALL($O$11:$O$138,46),0),IFERROR(SMALL($O$11:$O$266,46),0)))))))</f>
        <v>1.0101560000000001</v>
      </c>
      <c r="V56" s="20">
        <f t="shared" si="7"/>
        <v>46</v>
      </c>
      <c r="W56" s="20" t="str">
        <f t="shared" si="8"/>
        <v xml:space="preserve"> </v>
      </c>
      <c r="Y56" s="29">
        <v>46</v>
      </c>
      <c r="Z56" s="36" t="str">
        <f t="shared" si="9"/>
        <v xml:space="preserve"> </v>
      </c>
      <c r="AA56" s="35" t="str">
        <f>IFERROR(INDEX(#REF!,MATCH(AB56,#REF!,0))," ")</f>
        <v xml:space="preserve"> </v>
      </c>
      <c r="AB56" s="30">
        <f t="shared" si="10"/>
        <v>0</v>
      </c>
    </row>
    <row r="57" spans="1:28" x14ac:dyDescent="0.25">
      <c r="A57" s="38"/>
      <c r="B57" s="31" t="s">
        <v>81</v>
      </c>
      <c r="C57" s="32" t="str">
        <f>IF('Infos générales'!$E$2="x",IF(A57&gt;0,INDEX(DP!$A$10:$G$265,MATCH(A57,DP!$A$10:$A$265,0),6)," "),IF(A57&gt;0,INDEX(DP!$A$10:$G$265,MATCH(A57,DP!$A$10:$A$265,0),4)," "))</f>
        <v xml:space="preserve"> </v>
      </c>
      <c r="E57" s="39"/>
      <c r="F57" s="33" t="s">
        <v>34</v>
      </c>
      <c r="G57" s="40"/>
      <c r="H57" s="39"/>
      <c r="I57" s="33" t="s">
        <v>34</v>
      </c>
      <c r="J57" s="40"/>
      <c r="K57" s="39"/>
      <c r="L57" s="33" t="s">
        <v>34</v>
      </c>
      <c r="M57" s="40"/>
      <c r="N57" s="34">
        <f t="shared" si="0"/>
        <v>47</v>
      </c>
      <c r="O57" s="20">
        <f t="shared" si="1"/>
        <v>1.010157</v>
      </c>
      <c r="P57" s="20">
        <f t="shared" si="2"/>
        <v>47</v>
      </c>
      <c r="Q57" s="20" t="str">
        <f t="shared" si="3"/>
        <v xml:space="preserve"> </v>
      </c>
      <c r="R57" s="20">
        <f t="shared" si="4"/>
        <v>0</v>
      </c>
      <c r="S57" s="20">
        <f t="shared" si="5"/>
        <v>0</v>
      </c>
      <c r="T57" s="20">
        <f t="shared" si="6"/>
        <v>0</v>
      </c>
      <c r="U57" s="20">
        <f>IF($J$2="x",IFERROR(SMALL($O$11:$O$14,47),0),IF($J$3="x",IFERROR(SMALL($O$11:$O$18,47),0),IF($J$4="x",IFERROR(SMALL($O$11:$O$26,47),0),IF($J$5="x",IFERROR(SMALL($O$11:$O$42,47),0),IF($J$6="x",IFERROR(SMALL($O$11:$O$74,47),0),IF($J$7="x",IFERROR(SMALL($O$11:$O$138,47),0),IFERROR(SMALL($O$11:$O$266,47),0)))))))</f>
        <v>1.010157</v>
      </c>
      <c r="V57" s="20">
        <f t="shared" si="7"/>
        <v>47</v>
      </c>
      <c r="W57" s="20" t="str">
        <f t="shared" si="8"/>
        <v xml:space="preserve"> </v>
      </c>
      <c r="Y57" s="29">
        <v>47</v>
      </c>
      <c r="Z57" s="36" t="str">
        <f t="shared" si="9"/>
        <v xml:space="preserve"> </v>
      </c>
      <c r="AA57" s="35" t="str">
        <f>IFERROR(INDEX(#REF!,MATCH(AB57,#REF!,0))," ")</f>
        <v xml:space="preserve"> </v>
      </c>
      <c r="AB57" s="30">
        <f t="shared" si="10"/>
        <v>0</v>
      </c>
    </row>
    <row r="58" spans="1:28" x14ac:dyDescent="0.25">
      <c r="A58" s="38"/>
      <c r="B58" s="31" t="s">
        <v>82</v>
      </c>
      <c r="C58" s="32" t="str">
        <f>IF('Infos générales'!$E$2="x",IF(A58&gt;0,INDEX(DP!$A$10:$G$265,MATCH(A58,DP!$A$10:$A$265,0),6)," "),IF(A58&gt;0,INDEX(DP!$A$10:$G$265,MATCH(A58,DP!$A$10:$A$265,0),4)," "))</f>
        <v xml:space="preserve"> </v>
      </c>
      <c r="E58" s="39"/>
      <c r="F58" s="33" t="s">
        <v>34</v>
      </c>
      <c r="G58" s="40"/>
      <c r="H58" s="39"/>
      <c r="I58" s="33" t="s">
        <v>34</v>
      </c>
      <c r="J58" s="40"/>
      <c r="K58" s="39"/>
      <c r="L58" s="33" t="s">
        <v>34</v>
      </c>
      <c r="M58" s="40"/>
      <c r="N58" s="34">
        <f t="shared" si="0"/>
        <v>48</v>
      </c>
      <c r="O58" s="20">
        <f t="shared" si="1"/>
        <v>1.0101579999999999</v>
      </c>
      <c r="P58" s="20">
        <f t="shared" si="2"/>
        <v>48</v>
      </c>
      <c r="Q58" s="20" t="str">
        <f t="shared" si="3"/>
        <v xml:space="preserve"> </v>
      </c>
      <c r="R58" s="20">
        <f t="shared" si="4"/>
        <v>0</v>
      </c>
      <c r="S58" s="20">
        <f t="shared" si="5"/>
        <v>0</v>
      </c>
      <c r="T58" s="20">
        <f t="shared" si="6"/>
        <v>0</v>
      </c>
      <c r="U58" s="20">
        <f>IF($J$2="x",IFERROR(SMALL($O$11:$O$14,48),0),IF($J$3="x",IFERROR(SMALL($O$11:$O$18,48),0),IF($J$4="x",IFERROR(SMALL($O$11:$O$26,48),0),IF($J$5="x",IFERROR(SMALL($O$11:$O$42,48),0),IF($J$6="x",IFERROR(SMALL($O$11:$O$74,48),0),IF($J$7="x",IFERROR(SMALL($O$11:$O$138,48),0),IFERROR(SMALL($O$11:$O$266,48),0)))))))</f>
        <v>1.0101579999999999</v>
      </c>
      <c r="V58" s="20">
        <f t="shared" si="7"/>
        <v>48</v>
      </c>
      <c r="W58" s="20" t="str">
        <f t="shared" si="8"/>
        <v xml:space="preserve"> </v>
      </c>
      <c r="Y58" s="29">
        <v>48</v>
      </c>
      <c r="Z58" s="36" t="str">
        <f t="shared" si="9"/>
        <v xml:space="preserve"> </v>
      </c>
      <c r="AA58" s="35" t="str">
        <f>IFERROR(INDEX(#REF!,MATCH(AB58,#REF!,0))," ")</f>
        <v xml:space="preserve"> </v>
      </c>
      <c r="AB58" s="30">
        <f t="shared" si="10"/>
        <v>0</v>
      </c>
    </row>
    <row r="59" spans="1:28" x14ac:dyDescent="0.25">
      <c r="A59" s="38"/>
      <c r="B59" s="31" t="s">
        <v>83</v>
      </c>
      <c r="C59" s="32" t="str">
        <f>IF('Infos générales'!$E$2="x",IF(A59&gt;0,INDEX(DP!$A$10:$G$265,MATCH(A59,DP!$A$10:$A$265,0),6)," "),IF(A59&gt;0,INDEX(DP!$A$10:$G$265,MATCH(A59,DP!$A$10:$A$265,0),4)," "))</f>
        <v xml:space="preserve"> </v>
      </c>
      <c r="E59" s="39"/>
      <c r="F59" s="33" t="s">
        <v>34</v>
      </c>
      <c r="G59" s="40"/>
      <c r="H59" s="39"/>
      <c r="I59" s="33" t="s">
        <v>34</v>
      </c>
      <c r="J59" s="40"/>
      <c r="K59" s="39"/>
      <c r="L59" s="33" t="s">
        <v>34</v>
      </c>
      <c r="M59" s="40"/>
      <c r="N59" s="34">
        <f t="shared" si="0"/>
        <v>49</v>
      </c>
      <c r="O59" s="20">
        <f t="shared" si="1"/>
        <v>1.010159</v>
      </c>
      <c r="P59" s="20">
        <f t="shared" si="2"/>
        <v>49</v>
      </c>
      <c r="Q59" s="20" t="str">
        <f t="shared" si="3"/>
        <v xml:space="preserve"> </v>
      </c>
      <c r="R59" s="20">
        <f t="shared" si="4"/>
        <v>0</v>
      </c>
      <c r="S59" s="20">
        <f t="shared" si="5"/>
        <v>0</v>
      </c>
      <c r="T59" s="20">
        <f t="shared" si="6"/>
        <v>0</v>
      </c>
      <c r="U59" s="20">
        <f>IF($J$2="x",IFERROR(SMALL($O$11:$O$14,49),0),IF($J$3="x",IFERROR(SMALL($O$11:$O$18,49),0),IF($J$4="x",IFERROR(SMALL($O$11:$O$26,49),0),IF($J$5="x",IFERROR(SMALL($O$11:$O$42,49),0),IF($J$6="x",IFERROR(SMALL($O$11:$O$74,49),0),IF($J$7="x",IFERROR(SMALL($O$11:$O$138,49),0),IFERROR(SMALL($O$11:$O$266,49),0)))))))</f>
        <v>1.010159</v>
      </c>
      <c r="V59" s="20">
        <f t="shared" si="7"/>
        <v>49</v>
      </c>
      <c r="W59" s="20" t="str">
        <f t="shared" si="8"/>
        <v xml:space="preserve"> </v>
      </c>
      <c r="Y59" s="29">
        <v>49</v>
      </c>
      <c r="Z59" s="36" t="str">
        <f t="shared" si="9"/>
        <v xml:space="preserve"> </v>
      </c>
      <c r="AA59" s="35" t="str">
        <f>IFERROR(INDEX(#REF!,MATCH(AB59,#REF!,0))," ")</f>
        <v xml:space="preserve"> </v>
      </c>
      <c r="AB59" s="30">
        <f t="shared" si="10"/>
        <v>0</v>
      </c>
    </row>
    <row r="60" spans="1:28" x14ac:dyDescent="0.25">
      <c r="A60" s="38"/>
      <c r="B60" s="31" t="s">
        <v>84</v>
      </c>
      <c r="C60" s="32" t="str">
        <f>IF('Infos générales'!$E$2="x",IF(A60&gt;0,INDEX(DP!$A$10:$G$265,MATCH(A60,DP!$A$10:$A$265,0),6)," "),IF(A60&gt;0,INDEX(DP!$A$10:$G$265,MATCH(A60,DP!$A$10:$A$265,0),4)," "))</f>
        <v xml:space="preserve"> </v>
      </c>
      <c r="E60" s="39"/>
      <c r="F60" s="33" t="s">
        <v>34</v>
      </c>
      <c r="G60" s="40"/>
      <c r="H60" s="39"/>
      <c r="I60" s="33" t="s">
        <v>34</v>
      </c>
      <c r="J60" s="40"/>
      <c r="K60" s="39"/>
      <c r="L60" s="33" t="s">
        <v>34</v>
      </c>
      <c r="M60" s="40"/>
      <c r="N60" s="34">
        <f t="shared" si="0"/>
        <v>50</v>
      </c>
      <c r="O60" s="20">
        <f t="shared" si="1"/>
        <v>1.0101599999999999</v>
      </c>
      <c r="P60" s="20">
        <f t="shared" si="2"/>
        <v>50</v>
      </c>
      <c r="Q60" s="20" t="str">
        <f t="shared" si="3"/>
        <v xml:space="preserve"> </v>
      </c>
      <c r="R60" s="20">
        <f t="shared" si="4"/>
        <v>0</v>
      </c>
      <c r="S60" s="20">
        <f t="shared" si="5"/>
        <v>0</v>
      </c>
      <c r="T60" s="20">
        <f t="shared" si="6"/>
        <v>0</v>
      </c>
      <c r="U60" s="20">
        <f>IF($J$2="x",IFERROR(SMALL($O$11:$O$14,50),0),IF($J$3="x",IFERROR(SMALL($O$11:$O$18,50),0),IF($J$4="x",IFERROR(SMALL($O$11:$O$26,50),0),IF($J$5="x",IFERROR(SMALL($O$11:$O$42,50),0),IF($J$6="x",IFERROR(SMALL($O$11:$O$74,50),0),IF($J$7="x",IFERROR(SMALL($O$11:$O$138,50),0),IFERROR(SMALL($O$11:$O$266,50),0)))))))</f>
        <v>1.0101599999999999</v>
      </c>
      <c r="V60" s="20">
        <f t="shared" si="7"/>
        <v>50</v>
      </c>
      <c r="W60" s="20" t="str">
        <f t="shared" si="8"/>
        <v xml:space="preserve"> </v>
      </c>
      <c r="Y60" s="29">
        <v>50</v>
      </c>
      <c r="Z60" s="36" t="str">
        <f t="shared" si="9"/>
        <v xml:space="preserve"> </v>
      </c>
      <c r="AA60" s="35" t="str">
        <f>IFERROR(INDEX(#REF!,MATCH(AB60,#REF!,0))," ")</f>
        <v xml:space="preserve"> </v>
      </c>
      <c r="AB60" s="30">
        <f t="shared" si="10"/>
        <v>0</v>
      </c>
    </row>
    <row r="61" spans="1:28" x14ac:dyDescent="0.25">
      <c r="A61" s="38"/>
      <c r="B61" s="31" t="s">
        <v>85</v>
      </c>
      <c r="C61" s="32" t="str">
        <f>IF('Infos générales'!$E$2="x",IF(A61&gt;0,INDEX(DP!$A$10:$G$265,MATCH(A61,DP!$A$10:$A$265,0),6)," "),IF(A61&gt;0,INDEX(DP!$A$10:$G$265,MATCH(A61,DP!$A$10:$A$265,0),4)," "))</f>
        <v xml:space="preserve"> </v>
      </c>
      <c r="E61" s="39"/>
      <c r="F61" s="33" t="s">
        <v>34</v>
      </c>
      <c r="G61" s="40"/>
      <c r="H61" s="39"/>
      <c r="I61" s="33" t="s">
        <v>34</v>
      </c>
      <c r="J61" s="40"/>
      <c r="K61" s="39"/>
      <c r="L61" s="33" t="s">
        <v>34</v>
      </c>
      <c r="M61" s="40"/>
      <c r="N61" s="34">
        <f t="shared" si="0"/>
        <v>51</v>
      </c>
      <c r="O61" s="20">
        <f t="shared" si="1"/>
        <v>1.0101610000000001</v>
      </c>
      <c r="P61" s="20">
        <f t="shared" si="2"/>
        <v>51</v>
      </c>
      <c r="Q61" s="20" t="str">
        <f t="shared" si="3"/>
        <v xml:space="preserve"> </v>
      </c>
      <c r="R61" s="20">
        <f t="shared" si="4"/>
        <v>0</v>
      </c>
      <c r="S61" s="20">
        <f t="shared" si="5"/>
        <v>0</v>
      </c>
      <c r="T61" s="20">
        <f t="shared" si="6"/>
        <v>0</v>
      </c>
      <c r="U61" s="20">
        <f>IF($J$2="x",IFERROR(SMALL($O$11:$O$14,51),0),IF($J$3="x",IFERROR(SMALL($O$11:$O$18,51),0),IF($J$4="x",IFERROR(SMALL($O$11:$O$26,51),0),IF($J$5="x",IFERROR(SMALL($O$11:$O$42,51),0),IF($J$6="x",IFERROR(SMALL($O$11:$O$74,51),0),IF($J$7="x",IFERROR(SMALL($O$11:$O$138,51),0),IFERROR(SMALL($O$11:$O$266,51),0)))))))</f>
        <v>1.0101610000000001</v>
      </c>
      <c r="V61" s="20">
        <f t="shared" si="7"/>
        <v>51</v>
      </c>
      <c r="W61" s="20" t="str">
        <f t="shared" si="8"/>
        <v xml:space="preserve"> </v>
      </c>
      <c r="Y61" s="29">
        <v>51</v>
      </c>
      <c r="Z61" s="36" t="str">
        <f t="shared" si="9"/>
        <v xml:space="preserve"> </v>
      </c>
      <c r="AA61" s="35" t="str">
        <f>IFERROR(INDEX(#REF!,MATCH(AB61,#REF!,0))," ")</f>
        <v xml:space="preserve"> </v>
      </c>
      <c r="AB61" s="30">
        <f t="shared" si="10"/>
        <v>0</v>
      </c>
    </row>
    <row r="62" spans="1:28" x14ac:dyDescent="0.25">
      <c r="A62" s="38"/>
      <c r="B62" s="31" t="s">
        <v>86</v>
      </c>
      <c r="C62" s="32" t="str">
        <f>IF('Infos générales'!$E$2="x",IF(A62&gt;0,INDEX(DP!$A$10:$G$265,MATCH(A62,DP!$A$10:$A$265,0),6)," "),IF(A62&gt;0,INDEX(DP!$A$10:$G$265,MATCH(A62,DP!$A$10:$A$265,0),4)," "))</f>
        <v xml:space="preserve"> </v>
      </c>
      <c r="E62" s="39"/>
      <c r="F62" s="33" t="s">
        <v>34</v>
      </c>
      <c r="G62" s="40"/>
      <c r="H62" s="39"/>
      <c r="I62" s="33" t="s">
        <v>34</v>
      </c>
      <c r="J62" s="40"/>
      <c r="K62" s="39"/>
      <c r="L62" s="33" t="s">
        <v>34</v>
      </c>
      <c r="M62" s="40"/>
      <c r="N62" s="34">
        <f t="shared" si="0"/>
        <v>52</v>
      </c>
      <c r="O62" s="20">
        <f t="shared" si="1"/>
        <v>1.010162</v>
      </c>
      <c r="P62" s="20">
        <f t="shared" si="2"/>
        <v>52</v>
      </c>
      <c r="Q62" s="20" t="str">
        <f t="shared" si="3"/>
        <v xml:space="preserve"> </v>
      </c>
      <c r="R62" s="20">
        <f t="shared" si="4"/>
        <v>0</v>
      </c>
      <c r="S62" s="20">
        <f t="shared" si="5"/>
        <v>0</v>
      </c>
      <c r="T62" s="20">
        <f t="shared" si="6"/>
        <v>0</v>
      </c>
      <c r="U62" s="20">
        <f>IF($J$2="x",IFERROR(SMALL($O$11:$O$14,52),0),IF($J$3="x",IFERROR(SMALL($O$11:$O$18,52),0),IF($J$4="x",IFERROR(SMALL($O$11:$O$26,52),0),IF($J$5="x",IFERROR(SMALL($O$11:$O$42,52),0),IF($J$6="x",IFERROR(SMALL($O$11:$O$74,52),0),IF($J$7="x",IFERROR(SMALL($O$11:$O$138,52),0),IFERROR(SMALL($O$11:$O$266,52),0)))))))</f>
        <v>1.010162</v>
      </c>
      <c r="V62" s="20">
        <f t="shared" si="7"/>
        <v>52</v>
      </c>
      <c r="W62" s="20" t="str">
        <f t="shared" si="8"/>
        <v xml:space="preserve"> </v>
      </c>
      <c r="Y62" s="29">
        <v>52</v>
      </c>
      <c r="Z62" s="36" t="str">
        <f t="shared" si="9"/>
        <v xml:space="preserve"> </v>
      </c>
      <c r="AA62" s="35" t="str">
        <f>IFERROR(INDEX(#REF!,MATCH(AB62,#REF!,0))," ")</f>
        <v xml:space="preserve"> </v>
      </c>
      <c r="AB62" s="30">
        <f t="shared" si="10"/>
        <v>0</v>
      </c>
    </row>
    <row r="63" spans="1:28" x14ac:dyDescent="0.25">
      <c r="A63" s="38"/>
      <c r="B63" s="31" t="s">
        <v>87</v>
      </c>
      <c r="C63" s="32" t="str">
        <f>IF('Infos générales'!$E$2="x",IF(A63&gt;0,INDEX(DP!$A$10:$G$265,MATCH(A63,DP!$A$10:$A$265,0),6)," "),IF(A63&gt;0,INDEX(DP!$A$10:$G$265,MATCH(A63,DP!$A$10:$A$265,0),4)," "))</f>
        <v xml:space="preserve"> </v>
      </c>
      <c r="E63" s="39"/>
      <c r="F63" s="33" t="s">
        <v>34</v>
      </c>
      <c r="G63" s="40"/>
      <c r="H63" s="39"/>
      <c r="I63" s="33" t="s">
        <v>34</v>
      </c>
      <c r="J63" s="40"/>
      <c r="K63" s="39"/>
      <c r="L63" s="33" t="s">
        <v>34</v>
      </c>
      <c r="M63" s="40"/>
      <c r="N63" s="34">
        <f t="shared" si="0"/>
        <v>53</v>
      </c>
      <c r="O63" s="20">
        <f t="shared" si="1"/>
        <v>1.0101629999999999</v>
      </c>
      <c r="P63" s="20">
        <f t="shared" si="2"/>
        <v>53</v>
      </c>
      <c r="Q63" s="20" t="str">
        <f t="shared" si="3"/>
        <v xml:space="preserve"> </v>
      </c>
      <c r="R63" s="20">
        <f t="shared" si="4"/>
        <v>0</v>
      </c>
      <c r="S63" s="20">
        <f t="shared" si="5"/>
        <v>0</v>
      </c>
      <c r="T63" s="20">
        <f t="shared" si="6"/>
        <v>0</v>
      </c>
      <c r="U63" s="20">
        <f>IF($J$2="x",IFERROR(SMALL($O$11:$O$14,53),0),IF($J$3="x",IFERROR(SMALL($O$11:$O$18,53),0),IF($J$4="x",IFERROR(SMALL($O$11:$O$26,53),0),IF($J$5="x",IFERROR(SMALL($O$11:$O$42,53),0),IF($J$6="x",IFERROR(SMALL($O$11:$O$74,53),0),IF($J$7="x",IFERROR(SMALL($O$11:$O$138,53),0),IFERROR(SMALL($O$11:$O$266,53),0)))))))</f>
        <v>1.0101629999999999</v>
      </c>
      <c r="V63" s="20">
        <f t="shared" si="7"/>
        <v>53</v>
      </c>
      <c r="W63" s="20" t="str">
        <f t="shared" si="8"/>
        <v xml:space="preserve"> </v>
      </c>
      <c r="Y63" s="29">
        <v>53</v>
      </c>
      <c r="Z63" s="36" t="str">
        <f t="shared" si="9"/>
        <v xml:space="preserve"> </v>
      </c>
      <c r="AA63" s="35" t="str">
        <f>IFERROR(INDEX(#REF!,MATCH(AB63,#REF!,0))," ")</f>
        <v xml:space="preserve"> </v>
      </c>
      <c r="AB63" s="30">
        <f t="shared" si="10"/>
        <v>0</v>
      </c>
    </row>
    <row r="64" spans="1:28" x14ac:dyDescent="0.25">
      <c r="A64" s="38"/>
      <c r="B64" s="31" t="s">
        <v>88</v>
      </c>
      <c r="C64" s="32" t="str">
        <f>IF('Infos générales'!$E$2="x",IF(A64&gt;0,INDEX(DP!$A$10:$G$265,MATCH(A64,DP!$A$10:$A$265,0),6)," "),IF(A64&gt;0,INDEX(DP!$A$10:$G$265,MATCH(A64,DP!$A$10:$A$265,0),4)," "))</f>
        <v xml:space="preserve"> </v>
      </c>
      <c r="E64" s="39"/>
      <c r="F64" s="33" t="s">
        <v>34</v>
      </c>
      <c r="G64" s="40"/>
      <c r="H64" s="39"/>
      <c r="I64" s="33" t="s">
        <v>34</v>
      </c>
      <c r="J64" s="40"/>
      <c r="K64" s="39"/>
      <c r="L64" s="33" t="s">
        <v>34</v>
      </c>
      <c r="M64" s="40"/>
      <c r="N64" s="34">
        <f t="shared" si="0"/>
        <v>54</v>
      </c>
      <c r="O64" s="20">
        <f t="shared" si="1"/>
        <v>1.0101640000000001</v>
      </c>
      <c r="P64" s="20">
        <f t="shared" si="2"/>
        <v>54</v>
      </c>
      <c r="Q64" s="20" t="str">
        <f t="shared" si="3"/>
        <v xml:space="preserve"> </v>
      </c>
      <c r="R64" s="20">
        <f t="shared" si="4"/>
        <v>0</v>
      </c>
      <c r="S64" s="20">
        <f t="shared" si="5"/>
        <v>0</v>
      </c>
      <c r="T64" s="20">
        <f t="shared" si="6"/>
        <v>0</v>
      </c>
      <c r="U64" s="20">
        <f>IF($J$2="x",IFERROR(SMALL($O$11:$O$14,54),0),IF($J$3="x",IFERROR(SMALL($O$11:$O$18,54),0),IF($J$4="x",IFERROR(SMALL($O$11:$O$26,54),0),IF($J$5="x",IFERROR(SMALL($O$11:$O$42,54),0),IF($J$6="x",IFERROR(SMALL($O$11:$O$74,54),0),IF($J$7="x",IFERROR(SMALL($O$11:$O$138,54),0),IFERROR(SMALL($O$11:$O$266,54),0)))))))</f>
        <v>1.0101640000000001</v>
      </c>
      <c r="V64" s="20">
        <f t="shared" si="7"/>
        <v>54</v>
      </c>
      <c r="W64" s="20" t="str">
        <f t="shared" si="8"/>
        <v xml:space="preserve"> </v>
      </c>
      <c r="Y64" s="29">
        <v>54</v>
      </c>
      <c r="Z64" s="36" t="str">
        <f t="shared" si="9"/>
        <v xml:space="preserve"> </v>
      </c>
      <c r="AA64" s="35" t="str">
        <f>IFERROR(INDEX(#REF!,MATCH(AB64,#REF!,0))," ")</f>
        <v xml:space="preserve"> </v>
      </c>
      <c r="AB64" s="30">
        <f t="shared" si="10"/>
        <v>0</v>
      </c>
    </row>
    <row r="65" spans="1:28" x14ac:dyDescent="0.25">
      <c r="A65" s="38"/>
      <c r="B65" s="31" t="s">
        <v>89</v>
      </c>
      <c r="C65" s="32" t="str">
        <f>IF('Infos générales'!$E$2="x",IF(A65&gt;0,INDEX(DP!$A$10:$G$265,MATCH(A65,DP!$A$10:$A$265,0),6)," "),IF(A65&gt;0,INDEX(DP!$A$10:$G$265,MATCH(A65,DP!$A$10:$A$265,0),4)," "))</f>
        <v xml:space="preserve"> </v>
      </c>
      <c r="E65" s="39"/>
      <c r="F65" s="33" t="s">
        <v>34</v>
      </c>
      <c r="G65" s="40"/>
      <c r="H65" s="39"/>
      <c r="I65" s="33" t="s">
        <v>34</v>
      </c>
      <c r="J65" s="40"/>
      <c r="K65" s="39"/>
      <c r="L65" s="33" t="s">
        <v>34</v>
      </c>
      <c r="M65" s="40"/>
      <c r="N65" s="34">
        <f t="shared" si="0"/>
        <v>55</v>
      </c>
      <c r="O65" s="20">
        <f t="shared" si="1"/>
        <v>1.010165</v>
      </c>
      <c r="P65" s="20">
        <f t="shared" si="2"/>
        <v>55</v>
      </c>
      <c r="Q65" s="20" t="str">
        <f t="shared" si="3"/>
        <v xml:space="preserve"> </v>
      </c>
      <c r="R65" s="20">
        <f t="shared" si="4"/>
        <v>0</v>
      </c>
      <c r="S65" s="20">
        <f t="shared" si="5"/>
        <v>0</v>
      </c>
      <c r="T65" s="20">
        <f t="shared" si="6"/>
        <v>0</v>
      </c>
      <c r="U65" s="20">
        <f>IF($J$2="x",IFERROR(SMALL($O$11:$O$14,55),0),IF($J$3="x",IFERROR(SMALL($O$11:$O$18,55),0),IF($J$4="x",IFERROR(SMALL($O$11:$O$26,55),0),IF($J$5="x",IFERROR(SMALL($O$11:$O$42,55),0),IF($J$6="x",IFERROR(SMALL($O$11:$O$74,55),0),IF($J$7="x",IFERROR(SMALL($O$11:$O$138,55),0),IFERROR(SMALL($O$11:$O$266,55),0)))))))</f>
        <v>1.010165</v>
      </c>
      <c r="V65" s="20">
        <f t="shared" si="7"/>
        <v>55</v>
      </c>
      <c r="W65" s="20" t="str">
        <f t="shared" si="8"/>
        <v xml:space="preserve"> </v>
      </c>
      <c r="Y65" s="29">
        <v>55</v>
      </c>
      <c r="Z65" s="36" t="str">
        <f t="shared" si="9"/>
        <v xml:space="preserve"> </v>
      </c>
      <c r="AA65" s="35" t="str">
        <f>IFERROR(INDEX(#REF!,MATCH(AB65,#REF!,0))," ")</f>
        <v xml:space="preserve"> </v>
      </c>
      <c r="AB65" s="30">
        <f t="shared" si="10"/>
        <v>0</v>
      </c>
    </row>
    <row r="66" spans="1:28" x14ac:dyDescent="0.25">
      <c r="A66" s="38"/>
      <c r="B66" s="31" t="s">
        <v>90</v>
      </c>
      <c r="C66" s="32" t="str">
        <f>IF('Infos générales'!$E$2="x",IF(A66&gt;0,INDEX(DP!$A$10:$G$265,MATCH(A66,DP!$A$10:$A$265,0),6)," "),IF(A66&gt;0,INDEX(DP!$A$10:$G$265,MATCH(A66,DP!$A$10:$A$265,0),4)," "))</f>
        <v xml:space="preserve"> </v>
      </c>
      <c r="E66" s="39"/>
      <c r="F66" s="33" t="s">
        <v>34</v>
      </c>
      <c r="G66" s="40"/>
      <c r="H66" s="39"/>
      <c r="I66" s="33" t="s">
        <v>34</v>
      </c>
      <c r="J66" s="40"/>
      <c r="K66" s="39"/>
      <c r="L66" s="33" t="s">
        <v>34</v>
      </c>
      <c r="M66" s="40"/>
      <c r="N66" s="34">
        <f t="shared" si="0"/>
        <v>56</v>
      </c>
      <c r="O66" s="20">
        <f t="shared" si="1"/>
        <v>1.0101659999999999</v>
      </c>
      <c r="P66" s="20">
        <f t="shared" si="2"/>
        <v>56</v>
      </c>
      <c r="Q66" s="20" t="str">
        <f t="shared" si="3"/>
        <v xml:space="preserve"> </v>
      </c>
      <c r="R66" s="20">
        <f t="shared" si="4"/>
        <v>0</v>
      </c>
      <c r="S66" s="20">
        <f t="shared" si="5"/>
        <v>0</v>
      </c>
      <c r="T66" s="20">
        <f t="shared" si="6"/>
        <v>0</v>
      </c>
      <c r="U66" s="20">
        <f>IF($J$2="x",IFERROR(SMALL($O$11:$O$14,56),0),IF($J$3="x",IFERROR(SMALL($O$11:$O$18,56),0),IF($J$4="x",IFERROR(SMALL($O$11:$O$26,56),0),IF($J$5="x",IFERROR(SMALL($O$11:$O$42,56),0),IF($J$6="x",IFERROR(SMALL($O$11:$O$74,56),0),IF($J$7="x",IFERROR(SMALL($O$11:$O$138,56),0),IFERROR(SMALL($O$11:$O$266,56),0)))))))</f>
        <v>1.0101659999999999</v>
      </c>
      <c r="V66" s="20">
        <f t="shared" si="7"/>
        <v>56</v>
      </c>
      <c r="W66" s="20" t="str">
        <f t="shared" si="8"/>
        <v xml:space="preserve"> </v>
      </c>
      <c r="Y66" s="29">
        <v>56</v>
      </c>
      <c r="Z66" s="36" t="str">
        <f t="shared" si="9"/>
        <v xml:space="preserve"> </v>
      </c>
      <c r="AA66" s="35" t="str">
        <f>IFERROR(INDEX(#REF!,MATCH(AB66,#REF!,0))," ")</f>
        <v xml:space="preserve"> </v>
      </c>
      <c r="AB66" s="30">
        <f t="shared" si="10"/>
        <v>0</v>
      </c>
    </row>
    <row r="67" spans="1:28" x14ac:dyDescent="0.25">
      <c r="A67" s="38"/>
      <c r="B67" s="31" t="s">
        <v>91</v>
      </c>
      <c r="C67" s="32" t="str">
        <f>IF('Infos générales'!$E$2="x",IF(A67&gt;0,INDEX(DP!$A$10:$G$265,MATCH(A67,DP!$A$10:$A$265,0),6)," "),IF(A67&gt;0,INDEX(DP!$A$10:$G$265,MATCH(A67,DP!$A$10:$A$265,0),4)," "))</f>
        <v xml:space="preserve"> </v>
      </c>
      <c r="E67" s="39"/>
      <c r="F67" s="33" t="s">
        <v>34</v>
      </c>
      <c r="G67" s="40"/>
      <c r="H67" s="39"/>
      <c r="I67" s="33" t="s">
        <v>34</v>
      </c>
      <c r="J67" s="40"/>
      <c r="K67" s="39"/>
      <c r="L67" s="33" t="s">
        <v>34</v>
      </c>
      <c r="M67" s="40"/>
      <c r="N67" s="34">
        <f t="shared" si="0"/>
        <v>57</v>
      </c>
      <c r="O67" s="20">
        <f t="shared" si="1"/>
        <v>1.010167</v>
      </c>
      <c r="P67" s="20">
        <f t="shared" si="2"/>
        <v>57</v>
      </c>
      <c r="Q67" s="20" t="str">
        <f t="shared" si="3"/>
        <v xml:space="preserve"> </v>
      </c>
      <c r="R67" s="20">
        <f t="shared" si="4"/>
        <v>0</v>
      </c>
      <c r="S67" s="20">
        <f t="shared" si="5"/>
        <v>0</v>
      </c>
      <c r="T67" s="20">
        <f t="shared" si="6"/>
        <v>0</v>
      </c>
      <c r="U67" s="20">
        <f>IF($J$2="x",IFERROR(SMALL($O$11:$O$14,57),0),IF($J$3="x",IFERROR(SMALL($O$11:$O$18,57),0),IF($J$4="x",IFERROR(SMALL($O$11:$O$26,57),0),IF($J$5="x",IFERROR(SMALL($O$11:$O$42,57),0),IF($J$6="x",IFERROR(SMALL($O$11:$O$74,57),0),IF($J$7="x",IFERROR(SMALL($O$11:$O$138,57),0),IFERROR(SMALL($O$11:$O$266,57),0)))))))</f>
        <v>1.010167</v>
      </c>
      <c r="V67" s="20">
        <f t="shared" si="7"/>
        <v>57</v>
      </c>
      <c r="W67" s="20" t="str">
        <f t="shared" si="8"/>
        <v xml:space="preserve"> </v>
      </c>
      <c r="Y67" s="29">
        <v>57</v>
      </c>
      <c r="Z67" s="36" t="str">
        <f t="shared" si="9"/>
        <v xml:space="preserve"> </v>
      </c>
      <c r="AA67" s="35" t="str">
        <f>IFERROR(INDEX(#REF!,MATCH(AB67,#REF!,0))," ")</f>
        <v xml:space="preserve"> </v>
      </c>
      <c r="AB67" s="30">
        <f t="shared" si="10"/>
        <v>0</v>
      </c>
    </row>
    <row r="68" spans="1:28" x14ac:dyDescent="0.25">
      <c r="A68" s="38"/>
      <c r="B68" s="31" t="s">
        <v>92</v>
      </c>
      <c r="C68" s="32" t="str">
        <f>IF('Infos générales'!$E$2="x",IF(A68&gt;0,INDEX(DP!$A$10:$G$265,MATCH(A68,DP!$A$10:$A$265,0),6)," "),IF(A68&gt;0,INDEX(DP!$A$10:$G$265,MATCH(A68,DP!$A$10:$A$265,0),4)," "))</f>
        <v xml:space="preserve"> </v>
      </c>
      <c r="E68" s="39"/>
      <c r="F68" s="33" t="s">
        <v>34</v>
      </c>
      <c r="G68" s="40"/>
      <c r="H68" s="39"/>
      <c r="I68" s="33" t="s">
        <v>34</v>
      </c>
      <c r="J68" s="40"/>
      <c r="K68" s="39"/>
      <c r="L68" s="33" t="s">
        <v>34</v>
      </c>
      <c r="M68" s="40"/>
      <c r="N68" s="34">
        <f t="shared" si="0"/>
        <v>58</v>
      </c>
      <c r="O68" s="20">
        <f t="shared" si="1"/>
        <v>1.010168</v>
      </c>
      <c r="P68" s="20">
        <f t="shared" si="2"/>
        <v>58</v>
      </c>
      <c r="Q68" s="20" t="str">
        <f t="shared" si="3"/>
        <v xml:space="preserve"> </v>
      </c>
      <c r="R68" s="20">
        <f t="shared" si="4"/>
        <v>0</v>
      </c>
      <c r="S68" s="20">
        <f t="shared" si="5"/>
        <v>0</v>
      </c>
      <c r="T68" s="20">
        <f t="shared" si="6"/>
        <v>0</v>
      </c>
      <c r="U68" s="20">
        <f>IF($J$2="x",IFERROR(SMALL($O$11:$O$14,58),0),IF($J$3="x",IFERROR(SMALL($O$11:$O$18,58),0),IF($J$4="x",IFERROR(SMALL($O$11:$O$26,58),0),IF($J$5="x",IFERROR(SMALL($O$11:$O$42,58),0),IF($J$6="x",IFERROR(SMALL($O$11:$O$74,58),0),IF($J$7="x",IFERROR(SMALL($O$11:$O$138,58),0),IFERROR(SMALL($O$11:$O$266,58),0)))))))</f>
        <v>1.010168</v>
      </c>
      <c r="V68" s="20">
        <f t="shared" si="7"/>
        <v>58</v>
      </c>
      <c r="W68" s="20" t="str">
        <f t="shared" si="8"/>
        <v xml:space="preserve"> </v>
      </c>
      <c r="Y68" s="29">
        <v>58</v>
      </c>
      <c r="Z68" s="36" t="str">
        <f t="shared" si="9"/>
        <v xml:space="preserve"> </v>
      </c>
      <c r="AA68" s="35" t="str">
        <f>IFERROR(INDEX(#REF!,MATCH(AB68,#REF!,0))," ")</f>
        <v xml:space="preserve"> </v>
      </c>
      <c r="AB68" s="30">
        <f t="shared" si="10"/>
        <v>0</v>
      </c>
    </row>
    <row r="69" spans="1:28" x14ac:dyDescent="0.25">
      <c r="A69" s="38"/>
      <c r="B69" s="31" t="s">
        <v>93</v>
      </c>
      <c r="C69" s="32" t="str">
        <f>IF('Infos générales'!$E$2="x",IF(A69&gt;0,INDEX(DP!$A$10:$G$265,MATCH(A69,DP!$A$10:$A$265,0),6)," "),IF(A69&gt;0,INDEX(DP!$A$10:$G$265,MATCH(A69,DP!$A$10:$A$265,0),4)," "))</f>
        <v xml:space="preserve"> </v>
      </c>
      <c r="E69" s="39"/>
      <c r="F69" s="33" t="s">
        <v>34</v>
      </c>
      <c r="G69" s="40"/>
      <c r="H69" s="39"/>
      <c r="I69" s="33" t="s">
        <v>34</v>
      </c>
      <c r="J69" s="40"/>
      <c r="K69" s="39"/>
      <c r="L69" s="33" t="s">
        <v>34</v>
      </c>
      <c r="M69" s="40"/>
      <c r="N69" s="34">
        <f t="shared" si="0"/>
        <v>59</v>
      </c>
      <c r="O69" s="20">
        <f t="shared" si="1"/>
        <v>1.0101690000000001</v>
      </c>
      <c r="P69" s="20">
        <f t="shared" si="2"/>
        <v>59</v>
      </c>
      <c r="Q69" s="20" t="str">
        <f t="shared" si="3"/>
        <v xml:space="preserve"> </v>
      </c>
      <c r="R69" s="20">
        <f t="shared" si="4"/>
        <v>0</v>
      </c>
      <c r="S69" s="20">
        <f t="shared" si="5"/>
        <v>0</v>
      </c>
      <c r="T69" s="20">
        <f t="shared" si="6"/>
        <v>0</v>
      </c>
      <c r="U69" s="20">
        <f>IF($J$2="x",IFERROR(SMALL($O$11:$O$14,59),0),IF($J$3="x",IFERROR(SMALL($O$11:$O$18,59),0),IF($J$4="x",IFERROR(SMALL($O$11:$O$26,59),0),IF($J$5="x",IFERROR(SMALL($O$11:$O$42,59),0),IF($J$6="x",IFERROR(SMALL($O$11:$O$74,59),0),IF($J$7="x",IFERROR(SMALL($O$11:$O$138,59),0),IFERROR(SMALL($O$11:$O$266,59),0)))))))</f>
        <v>1.0101690000000001</v>
      </c>
      <c r="V69" s="20">
        <f t="shared" si="7"/>
        <v>59</v>
      </c>
      <c r="W69" s="20" t="str">
        <f t="shared" si="8"/>
        <v xml:space="preserve"> </v>
      </c>
      <c r="Y69" s="29">
        <v>59</v>
      </c>
      <c r="Z69" s="36" t="str">
        <f t="shared" si="9"/>
        <v xml:space="preserve"> </v>
      </c>
      <c r="AA69" s="35" t="str">
        <f>IFERROR(INDEX(#REF!,MATCH(AB69,#REF!,0))," ")</f>
        <v xml:space="preserve"> </v>
      </c>
      <c r="AB69" s="30">
        <f t="shared" si="10"/>
        <v>0</v>
      </c>
    </row>
    <row r="70" spans="1:28" x14ac:dyDescent="0.25">
      <c r="A70" s="38"/>
      <c r="B70" s="31" t="s">
        <v>94</v>
      </c>
      <c r="C70" s="32" t="str">
        <f>IF('Infos générales'!$E$2="x",IF(A70&gt;0,INDEX(DP!$A$10:$G$265,MATCH(A70,DP!$A$10:$A$265,0),6)," "),IF(A70&gt;0,INDEX(DP!$A$10:$G$265,MATCH(A70,DP!$A$10:$A$265,0),4)," "))</f>
        <v xml:space="preserve"> </v>
      </c>
      <c r="E70" s="39"/>
      <c r="F70" s="33" t="s">
        <v>34</v>
      </c>
      <c r="G70" s="40"/>
      <c r="H70" s="39"/>
      <c r="I70" s="33" t="s">
        <v>34</v>
      </c>
      <c r="J70" s="40"/>
      <c r="K70" s="39"/>
      <c r="L70" s="33" t="s">
        <v>34</v>
      </c>
      <c r="M70" s="40"/>
      <c r="N70" s="34">
        <f t="shared" si="0"/>
        <v>60</v>
      </c>
      <c r="O70" s="20">
        <f t="shared" si="1"/>
        <v>1.01017</v>
      </c>
      <c r="P70" s="20">
        <f t="shared" si="2"/>
        <v>60</v>
      </c>
      <c r="Q70" s="20" t="str">
        <f t="shared" si="3"/>
        <v xml:space="preserve"> </v>
      </c>
      <c r="R70" s="20">
        <f t="shared" si="4"/>
        <v>0</v>
      </c>
      <c r="S70" s="20">
        <f t="shared" si="5"/>
        <v>0</v>
      </c>
      <c r="T70" s="20">
        <f t="shared" si="6"/>
        <v>0</v>
      </c>
      <c r="U70" s="20">
        <f>IF($J$2="x",IFERROR(SMALL($O$11:$O$14,60),0),IF($J$3="x",IFERROR(SMALL($O$11:$O$18,60),0),IF($J$4="x",IFERROR(SMALL($O$11:$O$26,60),0),IF($J$5="x",IFERROR(SMALL($O$11:$O$42,60),0),IF($J$6="x",IFERROR(SMALL($O$11:$O$74,60),0),IF($J$7="x",IFERROR(SMALL($O$11:$O$138,60),0),IFERROR(SMALL($O$11:$O$266,60),0)))))))</f>
        <v>1.01017</v>
      </c>
      <c r="V70" s="20">
        <f t="shared" si="7"/>
        <v>60</v>
      </c>
      <c r="W70" s="20" t="str">
        <f t="shared" si="8"/>
        <v xml:space="preserve"> </v>
      </c>
      <c r="Y70" s="29">
        <v>60</v>
      </c>
      <c r="Z70" s="36" t="str">
        <f t="shared" si="9"/>
        <v xml:space="preserve"> </v>
      </c>
      <c r="AA70" s="35" t="str">
        <f>IFERROR(INDEX(#REF!,MATCH(AB70,#REF!,0))," ")</f>
        <v xml:space="preserve"> </v>
      </c>
      <c r="AB70" s="30">
        <f t="shared" si="10"/>
        <v>0</v>
      </c>
    </row>
    <row r="71" spans="1:28" x14ac:dyDescent="0.25">
      <c r="A71" s="38"/>
      <c r="B71" s="31" t="s">
        <v>95</v>
      </c>
      <c r="C71" s="32" t="str">
        <f>IF('Infos générales'!$E$2="x",IF(A71&gt;0,INDEX(DP!$A$10:$G$265,MATCH(A71,DP!$A$10:$A$265,0),6)," "),IF(A71&gt;0,INDEX(DP!$A$10:$G$265,MATCH(A71,DP!$A$10:$A$265,0),4)," "))</f>
        <v xml:space="preserve"> </v>
      </c>
      <c r="E71" s="39"/>
      <c r="F71" s="33" t="s">
        <v>34</v>
      </c>
      <c r="G71" s="40"/>
      <c r="H71" s="39"/>
      <c r="I71" s="33" t="s">
        <v>34</v>
      </c>
      <c r="J71" s="40"/>
      <c r="K71" s="39"/>
      <c r="L71" s="33" t="s">
        <v>34</v>
      </c>
      <c r="M71" s="40"/>
      <c r="N71" s="34">
        <f t="shared" si="0"/>
        <v>61</v>
      </c>
      <c r="O71" s="20">
        <f t="shared" si="1"/>
        <v>1.0101709999999999</v>
      </c>
      <c r="P71" s="20">
        <f t="shared" si="2"/>
        <v>61</v>
      </c>
      <c r="Q71" s="20" t="str">
        <f t="shared" si="3"/>
        <v xml:space="preserve"> </v>
      </c>
      <c r="R71" s="20">
        <f t="shared" si="4"/>
        <v>0</v>
      </c>
      <c r="S71" s="20">
        <f t="shared" si="5"/>
        <v>0</v>
      </c>
      <c r="T71" s="20">
        <f t="shared" si="6"/>
        <v>0</v>
      </c>
      <c r="U71" s="20">
        <f>IF($J$2="x",IFERROR(SMALL($O$11:$O$14,61),0),IF($J$3="x",IFERROR(SMALL($O$11:$O$18,61),0),IF($J$4="x",IFERROR(SMALL($O$11:$O$26,61),0),IF($J$5="x",IFERROR(SMALL($O$11:$O$42,61),0),IF($J$6="x",IFERROR(SMALL($O$11:$O$74,61),0),IF($J$7="x",IFERROR(SMALL($O$11:$O$138,61),0),IFERROR(SMALL($O$11:$O$266,61),0)))))))</f>
        <v>1.0101709999999999</v>
      </c>
      <c r="V71" s="20">
        <f t="shared" si="7"/>
        <v>61</v>
      </c>
      <c r="W71" s="20" t="str">
        <f t="shared" si="8"/>
        <v xml:space="preserve"> </v>
      </c>
      <c r="Y71" s="29">
        <v>61</v>
      </c>
      <c r="Z71" s="36" t="str">
        <f t="shared" si="9"/>
        <v xml:space="preserve"> </v>
      </c>
      <c r="AA71" s="35" t="str">
        <f>IFERROR(INDEX(#REF!,MATCH(AB71,#REF!,0))," ")</f>
        <v xml:space="preserve"> </v>
      </c>
      <c r="AB71" s="30">
        <f t="shared" si="10"/>
        <v>0</v>
      </c>
    </row>
    <row r="72" spans="1:28" x14ac:dyDescent="0.25">
      <c r="A72" s="38"/>
      <c r="B72" s="31" t="s">
        <v>96</v>
      </c>
      <c r="C72" s="32" t="str">
        <f>IF('Infos générales'!$E$2="x",IF(A72&gt;0,INDEX(DP!$A$10:$G$265,MATCH(A72,DP!$A$10:$A$265,0),6)," "),IF(A72&gt;0,INDEX(DP!$A$10:$G$265,MATCH(A72,DP!$A$10:$A$265,0),4)," "))</f>
        <v xml:space="preserve"> </v>
      </c>
      <c r="E72" s="39"/>
      <c r="F72" s="33" t="s">
        <v>34</v>
      </c>
      <c r="G72" s="40"/>
      <c r="H72" s="39"/>
      <c r="I72" s="33" t="s">
        <v>34</v>
      </c>
      <c r="J72" s="40"/>
      <c r="K72" s="39"/>
      <c r="L72" s="33" t="s">
        <v>34</v>
      </c>
      <c r="M72" s="40"/>
      <c r="N72" s="34">
        <f t="shared" si="0"/>
        <v>62</v>
      </c>
      <c r="O72" s="20">
        <f t="shared" si="1"/>
        <v>1.0101720000000001</v>
      </c>
      <c r="P72" s="20">
        <f t="shared" si="2"/>
        <v>62</v>
      </c>
      <c r="Q72" s="20" t="str">
        <f t="shared" si="3"/>
        <v xml:space="preserve"> </v>
      </c>
      <c r="R72" s="20">
        <f t="shared" si="4"/>
        <v>0</v>
      </c>
      <c r="S72" s="20">
        <f t="shared" si="5"/>
        <v>0</v>
      </c>
      <c r="T72" s="20">
        <f t="shared" si="6"/>
        <v>0</v>
      </c>
      <c r="U72" s="20">
        <f>IF($J$2="x",IFERROR(SMALL($O$11:$O$14,62),0),IF($J$3="x",IFERROR(SMALL($O$11:$O$18,62),0),IF($J$4="x",IFERROR(SMALL($O$11:$O$26,62),0),IF($J$5="x",IFERROR(SMALL($O$11:$O$42,62),0),IF($J$6="x",IFERROR(SMALL($O$11:$O$74,62),0),IF($J$7="x",IFERROR(SMALL($O$11:$O$138,62),0),IFERROR(SMALL($O$11:$O$266,62),0)))))))</f>
        <v>1.0101720000000001</v>
      </c>
      <c r="V72" s="20">
        <f t="shared" si="7"/>
        <v>62</v>
      </c>
      <c r="W72" s="20" t="str">
        <f t="shared" si="8"/>
        <v xml:space="preserve"> </v>
      </c>
      <c r="Y72" s="29">
        <v>62</v>
      </c>
      <c r="Z72" s="36" t="str">
        <f t="shared" si="9"/>
        <v xml:space="preserve"> </v>
      </c>
      <c r="AA72" s="35" t="str">
        <f>IFERROR(INDEX(#REF!,MATCH(AB72,#REF!,0))," ")</f>
        <v xml:space="preserve"> </v>
      </c>
      <c r="AB72" s="30">
        <f t="shared" si="10"/>
        <v>0</v>
      </c>
    </row>
    <row r="73" spans="1:28" x14ac:dyDescent="0.25">
      <c r="A73" s="38"/>
      <c r="B73" s="31" t="s">
        <v>97</v>
      </c>
      <c r="C73" s="32" t="str">
        <f>IF('Infos générales'!$E$2="x",IF(A73&gt;0,INDEX(DP!$A$10:$G$265,MATCH(A73,DP!$A$10:$A$265,0),6)," "),IF(A73&gt;0,INDEX(DP!$A$10:$G$265,MATCH(A73,DP!$A$10:$A$265,0),4)," "))</f>
        <v xml:space="preserve"> </v>
      </c>
      <c r="E73" s="39"/>
      <c r="F73" s="33" t="s">
        <v>34</v>
      </c>
      <c r="G73" s="40"/>
      <c r="H73" s="39"/>
      <c r="I73" s="33" t="s">
        <v>34</v>
      </c>
      <c r="J73" s="40"/>
      <c r="K73" s="39"/>
      <c r="L73" s="33" t="s">
        <v>34</v>
      </c>
      <c r="M73" s="40"/>
      <c r="N73" s="34">
        <f t="shared" si="0"/>
        <v>63</v>
      </c>
      <c r="O73" s="20">
        <f t="shared" si="1"/>
        <v>1.010173</v>
      </c>
      <c r="P73" s="20">
        <f t="shared" si="2"/>
        <v>63</v>
      </c>
      <c r="Q73" s="20" t="str">
        <f t="shared" si="3"/>
        <v xml:space="preserve"> </v>
      </c>
      <c r="R73" s="20">
        <f t="shared" si="4"/>
        <v>0</v>
      </c>
      <c r="S73" s="20">
        <f t="shared" si="5"/>
        <v>0</v>
      </c>
      <c r="T73" s="20">
        <f t="shared" si="6"/>
        <v>0</v>
      </c>
      <c r="U73" s="20">
        <f>IF($J$2="x",IFERROR(SMALL($O$11:$O$14,63),0),IF($J$3="x",IFERROR(SMALL($O$11:$O$18,63),0),IF($J$4="x",IFERROR(SMALL($O$11:$O$26,63),0),IF($J$5="x",IFERROR(SMALL($O$11:$O$42,63),0),IF($J$6="x",IFERROR(SMALL($O$11:$O$74,63),0),IF($J$7="x",IFERROR(SMALL($O$11:$O$138,63),0),IFERROR(SMALL($O$11:$O$266,63),0)))))))</f>
        <v>1.010173</v>
      </c>
      <c r="V73" s="20">
        <f t="shared" si="7"/>
        <v>63</v>
      </c>
      <c r="W73" s="20" t="str">
        <f t="shared" si="8"/>
        <v xml:space="preserve"> </v>
      </c>
      <c r="Y73" s="29">
        <v>63</v>
      </c>
      <c r="Z73" s="36" t="str">
        <f t="shared" si="9"/>
        <v xml:space="preserve"> </v>
      </c>
      <c r="AA73" s="35" t="str">
        <f>IFERROR(INDEX(#REF!,MATCH(AB73,#REF!,0))," ")</f>
        <v xml:space="preserve"> </v>
      </c>
      <c r="AB73" s="30">
        <f t="shared" si="10"/>
        <v>0</v>
      </c>
    </row>
    <row r="74" spans="1:28" x14ac:dyDescent="0.25">
      <c r="A74" s="38"/>
      <c r="B74" s="31" t="s">
        <v>98</v>
      </c>
      <c r="C74" s="32" t="str">
        <f>IF('Infos générales'!$E$2="x",IF(A74&gt;0,INDEX(DP!$A$10:$G$265,MATCH(A74,DP!$A$10:$A$265,0),6)," "),IF(A74&gt;0,INDEX(DP!$A$10:$G$265,MATCH(A74,DP!$A$10:$A$265,0),4)," "))</f>
        <v xml:space="preserve"> </v>
      </c>
      <c r="E74" s="39"/>
      <c r="F74" s="33" t="s">
        <v>34</v>
      </c>
      <c r="G74" s="40"/>
      <c r="H74" s="39"/>
      <c r="I74" s="33" t="s">
        <v>34</v>
      </c>
      <c r="J74" s="40"/>
      <c r="K74" s="39"/>
      <c r="L74" s="33" t="s">
        <v>34</v>
      </c>
      <c r="M74" s="40"/>
      <c r="N74" s="34">
        <f t="shared" si="0"/>
        <v>64</v>
      </c>
      <c r="O74" s="20">
        <f t="shared" si="1"/>
        <v>1.0101739999999999</v>
      </c>
      <c r="P74" s="20">
        <f t="shared" si="2"/>
        <v>64</v>
      </c>
      <c r="Q74" s="20" t="str">
        <f t="shared" si="3"/>
        <v xml:space="preserve"> </v>
      </c>
      <c r="R74" s="20">
        <f t="shared" si="4"/>
        <v>0</v>
      </c>
      <c r="S74" s="20">
        <f t="shared" si="5"/>
        <v>0</v>
      </c>
      <c r="T74" s="20">
        <f t="shared" si="6"/>
        <v>0</v>
      </c>
      <c r="U74" s="20">
        <f>IF($J$2="x",IFERROR(SMALL($O$11:$O$14,64),0),IF($J$3="x",IFERROR(SMALL($O$11:$O$18,64),0),IF($J$4="x",IFERROR(SMALL($O$11:$O$26,64),0),IF($J$5="x",IFERROR(SMALL($O$11:$O$42,64),0),IF($J$6="x",IFERROR(SMALL($O$11:$O$74,64),0),IF($J$7="x",IFERROR(SMALL($O$11:$O$138,64),0),IFERROR(SMALL($O$11:$O$266,64),0)))))))</f>
        <v>1.0101739999999999</v>
      </c>
      <c r="V74" s="20">
        <f t="shared" si="7"/>
        <v>64</v>
      </c>
      <c r="W74" s="20" t="str">
        <f t="shared" si="8"/>
        <v xml:space="preserve"> </v>
      </c>
      <c r="Y74" s="29">
        <v>64</v>
      </c>
      <c r="Z74" s="36" t="str">
        <f t="shared" si="9"/>
        <v xml:space="preserve"> </v>
      </c>
      <c r="AA74" s="35" t="str">
        <f>IFERROR(INDEX(#REF!,MATCH(AB74,#REF!,0))," ")</f>
        <v xml:space="preserve"> </v>
      </c>
      <c r="AB74" s="30">
        <f t="shared" si="10"/>
        <v>0</v>
      </c>
    </row>
    <row r="75" spans="1:28" x14ac:dyDescent="0.25">
      <c r="A75" s="38"/>
      <c r="B75" s="31" t="s">
        <v>99</v>
      </c>
      <c r="C75" s="32" t="str">
        <f>IF('Infos générales'!$E$2="x",IF(A75&gt;0,INDEX(DP!$A$10:$G$265,MATCH(A75,DP!$A$10:$A$265,0),6)," "),IF(A75&gt;0,INDEX(DP!$A$10:$G$265,MATCH(A75,DP!$A$10:$A$265,0),4)," "))</f>
        <v xml:space="preserve"> </v>
      </c>
      <c r="E75" s="39"/>
      <c r="F75" s="33" t="s">
        <v>34</v>
      </c>
      <c r="G75" s="40"/>
      <c r="H75" s="39"/>
      <c r="I75" s="33" t="s">
        <v>34</v>
      </c>
      <c r="J75" s="40"/>
      <c r="K75" s="39"/>
      <c r="L75" s="33" t="s">
        <v>34</v>
      </c>
      <c r="M75" s="40"/>
      <c r="N75" s="34">
        <f t="shared" ref="N75:N138" si="11">IF($J$2="x",IFERROR(IF(O75="","",RANK(O75,$O$11:$O$14,1)),0),IF($J$3="x",IFERROR(IF(O75="","",RANK(O75,$O$11:$O$18,1)),0),IF($J$4="x",IFERROR(IF(O75="","",RANK(O75,$O$11:$O$26,1)),0),IF($J$5="x",IFERROR(IF(O75="","",RANK(O75,$O$11:$O$42,1)),0),IF($J$6="x",IFERROR(IF(O75="","",RANK(O75,$O$11:$O$74,1)),0),IF($J$7="x",IFERROR(IF(O75="","",RANK(O75,$O$11:$O$138,1)),0),IFERROR(IF(O75="","",RANK(O75,$O$11:$O$266,1)),0)))))))</f>
        <v>65</v>
      </c>
      <c r="O75" s="20">
        <f t="shared" ref="O75:O138" si="12">IF($J$2="x",(IFERROR(IF(C75="","-",RANK(R75,$R$11:$R$14,0)+RANK(S75,$S$11:$S$14,0)%+RANK(T75,$T$11:$T$14,0)%%+ROW()%%%),"-")),IF($J$3="x",(IFERROR(IF(C75="","-",RANK(R75,$R$11:$R$18,0)+RANK(S75,$S$11:$S$18,0)%+RANK(T75,$T$11:$T$18,0)%%+ROW()%%%),"-")),IF($J$4="x",(IFERROR(IF(C75="","-",RANK(R75,$R$11:$R$26,0)+RANK(S75,$S$11:$S$26,0)%+RANK(T75,$T$11:$T$26,0)%%+ROW()%%%),"-")),IF($J$5="x",(IFERROR(IF(C75="","-",RANK(R75,$R$11:$R$42,0)+RANK(S75,$S$11:$S$42,0)%+RANK(T75,$T$11:$T$42,0)%%+ROW()%%%),"-")),IF($J$6="x",(IFERROR(IF(C75="","-",RANK(R75,$R$11:$R$74,0)+RANK(S75,$S$11:$S$74,0)%+RANK(T75,$T$11:$T$74,0)%%+ROW()%%%),"-")),IF($J$7="x",(IFERROR(IF(C75="","-",RANK(R75,$R$11:$R$138,0)+RANK(S75,$S$11:$S$138,0)%+RANK(T75,$T$11:$T$138,0)%%+ROW()%%%),"-")),(IFERROR(IF(C75="","-",RANK(R75,$R$11:$R$266,0)+RANK(S75,$S$11:$S$266,0)%+RANK(T75,$T$11:$T$266,0)%%+ROW()%%%),"-"))))))))</f>
        <v>1.010175</v>
      </c>
      <c r="P75" s="20">
        <f t="shared" ref="P75:P138" si="13">IF($J$2="x",IFERROR(IF(O75="","",RANK(O75,$O$11:$O$14,1)),"-"),IF($J$3="x",IFERROR(IF(O75="","",RANK(O75,$O$11:$O$18,1)),"-"),IF($J$4="x",IFERROR(IF(O75="","",RANK(O75,$O$11:$O$26,1)),"-"),IF($J$5="x",IFERROR(IF(O75="","",RANK(O75,$O$11:$O$42,1)),"-"),IF($J$6="x",IFERROR(IF(O75="","",RANK(O75,$O$11:$O$74,1)),"-"),IF($J$7="x",IFERROR(IF(O75="","",RANK(O75,$O$11:$O$138,1)),"-"),IFERROR(IF(O75="","",RANK(O75,$O$11:$O$266,1)),"-")))))))</f>
        <v>65</v>
      </c>
      <c r="Q75" s="20" t="str">
        <f t="shared" ref="Q75:Q138" si="14">C75</f>
        <v xml:space="preserve"> </v>
      </c>
      <c r="R75" s="20">
        <f t="shared" ref="R75:R138" si="15">SUM(E75-G75)</f>
        <v>0</v>
      </c>
      <c r="S75" s="20">
        <f t="shared" ref="S75:S138" si="16">SUM(H75-J75)</f>
        <v>0</v>
      </c>
      <c r="T75" s="20">
        <f t="shared" ref="T75:T138" si="17">SUM(K75-M75)</f>
        <v>0</v>
      </c>
      <c r="U75" s="20">
        <f>IF($J$2="x",IFERROR(SMALL($O$11:$O$14,65),0),IF($J$3="x",IFERROR(SMALL($O$11:$O$18,65),0),IF($J$4="x",IFERROR(SMALL($O$11:$O$26,65),0),IF($J$5="x",IFERROR(SMALL($O$11:$O$42,65),0),IF($J$6="x",IFERROR(SMALL($O$11:$O$74,65),0),IF($J$7="x",IFERROR(SMALL($O$11:$O$138,65),0),IFERROR(SMALL($O$11:$O$266,65),0)))))))</f>
        <v>1.010175</v>
      </c>
      <c r="V75" s="20">
        <f t="shared" ref="V75:V138" si="18">IF($J$2="x",IFERROR(IF(U75="","",RANK(U75,$U$11:$U$14,1)),0),IF($J$3="x",IFERROR(IF(U75="","",RANK(U75,$U$11:$U$18,1)),0),IF($J$4="x",IFERROR(IF(U75="","",RANK(U75,$U$11:$U$26,1)),0),IF($J$5="x",IFERROR(IF(U75="","",RANK(U75,$U$11:$U$42,1)),0),IF($J$6="x",IFERROR(IF(U75="","",RANK(U75,$U$11:$U$74,1)),0),IF($J$7="x",IFERROR(IF(U75="","",RANK(U75,$U$11:$U$138,1)),0),IFERROR(IF(U75="","",RANK(U75,$U$11:$U$266,1)),0)))))))</f>
        <v>65</v>
      </c>
      <c r="W75" s="20" t="str">
        <f t="shared" ref="W75:W138" si="19">IF($J$2="x",IFERROR(INDEX($Q$11:$Q$14,MATCH(U75,$O$11:$O$14,0),1),0),IF($J$3="x",IFERROR(INDEX($Q$11:$Q$18,MATCH(U75,$O$11:$O$18,0),1),0),IF($J$4="x",IFERROR(INDEX($Q$11:$Q$26,MATCH(U75,$O$11:$O$26,0),1),0),IF($J$5="x",IFERROR(INDEX($Q$11:$Q$42,MATCH(U75,$O$11:$O$42,0),1),0),IF($J$6="x",IFERROR(INDEX($Q$11:$Q$74,MATCH(U75,$O$11:$O$74,0),1),0),IF($J$7="x",IFERROR(INDEX($Q$11:$Q$138,MATCH(U75,$O$11:$O$138,0),1),0),IFERROR(INDEX($Q$11:$Q$266,MATCH(U75,$O$11:$O$266,0),1),0)))))))</f>
        <v xml:space="preserve"> </v>
      </c>
      <c r="Y75" s="29">
        <v>65</v>
      </c>
      <c r="Z75" s="36" t="str">
        <f t="shared" ref="Z75:Z138" si="20">W75</f>
        <v xml:space="preserve"> </v>
      </c>
      <c r="AA75" s="35" t="str">
        <f>IFERROR(INDEX(#REF!,MATCH(AB75,#REF!,0))," ")</f>
        <v xml:space="preserve"> </v>
      </c>
      <c r="AB75" s="30">
        <f t="shared" ref="AB75:AB138" si="21">IFERROR(INDEX($A$11:$A$266,MATCH(Z75,$C$11:$C$266,0)),0)</f>
        <v>0</v>
      </c>
    </row>
    <row r="76" spans="1:28" x14ac:dyDescent="0.25">
      <c r="A76" s="38"/>
      <c r="B76" s="31" t="s">
        <v>100</v>
      </c>
      <c r="C76" s="32" t="str">
        <f>IF('Infos générales'!$E$2="x",IF(A76&gt;0,INDEX(DP!$A$10:$G$265,MATCH(A76,DP!$A$10:$A$265,0),6)," "),IF(A76&gt;0,INDEX(DP!$A$10:$G$265,MATCH(A76,DP!$A$10:$A$265,0),4)," "))</f>
        <v xml:space="preserve"> </v>
      </c>
      <c r="E76" s="39"/>
      <c r="F76" s="33" t="s">
        <v>34</v>
      </c>
      <c r="G76" s="40"/>
      <c r="H76" s="39"/>
      <c r="I76" s="33" t="s">
        <v>34</v>
      </c>
      <c r="J76" s="40"/>
      <c r="K76" s="39"/>
      <c r="L76" s="33" t="s">
        <v>34</v>
      </c>
      <c r="M76" s="40"/>
      <c r="N76" s="34">
        <f t="shared" si="11"/>
        <v>66</v>
      </c>
      <c r="O76" s="20">
        <f t="shared" si="12"/>
        <v>1.010176</v>
      </c>
      <c r="P76" s="20">
        <f t="shared" si="13"/>
        <v>66</v>
      </c>
      <c r="Q76" s="20" t="str">
        <f t="shared" si="14"/>
        <v xml:space="preserve"> </v>
      </c>
      <c r="R76" s="20">
        <f t="shared" si="15"/>
        <v>0</v>
      </c>
      <c r="S76" s="20">
        <f t="shared" si="16"/>
        <v>0</v>
      </c>
      <c r="T76" s="20">
        <f t="shared" si="17"/>
        <v>0</v>
      </c>
      <c r="U76" s="20">
        <f>IF($J$2="x",IFERROR(SMALL($O$11:$O$14,66),0),IF($J$3="x",IFERROR(SMALL($O$11:$O$18,66),0),IF($J$4="x",IFERROR(SMALL($O$11:$O$26,66),0),IF($J$5="x",IFERROR(SMALL($O$11:$O$42,66),0),IF($J$6="x",IFERROR(SMALL($O$11:$O$74,66),0),IF($J$7="x",IFERROR(SMALL($O$11:$O$138,66),0),IFERROR(SMALL($O$11:$O$266,66),0)))))))</f>
        <v>1.010176</v>
      </c>
      <c r="V76" s="20">
        <f t="shared" si="18"/>
        <v>66</v>
      </c>
      <c r="W76" s="20" t="str">
        <f t="shared" si="19"/>
        <v xml:space="preserve"> </v>
      </c>
      <c r="Y76" s="29">
        <v>66</v>
      </c>
      <c r="Z76" s="36" t="str">
        <f t="shared" si="20"/>
        <v xml:space="preserve"> </v>
      </c>
      <c r="AA76" s="35" t="str">
        <f>IFERROR(INDEX(#REF!,MATCH(AB76,#REF!,0))," ")</f>
        <v xml:space="preserve"> </v>
      </c>
      <c r="AB76" s="30">
        <f t="shared" si="21"/>
        <v>0</v>
      </c>
    </row>
    <row r="77" spans="1:28" x14ac:dyDescent="0.25">
      <c r="A77" s="38"/>
      <c r="B77" s="31" t="s">
        <v>101</v>
      </c>
      <c r="C77" s="32" t="str">
        <f>IF('Infos générales'!$E$2="x",IF(A77&gt;0,INDEX(DP!$A$10:$G$265,MATCH(A77,DP!$A$10:$A$265,0),6)," "),IF(A77&gt;0,INDEX(DP!$A$10:$G$265,MATCH(A77,DP!$A$10:$A$265,0),4)," "))</f>
        <v xml:space="preserve"> </v>
      </c>
      <c r="E77" s="39"/>
      <c r="F77" s="33" t="s">
        <v>34</v>
      </c>
      <c r="G77" s="40"/>
      <c r="H77" s="39"/>
      <c r="I77" s="33" t="s">
        <v>34</v>
      </c>
      <c r="J77" s="40"/>
      <c r="K77" s="39"/>
      <c r="L77" s="33" t="s">
        <v>34</v>
      </c>
      <c r="M77" s="40"/>
      <c r="N77" s="34">
        <f t="shared" si="11"/>
        <v>67</v>
      </c>
      <c r="O77" s="20">
        <f t="shared" si="12"/>
        <v>1.0101770000000001</v>
      </c>
      <c r="P77" s="20">
        <f t="shared" si="13"/>
        <v>67</v>
      </c>
      <c r="Q77" s="20" t="str">
        <f t="shared" si="14"/>
        <v xml:space="preserve"> </v>
      </c>
      <c r="R77" s="20">
        <f t="shared" si="15"/>
        <v>0</v>
      </c>
      <c r="S77" s="20">
        <f t="shared" si="16"/>
        <v>0</v>
      </c>
      <c r="T77" s="20">
        <f t="shared" si="17"/>
        <v>0</v>
      </c>
      <c r="U77" s="20">
        <f>IF($J$2="x",IFERROR(SMALL($O$11:$O$14,67),0),IF($J$3="x",IFERROR(SMALL($O$11:$O$18,67),0),IF($J$4="x",IFERROR(SMALL($O$11:$O$26,67),0),IF($J$5="x",IFERROR(SMALL($O$11:$O$42,67),0),IF($J$6="x",IFERROR(SMALL($O$11:$O$74,67),0),IF($J$7="x",IFERROR(SMALL($O$11:$O$138,67),0),IFERROR(SMALL($O$11:$O$266,67),0)))))))</f>
        <v>1.0101770000000001</v>
      </c>
      <c r="V77" s="20">
        <f t="shared" si="18"/>
        <v>67</v>
      </c>
      <c r="W77" s="20" t="str">
        <f t="shared" si="19"/>
        <v xml:space="preserve"> </v>
      </c>
      <c r="Y77" s="29">
        <v>67</v>
      </c>
      <c r="Z77" s="36" t="str">
        <f t="shared" si="20"/>
        <v xml:space="preserve"> </v>
      </c>
      <c r="AA77" s="35" t="str">
        <f>IFERROR(INDEX(#REF!,MATCH(AB77,#REF!,0))," ")</f>
        <v xml:space="preserve"> </v>
      </c>
      <c r="AB77" s="30">
        <f t="shared" si="21"/>
        <v>0</v>
      </c>
    </row>
    <row r="78" spans="1:28" x14ac:dyDescent="0.25">
      <c r="A78" s="38"/>
      <c r="B78" s="31" t="s">
        <v>102</v>
      </c>
      <c r="C78" s="32" t="str">
        <f>IF('Infos générales'!$E$2="x",IF(A78&gt;0,INDEX(DP!$A$10:$G$265,MATCH(A78,DP!$A$10:$A$265,0),6)," "),IF(A78&gt;0,INDEX(DP!$A$10:$G$265,MATCH(A78,DP!$A$10:$A$265,0),4)," "))</f>
        <v xml:space="preserve"> </v>
      </c>
      <c r="E78" s="39"/>
      <c r="F78" s="33" t="s">
        <v>34</v>
      </c>
      <c r="G78" s="40"/>
      <c r="H78" s="39"/>
      <c r="I78" s="33" t="s">
        <v>34</v>
      </c>
      <c r="J78" s="40"/>
      <c r="K78" s="39"/>
      <c r="L78" s="33" t="s">
        <v>34</v>
      </c>
      <c r="M78" s="40"/>
      <c r="N78" s="34">
        <f t="shared" si="11"/>
        <v>68</v>
      </c>
      <c r="O78" s="20">
        <f t="shared" si="12"/>
        <v>1.010178</v>
      </c>
      <c r="P78" s="20">
        <f t="shared" si="13"/>
        <v>68</v>
      </c>
      <c r="Q78" s="20" t="str">
        <f t="shared" si="14"/>
        <v xml:space="preserve"> </v>
      </c>
      <c r="R78" s="20">
        <f t="shared" si="15"/>
        <v>0</v>
      </c>
      <c r="S78" s="20">
        <f t="shared" si="16"/>
        <v>0</v>
      </c>
      <c r="T78" s="20">
        <f t="shared" si="17"/>
        <v>0</v>
      </c>
      <c r="U78" s="20">
        <f>IF($J$2="x",IFERROR(SMALL($O$11:$O$14,68),0),IF($J$3="x",IFERROR(SMALL($O$11:$O$18,68),0),IF($J$4="x",IFERROR(SMALL($O$11:$O$26,68),0),IF($J$5="x",IFERROR(SMALL($O$11:$O$42,68),0),IF($J$6="x",IFERROR(SMALL($O$11:$O$74,68),0),IF($J$7="x",IFERROR(SMALL($O$11:$O$138,68),0),IFERROR(SMALL($O$11:$O$266,68),0)))))))</f>
        <v>1.010178</v>
      </c>
      <c r="V78" s="20">
        <f t="shared" si="18"/>
        <v>68</v>
      </c>
      <c r="W78" s="20" t="str">
        <f t="shared" si="19"/>
        <v xml:space="preserve"> </v>
      </c>
      <c r="Y78" s="29">
        <v>68</v>
      </c>
      <c r="Z78" s="36" t="str">
        <f t="shared" si="20"/>
        <v xml:space="preserve"> </v>
      </c>
      <c r="AA78" s="35" t="str">
        <f>IFERROR(INDEX(#REF!,MATCH(AB78,#REF!,0))," ")</f>
        <v xml:space="preserve"> </v>
      </c>
      <c r="AB78" s="30">
        <f t="shared" si="21"/>
        <v>0</v>
      </c>
    </row>
    <row r="79" spans="1:28" x14ac:dyDescent="0.25">
      <c r="A79" s="38"/>
      <c r="B79" s="31" t="s">
        <v>103</v>
      </c>
      <c r="C79" s="32" t="str">
        <f>IF('Infos générales'!$E$2="x",IF(A79&gt;0,INDEX(DP!$A$10:$G$265,MATCH(A79,DP!$A$10:$A$265,0),6)," "),IF(A79&gt;0,INDEX(DP!$A$10:$G$265,MATCH(A79,DP!$A$10:$A$265,0),4)," "))</f>
        <v xml:space="preserve"> </v>
      </c>
      <c r="E79" s="39"/>
      <c r="F79" s="33" t="s">
        <v>34</v>
      </c>
      <c r="G79" s="40"/>
      <c r="H79" s="39"/>
      <c r="I79" s="33" t="s">
        <v>34</v>
      </c>
      <c r="J79" s="40"/>
      <c r="K79" s="39"/>
      <c r="L79" s="33" t="s">
        <v>34</v>
      </c>
      <c r="M79" s="40"/>
      <c r="N79" s="34">
        <f t="shared" si="11"/>
        <v>69</v>
      </c>
      <c r="O79" s="20">
        <f t="shared" si="12"/>
        <v>1.0101789999999999</v>
      </c>
      <c r="P79" s="20">
        <f t="shared" si="13"/>
        <v>69</v>
      </c>
      <c r="Q79" s="20" t="str">
        <f t="shared" si="14"/>
        <v xml:space="preserve"> </v>
      </c>
      <c r="R79" s="20">
        <f t="shared" si="15"/>
        <v>0</v>
      </c>
      <c r="S79" s="20">
        <f t="shared" si="16"/>
        <v>0</v>
      </c>
      <c r="T79" s="20">
        <f t="shared" si="17"/>
        <v>0</v>
      </c>
      <c r="U79" s="20">
        <f>IF($J$2="x",IFERROR(SMALL($O$11:$O$14,69),0),IF($J$3="x",IFERROR(SMALL($O$11:$O$18,69),0),IF($J$4="x",IFERROR(SMALL($O$11:$O$26,69),0),IF($J$5="x",IFERROR(SMALL($O$11:$O$42,69),0),IF($J$6="x",IFERROR(SMALL($O$11:$O$74,69),0),IF($J$7="x",IFERROR(SMALL($O$11:$O$138,69),0),IFERROR(SMALL($O$11:$O$266,69),0)))))))</f>
        <v>1.0101789999999999</v>
      </c>
      <c r="V79" s="20">
        <f t="shared" si="18"/>
        <v>69</v>
      </c>
      <c r="W79" s="20" t="str">
        <f t="shared" si="19"/>
        <v xml:space="preserve"> </v>
      </c>
      <c r="Y79" s="29">
        <v>69</v>
      </c>
      <c r="Z79" s="36" t="str">
        <f t="shared" si="20"/>
        <v xml:space="preserve"> </v>
      </c>
      <c r="AA79" s="35" t="str">
        <f>IFERROR(INDEX(#REF!,MATCH(AB79,#REF!,0))," ")</f>
        <v xml:space="preserve"> </v>
      </c>
      <c r="AB79" s="30">
        <f t="shared" si="21"/>
        <v>0</v>
      </c>
    </row>
    <row r="80" spans="1:28" x14ac:dyDescent="0.25">
      <c r="A80" s="38"/>
      <c r="B80" s="31" t="s">
        <v>104</v>
      </c>
      <c r="C80" s="32" t="str">
        <f>IF('Infos générales'!$E$2="x",IF(A80&gt;0,INDEX(DP!$A$10:$G$265,MATCH(A80,DP!$A$10:$A$265,0),6)," "),IF(A80&gt;0,INDEX(DP!$A$10:$G$265,MATCH(A80,DP!$A$10:$A$265,0),4)," "))</f>
        <v xml:space="preserve"> </v>
      </c>
      <c r="E80" s="39"/>
      <c r="F80" s="33" t="s">
        <v>34</v>
      </c>
      <c r="G80" s="40"/>
      <c r="H80" s="39"/>
      <c r="I80" s="33" t="s">
        <v>34</v>
      </c>
      <c r="J80" s="40"/>
      <c r="K80" s="39"/>
      <c r="L80" s="33" t="s">
        <v>34</v>
      </c>
      <c r="M80" s="40"/>
      <c r="N80" s="34">
        <f t="shared" si="11"/>
        <v>70</v>
      </c>
      <c r="O80" s="20">
        <f t="shared" si="12"/>
        <v>1.0101800000000001</v>
      </c>
      <c r="P80" s="20">
        <f t="shared" si="13"/>
        <v>70</v>
      </c>
      <c r="Q80" s="20" t="str">
        <f t="shared" si="14"/>
        <v xml:space="preserve"> </v>
      </c>
      <c r="R80" s="20">
        <f t="shared" si="15"/>
        <v>0</v>
      </c>
      <c r="S80" s="20">
        <f t="shared" si="16"/>
        <v>0</v>
      </c>
      <c r="T80" s="20">
        <f t="shared" si="17"/>
        <v>0</v>
      </c>
      <c r="U80" s="20">
        <f>IF($J$2="x",IFERROR(SMALL($O$11:$O$14,70),0),IF($J$3="x",IFERROR(SMALL($O$11:$O$18,70),0),IF($J$4="x",IFERROR(SMALL($O$11:$O$26,70),0),IF($J$5="x",IFERROR(SMALL($O$11:$O$42,70),0),IF($J$6="x",IFERROR(SMALL($O$11:$O$74,70),0),IF($J$7="x",IFERROR(SMALL($O$11:$O$138,70),0),IFERROR(SMALL($O$11:$O$266,70),0)))))))</f>
        <v>1.0101800000000001</v>
      </c>
      <c r="V80" s="20">
        <f t="shared" si="18"/>
        <v>70</v>
      </c>
      <c r="W80" s="20" t="str">
        <f t="shared" si="19"/>
        <v xml:space="preserve"> </v>
      </c>
      <c r="Y80" s="29">
        <v>70</v>
      </c>
      <c r="Z80" s="36" t="str">
        <f t="shared" si="20"/>
        <v xml:space="preserve"> </v>
      </c>
      <c r="AA80" s="35" t="str">
        <f>IFERROR(INDEX(#REF!,MATCH(AB80,#REF!,0))," ")</f>
        <v xml:space="preserve"> </v>
      </c>
      <c r="AB80" s="30">
        <f t="shared" si="21"/>
        <v>0</v>
      </c>
    </row>
    <row r="81" spans="1:28" x14ac:dyDescent="0.25">
      <c r="A81" s="38"/>
      <c r="B81" s="31" t="s">
        <v>105</v>
      </c>
      <c r="C81" s="32" t="str">
        <f>IF('Infos générales'!$E$2="x",IF(A81&gt;0,INDEX(DP!$A$10:$G$265,MATCH(A81,DP!$A$10:$A$265,0),6)," "),IF(A81&gt;0,INDEX(DP!$A$10:$G$265,MATCH(A81,DP!$A$10:$A$265,0),4)," "))</f>
        <v xml:space="preserve"> </v>
      </c>
      <c r="E81" s="39"/>
      <c r="F81" s="33" t="s">
        <v>34</v>
      </c>
      <c r="G81" s="40"/>
      <c r="H81" s="39"/>
      <c r="I81" s="33" t="s">
        <v>34</v>
      </c>
      <c r="J81" s="40"/>
      <c r="K81" s="39"/>
      <c r="L81" s="33" t="s">
        <v>34</v>
      </c>
      <c r="M81" s="40"/>
      <c r="N81" s="34">
        <f t="shared" si="11"/>
        <v>71</v>
      </c>
      <c r="O81" s="20">
        <f t="shared" si="12"/>
        <v>1.010181</v>
      </c>
      <c r="P81" s="20">
        <f t="shared" si="13"/>
        <v>71</v>
      </c>
      <c r="Q81" s="20" t="str">
        <f t="shared" si="14"/>
        <v xml:space="preserve"> </v>
      </c>
      <c r="R81" s="20">
        <f t="shared" si="15"/>
        <v>0</v>
      </c>
      <c r="S81" s="20">
        <f t="shared" si="16"/>
        <v>0</v>
      </c>
      <c r="T81" s="20">
        <f t="shared" si="17"/>
        <v>0</v>
      </c>
      <c r="U81" s="20">
        <f>IF($J$2="x",IFERROR(SMALL($O$11:$O$14,71),0),IF($J$3="x",IFERROR(SMALL($O$11:$O$18,71),0),IF($J$4="x",IFERROR(SMALL($O$11:$O$26,71),0),IF($J$5="x",IFERROR(SMALL($O$11:$O$42,71),0),IF($J$6="x",IFERROR(SMALL($O$11:$O$74,71),0),IF($J$7="x",IFERROR(SMALL($O$11:$O$138,71),0),IFERROR(SMALL($O$11:$O$266,71),0)))))))</f>
        <v>1.010181</v>
      </c>
      <c r="V81" s="20">
        <f t="shared" si="18"/>
        <v>71</v>
      </c>
      <c r="W81" s="20" t="str">
        <f t="shared" si="19"/>
        <v xml:space="preserve"> </v>
      </c>
      <c r="Y81" s="29">
        <v>71</v>
      </c>
      <c r="Z81" s="36" t="str">
        <f t="shared" si="20"/>
        <v xml:space="preserve"> </v>
      </c>
      <c r="AA81" s="35" t="str">
        <f>IFERROR(INDEX(#REF!,MATCH(AB81,#REF!,0))," ")</f>
        <v xml:space="preserve"> </v>
      </c>
      <c r="AB81" s="30">
        <f t="shared" si="21"/>
        <v>0</v>
      </c>
    </row>
    <row r="82" spans="1:28" x14ac:dyDescent="0.25">
      <c r="A82" s="38"/>
      <c r="B82" s="31" t="s">
        <v>106</v>
      </c>
      <c r="C82" s="32" t="str">
        <f>IF('Infos générales'!$E$2="x",IF(A82&gt;0,INDEX(DP!$A$10:$G$265,MATCH(A82,DP!$A$10:$A$265,0),6)," "),IF(A82&gt;0,INDEX(DP!$A$10:$G$265,MATCH(A82,DP!$A$10:$A$265,0),4)," "))</f>
        <v xml:space="preserve"> </v>
      </c>
      <c r="E82" s="39"/>
      <c r="F82" s="33" t="s">
        <v>34</v>
      </c>
      <c r="G82" s="40"/>
      <c r="H82" s="39"/>
      <c r="I82" s="33" t="s">
        <v>34</v>
      </c>
      <c r="J82" s="40"/>
      <c r="K82" s="39"/>
      <c r="L82" s="33" t="s">
        <v>34</v>
      </c>
      <c r="M82" s="40"/>
      <c r="N82" s="34">
        <f t="shared" si="11"/>
        <v>72</v>
      </c>
      <c r="O82" s="20">
        <f t="shared" si="12"/>
        <v>1.0101819999999999</v>
      </c>
      <c r="P82" s="20">
        <f t="shared" si="13"/>
        <v>72</v>
      </c>
      <c r="Q82" s="20" t="str">
        <f t="shared" si="14"/>
        <v xml:space="preserve"> </v>
      </c>
      <c r="R82" s="20">
        <f t="shared" si="15"/>
        <v>0</v>
      </c>
      <c r="S82" s="20">
        <f t="shared" si="16"/>
        <v>0</v>
      </c>
      <c r="T82" s="20">
        <f t="shared" si="17"/>
        <v>0</v>
      </c>
      <c r="U82" s="20">
        <f>IF($J$2="x",IFERROR(SMALL($O$11:$O$14,72),0),IF($J$3="x",IFERROR(SMALL($O$11:$O$18,72),0),IF($J$4="x",IFERROR(SMALL($O$11:$O$26,72),0),IF($J$5="x",IFERROR(SMALL($O$11:$O$42,72),0),IF($J$6="x",IFERROR(SMALL($O$11:$O$74,72),0),IF($J$7="x",IFERROR(SMALL($O$11:$O$138,72),0),IFERROR(SMALL($O$11:$O$266,72),0)))))))</f>
        <v>1.0101819999999999</v>
      </c>
      <c r="V82" s="20">
        <f t="shared" si="18"/>
        <v>72</v>
      </c>
      <c r="W82" s="20" t="str">
        <f t="shared" si="19"/>
        <v xml:space="preserve"> </v>
      </c>
      <c r="Y82" s="29">
        <v>72</v>
      </c>
      <c r="Z82" s="36" t="str">
        <f t="shared" si="20"/>
        <v xml:space="preserve"> </v>
      </c>
      <c r="AA82" s="35" t="str">
        <f>IFERROR(INDEX(#REF!,MATCH(AB82,#REF!,0))," ")</f>
        <v xml:space="preserve"> </v>
      </c>
      <c r="AB82" s="30">
        <f t="shared" si="21"/>
        <v>0</v>
      </c>
    </row>
    <row r="83" spans="1:28" x14ac:dyDescent="0.25">
      <c r="A83" s="38"/>
      <c r="B83" s="31" t="s">
        <v>107</v>
      </c>
      <c r="C83" s="32" t="str">
        <f>IF('Infos générales'!$E$2="x",IF(A83&gt;0,INDEX(DP!$A$10:$G$265,MATCH(A83,DP!$A$10:$A$265,0),6)," "),IF(A83&gt;0,INDEX(DP!$A$10:$G$265,MATCH(A83,DP!$A$10:$A$265,0),4)," "))</f>
        <v xml:space="preserve"> </v>
      </c>
      <c r="E83" s="39"/>
      <c r="F83" s="33" t="s">
        <v>34</v>
      </c>
      <c r="G83" s="40"/>
      <c r="H83" s="39"/>
      <c r="I83" s="33" t="s">
        <v>34</v>
      </c>
      <c r="J83" s="40"/>
      <c r="K83" s="39"/>
      <c r="L83" s="33" t="s">
        <v>34</v>
      </c>
      <c r="M83" s="40"/>
      <c r="N83" s="34">
        <f t="shared" si="11"/>
        <v>73</v>
      </c>
      <c r="O83" s="20">
        <f t="shared" si="12"/>
        <v>1.0101830000000001</v>
      </c>
      <c r="P83" s="20">
        <f t="shared" si="13"/>
        <v>73</v>
      </c>
      <c r="Q83" s="20" t="str">
        <f t="shared" si="14"/>
        <v xml:space="preserve"> </v>
      </c>
      <c r="R83" s="20">
        <f t="shared" si="15"/>
        <v>0</v>
      </c>
      <c r="S83" s="20">
        <f t="shared" si="16"/>
        <v>0</v>
      </c>
      <c r="T83" s="20">
        <f t="shared" si="17"/>
        <v>0</v>
      </c>
      <c r="U83" s="20">
        <f>IF($J$2="x",IFERROR(SMALL($O$11:$O$14,73),0),IF($J$3="x",IFERROR(SMALL($O$11:$O$18,73),0),IF($J$4="x",IFERROR(SMALL($O$11:$O$26,73),0),IF($J$5="x",IFERROR(SMALL($O$11:$O$42,73),0),IF($J$6="x",IFERROR(SMALL($O$11:$O$74,73),0),IF($J$7="x",IFERROR(SMALL($O$11:$O$138,73),0),IFERROR(SMALL($O$11:$O$266,73),0)))))))</f>
        <v>1.0101830000000001</v>
      </c>
      <c r="V83" s="20">
        <f t="shared" si="18"/>
        <v>73</v>
      </c>
      <c r="W83" s="20" t="str">
        <f t="shared" si="19"/>
        <v xml:space="preserve"> </v>
      </c>
      <c r="Y83" s="29">
        <v>73</v>
      </c>
      <c r="Z83" s="36" t="str">
        <f t="shared" si="20"/>
        <v xml:space="preserve"> </v>
      </c>
      <c r="AA83" s="35" t="str">
        <f>IFERROR(INDEX(#REF!,MATCH(AB83,#REF!,0))," ")</f>
        <v xml:space="preserve"> </v>
      </c>
      <c r="AB83" s="30">
        <f t="shared" si="21"/>
        <v>0</v>
      </c>
    </row>
    <row r="84" spans="1:28" x14ac:dyDescent="0.25">
      <c r="A84" s="38"/>
      <c r="B84" s="31" t="s">
        <v>108</v>
      </c>
      <c r="C84" s="32" t="str">
        <f>IF('Infos générales'!$E$2="x",IF(A84&gt;0,INDEX(DP!$A$10:$G$265,MATCH(A84,DP!$A$10:$A$265,0),6)," "),IF(A84&gt;0,INDEX(DP!$A$10:$G$265,MATCH(A84,DP!$A$10:$A$265,0),4)," "))</f>
        <v xml:space="preserve"> </v>
      </c>
      <c r="E84" s="39"/>
      <c r="F84" s="33" t="s">
        <v>34</v>
      </c>
      <c r="G84" s="40"/>
      <c r="H84" s="39"/>
      <c r="I84" s="33" t="s">
        <v>34</v>
      </c>
      <c r="J84" s="40"/>
      <c r="K84" s="39"/>
      <c r="L84" s="33" t="s">
        <v>34</v>
      </c>
      <c r="M84" s="40"/>
      <c r="N84" s="34">
        <f t="shared" si="11"/>
        <v>74</v>
      </c>
      <c r="O84" s="20">
        <f t="shared" si="12"/>
        <v>1.010184</v>
      </c>
      <c r="P84" s="20">
        <f t="shared" si="13"/>
        <v>74</v>
      </c>
      <c r="Q84" s="20" t="str">
        <f t="shared" si="14"/>
        <v xml:space="preserve"> </v>
      </c>
      <c r="R84" s="20">
        <f t="shared" si="15"/>
        <v>0</v>
      </c>
      <c r="S84" s="20">
        <f t="shared" si="16"/>
        <v>0</v>
      </c>
      <c r="T84" s="20">
        <f t="shared" si="17"/>
        <v>0</v>
      </c>
      <c r="U84" s="20">
        <f>IF($J$2="x",IFERROR(SMALL($O$11:$O$14,74),0),IF($J$3="x",IFERROR(SMALL($O$11:$O$18,74),0),IF($J$4="x",IFERROR(SMALL($O$11:$O$26,74),0),IF($J$5="x",IFERROR(SMALL($O$11:$O$42,74),0),IF($J$6="x",IFERROR(SMALL($O$11:$O$74,74),0),IF($J$7="x",IFERROR(SMALL($O$11:$O$138,74),0),IFERROR(SMALL($O$11:$O$266,74),0)))))))</f>
        <v>1.010184</v>
      </c>
      <c r="V84" s="20">
        <f t="shared" si="18"/>
        <v>74</v>
      </c>
      <c r="W84" s="20" t="str">
        <f t="shared" si="19"/>
        <v xml:space="preserve"> </v>
      </c>
      <c r="Y84" s="29">
        <v>74</v>
      </c>
      <c r="Z84" s="36" t="str">
        <f t="shared" si="20"/>
        <v xml:space="preserve"> </v>
      </c>
      <c r="AA84" s="35" t="str">
        <f>IFERROR(INDEX(#REF!,MATCH(AB84,#REF!,0))," ")</f>
        <v xml:space="preserve"> </v>
      </c>
      <c r="AB84" s="30">
        <f t="shared" si="21"/>
        <v>0</v>
      </c>
    </row>
    <row r="85" spans="1:28" x14ac:dyDescent="0.25">
      <c r="A85" s="38"/>
      <c r="B85" s="31" t="s">
        <v>109</v>
      </c>
      <c r="C85" s="32" t="str">
        <f>IF('Infos générales'!$E$2="x",IF(A85&gt;0,INDEX(DP!$A$10:$G$265,MATCH(A85,DP!$A$10:$A$265,0),6)," "),IF(A85&gt;0,INDEX(DP!$A$10:$G$265,MATCH(A85,DP!$A$10:$A$265,0),4)," "))</f>
        <v xml:space="preserve"> </v>
      </c>
      <c r="E85" s="39"/>
      <c r="F85" s="33" t="s">
        <v>34</v>
      </c>
      <c r="G85" s="40"/>
      <c r="H85" s="39"/>
      <c r="I85" s="33" t="s">
        <v>34</v>
      </c>
      <c r="J85" s="40"/>
      <c r="K85" s="39"/>
      <c r="L85" s="33" t="s">
        <v>34</v>
      </c>
      <c r="M85" s="40"/>
      <c r="N85" s="34">
        <f t="shared" si="11"/>
        <v>75</v>
      </c>
      <c r="O85" s="20">
        <f t="shared" si="12"/>
        <v>1.0101849999999999</v>
      </c>
      <c r="P85" s="20">
        <f t="shared" si="13"/>
        <v>75</v>
      </c>
      <c r="Q85" s="20" t="str">
        <f t="shared" si="14"/>
        <v xml:space="preserve"> </v>
      </c>
      <c r="R85" s="20">
        <f t="shared" si="15"/>
        <v>0</v>
      </c>
      <c r="S85" s="20">
        <f t="shared" si="16"/>
        <v>0</v>
      </c>
      <c r="T85" s="20">
        <f t="shared" si="17"/>
        <v>0</v>
      </c>
      <c r="U85" s="20">
        <f>IF($J$2="x",IFERROR(SMALL($O$11:$O$14,75),0),IF($J$3="x",IFERROR(SMALL($O$11:$O$18,75),0),IF($J$4="x",IFERROR(SMALL($O$11:$O$26,75),0),IF($J$5="x",IFERROR(SMALL($O$11:$O$42,75),0),IF($J$6="x",IFERROR(SMALL($O$11:$O$74,75),0),IF($J$7="x",IFERROR(SMALL($O$11:$O$138,75),0),IFERROR(SMALL($O$11:$O$266,75),0)))))))</f>
        <v>1.0101849999999999</v>
      </c>
      <c r="V85" s="20">
        <f t="shared" si="18"/>
        <v>75</v>
      </c>
      <c r="W85" s="20" t="str">
        <f t="shared" si="19"/>
        <v xml:space="preserve"> </v>
      </c>
      <c r="Y85" s="29">
        <v>75</v>
      </c>
      <c r="Z85" s="36" t="str">
        <f t="shared" si="20"/>
        <v xml:space="preserve"> </v>
      </c>
      <c r="AA85" s="35" t="str">
        <f>IFERROR(INDEX(#REF!,MATCH(AB85,#REF!,0))," ")</f>
        <v xml:space="preserve"> </v>
      </c>
      <c r="AB85" s="30">
        <f t="shared" si="21"/>
        <v>0</v>
      </c>
    </row>
    <row r="86" spans="1:28" x14ac:dyDescent="0.25">
      <c r="A86" s="38"/>
      <c r="B86" s="31" t="s">
        <v>110</v>
      </c>
      <c r="C86" s="32" t="str">
        <f>IF('Infos générales'!$E$2="x",IF(A86&gt;0,INDEX(DP!$A$10:$G$265,MATCH(A86,DP!$A$10:$A$265,0),6)," "),IF(A86&gt;0,INDEX(DP!$A$10:$G$265,MATCH(A86,DP!$A$10:$A$265,0),4)," "))</f>
        <v xml:space="preserve"> </v>
      </c>
      <c r="E86" s="39"/>
      <c r="F86" s="33" t="s">
        <v>34</v>
      </c>
      <c r="G86" s="40"/>
      <c r="H86" s="39"/>
      <c r="I86" s="33" t="s">
        <v>34</v>
      </c>
      <c r="J86" s="40"/>
      <c r="K86" s="39"/>
      <c r="L86" s="33" t="s">
        <v>34</v>
      </c>
      <c r="M86" s="40"/>
      <c r="N86" s="34">
        <f t="shared" si="11"/>
        <v>76</v>
      </c>
      <c r="O86" s="20">
        <f t="shared" si="12"/>
        <v>1.010186</v>
      </c>
      <c r="P86" s="20">
        <f t="shared" si="13"/>
        <v>76</v>
      </c>
      <c r="Q86" s="20" t="str">
        <f t="shared" si="14"/>
        <v xml:space="preserve"> </v>
      </c>
      <c r="R86" s="20">
        <f t="shared" si="15"/>
        <v>0</v>
      </c>
      <c r="S86" s="20">
        <f t="shared" si="16"/>
        <v>0</v>
      </c>
      <c r="T86" s="20">
        <f t="shared" si="17"/>
        <v>0</v>
      </c>
      <c r="U86" s="20">
        <f>IF($J$2="x",IFERROR(SMALL($O$11:$O$14,76),0),IF($J$3="x",IFERROR(SMALL($O$11:$O$18,76),0),IF($J$4="x",IFERROR(SMALL($O$11:$O$26,76),0),IF($J$5="x",IFERROR(SMALL($O$11:$O$42,76),0),IF($J$6="x",IFERROR(SMALL($O$11:$O$74,76),0),IF($J$7="x",IFERROR(SMALL($O$11:$O$138,76),0),IFERROR(SMALL($O$11:$O$266,76),0)))))))</f>
        <v>1.010186</v>
      </c>
      <c r="V86" s="20">
        <f t="shared" si="18"/>
        <v>76</v>
      </c>
      <c r="W86" s="20" t="str">
        <f t="shared" si="19"/>
        <v xml:space="preserve"> </v>
      </c>
      <c r="Y86" s="29">
        <v>76</v>
      </c>
      <c r="Z86" s="36" t="str">
        <f t="shared" si="20"/>
        <v xml:space="preserve"> </v>
      </c>
      <c r="AA86" s="35" t="str">
        <f>IFERROR(INDEX(#REF!,MATCH(AB86,#REF!,0))," ")</f>
        <v xml:space="preserve"> </v>
      </c>
      <c r="AB86" s="30">
        <f t="shared" si="21"/>
        <v>0</v>
      </c>
    </row>
    <row r="87" spans="1:28" x14ac:dyDescent="0.25">
      <c r="A87" s="38"/>
      <c r="B87" s="31" t="s">
        <v>111</v>
      </c>
      <c r="C87" s="32" t="str">
        <f>IF('Infos générales'!$E$2="x",IF(A87&gt;0,INDEX(DP!$A$10:$G$265,MATCH(A87,DP!$A$10:$A$265,0),6)," "),IF(A87&gt;0,INDEX(DP!$A$10:$G$265,MATCH(A87,DP!$A$10:$A$265,0),4)," "))</f>
        <v xml:space="preserve"> </v>
      </c>
      <c r="E87" s="39"/>
      <c r="F87" s="33" t="s">
        <v>34</v>
      </c>
      <c r="G87" s="40"/>
      <c r="H87" s="39"/>
      <c r="I87" s="33" t="s">
        <v>34</v>
      </c>
      <c r="J87" s="40"/>
      <c r="K87" s="39"/>
      <c r="L87" s="33" t="s">
        <v>34</v>
      </c>
      <c r="M87" s="40"/>
      <c r="N87" s="34">
        <f t="shared" si="11"/>
        <v>77</v>
      </c>
      <c r="O87" s="20">
        <f t="shared" si="12"/>
        <v>1.0101869999999999</v>
      </c>
      <c r="P87" s="20">
        <f t="shared" si="13"/>
        <v>77</v>
      </c>
      <c r="Q87" s="20" t="str">
        <f t="shared" si="14"/>
        <v xml:space="preserve"> </v>
      </c>
      <c r="R87" s="20">
        <f t="shared" si="15"/>
        <v>0</v>
      </c>
      <c r="S87" s="20">
        <f t="shared" si="16"/>
        <v>0</v>
      </c>
      <c r="T87" s="20">
        <f t="shared" si="17"/>
        <v>0</v>
      </c>
      <c r="U87" s="20">
        <f>IF($J$2="x",IFERROR(SMALL($O$11:$O$14,77),0),IF($J$3="x",IFERROR(SMALL($O$11:$O$18,77),0),IF($J$4="x",IFERROR(SMALL($O$11:$O$26,77),0),IF($J$5="x",IFERROR(SMALL($O$11:$O$42,77),0),IF($J$6="x",IFERROR(SMALL($O$11:$O$74,77),0),IF($J$7="x",IFERROR(SMALL($O$11:$O$138,77),0),IFERROR(SMALL($O$11:$O$266,77),0)))))))</f>
        <v>1.0101869999999999</v>
      </c>
      <c r="V87" s="20">
        <f t="shared" si="18"/>
        <v>77</v>
      </c>
      <c r="W87" s="20" t="str">
        <f t="shared" si="19"/>
        <v xml:space="preserve"> </v>
      </c>
      <c r="Y87" s="29">
        <v>77</v>
      </c>
      <c r="Z87" s="36" t="str">
        <f t="shared" si="20"/>
        <v xml:space="preserve"> </v>
      </c>
      <c r="AA87" s="35" t="str">
        <f>IFERROR(INDEX(#REF!,MATCH(AB87,#REF!,0))," ")</f>
        <v xml:space="preserve"> </v>
      </c>
      <c r="AB87" s="30">
        <f t="shared" si="21"/>
        <v>0</v>
      </c>
    </row>
    <row r="88" spans="1:28" x14ac:dyDescent="0.25">
      <c r="A88" s="38"/>
      <c r="B88" s="31" t="s">
        <v>112</v>
      </c>
      <c r="C88" s="32" t="str">
        <f>IF('Infos générales'!$E$2="x",IF(A88&gt;0,INDEX(DP!$A$10:$G$265,MATCH(A88,DP!$A$10:$A$265,0),6)," "),IF(A88&gt;0,INDEX(DP!$A$10:$G$265,MATCH(A88,DP!$A$10:$A$265,0),4)," "))</f>
        <v xml:space="preserve"> </v>
      </c>
      <c r="E88" s="39"/>
      <c r="F88" s="33" t="s">
        <v>34</v>
      </c>
      <c r="G88" s="40"/>
      <c r="H88" s="39"/>
      <c r="I88" s="33" t="s">
        <v>34</v>
      </c>
      <c r="J88" s="40"/>
      <c r="K88" s="39"/>
      <c r="L88" s="33" t="s">
        <v>34</v>
      </c>
      <c r="M88" s="40"/>
      <c r="N88" s="34">
        <f t="shared" si="11"/>
        <v>78</v>
      </c>
      <c r="O88" s="20">
        <f t="shared" si="12"/>
        <v>1.0101880000000001</v>
      </c>
      <c r="P88" s="20">
        <f t="shared" si="13"/>
        <v>78</v>
      </c>
      <c r="Q88" s="20" t="str">
        <f t="shared" si="14"/>
        <v xml:space="preserve"> </v>
      </c>
      <c r="R88" s="20">
        <f t="shared" si="15"/>
        <v>0</v>
      </c>
      <c r="S88" s="20">
        <f t="shared" si="16"/>
        <v>0</v>
      </c>
      <c r="T88" s="20">
        <f t="shared" si="17"/>
        <v>0</v>
      </c>
      <c r="U88" s="20">
        <f>IF($J$2="x",IFERROR(SMALL($O$11:$O$14,78),0),IF($J$3="x",IFERROR(SMALL($O$11:$O$18,78),0),IF($J$4="x",IFERROR(SMALL($O$11:$O$26,78),0),IF($J$5="x",IFERROR(SMALL($O$11:$O$42,78),0),IF($J$6="x",IFERROR(SMALL($O$11:$O$74,78),0),IF($J$7="x",IFERROR(SMALL($O$11:$O$138,78),0),IFERROR(SMALL($O$11:$O$266,78),0)))))))</f>
        <v>1.0101880000000001</v>
      </c>
      <c r="V88" s="20">
        <f t="shared" si="18"/>
        <v>78</v>
      </c>
      <c r="W88" s="20" t="str">
        <f t="shared" si="19"/>
        <v xml:space="preserve"> </v>
      </c>
      <c r="Y88" s="29">
        <v>78</v>
      </c>
      <c r="Z88" s="36" t="str">
        <f t="shared" si="20"/>
        <v xml:space="preserve"> </v>
      </c>
      <c r="AA88" s="35" t="str">
        <f>IFERROR(INDEX(#REF!,MATCH(AB88,#REF!,0))," ")</f>
        <v xml:space="preserve"> </v>
      </c>
      <c r="AB88" s="30">
        <f t="shared" si="21"/>
        <v>0</v>
      </c>
    </row>
    <row r="89" spans="1:28" x14ac:dyDescent="0.25">
      <c r="A89" s="38"/>
      <c r="B89" s="31" t="s">
        <v>113</v>
      </c>
      <c r="C89" s="32" t="str">
        <f>IF('Infos générales'!$E$2="x",IF(A89&gt;0,INDEX(DP!$A$10:$G$265,MATCH(A89,DP!$A$10:$A$265,0),6)," "),IF(A89&gt;0,INDEX(DP!$A$10:$G$265,MATCH(A89,DP!$A$10:$A$265,0),4)," "))</f>
        <v xml:space="preserve"> </v>
      </c>
      <c r="E89" s="39"/>
      <c r="F89" s="33" t="s">
        <v>34</v>
      </c>
      <c r="G89" s="40"/>
      <c r="H89" s="39"/>
      <c r="I89" s="33" t="s">
        <v>34</v>
      </c>
      <c r="J89" s="40"/>
      <c r="K89" s="39"/>
      <c r="L89" s="33" t="s">
        <v>34</v>
      </c>
      <c r="M89" s="40"/>
      <c r="N89" s="34">
        <f t="shared" si="11"/>
        <v>79</v>
      </c>
      <c r="O89" s="20">
        <f t="shared" si="12"/>
        <v>1.010189</v>
      </c>
      <c r="P89" s="20">
        <f t="shared" si="13"/>
        <v>79</v>
      </c>
      <c r="Q89" s="20" t="str">
        <f t="shared" si="14"/>
        <v xml:space="preserve"> </v>
      </c>
      <c r="R89" s="20">
        <f t="shared" si="15"/>
        <v>0</v>
      </c>
      <c r="S89" s="20">
        <f t="shared" si="16"/>
        <v>0</v>
      </c>
      <c r="T89" s="20">
        <f t="shared" si="17"/>
        <v>0</v>
      </c>
      <c r="U89" s="20">
        <f>IF($J$2="x",IFERROR(SMALL($O$11:$O$14,79),0),IF($J$3="x",IFERROR(SMALL($O$11:$O$18,79),0),IF($J$4="x",IFERROR(SMALL($O$11:$O$26,79),0),IF($J$5="x",IFERROR(SMALL($O$11:$O$42,79),0),IF($J$6="x",IFERROR(SMALL($O$11:$O$74,79),0),IF($J$7="x",IFERROR(SMALL($O$11:$O$138,79),0),IFERROR(SMALL($O$11:$O$266,79),0)))))))</f>
        <v>1.010189</v>
      </c>
      <c r="V89" s="20">
        <f t="shared" si="18"/>
        <v>79</v>
      </c>
      <c r="W89" s="20" t="str">
        <f t="shared" si="19"/>
        <v xml:space="preserve"> </v>
      </c>
      <c r="Y89" s="29">
        <v>79</v>
      </c>
      <c r="Z89" s="36" t="str">
        <f t="shared" si="20"/>
        <v xml:space="preserve"> </v>
      </c>
      <c r="AA89" s="35" t="str">
        <f>IFERROR(INDEX(#REF!,MATCH(AB89,#REF!,0))," ")</f>
        <v xml:space="preserve"> </v>
      </c>
      <c r="AB89" s="30">
        <f t="shared" si="21"/>
        <v>0</v>
      </c>
    </row>
    <row r="90" spans="1:28" x14ac:dyDescent="0.25">
      <c r="A90" s="38"/>
      <c r="B90" s="31" t="s">
        <v>114</v>
      </c>
      <c r="C90" s="32" t="str">
        <f>IF('Infos générales'!$E$2="x",IF(A90&gt;0,INDEX(DP!$A$10:$G$265,MATCH(A90,DP!$A$10:$A$265,0),6)," "),IF(A90&gt;0,INDEX(DP!$A$10:$G$265,MATCH(A90,DP!$A$10:$A$265,0),4)," "))</f>
        <v xml:space="preserve"> </v>
      </c>
      <c r="E90" s="39"/>
      <c r="F90" s="33" t="s">
        <v>34</v>
      </c>
      <c r="G90" s="40"/>
      <c r="H90" s="39"/>
      <c r="I90" s="33" t="s">
        <v>34</v>
      </c>
      <c r="J90" s="40"/>
      <c r="K90" s="39"/>
      <c r="L90" s="33" t="s">
        <v>34</v>
      </c>
      <c r="M90" s="40"/>
      <c r="N90" s="34">
        <f t="shared" si="11"/>
        <v>80</v>
      </c>
      <c r="O90" s="20">
        <f t="shared" si="12"/>
        <v>1.0101899999999999</v>
      </c>
      <c r="P90" s="20">
        <f t="shared" si="13"/>
        <v>80</v>
      </c>
      <c r="Q90" s="20" t="str">
        <f t="shared" si="14"/>
        <v xml:space="preserve"> </v>
      </c>
      <c r="R90" s="20">
        <f t="shared" si="15"/>
        <v>0</v>
      </c>
      <c r="S90" s="20">
        <f t="shared" si="16"/>
        <v>0</v>
      </c>
      <c r="T90" s="20">
        <f t="shared" si="17"/>
        <v>0</v>
      </c>
      <c r="U90" s="20">
        <f>IF($J$2="x",IFERROR(SMALL($O$11:$O$14,80),0),IF($J$3="x",IFERROR(SMALL($O$11:$O$18,80),0),IF($J$4="x",IFERROR(SMALL($O$11:$O$26,80),0),IF($J$5="x",IFERROR(SMALL($O$11:$O$42,80),0),IF($J$6="x",IFERROR(SMALL($O$11:$O$74,80),0),IF($J$7="x",IFERROR(SMALL($O$11:$O$138,80),0),IFERROR(SMALL($O$11:$O$266,80),0)))))))</f>
        <v>1.0101899999999999</v>
      </c>
      <c r="V90" s="20">
        <f t="shared" si="18"/>
        <v>80</v>
      </c>
      <c r="W90" s="20" t="str">
        <f t="shared" si="19"/>
        <v xml:space="preserve"> </v>
      </c>
      <c r="Y90" s="29">
        <v>80</v>
      </c>
      <c r="Z90" s="36" t="str">
        <f t="shared" si="20"/>
        <v xml:space="preserve"> </v>
      </c>
      <c r="AA90" s="35" t="str">
        <f>IFERROR(INDEX(#REF!,MATCH(AB90,#REF!,0))," ")</f>
        <v xml:space="preserve"> </v>
      </c>
      <c r="AB90" s="30">
        <f t="shared" si="21"/>
        <v>0</v>
      </c>
    </row>
    <row r="91" spans="1:28" x14ac:dyDescent="0.25">
      <c r="A91" s="38"/>
      <c r="B91" s="31" t="s">
        <v>115</v>
      </c>
      <c r="C91" s="32" t="str">
        <f>IF('Infos générales'!$E$2="x",IF(A91&gt;0,INDEX(DP!$A$10:$G$265,MATCH(A91,DP!$A$10:$A$265,0),6)," "),IF(A91&gt;0,INDEX(DP!$A$10:$G$265,MATCH(A91,DP!$A$10:$A$265,0),4)," "))</f>
        <v xml:space="preserve"> </v>
      </c>
      <c r="E91" s="39"/>
      <c r="F91" s="33" t="s">
        <v>34</v>
      </c>
      <c r="G91" s="40"/>
      <c r="H91" s="39"/>
      <c r="I91" s="33" t="s">
        <v>34</v>
      </c>
      <c r="J91" s="40"/>
      <c r="K91" s="39"/>
      <c r="L91" s="33" t="s">
        <v>34</v>
      </c>
      <c r="M91" s="40"/>
      <c r="N91" s="34">
        <f t="shared" si="11"/>
        <v>81</v>
      </c>
      <c r="O91" s="20">
        <f t="shared" si="12"/>
        <v>1.0101910000000001</v>
      </c>
      <c r="P91" s="20">
        <f t="shared" si="13"/>
        <v>81</v>
      </c>
      <c r="Q91" s="20" t="str">
        <f t="shared" si="14"/>
        <v xml:space="preserve"> </v>
      </c>
      <c r="R91" s="20">
        <f t="shared" si="15"/>
        <v>0</v>
      </c>
      <c r="S91" s="20">
        <f t="shared" si="16"/>
        <v>0</v>
      </c>
      <c r="T91" s="20">
        <f t="shared" si="17"/>
        <v>0</v>
      </c>
      <c r="U91" s="20">
        <f>IF($J$2="x",IFERROR(SMALL($O$11:$O$14,81),0),IF($J$3="x",IFERROR(SMALL($O$11:$O$18,81),0),IF($J$4="x",IFERROR(SMALL($O$11:$O$26,81),0),IF($J$5="x",IFERROR(SMALL($O$11:$O$42,81),0),IF($J$6="x",IFERROR(SMALL($O$11:$O$74,81),0),IF($J$7="x",IFERROR(SMALL($O$11:$O$138,81),0),IFERROR(SMALL($O$11:$O$266,81),0)))))))</f>
        <v>1.0101910000000001</v>
      </c>
      <c r="V91" s="20">
        <f t="shared" si="18"/>
        <v>81</v>
      </c>
      <c r="W91" s="20" t="str">
        <f t="shared" si="19"/>
        <v xml:space="preserve"> </v>
      </c>
      <c r="Y91" s="29">
        <v>81</v>
      </c>
      <c r="Z91" s="36" t="str">
        <f t="shared" si="20"/>
        <v xml:space="preserve"> </v>
      </c>
      <c r="AA91" s="35" t="str">
        <f>IFERROR(INDEX(#REF!,MATCH(AB91,#REF!,0))," ")</f>
        <v xml:space="preserve"> </v>
      </c>
      <c r="AB91" s="30">
        <f t="shared" si="21"/>
        <v>0</v>
      </c>
    </row>
    <row r="92" spans="1:28" x14ac:dyDescent="0.25">
      <c r="A92" s="38"/>
      <c r="B92" s="31" t="s">
        <v>116</v>
      </c>
      <c r="C92" s="32" t="str">
        <f>IF('Infos générales'!$E$2="x",IF(A92&gt;0,INDEX(DP!$A$10:$G$265,MATCH(A92,DP!$A$10:$A$265,0),6)," "),IF(A92&gt;0,INDEX(DP!$A$10:$G$265,MATCH(A92,DP!$A$10:$A$265,0),4)," "))</f>
        <v xml:space="preserve"> </v>
      </c>
      <c r="E92" s="39"/>
      <c r="F92" s="33" t="s">
        <v>34</v>
      </c>
      <c r="G92" s="40"/>
      <c r="H92" s="39"/>
      <c r="I92" s="33" t="s">
        <v>34</v>
      </c>
      <c r="J92" s="40"/>
      <c r="K92" s="39"/>
      <c r="L92" s="33" t="s">
        <v>34</v>
      </c>
      <c r="M92" s="40"/>
      <c r="N92" s="34">
        <f t="shared" si="11"/>
        <v>82</v>
      </c>
      <c r="O92" s="20">
        <f t="shared" si="12"/>
        <v>1.010192</v>
      </c>
      <c r="P92" s="20">
        <f t="shared" si="13"/>
        <v>82</v>
      </c>
      <c r="Q92" s="20" t="str">
        <f t="shared" si="14"/>
        <v xml:space="preserve"> </v>
      </c>
      <c r="R92" s="20">
        <f t="shared" si="15"/>
        <v>0</v>
      </c>
      <c r="S92" s="20">
        <f t="shared" si="16"/>
        <v>0</v>
      </c>
      <c r="T92" s="20">
        <f t="shared" si="17"/>
        <v>0</v>
      </c>
      <c r="U92" s="20">
        <f>IF($J$2="x",IFERROR(SMALL($O$11:$O$14,82),0),IF($J$3="x",IFERROR(SMALL($O$11:$O$18,82),0),IF($J$4="x",IFERROR(SMALL($O$11:$O$26,82),0),IF($J$5="x",IFERROR(SMALL($O$11:$O$42,82),0),IF($J$6="x",IFERROR(SMALL($O$11:$O$74,82),0),IF($J$7="x",IFERROR(SMALL($O$11:$O$138,82),0),IFERROR(SMALL($O$11:$O$266,82),0)))))))</f>
        <v>1.010192</v>
      </c>
      <c r="V92" s="20">
        <f t="shared" si="18"/>
        <v>82</v>
      </c>
      <c r="W92" s="20" t="str">
        <f t="shared" si="19"/>
        <v xml:space="preserve"> </v>
      </c>
      <c r="Y92" s="29">
        <v>82</v>
      </c>
      <c r="Z92" s="36" t="str">
        <f t="shared" si="20"/>
        <v xml:space="preserve"> </v>
      </c>
      <c r="AA92" s="35" t="str">
        <f>IFERROR(INDEX(#REF!,MATCH(AB92,#REF!,0))," ")</f>
        <v xml:space="preserve"> </v>
      </c>
      <c r="AB92" s="30">
        <f t="shared" si="21"/>
        <v>0</v>
      </c>
    </row>
    <row r="93" spans="1:28" x14ac:dyDescent="0.25">
      <c r="A93" s="38"/>
      <c r="B93" s="31" t="s">
        <v>117</v>
      </c>
      <c r="C93" s="32" t="str">
        <f>IF('Infos générales'!$E$2="x",IF(A93&gt;0,INDEX(DP!$A$10:$G$265,MATCH(A93,DP!$A$10:$A$265,0),6)," "),IF(A93&gt;0,INDEX(DP!$A$10:$G$265,MATCH(A93,DP!$A$10:$A$265,0),4)," "))</f>
        <v xml:space="preserve"> </v>
      </c>
      <c r="E93" s="39"/>
      <c r="F93" s="33" t="s">
        <v>34</v>
      </c>
      <c r="G93" s="40"/>
      <c r="H93" s="39"/>
      <c r="I93" s="33" t="s">
        <v>34</v>
      </c>
      <c r="J93" s="40"/>
      <c r="K93" s="39"/>
      <c r="L93" s="33" t="s">
        <v>34</v>
      </c>
      <c r="M93" s="40"/>
      <c r="N93" s="34">
        <f t="shared" si="11"/>
        <v>83</v>
      </c>
      <c r="O93" s="20">
        <f t="shared" si="12"/>
        <v>1.0101929999999999</v>
      </c>
      <c r="P93" s="20">
        <f t="shared" si="13"/>
        <v>83</v>
      </c>
      <c r="Q93" s="20" t="str">
        <f t="shared" si="14"/>
        <v xml:space="preserve"> </v>
      </c>
      <c r="R93" s="20">
        <f t="shared" si="15"/>
        <v>0</v>
      </c>
      <c r="S93" s="20">
        <f t="shared" si="16"/>
        <v>0</v>
      </c>
      <c r="T93" s="20">
        <f t="shared" si="17"/>
        <v>0</v>
      </c>
      <c r="U93" s="20">
        <f>IF($J$2="x",IFERROR(SMALL($O$11:$O$14,83),0),IF($J$3="x",IFERROR(SMALL($O$11:$O$18,83),0),IF($J$4="x",IFERROR(SMALL($O$11:$O$26,83),0),IF($J$5="x",IFERROR(SMALL($O$11:$O$42,83),0),IF($J$6="x",IFERROR(SMALL($O$11:$O$74,83),0),IF($J$7="x",IFERROR(SMALL($O$11:$O$138,83),0),IFERROR(SMALL($O$11:$O$266,83),0)))))))</f>
        <v>1.0101929999999999</v>
      </c>
      <c r="V93" s="20">
        <f t="shared" si="18"/>
        <v>83</v>
      </c>
      <c r="W93" s="20" t="str">
        <f t="shared" si="19"/>
        <v xml:space="preserve"> </v>
      </c>
      <c r="Y93" s="29">
        <v>83</v>
      </c>
      <c r="Z93" s="36" t="str">
        <f t="shared" si="20"/>
        <v xml:space="preserve"> </v>
      </c>
      <c r="AA93" s="35" t="str">
        <f>IFERROR(INDEX(#REF!,MATCH(AB93,#REF!,0))," ")</f>
        <v xml:space="preserve"> </v>
      </c>
      <c r="AB93" s="30">
        <f t="shared" si="21"/>
        <v>0</v>
      </c>
    </row>
    <row r="94" spans="1:28" x14ac:dyDescent="0.25">
      <c r="A94" s="38"/>
      <c r="B94" s="31" t="s">
        <v>118</v>
      </c>
      <c r="C94" s="32" t="str">
        <f>IF('Infos générales'!$E$2="x",IF(A94&gt;0,INDEX(DP!$A$10:$G$265,MATCH(A94,DP!$A$10:$A$265,0),6)," "),IF(A94&gt;0,INDEX(DP!$A$10:$G$265,MATCH(A94,DP!$A$10:$A$265,0),4)," "))</f>
        <v xml:space="preserve"> </v>
      </c>
      <c r="E94" s="39"/>
      <c r="F94" s="33" t="s">
        <v>34</v>
      </c>
      <c r="G94" s="40"/>
      <c r="H94" s="39"/>
      <c r="I94" s="33" t="s">
        <v>34</v>
      </c>
      <c r="J94" s="40"/>
      <c r="K94" s="39"/>
      <c r="L94" s="33" t="s">
        <v>34</v>
      </c>
      <c r="M94" s="40"/>
      <c r="N94" s="34">
        <f t="shared" si="11"/>
        <v>84</v>
      </c>
      <c r="O94" s="20">
        <f t="shared" si="12"/>
        <v>1.010194</v>
      </c>
      <c r="P94" s="20">
        <f t="shared" si="13"/>
        <v>84</v>
      </c>
      <c r="Q94" s="20" t="str">
        <f t="shared" si="14"/>
        <v xml:space="preserve"> </v>
      </c>
      <c r="R94" s="20">
        <f t="shared" si="15"/>
        <v>0</v>
      </c>
      <c r="S94" s="20">
        <f t="shared" si="16"/>
        <v>0</v>
      </c>
      <c r="T94" s="20">
        <f t="shared" si="17"/>
        <v>0</v>
      </c>
      <c r="U94" s="20">
        <f>IF($J$2="x",IFERROR(SMALL($O$11:$O$14,84),0),IF($J$3="x",IFERROR(SMALL($O$11:$O$18,84),0),IF($J$4="x",IFERROR(SMALL($O$11:$O$26,84),0),IF($J$5="x",IFERROR(SMALL($O$11:$O$42,84),0),IF($J$6="x",IFERROR(SMALL($O$11:$O$74,84),0),IF($J$7="x",IFERROR(SMALL($O$11:$O$138,84),0),IFERROR(SMALL($O$11:$O$266,84),0)))))))</f>
        <v>1.010194</v>
      </c>
      <c r="V94" s="20">
        <f t="shared" si="18"/>
        <v>84</v>
      </c>
      <c r="W94" s="20" t="str">
        <f t="shared" si="19"/>
        <v xml:space="preserve"> </v>
      </c>
      <c r="Y94" s="29">
        <v>84</v>
      </c>
      <c r="Z94" s="36" t="str">
        <f t="shared" si="20"/>
        <v xml:space="preserve"> </v>
      </c>
      <c r="AA94" s="35" t="str">
        <f>IFERROR(INDEX(#REF!,MATCH(AB94,#REF!,0))," ")</f>
        <v xml:space="preserve"> </v>
      </c>
      <c r="AB94" s="30">
        <f t="shared" si="21"/>
        <v>0</v>
      </c>
    </row>
    <row r="95" spans="1:28" x14ac:dyDescent="0.25">
      <c r="A95" s="38"/>
      <c r="B95" s="31" t="s">
        <v>119</v>
      </c>
      <c r="C95" s="32" t="str">
        <f>IF('Infos générales'!$E$2="x",IF(A95&gt;0,INDEX(DP!$A$10:$G$265,MATCH(A95,DP!$A$10:$A$265,0),6)," "),IF(A95&gt;0,INDEX(DP!$A$10:$G$265,MATCH(A95,DP!$A$10:$A$265,0),4)," "))</f>
        <v xml:space="preserve"> </v>
      </c>
      <c r="E95" s="39"/>
      <c r="F95" s="33" t="s">
        <v>34</v>
      </c>
      <c r="G95" s="40"/>
      <c r="H95" s="39"/>
      <c r="I95" s="33" t="s">
        <v>34</v>
      </c>
      <c r="J95" s="40"/>
      <c r="K95" s="39"/>
      <c r="L95" s="33" t="s">
        <v>34</v>
      </c>
      <c r="M95" s="40"/>
      <c r="N95" s="34">
        <f t="shared" si="11"/>
        <v>85</v>
      </c>
      <c r="O95" s="20">
        <f t="shared" si="12"/>
        <v>1.010195</v>
      </c>
      <c r="P95" s="20">
        <f t="shared" si="13"/>
        <v>85</v>
      </c>
      <c r="Q95" s="20" t="str">
        <f t="shared" si="14"/>
        <v xml:space="preserve"> </v>
      </c>
      <c r="R95" s="20">
        <f t="shared" si="15"/>
        <v>0</v>
      </c>
      <c r="S95" s="20">
        <f t="shared" si="16"/>
        <v>0</v>
      </c>
      <c r="T95" s="20">
        <f t="shared" si="17"/>
        <v>0</v>
      </c>
      <c r="U95" s="20">
        <f>IF($J$2="x",IFERROR(SMALL($O$11:$O$14,85),0),IF($J$3="x",IFERROR(SMALL($O$11:$O$18,85),0),IF($J$4="x",IFERROR(SMALL($O$11:$O$26,85),0),IF($J$5="x",IFERROR(SMALL($O$11:$O$42,85),0),IF($J$6="x",IFERROR(SMALL($O$11:$O$74,85),0),IF($J$7="x",IFERROR(SMALL($O$11:$O$138,85),0),IFERROR(SMALL($O$11:$O$266,85),0)))))))</f>
        <v>1.010195</v>
      </c>
      <c r="V95" s="20">
        <f t="shared" si="18"/>
        <v>85</v>
      </c>
      <c r="W95" s="20" t="str">
        <f t="shared" si="19"/>
        <v xml:space="preserve"> </v>
      </c>
      <c r="Y95" s="29">
        <v>85</v>
      </c>
      <c r="Z95" s="36" t="str">
        <f t="shared" si="20"/>
        <v xml:space="preserve"> </v>
      </c>
      <c r="AA95" s="35" t="str">
        <f>IFERROR(INDEX(#REF!,MATCH(AB95,#REF!,0))," ")</f>
        <v xml:space="preserve"> </v>
      </c>
      <c r="AB95" s="30">
        <f t="shared" si="21"/>
        <v>0</v>
      </c>
    </row>
    <row r="96" spans="1:28" x14ac:dyDescent="0.25">
      <c r="A96" s="38"/>
      <c r="B96" s="31" t="s">
        <v>120</v>
      </c>
      <c r="C96" s="32" t="str">
        <f>IF('Infos générales'!$E$2="x",IF(A96&gt;0,INDEX(DP!$A$10:$G$265,MATCH(A96,DP!$A$10:$A$265,0),6)," "),IF(A96&gt;0,INDEX(DP!$A$10:$G$265,MATCH(A96,DP!$A$10:$A$265,0),4)," "))</f>
        <v xml:space="preserve"> </v>
      </c>
      <c r="E96" s="39"/>
      <c r="F96" s="33" t="s">
        <v>34</v>
      </c>
      <c r="G96" s="40"/>
      <c r="H96" s="39"/>
      <c r="I96" s="33" t="s">
        <v>34</v>
      </c>
      <c r="J96" s="40"/>
      <c r="K96" s="39"/>
      <c r="L96" s="33" t="s">
        <v>34</v>
      </c>
      <c r="M96" s="40"/>
      <c r="N96" s="34">
        <f t="shared" si="11"/>
        <v>86</v>
      </c>
      <c r="O96" s="20">
        <f t="shared" si="12"/>
        <v>1.0101960000000001</v>
      </c>
      <c r="P96" s="20">
        <f t="shared" si="13"/>
        <v>86</v>
      </c>
      <c r="Q96" s="20" t="str">
        <f t="shared" si="14"/>
        <v xml:space="preserve"> </v>
      </c>
      <c r="R96" s="20">
        <f t="shared" si="15"/>
        <v>0</v>
      </c>
      <c r="S96" s="20">
        <f t="shared" si="16"/>
        <v>0</v>
      </c>
      <c r="T96" s="20">
        <f t="shared" si="17"/>
        <v>0</v>
      </c>
      <c r="U96" s="20">
        <f>IF($J$2="x",IFERROR(SMALL($O$11:$O$14,86),0),IF($J$3="x",IFERROR(SMALL($O$11:$O$18,86),0),IF($J$4="x",IFERROR(SMALL($O$11:$O$26,86),0),IF($J$5="x",IFERROR(SMALL($O$11:$O$42,86),0),IF($J$6="x",IFERROR(SMALL($O$11:$O$74,86),0),IF($J$7="x",IFERROR(SMALL($O$11:$O$138,86),0),IFERROR(SMALL($O$11:$O$266,86),0)))))))</f>
        <v>1.0101960000000001</v>
      </c>
      <c r="V96" s="20">
        <f t="shared" si="18"/>
        <v>86</v>
      </c>
      <c r="W96" s="20" t="str">
        <f t="shared" si="19"/>
        <v xml:space="preserve"> </v>
      </c>
      <c r="Y96" s="29">
        <v>86</v>
      </c>
      <c r="Z96" s="36" t="str">
        <f t="shared" si="20"/>
        <v xml:space="preserve"> </v>
      </c>
      <c r="AA96" s="35" t="str">
        <f>IFERROR(INDEX(#REF!,MATCH(AB96,#REF!,0))," ")</f>
        <v xml:space="preserve"> </v>
      </c>
      <c r="AB96" s="30">
        <f t="shared" si="21"/>
        <v>0</v>
      </c>
    </row>
    <row r="97" spans="1:28" x14ac:dyDescent="0.25">
      <c r="A97" s="38"/>
      <c r="B97" s="31" t="s">
        <v>121</v>
      </c>
      <c r="C97" s="32" t="str">
        <f>IF('Infos générales'!$E$2="x",IF(A97&gt;0,INDEX(DP!$A$10:$G$265,MATCH(A97,DP!$A$10:$A$265,0),6)," "),IF(A97&gt;0,INDEX(DP!$A$10:$G$265,MATCH(A97,DP!$A$10:$A$265,0),4)," "))</f>
        <v xml:space="preserve"> </v>
      </c>
      <c r="E97" s="39"/>
      <c r="F97" s="33" t="s">
        <v>34</v>
      </c>
      <c r="G97" s="40"/>
      <c r="H97" s="39"/>
      <c r="I97" s="33" t="s">
        <v>34</v>
      </c>
      <c r="J97" s="40"/>
      <c r="K97" s="39"/>
      <c r="L97" s="33" t="s">
        <v>34</v>
      </c>
      <c r="M97" s="40"/>
      <c r="N97" s="34">
        <f t="shared" si="11"/>
        <v>87</v>
      </c>
      <c r="O97" s="20">
        <f t="shared" si="12"/>
        <v>1.010197</v>
      </c>
      <c r="P97" s="20">
        <f t="shared" si="13"/>
        <v>87</v>
      </c>
      <c r="Q97" s="20" t="str">
        <f t="shared" si="14"/>
        <v xml:space="preserve"> </v>
      </c>
      <c r="R97" s="20">
        <f t="shared" si="15"/>
        <v>0</v>
      </c>
      <c r="S97" s="20">
        <f t="shared" si="16"/>
        <v>0</v>
      </c>
      <c r="T97" s="20">
        <f t="shared" si="17"/>
        <v>0</v>
      </c>
      <c r="U97" s="20">
        <f>IF($J$2="x",IFERROR(SMALL($O$11:$O$14,87),0),IF($J$3="x",IFERROR(SMALL($O$11:$O$18,87),0),IF($J$4="x",IFERROR(SMALL($O$11:$O$26,87),0),IF($J$5="x",IFERROR(SMALL($O$11:$O$42,87),0),IF($J$6="x",IFERROR(SMALL($O$11:$O$74,87),0),IF($J$7="x",IFERROR(SMALL($O$11:$O$138,87),0),IFERROR(SMALL($O$11:$O$266,87),0)))))))</f>
        <v>1.010197</v>
      </c>
      <c r="V97" s="20">
        <f t="shared" si="18"/>
        <v>87</v>
      </c>
      <c r="W97" s="20" t="str">
        <f t="shared" si="19"/>
        <v xml:space="preserve"> </v>
      </c>
      <c r="Y97" s="29">
        <v>87</v>
      </c>
      <c r="Z97" s="36" t="str">
        <f t="shared" si="20"/>
        <v xml:space="preserve"> </v>
      </c>
      <c r="AA97" s="35" t="str">
        <f>IFERROR(INDEX(#REF!,MATCH(AB97,#REF!,0))," ")</f>
        <v xml:space="preserve"> </v>
      </c>
      <c r="AB97" s="30">
        <f t="shared" si="21"/>
        <v>0</v>
      </c>
    </row>
    <row r="98" spans="1:28" x14ac:dyDescent="0.25">
      <c r="A98" s="38"/>
      <c r="B98" s="31" t="s">
        <v>122</v>
      </c>
      <c r="C98" s="32" t="str">
        <f>IF('Infos générales'!$E$2="x",IF(A98&gt;0,INDEX(DP!$A$10:$G$265,MATCH(A98,DP!$A$10:$A$265,0),6)," "),IF(A98&gt;0,INDEX(DP!$A$10:$G$265,MATCH(A98,DP!$A$10:$A$265,0),4)," "))</f>
        <v xml:space="preserve"> </v>
      </c>
      <c r="E98" s="39"/>
      <c r="F98" s="33" t="s">
        <v>34</v>
      </c>
      <c r="G98" s="40"/>
      <c r="H98" s="39"/>
      <c r="I98" s="33" t="s">
        <v>34</v>
      </c>
      <c r="J98" s="40"/>
      <c r="K98" s="39"/>
      <c r="L98" s="33" t="s">
        <v>34</v>
      </c>
      <c r="M98" s="40"/>
      <c r="N98" s="34">
        <f t="shared" si="11"/>
        <v>88</v>
      </c>
      <c r="O98" s="20">
        <f t="shared" si="12"/>
        <v>1.0101979999999999</v>
      </c>
      <c r="P98" s="20">
        <f t="shared" si="13"/>
        <v>88</v>
      </c>
      <c r="Q98" s="20" t="str">
        <f t="shared" si="14"/>
        <v xml:space="preserve"> </v>
      </c>
      <c r="R98" s="20">
        <f t="shared" si="15"/>
        <v>0</v>
      </c>
      <c r="S98" s="20">
        <f t="shared" si="16"/>
        <v>0</v>
      </c>
      <c r="T98" s="20">
        <f t="shared" si="17"/>
        <v>0</v>
      </c>
      <c r="U98" s="20">
        <f>IF($J$2="x",IFERROR(SMALL($O$11:$O$14,88),0),IF($J$3="x",IFERROR(SMALL($O$11:$O$18,88),0),IF($J$4="x",IFERROR(SMALL($O$11:$O$26,88),0),IF($J$5="x",IFERROR(SMALL($O$11:$O$42,88),0),IF($J$6="x",IFERROR(SMALL($O$11:$O$74,88),0),IF($J$7="x",IFERROR(SMALL($O$11:$O$138,88),0),IFERROR(SMALL($O$11:$O$266,88),0)))))))</f>
        <v>1.0101979999999999</v>
      </c>
      <c r="V98" s="20">
        <f t="shared" si="18"/>
        <v>88</v>
      </c>
      <c r="W98" s="20" t="str">
        <f t="shared" si="19"/>
        <v xml:space="preserve"> </v>
      </c>
      <c r="Y98" s="29">
        <v>88</v>
      </c>
      <c r="Z98" s="36" t="str">
        <f t="shared" si="20"/>
        <v xml:space="preserve"> </v>
      </c>
      <c r="AA98" s="35" t="str">
        <f>IFERROR(INDEX(#REF!,MATCH(AB98,#REF!,0))," ")</f>
        <v xml:space="preserve"> </v>
      </c>
      <c r="AB98" s="30">
        <f t="shared" si="21"/>
        <v>0</v>
      </c>
    </row>
    <row r="99" spans="1:28" x14ac:dyDescent="0.25">
      <c r="A99" s="38"/>
      <c r="B99" s="31" t="s">
        <v>123</v>
      </c>
      <c r="C99" s="32" t="str">
        <f>IF('Infos générales'!$E$2="x",IF(A99&gt;0,INDEX(DP!$A$10:$G$265,MATCH(A99,DP!$A$10:$A$265,0),6)," "),IF(A99&gt;0,INDEX(DP!$A$10:$G$265,MATCH(A99,DP!$A$10:$A$265,0),4)," "))</f>
        <v xml:space="preserve"> </v>
      </c>
      <c r="E99" s="39"/>
      <c r="F99" s="33" t="s">
        <v>34</v>
      </c>
      <c r="G99" s="40"/>
      <c r="H99" s="39"/>
      <c r="I99" s="33" t="s">
        <v>34</v>
      </c>
      <c r="J99" s="40"/>
      <c r="K99" s="39"/>
      <c r="L99" s="33" t="s">
        <v>34</v>
      </c>
      <c r="M99" s="40"/>
      <c r="N99" s="34">
        <f t="shared" si="11"/>
        <v>89</v>
      </c>
      <c r="O99" s="20">
        <f t="shared" si="12"/>
        <v>1.0101990000000001</v>
      </c>
      <c r="P99" s="20">
        <f t="shared" si="13"/>
        <v>89</v>
      </c>
      <c r="Q99" s="20" t="str">
        <f t="shared" si="14"/>
        <v xml:space="preserve"> </v>
      </c>
      <c r="R99" s="20">
        <f t="shared" si="15"/>
        <v>0</v>
      </c>
      <c r="S99" s="20">
        <f t="shared" si="16"/>
        <v>0</v>
      </c>
      <c r="T99" s="20">
        <f t="shared" si="17"/>
        <v>0</v>
      </c>
      <c r="U99" s="20">
        <f>IF($J$2="x",IFERROR(SMALL($O$11:$O$14,89),0),IF($J$3="x",IFERROR(SMALL($O$11:$O$18,89),0),IF($J$4="x",IFERROR(SMALL($O$11:$O$26,89),0),IF($J$5="x",IFERROR(SMALL($O$11:$O$42,89),0),IF($J$6="x",IFERROR(SMALL($O$11:$O$74,89),0),IF($J$7="x",IFERROR(SMALL($O$11:$O$138,89),0),IFERROR(SMALL($O$11:$O$266,89),0)))))))</f>
        <v>1.0101990000000001</v>
      </c>
      <c r="V99" s="20">
        <f t="shared" si="18"/>
        <v>89</v>
      </c>
      <c r="W99" s="20" t="str">
        <f t="shared" si="19"/>
        <v xml:space="preserve"> </v>
      </c>
      <c r="Y99" s="29">
        <v>89</v>
      </c>
      <c r="Z99" s="36" t="str">
        <f t="shared" si="20"/>
        <v xml:space="preserve"> </v>
      </c>
      <c r="AA99" s="35" t="str">
        <f>IFERROR(INDEX(#REF!,MATCH(AB99,#REF!,0))," ")</f>
        <v xml:space="preserve"> </v>
      </c>
      <c r="AB99" s="30">
        <f t="shared" si="21"/>
        <v>0</v>
      </c>
    </row>
    <row r="100" spans="1:28" x14ac:dyDescent="0.25">
      <c r="A100" s="38"/>
      <c r="B100" s="31" t="s">
        <v>124</v>
      </c>
      <c r="C100" s="32" t="str">
        <f>IF('Infos générales'!$E$2="x",IF(A100&gt;0,INDEX(DP!$A$10:$G$265,MATCH(A100,DP!$A$10:$A$265,0),6)," "),IF(A100&gt;0,INDEX(DP!$A$10:$G$265,MATCH(A100,DP!$A$10:$A$265,0),4)," "))</f>
        <v xml:space="preserve"> </v>
      </c>
      <c r="E100" s="39"/>
      <c r="F100" s="33" t="s">
        <v>34</v>
      </c>
      <c r="G100" s="40"/>
      <c r="H100" s="39"/>
      <c r="I100" s="33" t="s">
        <v>34</v>
      </c>
      <c r="J100" s="40"/>
      <c r="K100" s="39"/>
      <c r="L100" s="33" t="s">
        <v>34</v>
      </c>
      <c r="M100" s="40"/>
      <c r="N100" s="34">
        <f t="shared" si="11"/>
        <v>90</v>
      </c>
      <c r="O100" s="20">
        <f t="shared" si="12"/>
        <v>1.0102</v>
      </c>
      <c r="P100" s="20">
        <f t="shared" si="13"/>
        <v>90</v>
      </c>
      <c r="Q100" s="20" t="str">
        <f t="shared" si="14"/>
        <v xml:space="preserve"> </v>
      </c>
      <c r="R100" s="20">
        <f t="shared" si="15"/>
        <v>0</v>
      </c>
      <c r="S100" s="20">
        <f t="shared" si="16"/>
        <v>0</v>
      </c>
      <c r="T100" s="20">
        <f t="shared" si="17"/>
        <v>0</v>
      </c>
      <c r="U100" s="20">
        <f>IF($J$2="x",IFERROR(SMALL($O$11:$O$14,90),0),IF($J$3="x",IFERROR(SMALL($O$11:$O$18,90),0),IF($J$4="x",IFERROR(SMALL($O$11:$O$26,90),0),IF($J$5="x",IFERROR(SMALL($O$11:$O$42,90),0),IF($J$6="x",IFERROR(SMALL($O$11:$O$74,90),0),IF($J$7="x",IFERROR(SMALL($O$11:$O$138,90),0),IFERROR(SMALL($O$11:$O$266,90),0)))))))</f>
        <v>1.0102</v>
      </c>
      <c r="V100" s="20">
        <f t="shared" si="18"/>
        <v>90</v>
      </c>
      <c r="W100" s="20" t="str">
        <f t="shared" si="19"/>
        <v xml:space="preserve"> </v>
      </c>
      <c r="Y100" s="29">
        <v>90</v>
      </c>
      <c r="Z100" s="36" t="str">
        <f t="shared" si="20"/>
        <v xml:space="preserve"> </v>
      </c>
      <c r="AA100" s="35" t="str">
        <f>IFERROR(INDEX(#REF!,MATCH(AB100,#REF!,0))," ")</f>
        <v xml:space="preserve"> </v>
      </c>
      <c r="AB100" s="30">
        <f t="shared" si="21"/>
        <v>0</v>
      </c>
    </row>
    <row r="101" spans="1:28" x14ac:dyDescent="0.25">
      <c r="A101" s="38"/>
      <c r="B101" s="31" t="s">
        <v>125</v>
      </c>
      <c r="C101" s="32" t="str">
        <f>IF('Infos générales'!$E$2="x",IF(A101&gt;0,INDEX(DP!$A$10:$G$265,MATCH(A101,DP!$A$10:$A$265,0),6)," "),IF(A101&gt;0,INDEX(DP!$A$10:$G$265,MATCH(A101,DP!$A$10:$A$265,0),4)," "))</f>
        <v xml:space="preserve"> </v>
      </c>
      <c r="E101" s="39"/>
      <c r="F101" s="33" t="s">
        <v>34</v>
      </c>
      <c r="G101" s="40"/>
      <c r="H101" s="39"/>
      <c r="I101" s="33" t="s">
        <v>34</v>
      </c>
      <c r="J101" s="40"/>
      <c r="K101" s="39"/>
      <c r="L101" s="33" t="s">
        <v>34</v>
      </c>
      <c r="M101" s="40"/>
      <c r="N101" s="34">
        <f t="shared" si="11"/>
        <v>91</v>
      </c>
      <c r="O101" s="20">
        <f t="shared" si="12"/>
        <v>1.0102009999999999</v>
      </c>
      <c r="P101" s="20">
        <f t="shared" si="13"/>
        <v>91</v>
      </c>
      <c r="Q101" s="20" t="str">
        <f t="shared" si="14"/>
        <v xml:space="preserve"> </v>
      </c>
      <c r="R101" s="20">
        <f t="shared" si="15"/>
        <v>0</v>
      </c>
      <c r="S101" s="20">
        <f t="shared" si="16"/>
        <v>0</v>
      </c>
      <c r="T101" s="20">
        <f t="shared" si="17"/>
        <v>0</v>
      </c>
      <c r="U101" s="20">
        <f>IF($J$2="x",IFERROR(SMALL($O$11:$O$14,91),0),IF($J$3="x",IFERROR(SMALL($O$11:$O$18,91),0),IF($J$4="x",IFERROR(SMALL($O$11:$O$26,91),0),IF($J$5="x",IFERROR(SMALL($O$11:$O$42,91),0),IF($J$6="x",IFERROR(SMALL($O$11:$O$74,91),0),IF($J$7="x",IFERROR(SMALL($O$11:$O$138,91),0),IFERROR(SMALL($O$11:$O$266,91),0)))))))</f>
        <v>1.0102009999999999</v>
      </c>
      <c r="V101" s="20">
        <f t="shared" si="18"/>
        <v>91</v>
      </c>
      <c r="W101" s="20" t="str">
        <f t="shared" si="19"/>
        <v xml:space="preserve"> </v>
      </c>
      <c r="Y101" s="29">
        <v>91</v>
      </c>
      <c r="Z101" s="36" t="str">
        <f t="shared" si="20"/>
        <v xml:space="preserve"> </v>
      </c>
      <c r="AA101" s="35" t="str">
        <f>IFERROR(INDEX(#REF!,MATCH(AB101,#REF!,0))," ")</f>
        <v xml:space="preserve"> </v>
      </c>
      <c r="AB101" s="30">
        <f t="shared" si="21"/>
        <v>0</v>
      </c>
    </row>
    <row r="102" spans="1:28" x14ac:dyDescent="0.25">
      <c r="A102" s="38"/>
      <c r="B102" s="31" t="s">
        <v>126</v>
      </c>
      <c r="C102" s="32" t="str">
        <f>IF('Infos générales'!$E$2="x",IF(A102&gt;0,INDEX(DP!$A$10:$G$265,MATCH(A102,DP!$A$10:$A$265,0),6)," "),IF(A102&gt;0,INDEX(DP!$A$10:$G$265,MATCH(A102,DP!$A$10:$A$265,0),4)," "))</f>
        <v xml:space="preserve"> </v>
      </c>
      <c r="E102" s="39"/>
      <c r="F102" s="33" t="s">
        <v>34</v>
      </c>
      <c r="G102" s="40"/>
      <c r="H102" s="39"/>
      <c r="I102" s="33" t="s">
        <v>34</v>
      </c>
      <c r="J102" s="40"/>
      <c r="K102" s="39"/>
      <c r="L102" s="33" t="s">
        <v>34</v>
      </c>
      <c r="M102" s="40"/>
      <c r="N102" s="34">
        <f t="shared" si="11"/>
        <v>92</v>
      </c>
      <c r="O102" s="20">
        <f t="shared" si="12"/>
        <v>1.010202</v>
      </c>
      <c r="P102" s="20">
        <f t="shared" si="13"/>
        <v>92</v>
      </c>
      <c r="Q102" s="20" t="str">
        <f t="shared" si="14"/>
        <v xml:space="preserve"> </v>
      </c>
      <c r="R102" s="20">
        <f t="shared" si="15"/>
        <v>0</v>
      </c>
      <c r="S102" s="20">
        <f t="shared" si="16"/>
        <v>0</v>
      </c>
      <c r="T102" s="20">
        <f t="shared" si="17"/>
        <v>0</v>
      </c>
      <c r="U102" s="20">
        <f>IF($J$2="x",IFERROR(SMALL($O$11:$O$14,92),0),IF($J$3="x",IFERROR(SMALL($O$11:$O$18,92),0),IF($J$4="x",IFERROR(SMALL($O$11:$O$26,92),0),IF($J$5="x",IFERROR(SMALL($O$11:$O$42,92),0),IF($J$6="x",IFERROR(SMALL($O$11:$O$74,92),0),IF($J$7="x",IFERROR(SMALL($O$11:$O$138,92),0),IFERROR(SMALL($O$11:$O$266,92),0)))))))</f>
        <v>1.010202</v>
      </c>
      <c r="V102" s="20">
        <f t="shared" si="18"/>
        <v>92</v>
      </c>
      <c r="W102" s="20" t="str">
        <f t="shared" si="19"/>
        <v xml:space="preserve"> </v>
      </c>
      <c r="Y102" s="29">
        <v>92</v>
      </c>
      <c r="Z102" s="36" t="str">
        <f t="shared" si="20"/>
        <v xml:space="preserve"> </v>
      </c>
      <c r="AA102" s="35" t="str">
        <f>IFERROR(INDEX(#REF!,MATCH(AB102,#REF!,0))," ")</f>
        <v xml:space="preserve"> </v>
      </c>
      <c r="AB102" s="30">
        <f t="shared" si="21"/>
        <v>0</v>
      </c>
    </row>
    <row r="103" spans="1:28" x14ac:dyDescent="0.25">
      <c r="A103" s="38"/>
      <c r="B103" s="31" t="s">
        <v>127</v>
      </c>
      <c r="C103" s="32" t="str">
        <f>IF('Infos générales'!$E$2="x",IF(A103&gt;0,INDEX(DP!$A$10:$G$265,MATCH(A103,DP!$A$10:$A$265,0),6)," "),IF(A103&gt;0,INDEX(DP!$A$10:$G$265,MATCH(A103,DP!$A$10:$A$265,0),4)," "))</f>
        <v xml:space="preserve"> </v>
      </c>
      <c r="E103" s="39"/>
      <c r="F103" s="33" t="s">
        <v>34</v>
      </c>
      <c r="G103" s="40"/>
      <c r="H103" s="39"/>
      <c r="I103" s="33" t="s">
        <v>34</v>
      </c>
      <c r="J103" s="40"/>
      <c r="K103" s="39"/>
      <c r="L103" s="33" t="s">
        <v>34</v>
      </c>
      <c r="M103" s="40"/>
      <c r="N103" s="34">
        <f t="shared" si="11"/>
        <v>93</v>
      </c>
      <c r="O103" s="20">
        <f t="shared" si="12"/>
        <v>1.010203</v>
      </c>
      <c r="P103" s="20">
        <f t="shared" si="13"/>
        <v>93</v>
      </c>
      <c r="Q103" s="20" t="str">
        <f t="shared" si="14"/>
        <v xml:space="preserve"> </v>
      </c>
      <c r="R103" s="20">
        <f t="shared" si="15"/>
        <v>0</v>
      </c>
      <c r="S103" s="20">
        <f t="shared" si="16"/>
        <v>0</v>
      </c>
      <c r="T103" s="20">
        <f t="shared" si="17"/>
        <v>0</v>
      </c>
      <c r="U103" s="20">
        <f>IF($J$2="x",IFERROR(SMALL($O$11:$O$14,93),0),IF($J$3="x",IFERROR(SMALL($O$11:$O$18,93),0),IF($J$4="x",IFERROR(SMALL($O$11:$O$26,93),0),IF($J$5="x",IFERROR(SMALL($O$11:$O$42,93),0),IF($J$6="x",IFERROR(SMALL($O$11:$O$74,93),0),IF($J$7="x",IFERROR(SMALL($O$11:$O$138,93),0),IFERROR(SMALL($O$11:$O$266,93),0)))))))</f>
        <v>1.010203</v>
      </c>
      <c r="V103" s="20">
        <f t="shared" si="18"/>
        <v>93</v>
      </c>
      <c r="W103" s="20" t="str">
        <f t="shared" si="19"/>
        <v xml:space="preserve"> </v>
      </c>
      <c r="Y103" s="29">
        <v>93</v>
      </c>
      <c r="Z103" s="36" t="str">
        <f t="shared" si="20"/>
        <v xml:space="preserve"> </v>
      </c>
      <c r="AA103" s="35" t="str">
        <f>IFERROR(INDEX(#REF!,MATCH(AB103,#REF!,0))," ")</f>
        <v xml:space="preserve"> </v>
      </c>
      <c r="AB103" s="30">
        <f t="shared" si="21"/>
        <v>0</v>
      </c>
    </row>
    <row r="104" spans="1:28" x14ac:dyDescent="0.25">
      <c r="A104" s="38"/>
      <c r="B104" s="31" t="s">
        <v>128</v>
      </c>
      <c r="C104" s="32" t="str">
        <f>IF('Infos générales'!$E$2="x",IF(A104&gt;0,INDEX(DP!$A$10:$G$265,MATCH(A104,DP!$A$10:$A$265,0),6)," "),IF(A104&gt;0,INDEX(DP!$A$10:$G$265,MATCH(A104,DP!$A$10:$A$265,0),4)," "))</f>
        <v xml:space="preserve"> </v>
      </c>
      <c r="E104" s="39"/>
      <c r="F104" s="33" t="s">
        <v>34</v>
      </c>
      <c r="G104" s="40"/>
      <c r="H104" s="39"/>
      <c r="I104" s="33" t="s">
        <v>34</v>
      </c>
      <c r="J104" s="40"/>
      <c r="K104" s="39"/>
      <c r="L104" s="33" t="s">
        <v>34</v>
      </c>
      <c r="M104" s="40"/>
      <c r="N104" s="34">
        <f t="shared" si="11"/>
        <v>94</v>
      </c>
      <c r="O104" s="20">
        <f t="shared" si="12"/>
        <v>1.0102040000000001</v>
      </c>
      <c r="P104" s="20">
        <f t="shared" si="13"/>
        <v>94</v>
      </c>
      <c r="Q104" s="20" t="str">
        <f t="shared" si="14"/>
        <v xml:space="preserve"> </v>
      </c>
      <c r="R104" s="20">
        <f t="shared" si="15"/>
        <v>0</v>
      </c>
      <c r="S104" s="20">
        <f t="shared" si="16"/>
        <v>0</v>
      </c>
      <c r="T104" s="20">
        <f t="shared" si="17"/>
        <v>0</v>
      </c>
      <c r="U104" s="20">
        <f>IF($J$2="x",IFERROR(SMALL($O$11:$O$14,94),0),IF($J$3="x",IFERROR(SMALL($O$11:$O$18,94),0),IF($J$4="x",IFERROR(SMALL($O$11:$O$26,94),0),IF($J$5="x",IFERROR(SMALL($O$11:$O$42,94),0),IF($J$6="x",IFERROR(SMALL($O$11:$O$74,94),0),IF($J$7="x",IFERROR(SMALL($O$11:$O$138,94),0),IFERROR(SMALL($O$11:$O$266,94),0)))))))</f>
        <v>1.0102040000000001</v>
      </c>
      <c r="V104" s="20">
        <f t="shared" si="18"/>
        <v>94</v>
      </c>
      <c r="W104" s="20" t="str">
        <f t="shared" si="19"/>
        <v xml:space="preserve"> </v>
      </c>
      <c r="Y104" s="29">
        <v>94</v>
      </c>
      <c r="Z104" s="36" t="str">
        <f t="shared" si="20"/>
        <v xml:space="preserve"> </v>
      </c>
      <c r="AA104" s="35" t="str">
        <f>IFERROR(INDEX(#REF!,MATCH(AB104,#REF!,0))," ")</f>
        <v xml:space="preserve"> </v>
      </c>
      <c r="AB104" s="30">
        <f t="shared" si="21"/>
        <v>0</v>
      </c>
    </row>
    <row r="105" spans="1:28" x14ac:dyDescent="0.25">
      <c r="A105" s="38"/>
      <c r="B105" s="31" t="s">
        <v>129</v>
      </c>
      <c r="C105" s="32" t="str">
        <f>IF('Infos générales'!$E$2="x",IF(A105&gt;0,INDEX(DP!$A$10:$G$265,MATCH(A105,DP!$A$10:$A$265,0),6)," "),IF(A105&gt;0,INDEX(DP!$A$10:$G$265,MATCH(A105,DP!$A$10:$A$265,0),4)," "))</f>
        <v xml:space="preserve"> </v>
      </c>
      <c r="E105" s="39"/>
      <c r="F105" s="33" t="s">
        <v>34</v>
      </c>
      <c r="G105" s="40"/>
      <c r="H105" s="39"/>
      <c r="I105" s="33" t="s">
        <v>34</v>
      </c>
      <c r="J105" s="40"/>
      <c r="K105" s="39"/>
      <c r="L105" s="33" t="s">
        <v>34</v>
      </c>
      <c r="M105" s="40"/>
      <c r="N105" s="34">
        <f t="shared" si="11"/>
        <v>95</v>
      </c>
      <c r="O105" s="20">
        <f t="shared" si="12"/>
        <v>1.010205</v>
      </c>
      <c r="P105" s="20">
        <f t="shared" si="13"/>
        <v>95</v>
      </c>
      <c r="Q105" s="20" t="str">
        <f t="shared" si="14"/>
        <v xml:space="preserve"> </v>
      </c>
      <c r="R105" s="20">
        <f t="shared" si="15"/>
        <v>0</v>
      </c>
      <c r="S105" s="20">
        <f t="shared" si="16"/>
        <v>0</v>
      </c>
      <c r="T105" s="20">
        <f t="shared" si="17"/>
        <v>0</v>
      </c>
      <c r="U105" s="20">
        <f>IF($J$2="x",IFERROR(SMALL($O$11:$O$14,95),0),IF($J$3="x",IFERROR(SMALL($O$11:$O$18,95),0),IF($J$4="x",IFERROR(SMALL($O$11:$O$26,95),0),IF($J$5="x",IFERROR(SMALL($O$11:$O$42,95),0),IF($J$6="x",IFERROR(SMALL($O$11:$O$74,95),0),IF($J$7="x",IFERROR(SMALL($O$11:$O$138,95),0),IFERROR(SMALL($O$11:$O$266,95),0)))))))</f>
        <v>1.010205</v>
      </c>
      <c r="V105" s="20">
        <f t="shared" si="18"/>
        <v>95</v>
      </c>
      <c r="W105" s="20" t="str">
        <f t="shared" si="19"/>
        <v xml:space="preserve"> </v>
      </c>
      <c r="Y105" s="29">
        <v>95</v>
      </c>
      <c r="Z105" s="36" t="str">
        <f t="shared" si="20"/>
        <v xml:space="preserve"> </v>
      </c>
      <c r="AA105" s="35" t="str">
        <f>IFERROR(INDEX(#REF!,MATCH(AB105,#REF!,0))," ")</f>
        <v xml:space="preserve"> </v>
      </c>
      <c r="AB105" s="30">
        <f t="shared" si="21"/>
        <v>0</v>
      </c>
    </row>
    <row r="106" spans="1:28" x14ac:dyDescent="0.25">
      <c r="A106" s="38"/>
      <c r="B106" s="31" t="s">
        <v>130</v>
      </c>
      <c r="C106" s="32" t="str">
        <f>IF('Infos générales'!$E$2="x",IF(A106&gt;0,INDEX(DP!$A$10:$G$265,MATCH(A106,DP!$A$10:$A$265,0),6)," "),IF(A106&gt;0,INDEX(DP!$A$10:$G$265,MATCH(A106,DP!$A$10:$A$265,0),4)," "))</f>
        <v xml:space="preserve"> </v>
      </c>
      <c r="E106" s="39"/>
      <c r="F106" s="33" t="s">
        <v>34</v>
      </c>
      <c r="G106" s="40"/>
      <c r="H106" s="39"/>
      <c r="I106" s="33" t="s">
        <v>34</v>
      </c>
      <c r="J106" s="40"/>
      <c r="K106" s="39"/>
      <c r="L106" s="33" t="s">
        <v>34</v>
      </c>
      <c r="M106" s="40"/>
      <c r="N106" s="34">
        <f t="shared" si="11"/>
        <v>96</v>
      </c>
      <c r="O106" s="20">
        <f t="shared" si="12"/>
        <v>1.0102059999999999</v>
      </c>
      <c r="P106" s="20">
        <f t="shared" si="13"/>
        <v>96</v>
      </c>
      <c r="Q106" s="20" t="str">
        <f t="shared" si="14"/>
        <v xml:space="preserve"> </v>
      </c>
      <c r="R106" s="20">
        <f t="shared" si="15"/>
        <v>0</v>
      </c>
      <c r="S106" s="20">
        <f t="shared" si="16"/>
        <v>0</v>
      </c>
      <c r="T106" s="20">
        <f t="shared" si="17"/>
        <v>0</v>
      </c>
      <c r="U106" s="20">
        <f>IF($J$2="x",IFERROR(SMALL($O$11:$O$14,96),0),IF($J$3="x",IFERROR(SMALL($O$11:$O$18,96),0),IF($J$4="x",IFERROR(SMALL($O$11:$O$26,96),0),IF($J$5="x",IFERROR(SMALL($O$11:$O$42,96),0),IF($J$6="x",IFERROR(SMALL($O$11:$O$74,96),0),IF($J$7="x",IFERROR(SMALL($O$11:$O$138,96),0),IFERROR(SMALL($O$11:$O$266,96),0)))))))</f>
        <v>1.0102059999999999</v>
      </c>
      <c r="V106" s="20">
        <f t="shared" si="18"/>
        <v>96</v>
      </c>
      <c r="W106" s="20" t="str">
        <f t="shared" si="19"/>
        <v xml:space="preserve"> </v>
      </c>
      <c r="Y106" s="29">
        <v>96</v>
      </c>
      <c r="Z106" s="36" t="str">
        <f t="shared" si="20"/>
        <v xml:space="preserve"> </v>
      </c>
      <c r="AA106" s="35" t="str">
        <f>IFERROR(INDEX(#REF!,MATCH(AB106,#REF!,0))," ")</f>
        <v xml:space="preserve"> </v>
      </c>
      <c r="AB106" s="30">
        <f t="shared" si="21"/>
        <v>0</v>
      </c>
    </row>
    <row r="107" spans="1:28" x14ac:dyDescent="0.25">
      <c r="A107" s="38"/>
      <c r="B107" s="31" t="s">
        <v>131</v>
      </c>
      <c r="C107" s="32" t="str">
        <f>IF('Infos générales'!$E$2="x",IF(A107&gt;0,INDEX(DP!$A$10:$G$265,MATCH(A107,DP!$A$10:$A$265,0),6)," "),IF(A107&gt;0,INDEX(DP!$A$10:$G$265,MATCH(A107,DP!$A$10:$A$265,0),4)," "))</f>
        <v xml:space="preserve"> </v>
      </c>
      <c r="E107" s="39"/>
      <c r="F107" s="33" t="s">
        <v>34</v>
      </c>
      <c r="G107" s="40"/>
      <c r="H107" s="39"/>
      <c r="I107" s="33" t="s">
        <v>34</v>
      </c>
      <c r="J107" s="40"/>
      <c r="K107" s="39"/>
      <c r="L107" s="33" t="s">
        <v>34</v>
      </c>
      <c r="M107" s="40"/>
      <c r="N107" s="34">
        <f t="shared" si="11"/>
        <v>97</v>
      </c>
      <c r="O107" s="20">
        <f t="shared" si="12"/>
        <v>1.0102070000000001</v>
      </c>
      <c r="P107" s="20">
        <f t="shared" si="13"/>
        <v>97</v>
      </c>
      <c r="Q107" s="20" t="str">
        <f t="shared" si="14"/>
        <v xml:space="preserve"> </v>
      </c>
      <c r="R107" s="20">
        <f t="shared" si="15"/>
        <v>0</v>
      </c>
      <c r="S107" s="20">
        <f t="shared" si="16"/>
        <v>0</v>
      </c>
      <c r="T107" s="20">
        <f t="shared" si="17"/>
        <v>0</v>
      </c>
      <c r="U107" s="20">
        <f>IF($J$2="x",IFERROR(SMALL($O$11:$O$14,97),0),IF($J$3="x",IFERROR(SMALL($O$11:$O$18,97),0),IF($J$4="x",IFERROR(SMALL($O$11:$O$26,97),0),IF($J$5="x",IFERROR(SMALL($O$11:$O$42,97),0),IF($J$6="x",IFERROR(SMALL($O$11:$O$74,97),0),IF($J$7="x",IFERROR(SMALL($O$11:$O$138,97),0),IFERROR(SMALL($O$11:$O$266,97),0)))))))</f>
        <v>1.0102070000000001</v>
      </c>
      <c r="V107" s="20">
        <f t="shared" si="18"/>
        <v>97</v>
      </c>
      <c r="W107" s="20" t="str">
        <f t="shared" si="19"/>
        <v xml:space="preserve"> </v>
      </c>
      <c r="Y107" s="29">
        <v>97</v>
      </c>
      <c r="Z107" s="36" t="str">
        <f t="shared" si="20"/>
        <v xml:space="preserve"> </v>
      </c>
      <c r="AA107" s="35" t="str">
        <f>IFERROR(INDEX(#REF!,MATCH(AB107,#REF!,0))," ")</f>
        <v xml:space="preserve"> </v>
      </c>
      <c r="AB107" s="30">
        <f t="shared" si="21"/>
        <v>0</v>
      </c>
    </row>
    <row r="108" spans="1:28" x14ac:dyDescent="0.25">
      <c r="A108" s="38"/>
      <c r="B108" s="31" t="s">
        <v>132</v>
      </c>
      <c r="C108" s="32" t="str">
        <f>IF('Infos générales'!$E$2="x",IF(A108&gt;0,INDEX(DP!$A$10:$G$265,MATCH(A108,DP!$A$10:$A$265,0),6)," "),IF(A108&gt;0,INDEX(DP!$A$10:$G$265,MATCH(A108,DP!$A$10:$A$265,0),4)," "))</f>
        <v xml:space="preserve"> </v>
      </c>
      <c r="E108" s="39"/>
      <c r="F108" s="33" t="s">
        <v>34</v>
      </c>
      <c r="G108" s="40"/>
      <c r="H108" s="39"/>
      <c r="I108" s="33" t="s">
        <v>34</v>
      </c>
      <c r="J108" s="40"/>
      <c r="K108" s="39"/>
      <c r="L108" s="33" t="s">
        <v>34</v>
      </c>
      <c r="M108" s="40"/>
      <c r="N108" s="34">
        <f t="shared" si="11"/>
        <v>98</v>
      </c>
      <c r="O108" s="20">
        <f t="shared" si="12"/>
        <v>1.010208</v>
      </c>
      <c r="P108" s="20">
        <f t="shared" si="13"/>
        <v>98</v>
      </c>
      <c r="Q108" s="20" t="str">
        <f t="shared" si="14"/>
        <v xml:space="preserve"> </v>
      </c>
      <c r="R108" s="20">
        <f t="shared" si="15"/>
        <v>0</v>
      </c>
      <c r="S108" s="20">
        <f t="shared" si="16"/>
        <v>0</v>
      </c>
      <c r="T108" s="20">
        <f t="shared" si="17"/>
        <v>0</v>
      </c>
      <c r="U108" s="20">
        <f>IF($J$2="x",IFERROR(SMALL($O$11:$O$14,98),0),IF($J$3="x",IFERROR(SMALL($O$11:$O$18,98),0),IF($J$4="x",IFERROR(SMALL($O$11:$O$26,98),0),IF($J$5="x",IFERROR(SMALL($O$11:$O$42,98),0),IF($J$6="x",IFERROR(SMALL($O$11:$O$74,98),0),IF($J$7="x",IFERROR(SMALL($O$11:$O$138,98),0),IFERROR(SMALL($O$11:$O$266,98),0)))))))</f>
        <v>1.010208</v>
      </c>
      <c r="V108" s="20">
        <f t="shared" si="18"/>
        <v>98</v>
      </c>
      <c r="W108" s="20" t="str">
        <f t="shared" si="19"/>
        <v xml:space="preserve"> </v>
      </c>
      <c r="Y108" s="29">
        <v>98</v>
      </c>
      <c r="Z108" s="36" t="str">
        <f t="shared" si="20"/>
        <v xml:space="preserve"> </v>
      </c>
      <c r="AA108" s="35" t="str">
        <f>IFERROR(INDEX(#REF!,MATCH(AB108,#REF!,0))," ")</f>
        <v xml:space="preserve"> </v>
      </c>
      <c r="AB108" s="30">
        <f t="shared" si="21"/>
        <v>0</v>
      </c>
    </row>
    <row r="109" spans="1:28" x14ac:dyDescent="0.25">
      <c r="A109" s="38"/>
      <c r="B109" s="31" t="s">
        <v>133</v>
      </c>
      <c r="C109" s="32" t="str">
        <f>IF('Infos générales'!$E$2="x",IF(A109&gt;0,INDEX(DP!$A$10:$G$265,MATCH(A109,DP!$A$10:$A$265,0),6)," "),IF(A109&gt;0,INDEX(DP!$A$10:$G$265,MATCH(A109,DP!$A$10:$A$265,0),4)," "))</f>
        <v xml:space="preserve"> </v>
      </c>
      <c r="E109" s="39"/>
      <c r="F109" s="33" t="s">
        <v>34</v>
      </c>
      <c r="G109" s="40"/>
      <c r="H109" s="39"/>
      <c r="I109" s="33" t="s">
        <v>34</v>
      </c>
      <c r="J109" s="40"/>
      <c r="K109" s="39"/>
      <c r="L109" s="33" t="s">
        <v>34</v>
      </c>
      <c r="M109" s="40"/>
      <c r="N109" s="34">
        <f t="shared" si="11"/>
        <v>99</v>
      </c>
      <c r="O109" s="20">
        <f t="shared" si="12"/>
        <v>1.0102089999999999</v>
      </c>
      <c r="P109" s="20">
        <f t="shared" si="13"/>
        <v>99</v>
      </c>
      <c r="Q109" s="20" t="str">
        <f t="shared" si="14"/>
        <v xml:space="preserve"> </v>
      </c>
      <c r="R109" s="20">
        <f t="shared" si="15"/>
        <v>0</v>
      </c>
      <c r="S109" s="20">
        <f t="shared" si="16"/>
        <v>0</v>
      </c>
      <c r="T109" s="20">
        <f t="shared" si="17"/>
        <v>0</v>
      </c>
      <c r="U109" s="20">
        <f>IF($J$2="x",IFERROR(SMALL($O$11:$O$14,99),0),IF($J$3="x",IFERROR(SMALL($O$11:$O$18,99),0),IF($J$4="x",IFERROR(SMALL($O$11:$O$26,99),0),IF($J$5="x",IFERROR(SMALL($O$11:$O$42,99),0),IF($J$6="x",IFERROR(SMALL($O$11:$O$74,99),0),IF($J$7="x",IFERROR(SMALL($O$11:$O$138,99),0),IFERROR(SMALL($O$11:$O$266,99),0)))))))</f>
        <v>1.0102089999999999</v>
      </c>
      <c r="V109" s="20">
        <f t="shared" si="18"/>
        <v>99</v>
      </c>
      <c r="W109" s="20" t="str">
        <f t="shared" si="19"/>
        <v xml:space="preserve"> </v>
      </c>
      <c r="Y109" s="29">
        <v>99</v>
      </c>
      <c r="Z109" s="36" t="str">
        <f t="shared" si="20"/>
        <v xml:space="preserve"> </v>
      </c>
      <c r="AA109" s="35" t="str">
        <f>IFERROR(INDEX(#REF!,MATCH(AB109,#REF!,0))," ")</f>
        <v xml:space="preserve"> </v>
      </c>
      <c r="AB109" s="30">
        <f t="shared" si="21"/>
        <v>0</v>
      </c>
    </row>
    <row r="110" spans="1:28" x14ac:dyDescent="0.25">
      <c r="A110" s="38"/>
      <c r="B110" s="31" t="s">
        <v>134</v>
      </c>
      <c r="C110" s="32" t="str">
        <f>IF('Infos générales'!$E$2="x",IF(A110&gt;0,INDEX(DP!$A$10:$G$265,MATCH(A110,DP!$A$10:$A$265,0),6)," "),IF(A110&gt;0,INDEX(DP!$A$10:$G$265,MATCH(A110,DP!$A$10:$A$265,0),4)," "))</f>
        <v xml:space="preserve"> </v>
      </c>
      <c r="E110" s="39"/>
      <c r="F110" s="33" t="s">
        <v>34</v>
      </c>
      <c r="G110" s="40"/>
      <c r="H110" s="39"/>
      <c r="I110" s="33" t="s">
        <v>34</v>
      </c>
      <c r="J110" s="40"/>
      <c r="K110" s="39"/>
      <c r="L110" s="33" t="s">
        <v>34</v>
      </c>
      <c r="M110" s="40"/>
      <c r="N110" s="34">
        <f t="shared" si="11"/>
        <v>100</v>
      </c>
      <c r="O110" s="20">
        <f t="shared" si="12"/>
        <v>1.0102100000000001</v>
      </c>
      <c r="P110" s="20">
        <f t="shared" si="13"/>
        <v>100</v>
      </c>
      <c r="Q110" s="20" t="str">
        <f t="shared" si="14"/>
        <v xml:space="preserve"> </v>
      </c>
      <c r="R110" s="20">
        <f t="shared" si="15"/>
        <v>0</v>
      </c>
      <c r="S110" s="20">
        <f t="shared" si="16"/>
        <v>0</v>
      </c>
      <c r="T110" s="20">
        <f t="shared" si="17"/>
        <v>0</v>
      </c>
      <c r="U110" s="20">
        <f>IF($J$2="x",IFERROR(SMALL($O$11:$O$14,100),0),IF($J$3="x",IFERROR(SMALL($O$11:$O$18,100),0),IF($J$4="x",IFERROR(SMALL($O$11:$O$26,100),0),IF($J$5="x",IFERROR(SMALL($O$11:$O$42,100),0),IF($J$6="x",IFERROR(SMALL($O$11:$O$74,100),0),IF($J$7="x",IFERROR(SMALL($O$11:$O$138,100),0),IFERROR(SMALL($O$11:$O$266,100),0)))))))</f>
        <v>1.0102100000000001</v>
      </c>
      <c r="V110" s="20">
        <f t="shared" si="18"/>
        <v>100</v>
      </c>
      <c r="W110" s="20" t="str">
        <f t="shared" si="19"/>
        <v xml:space="preserve"> </v>
      </c>
      <c r="Y110" s="29">
        <v>100</v>
      </c>
      <c r="Z110" s="36" t="str">
        <f t="shared" si="20"/>
        <v xml:space="preserve"> </v>
      </c>
      <c r="AA110" s="35" t="str">
        <f>IFERROR(INDEX(#REF!,MATCH(AB110,#REF!,0))," ")</f>
        <v xml:space="preserve"> </v>
      </c>
      <c r="AB110" s="30">
        <f t="shared" si="21"/>
        <v>0</v>
      </c>
    </row>
    <row r="111" spans="1:28" x14ac:dyDescent="0.25">
      <c r="A111" s="38"/>
      <c r="B111" s="31" t="s">
        <v>135</v>
      </c>
      <c r="C111" s="32" t="str">
        <f>IF('Infos générales'!$E$2="x",IF(A111&gt;0,INDEX(DP!$A$10:$G$265,MATCH(A111,DP!$A$10:$A$265,0),6)," "),IF(A111&gt;0,INDEX(DP!$A$10:$G$265,MATCH(A111,DP!$A$10:$A$265,0),4)," "))</f>
        <v xml:space="preserve"> </v>
      </c>
      <c r="E111" s="39"/>
      <c r="F111" s="33" t="s">
        <v>34</v>
      </c>
      <c r="G111" s="40"/>
      <c r="H111" s="39"/>
      <c r="I111" s="33" t="s">
        <v>34</v>
      </c>
      <c r="J111" s="40"/>
      <c r="K111" s="39"/>
      <c r="L111" s="33" t="s">
        <v>34</v>
      </c>
      <c r="M111" s="40"/>
      <c r="N111" s="34">
        <f t="shared" si="11"/>
        <v>101</v>
      </c>
      <c r="O111" s="20">
        <f t="shared" si="12"/>
        <v>1.010211</v>
      </c>
      <c r="P111" s="20">
        <f t="shared" si="13"/>
        <v>101</v>
      </c>
      <c r="Q111" s="20" t="str">
        <f t="shared" si="14"/>
        <v xml:space="preserve"> </v>
      </c>
      <c r="R111" s="20">
        <f t="shared" si="15"/>
        <v>0</v>
      </c>
      <c r="S111" s="20">
        <f t="shared" si="16"/>
        <v>0</v>
      </c>
      <c r="T111" s="20">
        <f t="shared" si="17"/>
        <v>0</v>
      </c>
      <c r="U111" s="20">
        <f>IF($J$2="x",IFERROR(SMALL($O$11:$O$14,101),0),IF($J$3="x",IFERROR(SMALL($O$11:$O$18,101),0),IF($J$4="x",IFERROR(SMALL($O$11:$O$26,101),0),IF($J$5="x",IFERROR(SMALL($O$11:$O$42,101),0),IF($J$6="x",IFERROR(SMALL($O$11:$O$74,101),0),IF($J$7="x",IFERROR(SMALL($O$11:$O$138,101),0),IFERROR(SMALL($O$11:$O$266,101),0)))))))</f>
        <v>1.010211</v>
      </c>
      <c r="V111" s="20">
        <f t="shared" si="18"/>
        <v>101</v>
      </c>
      <c r="W111" s="20" t="str">
        <f t="shared" si="19"/>
        <v xml:space="preserve"> </v>
      </c>
      <c r="Y111" s="29">
        <v>101</v>
      </c>
      <c r="Z111" s="36" t="str">
        <f t="shared" si="20"/>
        <v xml:space="preserve"> </v>
      </c>
      <c r="AA111" s="35" t="str">
        <f>IFERROR(INDEX(#REF!,MATCH(AB111,#REF!,0))," ")</f>
        <v xml:space="preserve"> </v>
      </c>
      <c r="AB111" s="30">
        <f t="shared" si="21"/>
        <v>0</v>
      </c>
    </row>
    <row r="112" spans="1:28" x14ac:dyDescent="0.25">
      <c r="A112" s="38"/>
      <c r="B112" s="31" t="s">
        <v>136</v>
      </c>
      <c r="C112" s="32" t="str">
        <f>IF('Infos générales'!$E$2="x",IF(A112&gt;0,INDEX(DP!$A$10:$G$265,MATCH(A112,DP!$A$10:$A$265,0),6)," "),IF(A112&gt;0,INDEX(DP!$A$10:$G$265,MATCH(A112,DP!$A$10:$A$265,0),4)," "))</f>
        <v xml:space="preserve"> </v>
      </c>
      <c r="E112" s="39"/>
      <c r="F112" s="33" t="s">
        <v>34</v>
      </c>
      <c r="G112" s="40"/>
      <c r="H112" s="39"/>
      <c r="I112" s="33" t="s">
        <v>34</v>
      </c>
      <c r="J112" s="40"/>
      <c r="K112" s="39"/>
      <c r="L112" s="33" t="s">
        <v>34</v>
      </c>
      <c r="M112" s="40"/>
      <c r="N112" s="34">
        <f t="shared" si="11"/>
        <v>102</v>
      </c>
      <c r="O112" s="20">
        <f t="shared" si="12"/>
        <v>1.0102119999999999</v>
      </c>
      <c r="P112" s="20">
        <f t="shared" si="13"/>
        <v>102</v>
      </c>
      <c r="Q112" s="20" t="str">
        <f t="shared" si="14"/>
        <v xml:space="preserve"> </v>
      </c>
      <c r="R112" s="20">
        <f t="shared" si="15"/>
        <v>0</v>
      </c>
      <c r="S112" s="20">
        <f t="shared" si="16"/>
        <v>0</v>
      </c>
      <c r="T112" s="20">
        <f t="shared" si="17"/>
        <v>0</v>
      </c>
      <c r="U112" s="20">
        <f>IF($J$2="x",IFERROR(SMALL($O$11:$O$14,102),0),IF($J$3="x",IFERROR(SMALL($O$11:$O$18,102),0),IF($J$4="x",IFERROR(SMALL($O$11:$O$26,102),0),IF($J$5="x",IFERROR(SMALL($O$11:$O$42,102),0),IF($J$6="x",IFERROR(SMALL($O$11:$O$74,102),0),IF($J$7="x",IFERROR(SMALL($O$11:$O$138,102),0),IFERROR(SMALL($O$11:$O$266,102),0)))))))</f>
        <v>1.0102119999999999</v>
      </c>
      <c r="V112" s="20">
        <f t="shared" si="18"/>
        <v>102</v>
      </c>
      <c r="W112" s="20" t="str">
        <f t="shared" si="19"/>
        <v xml:space="preserve"> </v>
      </c>
      <c r="Y112" s="29">
        <v>102</v>
      </c>
      <c r="Z112" s="36" t="str">
        <f t="shared" si="20"/>
        <v xml:space="preserve"> </v>
      </c>
      <c r="AA112" s="35" t="str">
        <f>IFERROR(INDEX(#REF!,MATCH(AB112,#REF!,0))," ")</f>
        <v xml:space="preserve"> </v>
      </c>
      <c r="AB112" s="30">
        <f t="shared" si="21"/>
        <v>0</v>
      </c>
    </row>
    <row r="113" spans="1:28" x14ac:dyDescent="0.25">
      <c r="A113" s="38"/>
      <c r="B113" s="31" t="s">
        <v>137</v>
      </c>
      <c r="C113" s="32" t="str">
        <f>IF('Infos générales'!$E$2="x",IF(A113&gt;0,INDEX(DP!$A$10:$G$265,MATCH(A113,DP!$A$10:$A$265,0),6)," "),IF(A113&gt;0,INDEX(DP!$A$10:$G$265,MATCH(A113,DP!$A$10:$A$265,0),4)," "))</f>
        <v xml:space="preserve"> </v>
      </c>
      <c r="E113" s="39"/>
      <c r="F113" s="33" t="s">
        <v>34</v>
      </c>
      <c r="G113" s="40"/>
      <c r="H113" s="39"/>
      <c r="I113" s="33" t="s">
        <v>34</v>
      </c>
      <c r="J113" s="40"/>
      <c r="K113" s="39"/>
      <c r="L113" s="33" t="s">
        <v>34</v>
      </c>
      <c r="M113" s="40"/>
      <c r="N113" s="34">
        <f t="shared" si="11"/>
        <v>103</v>
      </c>
      <c r="O113" s="20">
        <f t="shared" si="12"/>
        <v>1.010213</v>
      </c>
      <c r="P113" s="20">
        <f t="shared" si="13"/>
        <v>103</v>
      </c>
      <c r="Q113" s="20" t="str">
        <f t="shared" si="14"/>
        <v xml:space="preserve"> </v>
      </c>
      <c r="R113" s="20">
        <f t="shared" si="15"/>
        <v>0</v>
      </c>
      <c r="S113" s="20">
        <f t="shared" si="16"/>
        <v>0</v>
      </c>
      <c r="T113" s="20">
        <f t="shared" si="17"/>
        <v>0</v>
      </c>
      <c r="U113" s="20">
        <f>IF($J$2="x",IFERROR(SMALL($O$11:$O$14,103),0),IF($J$3="x",IFERROR(SMALL($O$11:$O$18,103),0),IF($J$4="x",IFERROR(SMALL($O$11:$O$26,103),0),IF($J$5="x",IFERROR(SMALL($O$11:$O$42,103),0),IF($J$6="x",IFERROR(SMALL($O$11:$O$74,103),0),IF($J$7="x",IFERROR(SMALL($O$11:$O$138,103),0),IFERROR(SMALL($O$11:$O$266,103),0)))))))</f>
        <v>1.010213</v>
      </c>
      <c r="V113" s="20">
        <f t="shared" si="18"/>
        <v>103</v>
      </c>
      <c r="W113" s="20" t="str">
        <f t="shared" si="19"/>
        <v xml:space="preserve"> </v>
      </c>
      <c r="Y113" s="29">
        <v>103</v>
      </c>
      <c r="Z113" s="36" t="str">
        <f t="shared" si="20"/>
        <v xml:space="preserve"> </v>
      </c>
      <c r="AA113" s="35" t="str">
        <f>IFERROR(INDEX(#REF!,MATCH(AB113,#REF!,0))," ")</f>
        <v xml:space="preserve"> </v>
      </c>
      <c r="AB113" s="30">
        <f t="shared" si="21"/>
        <v>0</v>
      </c>
    </row>
    <row r="114" spans="1:28" x14ac:dyDescent="0.25">
      <c r="A114" s="38"/>
      <c r="B114" s="31" t="s">
        <v>138</v>
      </c>
      <c r="C114" s="32" t="str">
        <f>IF('Infos générales'!$E$2="x",IF(A114&gt;0,INDEX(DP!$A$10:$G$265,MATCH(A114,DP!$A$10:$A$265,0),6)," "),IF(A114&gt;0,INDEX(DP!$A$10:$G$265,MATCH(A114,DP!$A$10:$A$265,0),4)," "))</f>
        <v xml:space="preserve"> </v>
      </c>
      <c r="E114" s="39"/>
      <c r="F114" s="33" t="s">
        <v>34</v>
      </c>
      <c r="G114" s="40"/>
      <c r="H114" s="39"/>
      <c r="I114" s="33" t="s">
        <v>34</v>
      </c>
      <c r="J114" s="40"/>
      <c r="K114" s="39"/>
      <c r="L114" s="33" t="s">
        <v>34</v>
      </c>
      <c r="M114" s="40"/>
      <c r="N114" s="34">
        <f t="shared" si="11"/>
        <v>104</v>
      </c>
      <c r="O114" s="20">
        <f t="shared" si="12"/>
        <v>1.0102139999999999</v>
      </c>
      <c r="P114" s="20">
        <f t="shared" si="13"/>
        <v>104</v>
      </c>
      <c r="Q114" s="20" t="str">
        <f t="shared" si="14"/>
        <v xml:space="preserve"> </v>
      </c>
      <c r="R114" s="20">
        <f t="shared" si="15"/>
        <v>0</v>
      </c>
      <c r="S114" s="20">
        <f t="shared" si="16"/>
        <v>0</v>
      </c>
      <c r="T114" s="20">
        <f t="shared" si="17"/>
        <v>0</v>
      </c>
      <c r="U114" s="20">
        <f>IF($J$2="x",IFERROR(SMALL($O$11:$O$14,104),0),IF($J$3="x",IFERROR(SMALL($O$11:$O$18,104),0),IF($J$4="x",IFERROR(SMALL($O$11:$O$26,104),0),IF($J$5="x",IFERROR(SMALL($O$11:$O$42,104),0),IF($J$6="x",IFERROR(SMALL($O$11:$O$74,104),0),IF($J$7="x",IFERROR(SMALL($O$11:$O$138,104),0),IFERROR(SMALL($O$11:$O$266,104),0)))))))</f>
        <v>1.0102139999999999</v>
      </c>
      <c r="V114" s="20">
        <f t="shared" si="18"/>
        <v>104</v>
      </c>
      <c r="W114" s="20" t="str">
        <f t="shared" si="19"/>
        <v xml:space="preserve"> </v>
      </c>
      <c r="Y114" s="29">
        <v>104</v>
      </c>
      <c r="Z114" s="36" t="str">
        <f t="shared" si="20"/>
        <v xml:space="preserve"> </v>
      </c>
      <c r="AA114" s="35" t="str">
        <f>IFERROR(INDEX(#REF!,MATCH(AB114,#REF!,0))," ")</f>
        <v xml:space="preserve"> </v>
      </c>
      <c r="AB114" s="30">
        <f t="shared" si="21"/>
        <v>0</v>
      </c>
    </row>
    <row r="115" spans="1:28" x14ac:dyDescent="0.25">
      <c r="A115" s="38"/>
      <c r="B115" s="31" t="s">
        <v>139</v>
      </c>
      <c r="C115" s="32" t="str">
        <f>IF('Infos générales'!$E$2="x",IF(A115&gt;0,INDEX(DP!$A$10:$G$265,MATCH(A115,DP!$A$10:$A$265,0),6)," "),IF(A115&gt;0,INDEX(DP!$A$10:$G$265,MATCH(A115,DP!$A$10:$A$265,0),4)," "))</f>
        <v xml:space="preserve"> </v>
      </c>
      <c r="E115" s="39"/>
      <c r="F115" s="33" t="s">
        <v>34</v>
      </c>
      <c r="G115" s="40"/>
      <c r="H115" s="39"/>
      <c r="I115" s="33" t="s">
        <v>34</v>
      </c>
      <c r="J115" s="40"/>
      <c r="K115" s="39"/>
      <c r="L115" s="33" t="s">
        <v>34</v>
      </c>
      <c r="M115" s="40"/>
      <c r="N115" s="34">
        <f t="shared" si="11"/>
        <v>105</v>
      </c>
      <c r="O115" s="20">
        <f t="shared" si="12"/>
        <v>1.0102150000000001</v>
      </c>
      <c r="P115" s="20">
        <f t="shared" si="13"/>
        <v>105</v>
      </c>
      <c r="Q115" s="20" t="str">
        <f t="shared" si="14"/>
        <v xml:space="preserve"> </v>
      </c>
      <c r="R115" s="20">
        <f t="shared" si="15"/>
        <v>0</v>
      </c>
      <c r="S115" s="20">
        <f t="shared" si="16"/>
        <v>0</v>
      </c>
      <c r="T115" s="20">
        <f t="shared" si="17"/>
        <v>0</v>
      </c>
      <c r="U115" s="20">
        <f>IF($J$2="x",IFERROR(SMALL($O$11:$O$14,105),0),IF($J$3="x",IFERROR(SMALL($O$11:$O$18,105),0),IF($J$4="x",IFERROR(SMALL($O$11:$O$26,105),0),IF($J$5="x",IFERROR(SMALL($O$11:$O$42,105),0),IF($J$6="x",IFERROR(SMALL($O$11:$O$74,105),0),IF($J$7="x",IFERROR(SMALL($O$11:$O$138,105),0),IFERROR(SMALL($O$11:$O$266,105),0)))))))</f>
        <v>1.0102150000000001</v>
      </c>
      <c r="V115" s="20">
        <f t="shared" si="18"/>
        <v>105</v>
      </c>
      <c r="W115" s="20" t="str">
        <f t="shared" si="19"/>
        <v xml:space="preserve"> </v>
      </c>
      <c r="Y115" s="29">
        <v>105</v>
      </c>
      <c r="Z115" s="36" t="str">
        <f t="shared" si="20"/>
        <v xml:space="preserve"> </v>
      </c>
      <c r="AA115" s="35" t="str">
        <f>IFERROR(INDEX(#REF!,MATCH(AB115,#REF!,0))," ")</f>
        <v xml:space="preserve"> </v>
      </c>
      <c r="AB115" s="30">
        <f t="shared" si="21"/>
        <v>0</v>
      </c>
    </row>
    <row r="116" spans="1:28" x14ac:dyDescent="0.25">
      <c r="A116" s="38"/>
      <c r="B116" s="31" t="s">
        <v>140</v>
      </c>
      <c r="C116" s="32" t="str">
        <f>IF('Infos générales'!$E$2="x",IF(A116&gt;0,INDEX(DP!$A$10:$G$265,MATCH(A116,DP!$A$10:$A$265,0),6)," "),IF(A116&gt;0,INDEX(DP!$A$10:$G$265,MATCH(A116,DP!$A$10:$A$265,0),4)," "))</f>
        <v xml:space="preserve"> </v>
      </c>
      <c r="E116" s="39"/>
      <c r="F116" s="33" t="s">
        <v>34</v>
      </c>
      <c r="G116" s="40"/>
      <c r="H116" s="39"/>
      <c r="I116" s="33" t="s">
        <v>34</v>
      </c>
      <c r="J116" s="40"/>
      <c r="K116" s="39"/>
      <c r="L116" s="33" t="s">
        <v>34</v>
      </c>
      <c r="M116" s="40"/>
      <c r="N116" s="34">
        <f t="shared" si="11"/>
        <v>106</v>
      </c>
      <c r="O116" s="20">
        <f t="shared" si="12"/>
        <v>1.010216</v>
      </c>
      <c r="P116" s="20">
        <f t="shared" si="13"/>
        <v>106</v>
      </c>
      <c r="Q116" s="20" t="str">
        <f t="shared" si="14"/>
        <v xml:space="preserve"> </v>
      </c>
      <c r="R116" s="20">
        <f t="shared" si="15"/>
        <v>0</v>
      </c>
      <c r="S116" s="20">
        <f t="shared" si="16"/>
        <v>0</v>
      </c>
      <c r="T116" s="20">
        <f t="shared" si="17"/>
        <v>0</v>
      </c>
      <c r="U116" s="20">
        <f>IF($J$2="x",IFERROR(SMALL($O$11:$O$14,106),0),IF($J$3="x",IFERROR(SMALL($O$11:$O$18,106),0),IF($J$4="x",IFERROR(SMALL($O$11:$O$26,106),0),IF($J$5="x",IFERROR(SMALL($O$11:$O$42,106),0),IF($J$6="x",IFERROR(SMALL($O$11:$O$74,106),0),IF($J$7="x",IFERROR(SMALL($O$11:$O$138,106),0),IFERROR(SMALL($O$11:$O$266,106),0)))))))</f>
        <v>1.010216</v>
      </c>
      <c r="V116" s="20">
        <f t="shared" si="18"/>
        <v>106</v>
      </c>
      <c r="W116" s="20" t="str">
        <f t="shared" si="19"/>
        <v xml:space="preserve"> </v>
      </c>
      <c r="Y116" s="29">
        <v>106</v>
      </c>
      <c r="Z116" s="36" t="str">
        <f t="shared" si="20"/>
        <v xml:space="preserve"> </v>
      </c>
      <c r="AA116" s="35" t="str">
        <f>IFERROR(INDEX(#REF!,MATCH(AB116,#REF!,0))," ")</f>
        <v xml:space="preserve"> </v>
      </c>
      <c r="AB116" s="30">
        <f t="shared" si="21"/>
        <v>0</v>
      </c>
    </row>
    <row r="117" spans="1:28" x14ac:dyDescent="0.25">
      <c r="A117" s="38"/>
      <c r="B117" s="31" t="s">
        <v>141</v>
      </c>
      <c r="C117" s="32" t="str">
        <f>IF('Infos générales'!$E$2="x",IF(A117&gt;0,INDEX(DP!$A$10:$G$265,MATCH(A117,DP!$A$10:$A$265,0),6)," "),IF(A117&gt;0,INDEX(DP!$A$10:$G$265,MATCH(A117,DP!$A$10:$A$265,0),4)," "))</f>
        <v xml:space="preserve"> </v>
      </c>
      <c r="E117" s="39"/>
      <c r="F117" s="33" t="s">
        <v>34</v>
      </c>
      <c r="G117" s="40"/>
      <c r="H117" s="39"/>
      <c r="I117" s="33" t="s">
        <v>34</v>
      </c>
      <c r="J117" s="40"/>
      <c r="K117" s="39"/>
      <c r="L117" s="33" t="s">
        <v>34</v>
      </c>
      <c r="M117" s="40"/>
      <c r="N117" s="34">
        <f t="shared" si="11"/>
        <v>107</v>
      </c>
      <c r="O117" s="20">
        <f t="shared" si="12"/>
        <v>1.0102169999999999</v>
      </c>
      <c r="P117" s="20">
        <f t="shared" si="13"/>
        <v>107</v>
      </c>
      <c r="Q117" s="20" t="str">
        <f t="shared" si="14"/>
        <v xml:space="preserve"> </v>
      </c>
      <c r="R117" s="20">
        <f t="shared" si="15"/>
        <v>0</v>
      </c>
      <c r="S117" s="20">
        <f t="shared" si="16"/>
        <v>0</v>
      </c>
      <c r="T117" s="20">
        <f t="shared" si="17"/>
        <v>0</v>
      </c>
      <c r="U117" s="20">
        <f>IF($J$2="x",IFERROR(SMALL($O$11:$O$14,107),0),IF($J$3="x",IFERROR(SMALL($O$11:$O$18,107),0),IF($J$4="x",IFERROR(SMALL($O$11:$O$26,107),0),IF($J$5="x",IFERROR(SMALL($O$11:$O$42,107),0),IF($J$6="x",IFERROR(SMALL($O$11:$O$74,107),0),IF($J$7="x",IFERROR(SMALL($O$11:$O$138,107),0),IFERROR(SMALL($O$11:$O$266,107),0)))))))</f>
        <v>1.0102169999999999</v>
      </c>
      <c r="V117" s="20">
        <f t="shared" si="18"/>
        <v>107</v>
      </c>
      <c r="W117" s="20" t="str">
        <f t="shared" si="19"/>
        <v xml:space="preserve"> </v>
      </c>
      <c r="Y117" s="29">
        <v>107</v>
      </c>
      <c r="Z117" s="36" t="str">
        <f t="shared" si="20"/>
        <v xml:space="preserve"> </v>
      </c>
      <c r="AA117" s="35" t="str">
        <f>IFERROR(INDEX(#REF!,MATCH(AB117,#REF!,0))," ")</f>
        <v xml:space="preserve"> </v>
      </c>
      <c r="AB117" s="30">
        <f t="shared" si="21"/>
        <v>0</v>
      </c>
    </row>
    <row r="118" spans="1:28" x14ac:dyDescent="0.25">
      <c r="A118" s="38"/>
      <c r="B118" s="31" t="s">
        <v>142</v>
      </c>
      <c r="C118" s="32" t="str">
        <f>IF('Infos générales'!$E$2="x",IF(A118&gt;0,INDEX(DP!$A$10:$G$265,MATCH(A118,DP!$A$10:$A$265,0),6)," "),IF(A118&gt;0,INDEX(DP!$A$10:$G$265,MATCH(A118,DP!$A$10:$A$265,0),4)," "))</f>
        <v xml:space="preserve"> </v>
      </c>
      <c r="E118" s="39"/>
      <c r="F118" s="33" t="s">
        <v>34</v>
      </c>
      <c r="G118" s="40"/>
      <c r="H118" s="39"/>
      <c r="I118" s="33" t="s">
        <v>34</v>
      </c>
      <c r="J118" s="40"/>
      <c r="K118" s="39"/>
      <c r="L118" s="33" t="s">
        <v>34</v>
      </c>
      <c r="M118" s="40"/>
      <c r="N118" s="34">
        <f t="shared" si="11"/>
        <v>108</v>
      </c>
      <c r="O118" s="20">
        <f t="shared" si="12"/>
        <v>1.0102180000000001</v>
      </c>
      <c r="P118" s="20">
        <f t="shared" si="13"/>
        <v>108</v>
      </c>
      <c r="Q118" s="20" t="str">
        <f t="shared" si="14"/>
        <v xml:space="preserve"> </v>
      </c>
      <c r="R118" s="20">
        <f t="shared" si="15"/>
        <v>0</v>
      </c>
      <c r="S118" s="20">
        <f t="shared" si="16"/>
        <v>0</v>
      </c>
      <c r="T118" s="20">
        <f t="shared" si="17"/>
        <v>0</v>
      </c>
      <c r="U118" s="20">
        <f>IF($J$2="x",IFERROR(SMALL($O$11:$O$14,108),0),IF($J$3="x",IFERROR(SMALL($O$11:$O$18,108),0),IF($J$4="x",IFERROR(SMALL($O$11:$O$26,108),0),IF($J$5="x",IFERROR(SMALL($O$11:$O$42,108),0),IF($J$6="x",IFERROR(SMALL($O$11:$O$74,108),0),IF($J$7="x",IFERROR(SMALL($O$11:$O$138,108),0),IFERROR(SMALL($O$11:$O$266,108),0)))))))</f>
        <v>1.0102180000000001</v>
      </c>
      <c r="V118" s="20">
        <f t="shared" si="18"/>
        <v>108</v>
      </c>
      <c r="W118" s="20" t="str">
        <f t="shared" si="19"/>
        <v xml:space="preserve"> </v>
      </c>
      <c r="Y118" s="29">
        <v>108</v>
      </c>
      <c r="Z118" s="36" t="str">
        <f t="shared" si="20"/>
        <v xml:space="preserve"> </v>
      </c>
      <c r="AA118" s="35" t="str">
        <f>IFERROR(INDEX(#REF!,MATCH(AB118,#REF!,0))," ")</f>
        <v xml:space="preserve"> </v>
      </c>
      <c r="AB118" s="30">
        <f t="shared" si="21"/>
        <v>0</v>
      </c>
    </row>
    <row r="119" spans="1:28" x14ac:dyDescent="0.25">
      <c r="A119" s="38"/>
      <c r="B119" s="31" t="s">
        <v>143</v>
      </c>
      <c r="C119" s="32" t="str">
        <f>IF('Infos générales'!$E$2="x",IF(A119&gt;0,INDEX(DP!$A$10:$G$265,MATCH(A119,DP!$A$10:$A$265,0),6)," "),IF(A119&gt;0,INDEX(DP!$A$10:$G$265,MATCH(A119,DP!$A$10:$A$265,0),4)," "))</f>
        <v xml:space="preserve"> </v>
      </c>
      <c r="E119" s="39"/>
      <c r="F119" s="33" t="s">
        <v>34</v>
      </c>
      <c r="G119" s="40"/>
      <c r="H119" s="39"/>
      <c r="I119" s="33" t="s">
        <v>34</v>
      </c>
      <c r="J119" s="40"/>
      <c r="K119" s="39"/>
      <c r="L119" s="33" t="s">
        <v>34</v>
      </c>
      <c r="M119" s="40"/>
      <c r="N119" s="34">
        <f t="shared" si="11"/>
        <v>109</v>
      </c>
      <c r="O119" s="20">
        <f t="shared" si="12"/>
        <v>1.010219</v>
      </c>
      <c r="P119" s="20">
        <f t="shared" si="13"/>
        <v>109</v>
      </c>
      <c r="Q119" s="20" t="str">
        <f t="shared" si="14"/>
        <v xml:space="preserve"> </v>
      </c>
      <c r="R119" s="20">
        <f t="shared" si="15"/>
        <v>0</v>
      </c>
      <c r="S119" s="20">
        <f t="shared" si="16"/>
        <v>0</v>
      </c>
      <c r="T119" s="20">
        <f t="shared" si="17"/>
        <v>0</v>
      </c>
      <c r="U119" s="20">
        <f>IF($J$2="x",IFERROR(SMALL($O$11:$O$14,109),0),IF($J$3="x",IFERROR(SMALL($O$11:$O$18,109),0),IF($J$4="x",IFERROR(SMALL($O$11:$O$26,109),0),IF($J$5="x",IFERROR(SMALL($O$11:$O$42,109),0),IF($J$6="x",IFERROR(SMALL($O$11:$O$74,109),0),IF($J$7="x",IFERROR(SMALL($O$11:$O$138,109),0),IFERROR(SMALL($O$11:$O$266,109),0)))))))</f>
        <v>1.010219</v>
      </c>
      <c r="V119" s="20">
        <f t="shared" si="18"/>
        <v>109</v>
      </c>
      <c r="W119" s="20" t="str">
        <f t="shared" si="19"/>
        <v xml:space="preserve"> </v>
      </c>
      <c r="Y119" s="29">
        <v>109</v>
      </c>
      <c r="Z119" s="36" t="str">
        <f t="shared" si="20"/>
        <v xml:space="preserve"> </v>
      </c>
      <c r="AA119" s="35" t="str">
        <f>IFERROR(INDEX(#REF!,MATCH(AB119,#REF!,0))," ")</f>
        <v xml:space="preserve"> </v>
      </c>
      <c r="AB119" s="30">
        <f t="shared" si="21"/>
        <v>0</v>
      </c>
    </row>
    <row r="120" spans="1:28" x14ac:dyDescent="0.25">
      <c r="A120" s="38"/>
      <c r="B120" s="31" t="s">
        <v>144</v>
      </c>
      <c r="C120" s="32" t="str">
        <f>IF('Infos générales'!$E$2="x",IF(A120&gt;0,INDEX(DP!$A$10:$G$265,MATCH(A120,DP!$A$10:$A$265,0),6)," "),IF(A120&gt;0,INDEX(DP!$A$10:$G$265,MATCH(A120,DP!$A$10:$A$265,0),4)," "))</f>
        <v xml:space="preserve"> </v>
      </c>
      <c r="E120" s="39"/>
      <c r="F120" s="33" t="s">
        <v>34</v>
      </c>
      <c r="G120" s="40"/>
      <c r="H120" s="39"/>
      <c r="I120" s="33" t="s">
        <v>34</v>
      </c>
      <c r="J120" s="40"/>
      <c r="K120" s="39"/>
      <c r="L120" s="33" t="s">
        <v>34</v>
      </c>
      <c r="M120" s="40"/>
      <c r="N120" s="34">
        <f t="shared" si="11"/>
        <v>110</v>
      </c>
      <c r="O120" s="20">
        <f t="shared" si="12"/>
        <v>1.0102199999999999</v>
      </c>
      <c r="P120" s="20">
        <f t="shared" si="13"/>
        <v>110</v>
      </c>
      <c r="Q120" s="20" t="str">
        <f t="shared" si="14"/>
        <v xml:space="preserve"> </v>
      </c>
      <c r="R120" s="20">
        <f t="shared" si="15"/>
        <v>0</v>
      </c>
      <c r="S120" s="20">
        <f t="shared" si="16"/>
        <v>0</v>
      </c>
      <c r="T120" s="20">
        <f t="shared" si="17"/>
        <v>0</v>
      </c>
      <c r="U120" s="20">
        <f>IF($J$2="x",IFERROR(SMALL($O$11:$O$14,110),0),IF($J$3="x",IFERROR(SMALL($O$11:$O$18,110),0),IF($J$4="x",IFERROR(SMALL($O$11:$O$26,110),0),IF($J$5="x",IFERROR(SMALL($O$11:$O$42,110),0),IF($J$6="x",IFERROR(SMALL($O$11:$O$74,110),0),IF($J$7="x",IFERROR(SMALL($O$11:$O$138,110),0),IFERROR(SMALL($O$11:$O$266,110),0)))))))</f>
        <v>1.0102199999999999</v>
      </c>
      <c r="V120" s="20">
        <f t="shared" si="18"/>
        <v>110</v>
      </c>
      <c r="W120" s="20" t="str">
        <f t="shared" si="19"/>
        <v xml:space="preserve"> </v>
      </c>
      <c r="Y120" s="29">
        <v>110</v>
      </c>
      <c r="Z120" s="36" t="str">
        <f t="shared" si="20"/>
        <v xml:space="preserve"> </v>
      </c>
      <c r="AA120" s="35" t="str">
        <f>IFERROR(INDEX(#REF!,MATCH(AB120,#REF!,0))," ")</f>
        <v xml:space="preserve"> </v>
      </c>
      <c r="AB120" s="30">
        <f t="shared" si="21"/>
        <v>0</v>
      </c>
    </row>
    <row r="121" spans="1:28" x14ac:dyDescent="0.25">
      <c r="A121" s="38"/>
      <c r="B121" s="31" t="s">
        <v>145</v>
      </c>
      <c r="C121" s="32" t="str">
        <f>IF('Infos générales'!$E$2="x",IF(A121&gt;0,INDEX(DP!$A$10:$G$265,MATCH(A121,DP!$A$10:$A$265,0),6)," "),IF(A121&gt;0,INDEX(DP!$A$10:$G$265,MATCH(A121,DP!$A$10:$A$265,0),4)," "))</f>
        <v xml:space="preserve"> </v>
      </c>
      <c r="E121" s="39"/>
      <c r="F121" s="33" t="s">
        <v>34</v>
      </c>
      <c r="G121" s="40"/>
      <c r="H121" s="39"/>
      <c r="I121" s="33" t="s">
        <v>34</v>
      </c>
      <c r="J121" s="40"/>
      <c r="K121" s="39"/>
      <c r="L121" s="33" t="s">
        <v>34</v>
      </c>
      <c r="M121" s="40"/>
      <c r="N121" s="34">
        <f t="shared" si="11"/>
        <v>111</v>
      </c>
      <c r="O121" s="20">
        <f t="shared" si="12"/>
        <v>1.010221</v>
      </c>
      <c r="P121" s="20">
        <f t="shared" si="13"/>
        <v>111</v>
      </c>
      <c r="Q121" s="20" t="str">
        <f t="shared" si="14"/>
        <v xml:space="preserve"> </v>
      </c>
      <c r="R121" s="20">
        <f t="shared" si="15"/>
        <v>0</v>
      </c>
      <c r="S121" s="20">
        <f t="shared" si="16"/>
        <v>0</v>
      </c>
      <c r="T121" s="20">
        <f t="shared" si="17"/>
        <v>0</v>
      </c>
      <c r="U121" s="20">
        <f>IF($J$2="x",IFERROR(SMALL($O$11:$O$14,111),0),IF($J$3="x",IFERROR(SMALL($O$11:$O$18,111),0),IF($J$4="x",IFERROR(SMALL($O$11:$O$26,111),0),IF($J$5="x",IFERROR(SMALL($O$11:$O$42,111),0),IF($J$6="x",IFERROR(SMALL($O$11:$O$74,111),0),IF($J$7="x",IFERROR(SMALL($O$11:$O$138,111),0),IFERROR(SMALL($O$11:$O$266,111),0)))))))</f>
        <v>1.010221</v>
      </c>
      <c r="V121" s="20">
        <f t="shared" si="18"/>
        <v>111</v>
      </c>
      <c r="W121" s="20" t="str">
        <f t="shared" si="19"/>
        <v xml:space="preserve"> </v>
      </c>
      <c r="Y121" s="29">
        <v>111</v>
      </c>
      <c r="Z121" s="36" t="str">
        <f t="shared" si="20"/>
        <v xml:space="preserve"> </v>
      </c>
      <c r="AA121" s="35" t="str">
        <f>IFERROR(INDEX(#REF!,MATCH(AB121,#REF!,0))," ")</f>
        <v xml:space="preserve"> </v>
      </c>
      <c r="AB121" s="30">
        <f t="shared" si="21"/>
        <v>0</v>
      </c>
    </row>
    <row r="122" spans="1:28" x14ac:dyDescent="0.25">
      <c r="A122" s="38"/>
      <c r="B122" s="31" t="s">
        <v>146</v>
      </c>
      <c r="C122" s="32" t="str">
        <f>IF('Infos générales'!$E$2="x",IF(A122&gt;0,INDEX(DP!$A$10:$G$265,MATCH(A122,DP!$A$10:$A$265,0),6)," "),IF(A122&gt;0,INDEX(DP!$A$10:$G$265,MATCH(A122,DP!$A$10:$A$265,0),4)," "))</f>
        <v xml:space="preserve"> </v>
      </c>
      <c r="E122" s="39"/>
      <c r="F122" s="33" t="s">
        <v>34</v>
      </c>
      <c r="G122" s="40"/>
      <c r="H122" s="39"/>
      <c r="I122" s="33" t="s">
        <v>34</v>
      </c>
      <c r="J122" s="40"/>
      <c r="K122" s="39"/>
      <c r="L122" s="33" t="s">
        <v>34</v>
      </c>
      <c r="M122" s="40"/>
      <c r="N122" s="34">
        <f t="shared" si="11"/>
        <v>112</v>
      </c>
      <c r="O122" s="20">
        <f t="shared" si="12"/>
        <v>1.010222</v>
      </c>
      <c r="P122" s="20">
        <f t="shared" si="13"/>
        <v>112</v>
      </c>
      <c r="Q122" s="20" t="str">
        <f t="shared" si="14"/>
        <v xml:space="preserve"> </v>
      </c>
      <c r="R122" s="20">
        <f t="shared" si="15"/>
        <v>0</v>
      </c>
      <c r="S122" s="20">
        <f t="shared" si="16"/>
        <v>0</v>
      </c>
      <c r="T122" s="20">
        <f t="shared" si="17"/>
        <v>0</v>
      </c>
      <c r="U122" s="20">
        <f>IF($J$2="x",IFERROR(SMALL($O$11:$O$14,112),0),IF($J$3="x",IFERROR(SMALL($O$11:$O$18,112),0),IF($J$4="x",IFERROR(SMALL($O$11:$O$26,112),0),IF($J$5="x",IFERROR(SMALL($O$11:$O$42,112),0),IF($J$6="x",IFERROR(SMALL($O$11:$O$74,112),0),IF($J$7="x",IFERROR(SMALL($O$11:$O$138,112),0),IFERROR(SMALL($O$11:$O$266,112),0)))))))</f>
        <v>1.010222</v>
      </c>
      <c r="V122" s="20">
        <f t="shared" si="18"/>
        <v>112</v>
      </c>
      <c r="W122" s="20" t="str">
        <f t="shared" si="19"/>
        <v xml:space="preserve"> </v>
      </c>
      <c r="Y122" s="29">
        <v>112</v>
      </c>
      <c r="Z122" s="36" t="str">
        <f t="shared" si="20"/>
        <v xml:space="preserve"> </v>
      </c>
      <c r="AA122" s="35" t="str">
        <f>IFERROR(INDEX(#REF!,MATCH(AB122,#REF!,0))," ")</f>
        <v xml:space="preserve"> </v>
      </c>
      <c r="AB122" s="30">
        <f t="shared" si="21"/>
        <v>0</v>
      </c>
    </row>
    <row r="123" spans="1:28" x14ac:dyDescent="0.25">
      <c r="A123" s="38"/>
      <c r="B123" s="31" t="s">
        <v>147</v>
      </c>
      <c r="C123" s="32" t="str">
        <f>IF('Infos générales'!$E$2="x",IF(A123&gt;0,INDEX(DP!$A$10:$G$265,MATCH(A123,DP!$A$10:$A$265,0),6)," "),IF(A123&gt;0,INDEX(DP!$A$10:$G$265,MATCH(A123,DP!$A$10:$A$265,0),4)," "))</f>
        <v xml:space="preserve"> </v>
      </c>
      <c r="E123" s="39"/>
      <c r="F123" s="33" t="s">
        <v>34</v>
      </c>
      <c r="G123" s="40"/>
      <c r="H123" s="39"/>
      <c r="I123" s="33" t="s">
        <v>34</v>
      </c>
      <c r="J123" s="40"/>
      <c r="K123" s="39"/>
      <c r="L123" s="33" t="s">
        <v>34</v>
      </c>
      <c r="M123" s="40"/>
      <c r="N123" s="34">
        <f t="shared" si="11"/>
        <v>113</v>
      </c>
      <c r="O123" s="20">
        <f t="shared" si="12"/>
        <v>1.0102230000000001</v>
      </c>
      <c r="P123" s="20">
        <f t="shared" si="13"/>
        <v>113</v>
      </c>
      <c r="Q123" s="20" t="str">
        <f t="shared" si="14"/>
        <v xml:space="preserve"> </v>
      </c>
      <c r="R123" s="20">
        <f t="shared" si="15"/>
        <v>0</v>
      </c>
      <c r="S123" s="20">
        <f t="shared" si="16"/>
        <v>0</v>
      </c>
      <c r="T123" s="20">
        <f t="shared" si="17"/>
        <v>0</v>
      </c>
      <c r="U123" s="20">
        <f>IF($J$2="x",IFERROR(SMALL($O$11:$O$14,113),0),IF($J$3="x",IFERROR(SMALL($O$11:$O$18,113),0),IF($J$4="x",IFERROR(SMALL($O$11:$O$26,113),0),IF($J$5="x",IFERROR(SMALL($O$11:$O$42,113),0),IF($J$6="x",IFERROR(SMALL($O$11:$O$74,113),0),IF($J$7="x",IFERROR(SMALL($O$11:$O$138,113),0),IFERROR(SMALL($O$11:$O$266,113),0)))))))</f>
        <v>1.0102230000000001</v>
      </c>
      <c r="V123" s="20">
        <f t="shared" si="18"/>
        <v>113</v>
      </c>
      <c r="W123" s="20" t="str">
        <f t="shared" si="19"/>
        <v xml:space="preserve"> </v>
      </c>
      <c r="Y123" s="29">
        <v>113</v>
      </c>
      <c r="Z123" s="36" t="str">
        <f t="shared" si="20"/>
        <v xml:space="preserve"> </v>
      </c>
      <c r="AA123" s="35" t="str">
        <f>IFERROR(INDEX(#REF!,MATCH(AB123,#REF!,0))," ")</f>
        <v xml:space="preserve"> </v>
      </c>
      <c r="AB123" s="30">
        <f t="shared" si="21"/>
        <v>0</v>
      </c>
    </row>
    <row r="124" spans="1:28" x14ac:dyDescent="0.25">
      <c r="A124" s="38"/>
      <c r="B124" s="31" t="s">
        <v>148</v>
      </c>
      <c r="C124" s="32" t="str">
        <f>IF('Infos générales'!$E$2="x",IF(A124&gt;0,INDEX(DP!$A$10:$G$265,MATCH(A124,DP!$A$10:$A$265,0),6)," "),IF(A124&gt;0,INDEX(DP!$A$10:$G$265,MATCH(A124,DP!$A$10:$A$265,0),4)," "))</f>
        <v xml:space="preserve"> </v>
      </c>
      <c r="E124" s="39"/>
      <c r="F124" s="33" t="s">
        <v>34</v>
      </c>
      <c r="G124" s="40"/>
      <c r="H124" s="39"/>
      <c r="I124" s="33" t="s">
        <v>34</v>
      </c>
      <c r="J124" s="40"/>
      <c r="K124" s="39"/>
      <c r="L124" s="33" t="s">
        <v>34</v>
      </c>
      <c r="M124" s="40"/>
      <c r="N124" s="34">
        <f t="shared" si="11"/>
        <v>114</v>
      </c>
      <c r="O124" s="20">
        <f t="shared" si="12"/>
        <v>1.010224</v>
      </c>
      <c r="P124" s="20">
        <f t="shared" si="13"/>
        <v>114</v>
      </c>
      <c r="Q124" s="20" t="str">
        <f t="shared" si="14"/>
        <v xml:space="preserve"> </v>
      </c>
      <c r="R124" s="20">
        <f t="shared" si="15"/>
        <v>0</v>
      </c>
      <c r="S124" s="20">
        <f t="shared" si="16"/>
        <v>0</v>
      </c>
      <c r="T124" s="20">
        <f t="shared" si="17"/>
        <v>0</v>
      </c>
      <c r="U124" s="20">
        <f>IF($J$2="x",IFERROR(SMALL($O$11:$O$14,114),0),IF($J$3="x",IFERROR(SMALL($O$11:$O$18,114),0),IF($J$4="x",IFERROR(SMALL($O$11:$O$26,114),0),IF($J$5="x",IFERROR(SMALL($O$11:$O$42,114),0),IF($J$6="x",IFERROR(SMALL($O$11:$O$74,114),0),IF($J$7="x",IFERROR(SMALL($O$11:$O$138,114),0),IFERROR(SMALL($O$11:$O$266,114),0)))))))</f>
        <v>1.010224</v>
      </c>
      <c r="V124" s="20">
        <f t="shared" si="18"/>
        <v>114</v>
      </c>
      <c r="W124" s="20" t="str">
        <f t="shared" si="19"/>
        <v xml:space="preserve"> </v>
      </c>
      <c r="Y124" s="29">
        <v>114</v>
      </c>
      <c r="Z124" s="36" t="str">
        <f t="shared" si="20"/>
        <v xml:space="preserve"> </v>
      </c>
      <c r="AA124" s="35" t="str">
        <f>IFERROR(INDEX(#REF!,MATCH(AB124,#REF!,0))," ")</f>
        <v xml:space="preserve"> </v>
      </c>
      <c r="AB124" s="30">
        <f t="shared" si="21"/>
        <v>0</v>
      </c>
    </row>
    <row r="125" spans="1:28" x14ac:dyDescent="0.25">
      <c r="A125" s="38"/>
      <c r="B125" s="31" t="s">
        <v>149</v>
      </c>
      <c r="C125" s="32" t="str">
        <f>IF('Infos générales'!$E$2="x",IF(A125&gt;0,INDEX(DP!$A$10:$G$265,MATCH(A125,DP!$A$10:$A$265,0),6)," "),IF(A125&gt;0,INDEX(DP!$A$10:$G$265,MATCH(A125,DP!$A$10:$A$265,0),4)," "))</f>
        <v xml:space="preserve"> </v>
      </c>
      <c r="E125" s="39"/>
      <c r="F125" s="33" t="s">
        <v>34</v>
      </c>
      <c r="G125" s="40"/>
      <c r="H125" s="39"/>
      <c r="I125" s="33" t="s">
        <v>34</v>
      </c>
      <c r="J125" s="40"/>
      <c r="K125" s="39"/>
      <c r="L125" s="33" t="s">
        <v>34</v>
      </c>
      <c r="M125" s="40"/>
      <c r="N125" s="34">
        <f t="shared" si="11"/>
        <v>115</v>
      </c>
      <c r="O125" s="20">
        <f t="shared" si="12"/>
        <v>1.0102249999999999</v>
      </c>
      <c r="P125" s="20">
        <f t="shared" si="13"/>
        <v>115</v>
      </c>
      <c r="Q125" s="20" t="str">
        <f t="shared" si="14"/>
        <v xml:space="preserve"> </v>
      </c>
      <c r="R125" s="20">
        <f t="shared" si="15"/>
        <v>0</v>
      </c>
      <c r="S125" s="20">
        <f t="shared" si="16"/>
        <v>0</v>
      </c>
      <c r="T125" s="20">
        <f t="shared" si="17"/>
        <v>0</v>
      </c>
      <c r="U125" s="20">
        <f>IF($J$2="x",IFERROR(SMALL($O$11:$O$14,115),0),IF($J$3="x",IFERROR(SMALL($O$11:$O$18,115),0),IF($J$4="x",IFERROR(SMALL($O$11:$O$26,115),0),IF($J$5="x",IFERROR(SMALL($O$11:$O$42,115),0),IF($J$6="x",IFERROR(SMALL($O$11:$O$74,115),0),IF($J$7="x",IFERROR(SMALL($O$11:$O$138,115),0),IFERROR(SMALL($O$11:$O$266,115),0)))))))</f>
        <v>1.0102249999999999</v>
      </c>
      <c r="V125" s="20">
        <f t="shared" si="18"/>
        <v>115</v>
      </c>
      <c r="W125" s="20" t="str">
        <f t="shared" si="19"/>
        <v xml:space="preserve"> </v>
      </c>
      <c r="Y125" s="29">
        <v>115</v>
      </c>
      <c r="Z125" s="36" t="str">
        <f t="shared" si="20"/>
        <v xml:space="preserve"> </v>
      </c>
      <c r="AA125" s="35" t="str">
        <f>IFERROR(INDEX(#REF!,MATCH(AB125,#REF!,0))," ")</f>
        <v xml:space="preserve"> </v>
      </c>
      <c r="AB125" s="30">
        <f t="shared" si="21"/>
        <v>0</v>
      </c>
    </row>
    <row r="126" spans="1:28" x14ac:dyDescent="0.25">
      <c r="A126" s="38"/>
      <c r="B126" s="31" t="s">
        <v>150</v>
      </c>
      <c r="C126" s="32" t="str">
        <f>IF('Infos générales'!$E$2="x",IF(A126&gt;0,INDEX(DP!$A$10:$G$265,MATCH(A126,DP!$A$10:$A$265,0),6)," "),IF(A126&gt;0,INDEX(DP!$A$10:$G$265,MATCH(A126,DP!$A$10:$A$265,0),4)," "))</f>
        <v xml:space="preserve"> </v>
      </c>
      <c r="E126" s="39"/>
      <c r="F126" s="33" t="s">
        <v>34</v>
      </c>
      <c r="G126" s="40"/>
      <c r="H126" s="39"/>
      <c r="I126" s="33" t="s">
        <v>34</v>
      </c>
      <c r="J126" s="40"/>
      <c r="K126" s="39"/>
      <c r="L126" s="33" t="s">
        <v>34</v>
      </c>
      <c r="M126" s="40"/>
      <c r="N126" s="34">
        <f t="shared" si="11"/>
        <v>116</v>
      </c>
      <c r="O126" s="20">
        <f t="shared" si="12"/>
        <v>1.0102260000000001</v>
      </c>
      <c r="P126" s="20">
        <f t="shared" si="13"/>
        <v>116</v>
      </c>
      <c r="Q126" s="20" t="str">
        <f t="shared" si="14"/>
        <v xml:space="preserve"> </v>
      </c>
      <c r="R126" s="20">
        <f t="shared" si="15"/>
        <v>0</v>
      </c>
      <c r="S126" s="20">
        <f t="shared" si="16"/>
        <v>0</v>
      </c>
      <c r="T126" s="20">
        <f t="shared" si="17"/>
        <v>0</v>
      </c>
      <c r="U126" s="20">
        <f>IF($J$2="x",IFERROR(SMALL($O$11:$O$14,116),0),IF($J$3="x",IFERROR(SMALL($O$11:$O$18,116),0),IF($J$4="x",IFERROR(SMALL($O$11:$O$26,116),0),IF($J$5="x",IFERROR(SMALL($O$11:$O$42,116),0),IF($J$6="x",IFERROR(SMALL($O$11:$O$74,116),0),IF($J$7="x",IFERROR(SMALL($O$11:$O$138,116),0),IFERROR(SMALL($O$11:$O$266,116),0)))))))</f>
        <v>1.0102260000000001</v>
      </c>
      <c r="V126" s="20">
        <f t="shared" si="18"/>
        <v>116</v>
      </c>
      <c r="W126" s="20" t="str">
        <f t="shared" si="19"/>
        <v xml:space="preserve"> </v>
      </c>
      <c r="Y126" s="29">
        <v>116</v>
      </c>
      <c r="Z126" s="36" t="str">
        <f t="shared" si="20"/>
        <v xml:space="preserve"> </v>
      </c>
      <c r="AA126" s="35" t="str">
        <f>IFERROR(INDEX(#REF!,MATCH(AB126,#REF!,0))," ")</f>
        <v xml:space="preserve"> </v>
      </c>
      <c r="AB126" s="30">
        <f t="shared" si="21"/>
        <v>0</v>
      </c>
    </row>
    <row r="127" spans="1:28" x14ac:dyDescent="0.25">
      <c r="A127" s="38"/>
      <c r="B127" s="31" t="s">
        <v>151</v>
      </c>
      <c r="C127" s="32" t="str">
        <f>IF('Infos générales'!$E$2="x",IF(A127&gt;0,INDEX(DP!$A$10:$G$265,MATCH(A127,DP!$A$10:$A$265,0),6)," "),IF(A127&gt;0,INDEX(DP!$A$10:$G$265,MATCH(A127,DP!$A$10:$A$265,0),4)," "))</f>
        <v xml:space="preserve"> </v>
      </c>
      <c r="E127" s="39"/>
      <c r="F127" s="33" t="s">
        <v>34</v>
      </c>
      <c r="G127" s="40"/>
      <c r="H127" s="39"/>
      <c r="I127" s="33" t="s">
        <v>34</v>
      </c>
      <c r="J127" s="40"/>
      <c r="K127" s="39"/>
      <c r="L127" s="33" t="s">
        <v>34</v>
      </c>
      <c r="M127" s="40"/>
      <c r="N127" s="34">
        <f t="shared" si="11"/>
        <v>117</v>
      </c>
      <c r="O127" s="20">
        <f t="shared" si="12"/>
        <v>1.010227</v>
      </c>
      <c r="P127" s="20">
        <f t="shared" si="13"/>
        <v>117</v>
      </c>
      <c r="Q127" s="20" t="str">
        <f t="shared" si="14"/>
        <v xml:space="preserve"> </v>
      </c>
      <c r="R127" s="20">
        <f t="shared" si="15"/>
        <v>0</v>
      </c>
      <c r="S127" s="20">
        <f t="shared" si="16"/>
        <v>0</v>
      </c>
      <c r="T127" s="20">
        <f t="shared" si="17"/>
        <v>0</v>
      </c>
      <c r="U127" s="20">
        <f>IF($J$2="x",IFERROR(SMALL($O$11:$O$14,117),0),IF($J$3="x",IFERROR(SMALL($O$11:$O$18,117),0),IF($J$4="x",IFERROR(SMALL($O$11:$O$26,117),0),IF($J$5="x",IFERROR(SMALL($O$11:$O$42,117),0),IF($J$6="x",IFERROR(SMALL($O$11:$O$74,117),0),IF($J$7="x",IFERROR(SMALL($O$11:$O$138,117),0),IFERROR(SMALL($O$11:$O$266,117),0)))))))</f>
        <v>1.010227</v>
      </c>
      <c r="V127" s="20">
        <f t="shared" si="18"/>
        <v>117</v>
      </c>
      <c r="W127" s="20" t="str">
        <f t="shared" si="19"/>
        <v xml:space="preserve"> </v>
      </c>
      <c r="Y127" s="29">
        <v>117</v>
      </c>
      <c r="Z127" s="36" t="str">
        <f t="shared" si="20"/>
        <v xml:space="preserve"> </v>
      </c>
      <c r="AA127" s="35" t="str">
        <f>IFERROR(INDEX(#REF!,MATCH(AB127,#REF!,0))," ")</f>
        <v xml:space="preserve"> </v>
      </c>
      <c r="AB127" s="30">
        <f t="shared" si="21"/>
        <v>0</v>
      </c>
    </row>
    <row r="128" spans="1:28" x14ac:dyDescent="0.25">
      <c r="A128" s="38"/>
      <c r="B128" s="31" t="s">
        <v>152</v>
      </c>
      <c r="C128" s="32" t="str">
        <f>IF('Infos générales'!$E$2="x",IF(A128&gt;0,INDEX(DP!$A$10:$G$265,MATCH(A128,DP!$A$10:$A$265,0),6)," "),IF(A128&gt;0,INDEX(DP!$A$10:$G$265,MATCH(A128,DP!$A$10:$A$265,0),4)," "))</f>
        <v xml:space="preserve"> </v>
      </c>
      <c r="E128" s="39"/>
      <c r="F128" s="33" t="s">
        <v>34</v>
      </c>
      <c r="G128" s="40"/>
      <c r="H128" s="39"/>
      <c r="I128" s="33" t="s">
        <v>34</v>
      </c>
      <c r="J128" s="40"/>
      <c r="K128" s="39"/>
      <c r="L128" s="33" t="s">
        <v>34</v>
      </c>
      <c r="M128" s="40"/>
      <c r="N128" s="34">
        <f t="shared" si="11"/>
        <v>118</v>
      </c>
      <c r="O128" s="20">
        <f t="shared" si="12"/>
        <v>1.0102279999999999</v>
      </c>
      <c r="P128" s="20">
        <f t="shared" si="13"/>
        <v>118</v>
      </c>
      <c r="Q128" s="20" t="str">
        <f t="shared" si="14"/>
        <v xml:space="preserve"> </v>
      </c>
      <c r="R128" s="20">
        <f t="shared" si="15"/>
        <v>0</v>
      </c>
      <c r="S128" s="20">
        <f t="shared" si="16"/>
        <v>0</v>
      </c>
      <c r="T128" s="20">
        <f t="shared" si="17"/>
        <v>0</v>
      </c>
      <c r="U128" s="20">
        <f>IF($J$2="x",IFERROR(SMALL($O$11:$O$14,118),0),IF($J$3="x",IFERROR(SMALL($O$11:$O$18,118),0),IF($J$4="x",IFERROR(SMALL($O$11:$O$26,118),0),IF($J$5="x",IFERROR(SMALL($O$11:$O$42,118),0),IF($J$6="x",IFERROR(SMALL($O$11:$O$74,118),0),IF($J$7="x",IFERROR(SMALL($O$11:$O$138,118),0),IFERROR(SMALL($O$11:$O$266,118),0)))))))</f>
        <v>1.0102279999999999</v>
      </c>
      <c r="V128" s="20">
        <f t="shared" si="18"/>
        <v>118</v>
      </c>
      <c r="W128" s="20" t="str">
        <f t="shared" si="19"/>
        <v xml:space="preserve"> </v>
      </c>
      <c r="Y128" s="29">
        <v>118</v>
      </c>
      <c r="Z128" s="36" t="str">
        <f t="shared" si="20"/>
        <v xml:space="preserve"> </v>
      </c>
      <c r="AA128" s="35" t="str">
        <f>IFERROR(INDEX(#REF!,MATCH(AB128,#REF!,0))," ")</f>
        <v xml:space="preserve"> </v>
      </c>
      <c r="AB128" s="30">
        <f t="shared" si="21"/>
        <v>0</v>
      </c>
    </row>
    <row r="129" spans="1:28" x14ac:dyDescent="0.25">
      <c r="A129" s="38"/>
      <c r="B129" s="31" t="s">
        <v>153</v>
      </c>
      <c r="C129" s="32" t="str">
        <f>IF('Infos générales'!$E$2="x",IF(A129&gt;0,INDEX(DP!$A$10:$G$265,MATCH(A129,DP!$A$10:$A$265,0),6)," "),IF(A129&gt;0,INDEX(DP!$A$10:$G$265,MATCH(A129,DP!$A$10:$A$265,0),4)," "))</f>
        <v xml:space="preserve"> </v>
      </c>
      <c r="E129" s="39"/>
      <c r="F129" s="33" t="s">
        <v>34</v>
      </c>
      <c r="G129" s="40"/>
      <c r="H129" s="39"/>
      <c r="I129" s="33" t="s">
        <v>34</v>
      </c>
      <c r="J129" s="40"/>
      <c r="K129" s="39"/>
      <c r="L129" s="33" t="s">
        <v>34</v>
      </c>
      <c r="M129" s="40"/>
      <c r="N129" s="34">
        <f t="shared" si="11"/>
        <v>119</v>
      </c>
      <c r="O129" s="20">
        <f t="shared" si="12"/>
        <v>1.010229</v>
      </c>
      <c r="P129" s="20">
        <f t="shared" si="13"/>
        <v>119</v>
      </c>
      <c r="Q129" s="20" t="str">
        <f t="shared" si="14"/>
        <v xml:space="preserve"> </v>
      </c>
      <c r="R129" s="20">
        <f t="shared" si="15"/>
        <v>0</v>
      </c>
      <c r="S129" s="20">
        <f t="shared" si="16"/>
        <v>0</v>
      </c>
      <c r="T129" s="20">
        <f t="shared" si="17"/>
        <v>0</v>
      </c>
      <c r="U129" s="20">
        <f>IF($J$2="x",IFERROR(SMALL($O$11:$O$14,119),0),IF($J$3="x",IFERROR(SMALL($O$11:$O$18,119),0),IF($J$4="x",IFERROR(SMALL($O$11:$O$26,119),0),IF($J$5="x",IFERROR(SMALL($O$11:$O$42,119),0),IF($J$6="x",IFERROR(SMALL($O$11:$O$74,119),0),IF($J$7="x",IFERROR(SMALL($O$11:$O$138,119),0),IFERROR(SMALL($O$11:$O$266,119),0)))))))</f>
        <v>1.010229</v>
      </c>
      <c r="V129" s="20">
        <f t="shared" si="18"/>
        <v>119</v>
      </c>
      <c r="W129" s="20" t="str">
        <f t="shared" si="19"/>
        <v xml:space="preserve"> </v>
      </c>
      <c r="Y129" s="29">
        <v>119</v>
      </c>
      <c r="Z129" s="36" t="str">
        <f t="shared" si="20"/>
        <v xml:space="preserve"> </v>
      </c>
      <c r="AA129" s="35" t="str">
        <f>IFERROR(INDEX(#REF!,MATCH(AB129,#REF!,0))," ")</f>
        <v xml:space="preserve"> </v>
      </c>
      <c r="AB129" s="30">
        <f t="shared" si="21"/>
        <v>0</v>
      </c>
    </row>
    <row r="130" spans="1:28" x14ac:dyDescent="0.25">
      <c r="A130" s="38"/>
      <c r="B130" s="31" t="s">
        <v>154</v>
      </c>
      <c r="C130" s="32" t="str">
        <f>IF('Infos générales'!$E$2="x",IF(A130&gt;0,INDEX(DP!$A$10:$G$265,MATCH(A130,DP!$A$10:$A$265,0),6)," "),IF(A130&gt;0,INDEX(DP!$A$10:$G$265,MATCH(A130,DP!$A$10:$A$265,0),4)," "))</f>
        <v xml:space="preserve"> </v>
      </c>
      <c r="E130" s="39"/>
      <c r="F130" s="33" t="s">
        <v>34</v>
      </c>
      <c r="G130" s="40"/>
      <c r="H130" s="39"/>
      <c r="I130" s="33" t="s">
        <v>34</v>
      </c>
      <c r="J130" s="40"/>
      <c r="K130" s="39"/>
      <c r="L130" s="33" t="s">
        <v>34</v>
      </c>
      <c r="M130" s="40"/>
      <c r="N130" s="34">
        <f t="shared" si="11"/>
        <v>120</v>
      </c>
      <c r="O130" s="20">
        <f t="shared" si="12"/>
        <v>1.01023</v>
      </c>
      <c r="P130" s="20">
        <f t="shared" si="13"/>
        <v>120</v>
      </c>
      <c r="Q130" s="20" t="str">
        <f t="shared" si="14"/>
        <v xml:space="preserve"> </v>
      </c>
      <c r="R130" s="20">
        <f t="shared" si="15"/>
        <v>0</v>
      </c>
      <c r="S130" s="20">
        <f t="shared" si="16"/>
        <v>0</v>
      </c>
      <c r="T130" s="20">
        <f t="shared" si="17"/>
        <v>0</v>
      </c>
      <c r="U130" s="20">
        <f>IF($J$2="x",IFERROR(SMALL($O$11:$O$14,120),0),IF($J$3="x",IFERROR(SMALL($O$11:$O$18,120),0),IF($J$4="x",IFERROR(SMALL($O$11:$O$26,120),0),IF($J$5="x",IFERROR(SMALL($O$11:$O$42,120),0),IF($J$6="x",IFERROR(SMALL($O$11:$O$74,120),0),IF($J$7="x",IFERROR(SMALL($O$11:$O$138,120),0),IFERROR(SMALL($O$11:$O$266,120),0)))))))</f>
        <v>1.01023</v>
      </c>
      <c r="V130" s="20">
        <f t="shared" si="18"/>
        <v>120</v>
      </c>
      <c r="W130" s="20" t="str">
        <f t="shared" si="19"/>
        <v xml:space="preserve"> </v>
      </c>
      <c r="Y130" s="29">
        <v>120</v>
      </c>
      <c r="Z130" s="36" t="str">
        <f t="shared" si="20"/>
        <v xml:space="preserve"> </v>
      </c>
      <c r="AA130" s="35" t="str">
        <f>IFERROR(INDEX(#REF!,MATCH(AB130,#REF!,0))," ")</f>
        <v xml:space="preserve"> </v>
      </c>
      <c r="AB130" s="30">
        <f t="shared" si="21"/>
        <v>0</v>
      </c>
    </row>
    <row r="131" spans="1:28" x14ac:dyDescent="0.25">
      <c r="A131" s="38"/>
      <c r="B131" s="31" t="s">
        <v>155</v>
      </c>
      <c r="C131" s="32" t="str">
        <f>IF('Infos générales'!$E$2="x",IF(A131&gt;0,INDEX(DP!$A$10:$G$265,MATCH(A131,DP!$A$10:$A$265,0),6)," "),IF(A131&gt;0,INDEX(DP!$A$10:$G$265,MATCH(A131,DP!$A$10:$A$265,0),4)," "))</f>
        <v xml:space="preserve"> </v>
      </c>
      <c r="E131" s="39"/>
      <c r="F131" s="33" t="s">
        <v>34</v>
      </c>
      <c r="G131" s="40"/>
      <c r="H131" s="39"/>
      <c r="I131" s="33" t="s">
        <v>34</v>
      </c>
      <c r="J131" s="40"/>
      <c r="K131" s="39"/>
      <c r="L131" s="33" t="s">
        <v>34</v>
      </c>
      <c r="M131" s="40"/>
      <c r="N131" s="34">
        <f t="shared" si="11"/>
        <v>121</v>
      </c>
      <c r="O131" s="20">
        <f t="shared" si="12"/>
        <v>1.0102310000000001</v>
      </c>
      <c r="P131" s="20">
        <f t="shared" si="13"/>
        <v>121</v>
      </c>
      <c r="Q131" s="20" t="str">
        <f t="shared" si="14"/>
        <v xml:space="preserve"> </v>
      </c>
      <c r="R131" s="20">
        <f t="shared" si="15"/>
        <v>0</v>
      </c>
      <c r="S131" s="20">
        <f t="shared" si="16"/>
        <v>0</v>
      </c>
      <c r="T131" s="20">
        <f t="shared" si="17"/>
        <v>0</v>
      </c>
      <c r="U131" s="20">
        <f>IF($J$2="x",IFERROR(SMALL($O$11:$O$14,121),0),IF($J$3="x",IFERROR(SMALL($O$11:$O$18,121),0),IF($J$4="x",IFERROR(SMALL($O$11:$O$26,121),0),IF($J$5="x",IFERROR(SMALL($O$11:$O$42,121),0),IF($J$6="x",IFERROR(SMALL($O$11:$O$74,121),0),IF($J$7="x",IFERROR(SMALL($O$11:$O$138,121),0),IFERROR(SMALL($O$11:$O$266,121),0)))))))</f>
        <v>1.0102310000000001</v>
      </c>
      <c r="V131" s="20">
        <f t="shared" si="18"/>
        <v>121</v>
      </c>
      <c r="W131" s="20" t="str">
        <f t="shared" si="19"/>
        <v xml:space="preserve"> </v>
      </c>
      <c r="Y131" s="29">
        <v>121</v>
      </c>
      <c r="Z131" s="36" t="str">
        <f t="shared" si="20"/>
        <v xml:space="preserve"> </v>
      </c>
      <c r="AA131" s="35" t="str">
        <f>IFERROR(INDEX(#REF!,MATCH(AB131,#REF!,0))," ")</f>
        <v xml:space="preserve"> </v>
      </c>
      <c r="AB131" s="30">
        <f t="shared" si="21"/>
        <v>0</v>
      </c>
    </row>
    <row r="132" spans="1:28" x14ac:dyDescent="0.25">
      <c r="A132" s="38"/>
      <c r="B132" s="31" t="s">
        <v>156</v>
      </c>
      <c r="C132" s="32" t="str">
        <f>IF('Infos générales'!$E$2="x",IF(A132&gt;0,INDEX(DP!$A$10:$G$265,MATCH(A132,DP!$A$10:$A$265,0),6)," "),IF(A132&gt;0,INDEX(DP!$A$10:$G$265,MATCH(A132,DP!$A$10:$A$265,0),4)," "))</f>
        <v xml:space="preserve"> </v>
      </c>
      <c r="E132" s="39"/>
      <c r="F132" s="33" t="s">
        <v>34</v>
      </c>
      <c r="G132" s="40"/>
      <c r="H132" s="39"/>
      <c r="I132" s="33" t="s">
        <v>34</v>
      </c>
      <c r="J132" s="40"/>
      <c r="K132" s="39"/>
      <c r="L132" s="33" t="s">
        <v>34</v>
      </c>
      <c r="M132" s="40"/>
      <c r="N132" s="34">
        <f t="shared" si="11"/>
        <v>122</v>
      </c>
      <c r="O132" s="20">
        <f t="shared" si="12"/>
        <v>1.010232</v>
      </c>
      <c r="P132" s="20">
        <f t="shared" si="13"/>
        <v>122</v>
      </c>
      <c r="Q132" s="20" t="str">
        <f t="shared" si="14"/>
        <v xml:space="preserve"> </v>
      </c>
      <c r="R132" s="20">
        <f t="shared" si="15"/>
        <v>0</v>
      </c>
      <c r="S132" s="20">
        <f t="shared" si="16"/>
        <v>0</v>
      </c>
      <c r="T132" s="20">
        <f t="shared" si="17"/>
        <v>0</v>
      </c>
      <c r="U132" s="20">
        <f>IF($J$2="x",IFERROR(SMALL($O$11:$O$14,122),0),IF($J$3="x",IFERROR(SMALL($O$11:$O$18,122),0),IF($J$4="x",IFERROR(SMALL($O$11:$O$26,122),0),IF($J$5="x",IFERROR(SMALL($O$11:$O$42,122),0),IF($J$6="x",IFERROR(SMALL($O$11:$O$74,122),0),IF($J$7="x",IFERROR(SMALL($O$11:$O$138,122),0),IFERROR(SMALL($O$11:$O$266,122),0)))))))</f>
        <v>1.010232</v>
      </c>
      <c r="V132" s="20">
        <f t="shared" si="18"/>
        <v>122</v>
      </c>
      <c r="W132" s="20" t="str">
        <f t="shared" si="19"/>
        <v xml:space="preserve"> </v>
      </c>
      <c r="Y132" s="29">
        <v>122</v>
      </c>
      <c r="Z132" s="36" t="str">
        <f t="shared" si="20"/>
        <v xml:space="preserve"> </v>
      </c>
      <c r="AA132" s="35" t="str">
        <f>IFERROR(INDEX(#REF!,MATCH(AB132,#REF!,0))," ")</f>
        <v xml:space="preserve"> </v>
      </c>
      <c r="AB132" s="30">
        <f t="shared" si="21"/>
        <v>0</v>
      </c>
    </row>
    <row r="133" spans="1:28" x14ac:dyDescent="0.25">
      <c r="A133" s="38"/>
      <c r="B133" s="31" t="s">
        <v>157</v>
      </c>
      <c r="C133" s="32" t="str">
        <f>IF('Infos générales'!$E$2="x",IF(A133&gt;0,INDEX(DP!$A$10:$G$265,MATCH(A133,DP!$A$10:$A$265,0),6)," "),IF(A133&gt;0,INDEX(DP!$A$10:$G$265,MATCH(A133,DP!$A$10:$A$265,0),4)," "))</f>
        <v xml:space="preserve"> </v>
      </c>
      <c r="E133" s="39"/>
      <c r="F133" s="33" t="s">
        <v>34</v>
      </c>
      <c r="G133" s="40"/>
      <c r="H133" s="39"/>
      <c r="I133" s="33" t="s">
        <v>34</v>
      </c>
      <c r="J133" s="40"/>
      <c r="K133" s="39"/>
      <c r="L133" s="33" t="s">
        <v>34</v>
      </c>
      <c r="M133" s="40"/>
      <c r="N133" s="34">
        <f t="shared" si="11"/>
        <v>123</v>
      </c>
      <c r="O133" s="20">
        <f t="shared" si="12"/>
        <v>1.0102329999999999</v>
      </c>
      <c r="P133" s="20">
        <f t="shared" si="13"/>
        <v>123</v>
      </c>
      <c r="Q133" s="20" t="str">
        <f t="shared" si="14"/>
        <v xml:space="preserve"> </v>
      </c>
      <c r="R133" s="20">
        <f t="shared" si="15"/>
        <v>0</v>
      </c>
      <c r="S133" s="20">
        <f t="shared" si="16"/>
        <v>0</v>
      </c>
      <c r="T133" s="20">
        <f t="shared" si="17"/>
        <v>0</v>
      </c>
      <c r="U133" s="20">
        <f>IF($J$2="x",IFERROR(SMALL($O$11:$O$14,123),0),IF($J$3="x",IFERROR(SMALL($O$11:$O$18,123),0),IF($J$4="x",IFERROR(SMALL($O$11:$O$26,123),0),IF($J$5="x",IFERROR(SMALL($O$11:$O$42,123),0),IF($J$6="x",IFERROR(SMALL($O$11:$O$74,123),0),IF($J$7="x",IFERROR(SMALL($O$11:$O$138,123),0),IFERROR(SMALL($O$11:$O$266,123),0)))))))</f>
        <v>1.0102329999999999</v>
      </c>
      <c r="V133" s="20">
        <f t="shared" si="18"/>
        <v>123</v>
      </c>
      <c r="W133" s="20" t="str">
        <f t="shared" si="19"/>
        <v xml:space="preserve"> </v>
      </c>
      <c r="Y133" s="29">
        <v>123</v>
      </c>
      <c r="Z133" s="36" t="str">
        <f t="shared" si="20"/>
        <v xml:space="preserve"> </v>
      </c>
      <c r="AA133" s="35" t="str">
        <f>IFERROR(INDEX(#REF!,MATCH(AB133,#REF!,0))," ")</f>
        <v xml:space="preserve"> </v>
      </c>
      <c r="AB133" s="30">
        <f t="shared" si="21"/>
        <v>0</v>
      </c>
    </row>
    <row r="134" spans="1:28" x14ac:dyDescent="0.25">
      <c r="A134" s="38"/>
      <c r="B134" s="31" t="s">
        <v>158</v>
      </c>
      <c r="C134" s="32" t="str">
        <f>IF('Infos générales'!$E$2="x",IF(A134&gt;0,INDEX(DP!$A$10:$G$265,MATCH(A134,DP!$A$10:$A$265,0),6)," "),IF(A134&gt;0,INDEX(DP!$A$10:$G$265,MATCH(A134,DP!$A$10:$A$265,0),4)," "))</f>
        <v xml:space="preserve"> </v>
      </c>
      <c r="E134" s="39"/>
      <c r="F134" s="33" t="s">
        <v>34</v>
      </c>
      <c r="G134" s="40"/>
      <c r="H134" s="39"/>
      <c r="I134" s="33" t="s">
        <v>34</v>
      </c>
      <c r="J134" s="40"/>
      <c r="K134" s="39"/>
      <c r="L134" s="33" t="s">
        <v>34</v>
      </c>
      <c r="M134" s="40"/>
      <c r="N134" s="34">
        <f t="shared" si="11"/>
        <v>124</v>
      </c>
      <c r="O134" s="20">
        <f t="shared" si="12"/>
        <v>1.0102340000000001</v>
      </c>
      <c r="P134" s="20">
        <f t="shared" si="13"/>
        <v>124</v>
      </c>
      <c r="Q134" s="20" t="str">
        <f t="shared" si="14"/>
        <v xml:space="preserve"> </v>
      </c>
      <c r="R134" s="20">
        <f t="shared" si="15"/>
        <v>0</v>
      </c>
      <c r="S134" s="20">
        <f t="shared" si="16"/>
        <v>0</v>
      </c>
      <c r="T134" s="20">
        <f t="shared" si="17"/>
        <v>0</v>
      </c>
      <c r="U134" s="20">
        <f>IF($J$2="x",IFERROR(SMALL($O$11:$O$14,124),0),IF($J$3="x",IFERROR(SMALL($O$11:$O$18,124),0),IF($J$4="x",IFERROR(SMALL($O$11:$O$26,124),0),IF($J$5="x",IFERROR(SMALL($O$11:$O$42,124),0),IF($J$6="x",IFERROR(SMALL($O$11:$O$74,124),0),IF($J$7="x",IFERROR(SMALL($O$11:$O$138,124),0),IFERROR(SMALL($O$11:$O$266,124),0)))))))</f>
        <v>1.0102340000000001</v>
      </c>
      <c r="V134" s="20">
        <f t="shared" si="18"/>
        <v>124</v>
      </c>
      <c r="W134" s="20" t="str">
        <f t="shared" si="19"/>
        <v xml:space="preserve"> </v>
      </c>
      <c r="Y134" s="29">
        <v>124</v>
      </c>
      <c r="Z134" s="36" t="str">
        <f t="shared" si="20"/>
        <v xml:space="preserve"> </v>
      </c>
      <c r="AA134" s="35" t="str">
        <f>IFERROR(INDEX(#REF!,MATCH(AB134,#REF!,0))," ")</f>
        <v xml:space="preserve"> </v>
      </c>
      <c r="AB134" s="30">
        <f t="shared" si="21"/>
        <v>0</v>
      </c>
    </row>
    <row r="135" spans="1:28" x14ac:dyDescent="0.25">
      <c r="A135" s="38"/>
      <c r="B135" s="31" t="s">
        <v>159</v>
      </c>
      <c r="C135" s="32" t="str">
        <f>IF('Infos générales'!$E$2="x",IF(A135&gt;0,INDEX(DP!$A$10:$G$265,MATCH(A135,DP!$A$10:$A$265,0),6)," "),IF(A135&gt;0,INDEX(DP!$A$10:$G$265,MATCH(A135,DP!$A$10:$A$265,0),4)," "))</f>
        <v xml:space="preserve"> </v>
      </c>
      <c r="E135" s="39"/>
      <c r="F135" s="33" t="s">
        <v>34</v>
      </c>
      <c r="G135" s="40"/>
      <c r="H135" s="39"/>
      <c r="I135" s="33" t="s">
        <v>34</v>
      </c>
      <c r="J135" s="40"/>
      <c r="K135" s="39"/>
      <c r="L135" s="33" t="s">
        <v>34</v>
      </c>
      <c r="M135" s="40"/>
      <c r="N135" s="34">
        <f t="shared" si="11"/>
        <v>125</v>
      </c>
      <c r="O135" s="20">
        <f t="shared" si="12"/>
        <v>1.010235</v>
      </c>
      <c r="P135" s="20">
        <f t="shared" si="13"/>
        <v>125</v>
      </c>
      <c r="Q135" s="20" t="str">
        <f t="shared" si="14"/>
        <v xml:space="preserve"> </v>
      </c>
      <c r="R135" s="20">
        <f t="shared" si="15"/>
        <v>0</v>
      </c>
      <c r="S135" s="20">
        <f t="shared" si="16"/>
        <v>0</v>
      </c>
      <c r="T135" s="20">
        <f t="shared" si="17"/>
        <v>0</v>
      </c>
      <c r="U135" s="20">
        <f>IF($J$2="x",IFERROR(SMALL($O$11:$O$14,125),0),IF($J$3="x",IFERROR(SMALL($O$11:$O$18,125),0),IF($J$4="x",IFERROR(SMALL($O$11:$O$26,125),0),IF($J$5="x",IFERROR(SMALL($O$11:$O$42,125),0),IF($J$6="x",IFERROR(SMALL($O$11:$O$74,125),0),IF($J$7="x",IFERROR(SMALL($O$11:$O$138,125),0),IFERROR(SMALL($O$11:$O$266,125),0)))))))</f>
        <v>1.010235</v>
      </c>
      <c r="V135" s="20">
        <f t="shared" si="18"/>
        <v>125</v>
      </c>
      <c r="W135" s="20" t="str">
        <f t="shared" si="19"/>
        <v xml:space="preserve"> </v>
      </c>
      <c r="Y135" s="29">
        <v>125</v>
      </c>
      <c r="Z135" s="36" t="str">
        <f t="shared" si="20"/>
        <v xml:space="preserve"> </v>
      </c>
      <c r="AA135" s="35" t="str">
        <f>IFERROR(INDEX(#REF!,MATCH(AB135,#REF!,0))," ")</f>
        <v xml:space="preserve"> </v>
      </c>
      <c r="AB135" s="30">
        <f t="shared" si="21"/>
        <v>0</v>
      </c>
    </row>
    <row r="136" spans="1:28" x14ac:dyDescent="0.25">
      <c r="A136" s="38"/>
      <c r="B136" s="31" t="s">
        <v>160</v>
      </c>
      <c r="C136" s="32" t="str">
        <f>IF('Infos générales'!$E$2="x",IF(A136&gt;0,INDEX(DP!$A$10:$G$265,MATCH(A136,DP!$A$10:$A$265,0),6)," "),IF(A136&gt;0,INDEX(DP!$A$10:$G$265,MATCH(A136,DP!$A$10:$A$265,0),4)," "))</f>
        <v xml:space="preserve"> </v>
      </c>
      <c r="E136" s="39"/>
      <c r="F136" s="33" t="s">
        <v>34</v>
      </c>
      <c r="G136" s="40"/>
      <c r="H136" s="39"/>
      <c r="I136" s="33" t="s">
        <v>34</v>
      </c>
      <c r="J136" s="40"/>
      <c r="K136" s="39"/>
      <c r="L136" s="33" t="s">
        <v>34</v>
      </c>
      <c r="M136" s="40"/>
      <c r="N136" s="34">
        <f t="shared" si="11"/>
        <v>126</v>
      </c>
      <c r="O136" s="20">
        <f t="shared" si="12"/>
        <v>1.0102359999999999</v>
      </c>
      <c r="P136" s="20">
        <f t="shared" si="13"/>
        <v>126</v>
      </c>
      <c r="Q136" s="20" t="str">
        <f t="shared" si="14"/>
        <v xml:space="preserve"> </v>
      </c>
      <c r="R136" s="20">
        <f t="shared" si="15"/>
        <v>0</v>
      </c>
      <c r="S136" s="20">
        <f t="shared" si="16"/>
        <v>0</v>
      </c>
      <c r="T136" s="20">
        <f t="shared" si="17"/>
        <v>0</v>
      </c>
      <c r="U136" s="20">
        <f>IF($J$2="x",IFERROR(SMALL($O$11:$O$14,126),0),IF($J$3="x",IFERROR(SMALL($O$11:$O$18,126),0),IF($J$4="x",IFERROR(SMALL($O$11:$O$26,126),0),IF($J$5="x",IFERROR(SMALL($O$11:$O$42,126),0),IF($J$6="x",IFERROR(SMALL($O$11:$O$74,126),0),IF($J$7="x",IFERROR(SMALL($O$11:$O$138,126),0),IFERROR(SMALL($O$11:$O$266,126),0)))))))</f>
        <v>1.0102359999999999</v>
      </c>
      <c r="V136" s="20">
        <f t="shared" si="18"/>
        <v>126</v>
      </c>
      <c r="W136" s="20" t="str">
        <f t="shared" si="19"/>
        <v xml:space="preserve"> </v>
      </c>
      <c r="Y136" s="29">
        <v>126</v>
      </c>
      <c r="Z136" s="36" t="str">
        <f t="shared" si="20"/>
        <v xml:space="preserve"> </v>
      </c>
      <c r="AA136" s="35" t="str">
        <f>IFERROR(INDEX(#REF!,MATCH(AB136,#REF!,0))," ")</f>
        <v xml:space="preserve"> </v>
      </c>
      <c r="AB136" s="30">
        <f t="shared" si="21"/>
        <v>0</v>
      </c>
    </row>
    <row r="137" spans="1:28" x14ac:dyDescent="0.25">
      <c r="A137" s="38"/>
      <c r="B137" s="31" t="s">
        <v>161</v>
      </c>
      <c r="C137" s="32" t="str">
        <f>IF('Infos générales'!$E$2="x",IF(A137&gt;0,INDEX(DP!$A$10:$G$265,MATCH(A137,DP!$A$10:$A$265,0),6)," "),IF(A137&gt;0,INDEX(DP!$A$10:$G$265,MATCH(A137,DP!$A$10:$A$265,0),4)," "))</f>
        <v xml:space="preserve"> </v>
      </c>
      <c r="E137" s="39"/>
      <c r="F137" s="33" t="s">
        <v>34</v>
      </c>
      <c r="G137" s="40"/>
      <c r="H137" s="39"/>
      <c r="I137" s="33" t="s">
        <v>34</v>
      </c>
      <c r="J137" s="40"/>
      <c r="K137" s="39"/>
      <c r="L137" s="33" t="s">
        <v>34</v>
      </c>
      <c r="M137" s="40"/>
      <c r="N137" s="34">
        <f t="shared" si="11"/>
        <v>127</v>
      </c>
      <c r="O137" s="20">
        <f t="shared" si="12"/>
        <v>1.0102370000000001</v>
      </c>
      <c r="P137" s="20">
        <f t="shared" si="13"/>
        <v>127</v>
      </c>
      <c r="Q137" s="20" t="str">
        <f t="shared" si="14"/>
        <v xml:space="preserve"> </v>
      </c>
      <c r="R137" s="20">
        <f t="shared" si="15"/>
        <v>0</v>
      </c>
      <c r="S137" s="20">
        <f t="shared" si="16"/>
        <v>0</v>
      </c>
      <c r="T137" s="20">
        <f t="shared" si="17"/>
        <v>0</v>
      </c>
      <c r="U137" s="20">
        <f>IF($J$2="x",IFERROR(SMALL($O$11:$O$14,127),0),IF($J$3="x",IFERROR(SMALL($O$11:$O$18,127),0),IF($J$4="x",IFERROR(SMALL($O$11:$O$26,127),0),IF($J$5="x",IFERROR(SMALL($O$11:$O$42,127),0),IF($J$6="x",IFERROR(SMALL($O$11:$O$74,127),0),IF($J$7="x",IFERROR(SMALL($O$11:$O$138,127),0),IFERROR(SMALL($O$11:$O$266,127),0)))))))</f>
        <v>1.0102370000000001</v>
      </c>
      <c r="V137" s="20">
        <f t="shared" si="18"/>
        <v>127</v>
      </c>
      <c r="W137" s="20" t="str">
        <f t="shared" si="19"/>
        <v xml:space="preserve"> </v>
      </c>
      <c r="Y137" s="29">
        <v>127</v>
      </c>
      <c r="Z137" s="36" t="str">
        <f t="shared" si="20"/>
        <v xml:space="preserve"> </v>
      </c>
      <c r="AA137" s="35" t="str">
        <f>IFERROR(INDEX(#REF!,MATCH(AB137,#REF!,0))," ")</f>
        <v xml:space="preserve"> </v>
      </c>
      <c r="AB137" s="30">
        <f t="shared" si="21"/>
        <v>0</v>
      </c>
    </row>
    <row r="138" spans="1:28" x14ac:dyDescent="0.25">
      <c r="A138" s="38"/>
      <c r="B138" s="31" t="s">
        <v>162</v>
      </c>
      <c r="C138" s="32" t="str">
        <f>IF('Infos générales'!$E$2="x",IF(A138&gt;0,INDEX(DP!$A$10:$G$265,MATCH(A138,DP!$A$10:$A$265,0),6)," "),IF(A138&gt;0,INDEX(DP!$A$10:$G$265,MATCH(A138,DP!$A$10:$A$265,0),4)," "))</f>
        <v xml:space="preserve"> </v>
      </c>
      <c r="E138" s="39"/>
      <c r="F138" s="33" t="s">
        <v>34</v>
      </c>
      <c r="G138" s="40"/>
      <c r="H138" s="39"/>
      <c r="I138" s="33" t="s">
        <v>34</v>
      </c>
      <c r="J138" s="40"/>
      <c r="K138" s="39"/>
      <c r="L138" s="33" t="s">
        <v>34</v>
      </c>
      <c r="M138" s="40"/>
      <c r="N138" s="34">
        <f t="shared" si="11"/>
        <v>128</v>
      </c>
      <c r="O138" s="20">
        <f t="shared" si="12"/>
        <v>1.010238</v>
      </c>
      <c r="P138" s="20">
        <f t="shared" si="13"/>
        <v>128</v>
      </c>
      <c r="Q138" s="20" t="str">
        <f t="shared" si="14"/>
        <v xml:space="preserve"> </v>
      </c>
      <c r="R138" s="20">
        <f t="shared" si="15"/>
        <v>0</v>
      </c>
      <c r="S138" s="20">
        <f t="shared" si="16"/>
        <v>0</v>
      </c>
      <c r="T138" s="20">
        <f t="shared" si="17"/>
        <v>0</v>
      </c>
      <c r="U138" s="20">
        <f>IF($J$2="x",IFERROR(SMALL($O$11:$O$14,128),0),IF($J$3="x",IFERROR(SMALL($O$11:$O$18,128),0),IF($J$4="x",IFERROR(SMALL($O$11:$O$26,128),0),IF($J$5="x",IFERROR(SMALL($O$11:$O$42,128),0),IF($J$6="x",IFERROR(SMALL($O$11:$O$74,128),0),IF($J$7="x",IFERROR(SMALL($O$11:$O$138,128),0),IFERROR(SMALL($O$11:$O$266,128),0)))))))</f>
        <v>1.010238</v>
      </c>
      <c r="V138" s="20">
        <f t="shared" si="18"/>
        <v>128</v>
      </c>
      <c r="W138" s="20" t="str">
        <f t="shared" si="19"/>
        <v xml:space="preserve"> </v>
      </c>
      <c r="Y138" s="29">
        <v>128</v>
      </c>
      <c r="Z138" s="36" t="str">
        <f t="shared" si="20"/>
        <v xml:space="preserve"> </v>
      </c>
      <c r="AA138" s="35" t="str">
        <f>IFERROR(INDEX(#REF!,MATCH(AB138,#REF!,0))," ")</f>
        <v xml:space="preserve"> </v>
      </c>
      <c r="AB138" s="30">
        <f t="shared" si="21"/>
        <v>0</v>
      </c>
    </row>
    <row r="139" spans="1:28" x14ac:dyDescent="0.25">
      <c r="A139" s="38"/>
      <c r="B139" s="31" t="s">
        <v>163</v>
      </c>
      <c r="C139" s="32" t="str">
        <f>IF('Infos générales'!$E$2="x",IF(A139&gt;0,INDEX(DP!$A$10:$G$265,MATCH(A139,DP!$A$10:$A$265,0),6)," "),IF(A139&gt;0,INDEX(DP!$A$10:$G$265,MATCH(A139,DP!$A$10:$A$265,0),4)," "))</f>
        <v xml:space="preserve"> </v>
      </c>
      <c r="E139" s="39"/>
      <c r="F139" s="33" t="s">
        <v>34</v>
      </c>
      <c r="G139" s="40"/>
      <c r="H139" s="39"/>
      <c r="I139" s="33" t="s">
        <v>34</v>
      </c>
      <c r="J139" s="40"/>
      <c r="K139" s="39"/>
      <c r="L139" s="33" t="s">
        <v>34</v>
      </c>
      <c r="M139" s="40"/>
      <c r="N139" s="34">
        <f t="shared" ref="N139:N202" si="22">IF($J$2="x",IFERROR(IF(O139="","",RANK(O139,$O$11:$O$14,1)),0),IF($J$3="x",IFERROR(IF(O139="","",RANK(O139,$O$11:$O$18,1)),0),IF($J$4="x",IFERROR(IF(O139="","",RANK(O139,$O$11:$O$26,1)),0),IF($J$5="x",IFERROR(IF(O139="","",RANK(O139,$O$11:$O$42,1)),0),IF($J$6="x",IFERROR(IF(O139="","",RANK(O139,$O$11:$O$74,1)),0),IF($J$7="x",IFERROR(IF(O139="","",RANK(O139,$O$11:$O$138,1)),0),IFERROR(IF(O139="","",RANK(O139,$O$11:$O$266,1)),0)))))))</f>
        <v>129</v>
      </c>
      <c r="O139" s="20">
        <f t="shared" ref="O139:O202" si="23">IF($J$2="x",(IFERROR(IF(C139="","-",RANK(R139,$R$11:$R$14,0)+RANK(S139,$S$11:$S$14,0)%+RANK(T139,$T$11:$T$14,0)%%+ROW()%%%),"-")),IF($J$3="x",(IFERROR(IF(C139="","-",RANK(R139,$R$11:$R$18,0)+RANK(S139,$S$11:$S$18,0)%+RANK(T139,$T$11:$T$18,0)%%+ROW()%%%),"-")),IF($J$4="x",(IFERROR(IF(C139="","-",RANK(R139,$R$11:$R$26,0)+RANK(S139,$S$11:$S$26,0)%+RANK(T139,$T$11:$T$26,0)%%+ROW()%%%),"-")),IF($J$5="x",(IFERROR(IF(C139="","-",RANK(R139,$R$11:$R$42,0)+RANK(S139,$S$11:$S$42,0)%+RANK(T139,$T$11:$T$42,0)%%+ROW()%%%),"-")),IF($J$6="x",(IFERROR(IF(C139="","-",RANK(R139,$R$11:$R$74,0)+RANK(S139,$S$11:$S$74,0)%+RANK(T139,$T$11:$T$74,0)%%+ROW()%%%),"-")),IF($J$7="x",(IFERROR(IF(C139="","-",RANK(R139,$R$11:$R$138,0)+RANK(S139,$S$11:$S$138,0)%+RANK(T139,$T$11:$T$138,0)%%+ROW()%%%),"-")),(IFERROR(IF(C139="","-",RANK(R139,$R$11:$R$266,0)+RANK(S139,$S$11:$S$266,0)%+RANK(T139,$T$11:$T$266,0)%%+ROW()%%%),"-"))))))))</f>
        <v>1.0102389999999999</v>
      </c>
      <c r="P139" s="20">
        <f t="shared" ref="P139:P202" si="24">IF($J$2="x",IFERROR(IF(O139="","",RANK(O139,$O$11:$O$14,1)),"-"),IF($J$3="x",IFERROR(IF(O139="","",RANK(O139,$O$11:$O$18,1)),"-"),IF($J$4="x",IFERROR(IF(O139="","",RANK(O139,$O$11:$O$26,1)),"-"),IF($J$5="x",IFERROR(IF(O139="","",RANK(O139,$O$11:$O$42,1)),"-"),IF($J$6="x",IFERROR(IF(O139="","",RANK(O139,$O$11:$O$74,1)),"-"),IF($J$7="x",IFERROR(IF(O139="","",RANK(O139,$O$11:$O$138,1)),"-"),IFERROR(IF(O139="","",RANK(O139,$O$11:$O$266,1)),"-")))))))</f>
        <v>129</v>
      </c>
      <c r="Q139" s="20" t="str">
        <f t="shared" ref="Q139:Q202" si="25">C139</f>
        <v xml:space="preserve"> </v>
      </c>
      <c r="R139" s="20">
        <f t="shared" ref="R139:R202" si="26">SUM(E139-G139)</f>
        <v>0</v>
      </c>
      <c r="S139" s="20">
        <f t="shared" ref="S139:S202" si="27">SUM(H139-J139)</f>
        <v>0</v>
      </c>
      <c r="T139" s="20">
        <f t="shared" ref="T139:T202" si="28">SUM(K139-M139)</f>
        <v>0</v>
      </c>
      <c r="U139" s="20">
        <f>IF($J$2="x",IFERROR(SMALL($O$11:$O$14,129),0),IF($J$3="x",IFERROR(SMALL($O$11:$O$18,129),0),IF($J$4="x",IFERROR(SMALL($O$11:$O$26,129),0),IF($J$5="x",IFERROR(SMALL($O$11:$O$42,129),0),IF($J$6="x",IFERROR(SMALL($O$11:$O$74,129),0),IF($J$7="x",IFERROR(SMALL($O$11:$O$138,129),0),IFERROR(SMALL($O$11:$O$266,129),0)))))))</f>
        <v>1.0102389999999999</v>
      </c>
      <c r="V139" s="20">
        <f t="shared" ref="V139:V202" si="29">IF($J$2="x",IFERROR(IF(U139="","",RANK(U139,$U$11:$U$14,1)),0),IF($J$3="x",IFERROR(IF(U139="","",RANK(U139,$U$11:$U$18,1)),0),IF($J$4="x",IFERROR(IF(U139="","",RANK(U139,$U$11:$U$26,1)),0),IF($J$5="x",IFERROR(IF(U139="","",RANK(U139,$U$11:$U$42,1)),0),IF($J$6="x",IFERROR(IF(U139="","",RANK(U139,$U$11:$U$74,1)),0),IF($J$7="x",IFERROR(IF(U139="","",RANK(U139,$U$11:$U$138,1)),0),IFERROR(IF(U139="","",RANK(U139,$U$11:$U$266,1)),0)))))))</f>
        <v>129</v>
      </c>
      <c r="W139" s="20" t="str">
        <f t="shared" ref="W139:W202" si="30">IF($J$2="x",IFERROR(INDEX($Q$11:$Q$14,MATCH(U139,$O$11:$O$14,0),1),0),IF($J$3="x",IFERROR(INDEX($Q$11:$Q$18,MATCH(U139,$O$11:$O$18,0),1),0),IF($J$4="x",IFERROR(INDEX($Q$11:$Q$26,MATCH(U139,$O$11:$O$26,0),1),0),IF($J$5="x",IFERROR(INDEX($Q$11:$Q$42,MATCH(U139,$O$11:$O$42,0),1),0),IF($J$6="x",IFERROR(INDEX($Q$11:$Q$74,MATCH(U139,$O$11:$O$74,0),1),0),IF($J$7="x",IFERROR(INDEX($Q$11:$Q$138,MATCH(U139,$O$11:$O$138,0),1),0),IFERROR(INDEX($Q$11:$Q$266,MATCH(U139,$O$11:$O$266,0),1),0)))))))</f>
        <v xml:space="preserve"> </v>
      </c>
      <c r="Y139" s="29">
        <v>129</v>
      </c>
      <c r="Z139" s="36" t="str">
        <f t="shared" ref="Z139:Z202" si="31">W139</f>
        <v xml:space="preserve"> </v>
      </c>
      <c r="AA139" s="35" t="str">
        <f>IFERROR(INDEX(#REF!,MATCH(AB139,#REF!,0))," ")</f>
        <v xml:space="preserve"> </v>
      </c>
      <c r="AB139" s="30">
        <f t="shared" ref="AB139:AB202" si="32">IFERROR(INDEX($A$11:$A$266,MATCH(Z139,$C$11:$C$266,0)),0)</f>
        <v>0</v>
      </c>
    </row>
    <row r="140" spans="1:28" x14ac:dyDescent="0.25">
      <c r="A140" s="38"/>
      <c r="B140" s="31" t="s">
        <v>164</v>
      </c>
      <c r="C140" s="32" t="str">
        <f>IF('Infos générales'!$E$2="x",IF(A140&gt;0,INDEX(DP!$A$10:$G$265,MATCH(A140,DP!$A$10:$A$265,0),6)," "),IF(A140&gt;0,INDEX(DP!$A$10:$G$265,MATCH(A140,DP!$A$10:$A$265,0),4)," "))</f>
        <v xml:space="preserve"> </v>
      </c>
      <c r="E140" s="39"/>
      <c r="F140" s="33" t="s">
        <v>34</v>
      </c>
      <c r="G140" s="40"/>
      <c r="H140" s="39"/>
      <c r="I140" s="33" t="s">
        <v>34</v>
      </c>
      <c r="J140" s="40"/>
      <c r="K140" s="39"/>
      <c r="L140" s="33" t="s">
        <v>34</v>
      </c>
      <c r="M140" s="40"/>
      <c r="N140" s="34">
        <f t="shared" si="22"/>
        <v>130</v>
      </c>
      <c r="O140" s="20">
        <f t="shared" si="23"/>
        <v>1.01024</v>
      </c>
      <c r="P140" s="20">
        <f t="shared" si="24"/>
        <v>130</v>
      </c>
      <c r="Q140" s="20" t="str">
        <f t="shared" si="25"/>
        <v xml:space="preserve"> </v>
      </c>
      <c r="R140" s="20">
        <f t="shared" si="26"/>
        <v>0</v>
      </c>
      <c r="S140" s="20">
        <f t="shared" si="27"/>
        <v>0</v>
      </c>
      <c r="T140" s="20">
        <f t="shared" si="28"/>
        <v>0</v>
      </c>
      <c r="U140" s="20">
        <f>IF($J$2="x",IFERROR(SMALL($O$11:$O$14,130),0),IF($J$3="x",IFERROR(SMALL($O$11:$O$18,130),0),IF($J$4="x",IFERROR(SMALL($O$11:$O$26,130),0),IF($J$5="x",IFERROR(SMALL($O$11:$O$42,130),0),IF($J$6="x",IFERROR(SMALL($O$11:$O$74,130),0),IF($J$7="x",IFERROR(SMALL($O$11:$O$138,130),0),IFERROR(SMALL($O$11:$O$266,130),0)))))))</f>
        <v>1.01024</v>
      </c>
      <c r="V140" s="20">
        <f t="shared" si="29"/>
        <v>130</v>
      </c>
      <c r="W140" s="20" t="str">
        <f t="shared" si="30"/>
        <v xml:space="preserve"> </v>
      </c>
      <c r="Y140" s="29">
        <v>130</v>
      </c>
      <c r="Z140" s="36" t="str">
        <f t="shared" si="31"/>
        <v xml:space="preserve"> </v>
      </c>
      <c r="AA140" s="35" t="str">
        <f>IFERROR(INDEX(#REF!,MATCH(AB140,#REF!,0))," ")</f>
        <v xml:space="preserve"> </v>
      </c>
      <c r="AB140" s="30">
        <f t="shared" si="32"/>
        <v>0</v>
      </c>
    </row>
    <row r="141" spans="1:28" x14ac:dyDescent="0.25">
      <c r="A141" s="38"/>
      <c r="B141" s="31" t="s">
        <v>165</v>
      </c>
      <c r="C141" s="32" t="str">
        <f>IF('Infos générales'!$E$2="x",IF(A141&gt;0,INDEX(DP!$A$10:$G$265,MATCH(A141,DP!$A$10:$A$265,0),6)," "),IF(A141&gt;0,INDEX(DP!$A$10:$G$265,MATCH(A141,DP!$A$10:$A$265,0),4)," "))</f>
        <v xml:space="preserve"> </v>
      </c>
      <c r="E141" s="39"/>
      <c r="F141" s="33" t="s">
        <v>34</v>
      </c>
      <c r="G141" s="40"/>
      <c r="H141" s="39"/>
      <c r="I141" s="33" t="s">
        <v>34</v>
      </c>
      <c r="J141" s="40"/>
      <c r="K141" s="39"/>
      <c r="L141" s="33" t="s">
        <v>34</v>
      </c>
      <c r="M141" s="40"/>
      <c r="N141" s="34">
        <f t="shared" si="22"/>
        <v>131</v>
      </c>
      <c r="O141" s="20">
        <f t="shared" si="23"/>
        <v>1.0102409999999999</v>
      </c>
      <c r="P141" s="20">
        <f t="shared" si="24"/>
        <v>131</v>
      </c>
      <c r="Q141" s="20" t="str">
        <f t="shared" si="25"/>
        <v xml:space="preserve"> </v>
      </c>
      <c r="R141" s="20">
        <f t="shared" si="26"/>
        <v>0</v>
      </c>
      <c r="S141" s="20">
        <f t="shared" si="27"/>
        <v>0</v>
      </c>
      <c r="T141" s="20">
        <f t="shared" si="28"/>
        <v>0</v>
      </c>
      <c r="U141" s="20">
        <f>IF($J$2="x",IFERROR(SMALL($O$11:$O$14,131),0),IF($J$3="x",IFERROR(SMALL($O$11:$O$18,131),0),IF($J$4="x",IFERROR(SMALL($O$11:$O$26,131),0),IF($J$5="x",IFERROR(SMALL($O$11:$O$42,131),0),IF($J$6="x",IFERROR(SMALL($O$11:$O$74,131),0),IF($J$7="x",IFERROR(SMALL($O$11:$O$138,131),0),IFERROR(SMALL($O$11:$O$266,131),0)))))))</f>
        <v>1.0102409999999999</v>
      </c>
      <c r="V141" s="20">
        <f t="shared" si="29"/>
        <v>131</v>
      </c>
      <c r="W141" s="20" t="str">
        <f t="shared" si="30"/>
        <v xml:space="preserve"> </v>
      </c>
      <c r="Y141" s="29">
        <v>131</v>
      </c>
      <c r="Z141" s="36" t="str">
        <f t="shared" si="31"/>
        <v xml:space="preserve"> </v>
      </c>
      <c r="AA141" s="35" t="str">
        <f>IFERROR(INDEX(#REF!,MATCH(AB141,#REF!,0))," ")</f>
        <v xml:space="preserve"> </v>
      </c>
      <c r="AB141" s="30">
        <f t="shared" si="32"/>
        <v>0</v>
      </c>
    </row>
    <row r="142" spans="1:28" x14ac:dyDescent="0.25">
      <c r="A142" s="38"/>
      <c r="B142" s="31" t="s">
        <v>166</v>
      </c>
      <c r="C142" s="32" t="str">
        <f>IF('Infos générales'!$E$2="x",IF(A142&gt;0,INDEX(DP!$A$10:$G$265,MATCH(A142,DP!$A$10:$A$265,0),6)," "),IF(A142&gt;0,INDEX(DP!$A$10:$G$265,MATCH(A142,DP!$A$10:$A$265,0),4)," "))</f>
        <v xml:space="preserve"> </v>
      </c>
      <c r="E142" s="39"/>
      <c r="F142" s="33" t="s">
        <v>34</v>
      </c>
      <c r="G142" s="40"/>
      <c r="H142" s="39"/>
      <c r="I142" s="33" t="s">
        <v>34</v>
      </c>
      <c r="J142" s="40"/>
      <c r="K142" s="39"/>
      <c r="L142" s="33" t="s">
        <v>34</v>
      </c>
      <c r="M142" s="40"/>
      <c r="N142" s="34">
        <f t="shared" si="22"/>
        <v>132</v>
      </c>
      <c r="O142" s="20">
        <f t="shared" si="23"/>
        <v>1.0102420000000001</v>
      </c>
      <c r="P142" s="20">
        <f t="shared" si="24"/>
        <v>132</v>
      </c>
      <c r="Q142" s="20" t="str">
        <f t="shared" si="25"/>
        <v xml:space="preserve"> </v>
      </c>
      <c r="R142" s="20">
        <f t="shared" si="26"/>
        <v>0</v>
      </c>
      <c r="S142" s="20">
        <f t="shared" si="27"/>
        <v>0</v>
      </c>
      <c r="T142" s="20">
        <f t="shared" si="28"/>
        <v>0</v>
      </c>
      <c r="U142" s="20">
        <f>IF($J$2="x",IFERROR(SMALL($O$11:$O$14,132),0),IF($J$3="x",IFERROR(SMALL($O$11:$O$18,132),0),IF($J$4="x",IFERROR(SMALL($O$11:$O$26,132),0),IF($J$5="x",IFERROR(SMALL($O$11:$O$42,132),0),IF($J$6="x",IFERROR(SMALL($O$11:$O$74,132),0),IF($J$7="x",IFERROR(SMALL($O$11:$O$138,132),0),IFERROR(SMALL($O$11:$O$266,132),0)))))))</f>
        <v>1.0102420000000001</v>
      </c>
      <c r="V142" s="20">
        <f t="shared" si="29"/>
        <v>132</v>
      </c>
      <c r="W142" s="20" t="str">
        <f t="shared" si="30"/>
        <v xml:space="preserve"> </v>
      </c>
      <c r="Y142" s="29">
        <v>132</v>
      </c>
      <c r="Z142" s="36" t="str">
        <f t="shared" si="31"/>
        <v xml:space="preserve"> </v>
      </c>
      <c r="AA142" s="35" t="str">
        <f>IFERROR(INDEX(#REF!,MATCH(AB142,#REF!,0))," ")</f>
        <v xml:space="preserve"> </v>
      </c>
      <c r="AB142" s="30">
        <f t="shared" si="32"/>
        <v>0</v>
      </c>
    </row>
    <row r="143" spans="1:28" x14ac:dyDescent="0.25">
      <c r="A143" s="38"/>
      <c r="B143" s="31" t="s">
        <v>167</v>
      </c>
      <c r="C143" s="32" t="str">
        <f>IF('Infos générales'!$E$2="x",IF(A143&gt;0,INDEX(DP!$A$10:$G$265,MATCH(A143,DP!$A$10:$A$265,0),6)," "),IF(A143&gt;0,INDEX(DP!$A$10:$G$265,MATCH(A143,DP!$A$10:$A$265,0),4)," "))</f>
        <v xml:space="preserve"> </v>
      </c>
      <c r="E143" s="39"/>
      <c r="F143" s="33" t="s">
        <v>34</v>
      </c>
      <c r="G143" s="40"/>
      <c r="H143" s="39"/>
      <c r="I143" s="33" t="s">
        <v>34</v>
      </c>
      <c r="J143" s="40"/>
      <c r="K143" s="39"/>
      <c r="L143" s="33" t="s">
        <v>34</v>
      </c>
      <c r="M143" s="40"/>
      <c r="N143" s="34">
        <f t="shared" si="22"/>
        <v>133</v>
      </c>
      <c r="O143" s="20">
        <f t="shared" si="23"/>
        <v>1.010243</v>
      </c>
      <c r="P143" s="20">
        <f t="shared" si="24"/>
        <v>133</v>
      </c>
      <c r="Q143" s="20" t="str">
        <f t="shared" si="25"/>
        <v xml:space="preserve"> </v>
      </c>
      <c r="R143" s="20">
        <f t="shared" si="26"/>
        <v>0</v>
      </c>
      <c r="S143" s="20">
        <f t="shared" si="27"/>
        <v>0</v>
      </c>
      <c r="T143" s="20">
        <f t="shared" si="28"/>
        <v>0</v>
      </c>
      <c r="U143" s="20">
        <f>IF($J$2="x",IFERROR(SMALL($O$11:$O$14,133),0),IF($J$3="x",IFERROR(SMALL($O$11:$O$18,133),0),IF($J$4="x",IFERROR(SMALL($O$11:$O$26,133),0),IF($J$5="x",IFERROR(SMALL($O$11:$O$42,133),0),IF($J$6="x",IFERROR(SMALL($O$11:$O$74,133),0),IF($J$7="x",IFERROR(SMALL($O$11:$O$138,133),0),IFERROR(SMALL($O$11:$O$266,133),0)))))))</f>
        <v>1.010243</v>
      </c>
      <c r="V143" s="20">
        <f t="shared" si="29"/>
        <v>133</v>
      </c>
      <c r="W143" s="20" t="str">
        <f t="shared" si="30"/>
        <v xml:space="preserve"> </v>
      </c>
      <c r="Y143" s="29">
        <v>133</v>
      </c>
      <c r="Z143" s="36" t="str">
        <f t="shared" si="31"/>
        <v xml:space="preserve"> </v>
      </c>
      <c r="AA143" s="35" t="str">
        <f>IFERROR(INDEX(#REF!,MATCH(AB143,#REF!,0))," ")</f>
        <v xml:space="preserve"> </v>
      </c>
      <c r="AB143" s="30">
        <f t="shared" si="32"/>
        <v>0</v>
      </c>
    </row>
    <row r="144" spans="1:28" x14ac:dyDescent="0.25">
      <c r="A144" s="38"/>
      <c r="B144" s="31" t="s">
        <v>168</v>
      </c>
      <c r="C144" s="32" t="str">
        <f>IF('Infos générales'!$E$2="x",IF(A144&gt;0,INDEX(DP!$A$10:$G$265,MATCH(A144,DP!$A$10:$A$265,0),6)," "),IF(A144&gt;0,INDEX(DP!$A$10:$G$265,MATCH(A144,DP!$A$10:$A$265,0),4)," "))</f>
        <v xml:space="preserve"> </v>
      </c>
      <c r="E144" s="39"/>
      <c r="F144" s="33" t="s">
        <v>34</v>
      </c>
      <c r="G144" s="40"/>
      <c r="H144" s="39"/>
      <c r="I144" s="33" t="s">
        <v>34</v>
      </c>
      <c r="J144" s="40"/>
      <c r="K144" s="39"/>
      <c r="L144" s="33" t="s">
        <v>34</v>
      </c>
      <c r="M144" s="40"/>
      <c r="N144" s="34">
        <f t="shared" si="22"/>
        <v>134</v>
      </c>
      <c r="O144" s="20">
        <f t="shared" si="23"/>
        <v>1.0102439999999999</v>
      </c>
      <c r="P144" s="20">
        <f t="shared" si="24"/>
        <v>134</v>
      </c>
      <c r="Q144" s="20" t="str">
        <f t="shared" si="25"/>
        <v xml:space="preserve"> </v>
      </c>
      <c r="R144" s="20">
        <f t="shared" si="26"/>
        <v>0</v>
      </c>
      <c r="S144" s="20">
        <f t="shared" si="27"/>
        <v>0</v>
      </c>
      <c r="T144" s="20">
        <f t="shared" si="28"/>
        <v>0</v>
      </c>
      <c r="U144" s="20">
        <f>IF($J$2="x",IFERROR(SMALL($O$11:$O$14,134),0),IF($J$3="x",IFERROR(SMALL($O$11:$O$18,134),0),IF($J$4="x",IFERROR(SMALL($O$11:$O$26,134),0),IF($J$5="x",IFERROR(SMALL($O$11:$O$42,134),0),IF($J$6="x",IFERROR(SMALL($O$11:$O$74,134),0),IF($J$7="x",IFERROR(SMALL($O$11:$O$138,134),0),IFERROR(SMALL($O$11:$O$266,134),0)))))))</f>
        <v>1.0102439999999999</v>
      </c>
      <c r="V144" s="20">
        <f t="shared" si="29"/>
        <v>134</v>
      </c>
      <c r="W144" s="20" t="str">
        <f t="shared" si="30"/>
        <v xml:space="preserve"> </v>
      </c>
      <c r="Y144" s="29">
        <v>134</v>
      </c>
      <c r="Z144" s="36" t="str">
        <f t="shared" si="31"/>
        <v xml:space="preserve"> </v>
      </c>
      <c r="AA144" s="35" t="str">
        <f>IFERROR(INDEX(#REF!,MATCH(AB144,#REF!,0))," ")</f>
        <v xml:space="preserve"> </v>
      </c>
      <c r="AB144" s="30">
        <f t="shared" si="32"/>
        <v>0</v>
      </c>
    </row>
    <row r="145" spans="1:28" x14ac:dyDescent="0.25">
      <c r="A145" s="38"/>
      <c r="B145" s="31" t="s">
        <v>169</v>
      </c>
      <c r="C145" s="32" t="str">
        <f>IF('Infos générales'!$E$2="x",IF(A145&gt;0,INDEX(DP!$A$10:$G$265,MATCH(A145,DP!$A$10:$A$265,0),6)," "),IF(A145&gt;0,INDEX(DP!$A$10:$G$265,MATCH(A145,DP!$A$10:$A$265,0),4)," "))</f>
        <v xml:space="preserve"> </v>
      </c>
      <c r="E145" s="39"/>
      <c r="F145" s="33" t="s">
        <v>34</v>
      </c>
      <c r="G145" s="40"/>
      <c r="H145" s="39"/>
      <c r="I145" s="33" t="s">
        <v>34</v>
      </c>
      <c r="J145" s="40"/>
      <c r="K145" s="39"/>
      <c r="L145" s="33" t="s">
        <v>34</v>
      </c>
      <c r="M145" s="40"/>
      <c r="N145" s="34">
        <f t="shared" si="22"/>
        <v>135</v>
      </c>
      <c r="O145" s="20">
        <f t="shared" si="23"/>
        <v>1.0102450000000001</v>
      </c>
      <c r="P145" s="20">
        <f t="shared" si="24"/>
        <v>135</v>
      </c>
      <c r="Q145" s="20" t="str">
        <f t="shared" si="25"/>
        <v xml:space="preserve"> </v>
      </c>
      <c r="R145" s="20">
        <f t="shared" si="26"/>
        <v>0</v>
      </c>
      <c r="S145" s="20">
        <f t="shared" si="27"/>
        <v>0</v>
      </c>
      <c r="T145" s="20">
        <f t="shared" si="28"/>
        <v>0</v>
      </c>
      <c r="U145" s="20">
        <f>IF($J$2="x",IFERROR(SMALL($O$11:$O$14,135),0),IF($J$3="x",IFERROR(SMALL($O$11:$O$18,135),0),IF($J$4="x",IFERROR(SMALL($O$11:$O$26,135),0),IF($J$5="x",IFERROR(SMALL($O$11:$O$42,135),0),IF($J$6="x",IFERROR(SMALL($O$11:$O$74,135),0),IF($J$7="x",IFERROR(SMALL($O$11:$O$138,135),0),IFERROR(SMALL($O$11:$O$266,135),0)))))))</f>
        <v>1.0102450000000001</v>
      </c>
      <c r="V145" s="20">
        <f t="shared" si="29"/>
        <v>135</v>
      </c>
      <c r="W145" s="20" t="str">
        <f t="shared" si="30"/>
        <v xml:space="preserve"> </v>
      </c>
      <c r="Y145" s="29">
        <v>135</v>
      </c>
      <c r="Z145" s="36" t="str">
        <f t="shared" si="31"/>
        <v xml:space="preserve"> </v>
      </c>
      <c r="AA145" s="35" t="str">
        <f>IFERROR(INDEX(#REF!,MATCH(AB145,#REF!,0))," ")</f>
        <v xml:space="preserve"> </v>
      </c>
      <c r="AB145" s="30">
        <f t="shared" si="32"/>
        <v>0</v>
      </c>
    </row>
    <row r="146" spans="1:28" x14ac:dyDescent="0.25">
      <c r="A146" s="38"/>
      <c r="B146" s="31" t="s">
        <v>170</v>
      </c>
      <c r="C146" s="32" t="str">
        <f>IF('Infos générales'!$E$2="x",IF(A146&gt;0,INDEX(DP!$A$10:$G$265,MATCH(A146,DP!$A$10:$A$265,0),6)," "),IF(A146&gt;0,INDEX(DP!$A$10:$G$265,MATCH(A146,DP!$A$10:$A$265,0),4)," "))</f>
        <v xml:space="preserve"> </v>
      </c>
      <c r="E146" s="39"/>
      <c r="F146" s="33" t="s">
        <v>34</v>
      </c>
      <c r="G146" s="40"/>
      <c r="H146" s="39"/>
      <c r="I146" s="33" t="s">
        <v>34</v>
      </c>
      <c r="J146" s="40"/>
      <c r="K146" s="39"/>
      <c r="L146" s="33" t="s">
        <v>34</v>
      </c>
      <c r="M146" s="40"/>
      <c r="N146" s="34">
        <f t="shared" si="22"/>
        <v>136</v>
      </c>
      <c r="O146" s="20">
        <f t="shared" si="23"/>
        <v>1.010246</v>
      </c>
      <c r="P146" s="20">
        <f t="shared" si="24"/>
        <v>136</v>
      </c>
      <c r="Q146" s="20" t="str">
        <f t="shared" si="25"/>
        <v xml:space="preserve"> </v>
      </c>
      <c r="R146" s="20">
        <f t="shared" si="26"/>
        <v>0</v>
      </c>
      <c r="S146" s="20">
        <f t="shared" si="27"/>
        <v>0</v>
      </c>
      <c r="T146" s="20">
        <f t="shared" si="28"/>
        <v>0</v>
      </c>
      <c r="U146" s="20">
        <f>IF($J$2="x",IFERROR(SMALL($O$11:$O$14,136),0),IF($J$3="x",IFERROR(SMALL($O$11:$O$18,136),0),IF($J$4="x",IFERROR(SMALL($O$11:$O$26,136),0),IF($J$5="x",IFERROR(SMALL($O$11:$O$42,136),0),IF($J$6="x",IFERROR(SMALL($O$11:$O$74,136),0),IF($J$7="x",IFERROR(SMALL($O$11:$O$138,136),0),IFERROR(SMALL($O$11:$O$266,136),0)))))))</f>
        <v>1.010246</v>
      </c>
      <c r="V146" s="20">
        <f t="shared" si="29"/>
        <v>136</v>
      </c>
      <c r="W146" s="20" t="str">
        <f t="shared" si="30"/>
        <v xml:space="preserve"> </v>
      </c>
      <c r="Y146" s="29">
        <v>136</v>
      </c>
      <c r="Z146" s="36" t="str">
        <f t="shared" si="31"/>
        <v xml:space="preserve"> </v>
      </c>
      <c r="AA146" s="35" t="str">
        <f>IFERROR(INDEX(#REF!,MATCH(AB146,#REF!,0))," ")</f>
        <v xml:space="preserve"> </v>
      </c>
      <c r="AB146" s="30">
        <f t="shared" si="32"/>
        <v>0</v>
      </c>
    </row>
    <row r="147" spans="1:28" x14ac:dyDescent="0.25">
      <c r="A147" s="38"/>
      <c r="B147" s="31" t="s">
        <v>171</v>
      </c>
      <c r="C147" s="32" t="str">
        <f>IF('Infos générales'!$E$2="x",IF(A147&gt;0,INDEX(DP!$A$10:$G$265,MATCH(A147,DP!$A$10:$A$265,0),6)," "),IF(A147&gt;0,INDEX(DP!$A$10:$G$265,MATCH(A147,DP!$A$10:$A$265,0),4)," "))</f>
        <v xml:space="preserve"> </v>
      </c>
      <c r="E147" s="39"/>
      <c r="F147" s="33" t="s">
        <v>34</v>
      </c>
      <c r="G147" s="40"/>
      <c r="H147" s="39"/>
      <c r="I147" s="33" t="s">
        <v>34</v>
      </c>
      <c r="J147" s="40"/>
      <c r="K147" s="39"/>
      <c r="L147" s="33" t="s">
        <v>34</v>
      </c>
      <c r="M147" s="40"/>
      <c r="N147" s="34">
        <f t="shared" si="22"/>
        <v>137</v>
      </c>
      <c r="O147" s="20">
        <f t="shared" si="23"/>
        <v>1.0102469999999999</v>
      </c>
      <c r="P147" s="20">
        <f t="shared" si="24"/>
        <v>137</v>
      </c>
      <c r="Q147" s="20" t="str">
        <f t="shared" si="25"/>
        <v xml:space="preserve"> </v>
      </c>
      <c r="R147" s="20">
        <f t="shared" si="26"/>
        <v>0</v>
      </c>
      <c r="S147" s="20">
        <f t="shared" si="27"/>
        <v>0</v>
      </c>
      <c r="T147" s="20">
        <f t="shared" si="28"/>
        <v>0</v>
      </c>
      <c r="U147" s="20">
        <f>IF($J$2="x",IFERROR(SMALL($O$11:$O$14,137),0),IF($J$3="x",IFERROR(SMALL($O$11:$O$18,137),0),IF($J$4="x",IFERROR(SMALL($O$11:$O$26,137),0),IF($J$5="x",IFERROR(SMALL($O$11:$O$42,137),0),IF($J$6="x",IFERROR(SMALL($O$11:$O$74,137),0),IF($J$7="x",IFERROR(SMALL($O$11:$O$138,137),0),IFERROR(SMALL($O$11:$O$266,137),0)))))))</f>
        <v>1.0102469999999999</v>
      </c>
      <c r="V147" s="20">
        <f t="shared" si="29"/>
        <v>137</v>
      </c>
      <c r="W147" s="20" t="str">
        <f t="shared" si="30"/>
        <v xml:space="preserve"> </v>
      </c>
      <c r="Y147" s="29">
        <v>137</v>
      </c>
      <c r="Z147" s="36" t="str">
        <f t="shared" si="31"/>
        <v xml:space="preserve"> </v>
      </c>
      <c r="AA147" s="35" t="str">
        <f>IFERROR(INDEX(#REF!,MATCH(AB147,#REF!,0))," ")</f>
        <v xml:space="preserve"> </v>
      </c>
      <c r="AB147" s="30">
        <f t="shared" si="32"/>
        <v>0</v>
      </c>
    </row>
    <row r="148" spans="1:28" x14ac:dyDescent="0.25">
      <c r="A148" s="38"/>
      <c r="B148" s="31" t="s">
        <v>172</v>
      </c>
      <c r="C148" s="32" t="str">
        <f>IF('Infos générales'!$E$2="x",IF(A148&gt;0,INDEX(DP!$A$10:$G$265,MATCH(A148,DP!$A$10:$A$265,0),6)," "),IF(A148&gt;0,INDEX(DP!$A$10:$G$265,MATCH(A148,DP!$A$10:$A$265,0),4)," "))</f>
        <v xml:space="preserve"> </v>
      </c>
      <c r="E148" s="39"/>
      <c r="F148" s="33" t="s">
        <v>34</v>
      </c>
      <c r="G148" s="40"/>
      <c r="H148" s="39"/>
      <c r="I148" s="33" t="s">
        <v>34</v>
      </c>
      <c r="J148" s="40"/>
      <c r="K148" s="39"/>
      <c r="L148" s="33" t="s">
        <v>34</v>
      </c>
      <c r="M148" s="40"/>
      <c r="N148" s="34">
        <f t="shared" si="22"/>
        <v>138</v>
      </c>
      <c r="O148" s="20">
        <f t="shared" si="23"/>
        <v>1.010248</v>
      </c>
      <c r="P148" s="20">
        <f t="shared" si="24"/>
        <v>138</v>
      </c>
      <c r="Q148" s="20" t="str">
        <f t="shared" si="25"/>
        <v xml:space="preserve"> </v>
      </c>
      <c r="R148" s="20">
        <f t="shared" si="26"/>
        <v>0</v>
      </c>
      <c r="S148" s="20">
        <f t="shared" si="27"/>
        <v>0</v>
      </c>
      <c r="T148" s="20">
        <f t="shared" si="28"/>
        <v>0</v>
      </c>
      <c r="U148" s="20">
        <f>IF($J$2="x",IFERROR(SMALL($O$11:$O$14,138),0),IF($J$3="x",IFERROR(SMALL($O$11:$O$18,138),0),IF($J$4="x",IFERROR(SMALL($O$11:$O$26,138),0),IF($J$5="x",IFERROR(SMALL($O$11:$O$42,138),0),IF($J$6="x",IFERROR(SMALL($O$11:$O$74,138),0),IF($J$7="x",IFERROR(SMALL($O$11:$O$138,138),0),IFERROR(SMALL($O$11:$O$266,138),0)))))))</f>
        <v>1.010248</v>
      </c>
      <c r="V148" s="20">
        <f t="shared" si="29"/>
        <v>138</v>
      </c>
      <c r="W148" s="20" t="str">
        <f t="shared" si="30"/>
        <v xml:space="preserve"> </v>
      </c>
      <c r="Y148" s="29">
        <v>138</v>
      </c>
      <c r="Z148" s="36" t="str">
        <f t="shared" si="31"/>
        <v xml:space="preserve"> </v>
      </c>
      <c r="AA148" s="35" t="str">
        <f>IFERROR(INDEX(#REF!,MATCH(AB148,#REF!,0))," ")</f>
        <v xml:space="preserve"> </v>
      </c>
      <c r="AB148" s="30">
        <f t="shared" si="32"/>
        <v>0</v>
      </c>
    </row>
    <row r="149" spans="1:28" x14ac:dyDescent="0.25">
      <c r="A149" s="38"/>
      <c r="B149" s="31" t="s">
        <v>173</v>
      </c>
      <c r="C149" s="32" t="str">
        <f>IF('Infos générales'!$E$2="x",IF(A149&gt;0,INDEX(DP!$A$10:$G$265,MATCH(A149,DP!$A$10:$A$265,0),6)," "),IF(A149&gt;0,INDEX(DP!$A$10:$G$265,MATCH(A149,DP!$A$10:$A$265,0),4)," "))</f>
        <v xml:space="preserve"> </v>
      </c>
      <c r="E149" s="39"/>
      <c r="F149" s="33" t="s">
        <v>34</v>
      </c>
      <c r="G149" s="40"/>
      <c r="H149" s="39"/>
      <c r="I149" s="33" t="s">
        <v>34</v>
      </c>
      <c r="J149" s="40"/>
      <c r="K149" s="39"/>
      <c r="L149" s="33" t="s">
        <v>34</v>
      </c>
      <c r="M149" s="40"/>
      <c r="N149" s="34">
        <f t="shared" si="22"/>
        <v>139</v>
      </c>
      <c r="O149" s="20">
        <f t="shared" si="23"/>
        <v>1.010249</v>
      </c>
      <c r="P149" s="20">
        <f t="shared" si="24"/>
        <v>139</v>
      </c>
      <c r="Q149" s="20" t="str">
        <f t="shared" si="25"/>
        <v xml:space="preserve"> </v>
      </c>
      <c r="R149" s="20">
        <f t="shared" si="26"/>
        <v>0</v>
      </c>
      <c r="S149" s="20">
        <f t="shared" si="27"/>
        <v>0</v>
      </c>
      <c r="T149" s="20">
        <f t="shared" si="28"/>
        <v>0</v>
      </c>
      <c r="U149" s="20">
        <f>IF($J$2="x",IFERROR(SMALL($O$11:$O$14,139),0),IF($J$3="x",IFERROR(SMALL($O$11:$O$18,139),0),IF($J$4="x",IFERROR(SMALL($O$11:$O$26,139),0),IF($J$5="x",IFERROR(SMALL($O$11:$O$42,139),0),IF($J$6="x",IFERROR(SMALL($O$11:$O$74,139),0),IF($J$7="x",IFERROR(SMALL($O$11:$O$138,139),0),IFERROR(SMALL($O$11:$O$266,139),0)))))))</f>
        <v>1.010249</v>
      </c>
      <c r="V149" s="20">
        <f t="shared" si="29"/>
        <v>139</v>
      </c>
      <c r="W149" s="20" t="str">
        <f t="shared" si="30"/>
        <v xml:space="preserve"> </v>
      </c>
      <c r="Y149" s="29">
        <v>139</v>
      </c>
      <c r="Z149" s="36" t="str">
        <f t="shared" si="31"/>
        <v xml:space="preserve"> </v>
      </c>
      <c r="AA149" s="35" t="str">
        <f>IFERROR(INDEX(#REF!,MATCH(AB149,#REF!,0))," ")</f>
        <v xml:space="preserve"> </v>
      </c>
      <c r="AB149" s="30">
        <f t="shared" si="32"/>
        <v>0</v>
      </c>
    </row>
    <row r="150" spans="1:28" x14ac:dyDescent="0.25">
      <c r="A150" s="38"/>
      <c r="B150" s="31" t="s">
        <v>174</v>
      </c>
      <c r="C150" s="32" t="str">
        <f>IF('Infos générales'!$E$2="x",IF(A150&gt;0,INDEX(DP!$A$10:$G$265,MATCH(A150,DP!$A$10:$A$265,0),6)," "),IF(A150&gt;0,INDEX(DP!$A$10:$G$265,MATCH(A150,DP!$A$10:$A$265,0),4)," "))</f>
        <v xml:space="preserve"> </v>
      </c>
      <c r="E150" s="39"/>
      <c r="F150" s="33" t="s">
        <v>34</v>
      </c>
      <c r="G150" s="40"/>
      <c r="H150" s="39"/>
      <c r="I150" s="33" t="s">
        <v>34</v>
      </c>
      <c r="J150" s="40"/>
      <c r="K150" s="39"/>
      <c r="L150" s="33" t="s">
        <v>34</v>
      </c>
      <c r="M150" s="40"/>
      <c r="N150" s="34">
        <f t="shared" si="22"/>
        <v>140</v>
      </c>
      <c r="O150" s="20">
        <f t="shared" si="23"/>
        <v>1.0102500000000001</v>
      </c>
      <c r="P150" s="20">
        <f t="shared" si="24"/>
        <v>140</v>
      </c>
      <c r="Q150" s="20" t="str">
        <f t="shared" si="25"/>
        <v xml:space="preserve"> </v>
      </c>
      <c r="R150" s="20">
        <f t="shared" si="26"/>
        <v>0</v>
      </c>
      <c r="S150" s="20">
        <f t="shared" si="27"/>
        <v>0</v>
      </c>
      <c r="T150" s="20">
        <f t="shared" si="28"/>
        <v>0</v>
      </c>
      <c r="U150" s="20">
        <f>IF($J$2="x",IFERROR(SMALL($O$11:$O$14,140),0),IF($J$3="x",IFERROR(SMALL($O$11:$O$18,140),0),IF($J$4="x",IFERROR(SMALL($O$11:$O$26,140),0),IF($J$5="x",IFERROR(SMALL($O$11:$O$42,140),0),IF($J$6="x",IFERROR(SMALL($O$11:$O$74,140),0),IF($J$7="x",IFERROR(SMALL($O$11:$O$138,140),0),IFERROR(SMALL($O$11:$O$266,140),0)))))))</f>
        <v>1.0102500000000001</v>
      </c>
      <c r="V150" s="20">
        <f t="shared" si="29"/>
        <v>140</v>
      </c>
      <c r="W150" s="20" t="str">
        <f t="shared" si="30"/>
        <v xml:space="preserve"> </v>
      </c>
      <c r="Y150" s="29">
        <v>140</v>
      </c>
      <c r="Z150" s="36" t="str">
        <f t="shared" si="31"/>
        <v xml:space="preserve"> </v>
      </c>
      <c r="AA150" s="35" t="str">
        <f>IFERROR(INDEX(#REF!,MATCH(AB150,#REF!,0))," ")</f>
        <v xml:space="preserve"> </v>
      </c>
      <c r="AB150" s="30">
        <f t="shared" si="32"/>
        <v>0</v>
      </c>
    </row>
    <row r="151" spans="1:28" x14ac:dyDescent="0.25">
      <c r="A151" s="38"/>
      <c r="B151" s="31" t="s">
        <v>175</v>
      </c>
      <c r="C151" s="32" t="str">
        <f>IF('Infos générales'!$E$2="x",IF(A151&gt;0,INDEX(DP!$A$10:$G$265,MATCH(A151,DP!$A$10:$A$265,0),6)," "),IF(A151&gt;0,INDEX(DP!$A$10:$G$265,MATCH(A151,DP!$A$10:$A$265,0),4)," "))</f>
        <v xml:space="preserve"> </v>
      </c>
      <c r="E151" s="39"/>
      <c r="F151" s="33" t="s">
        <v>34</v>
      </c>
      <c r="G151" s="40"/>
      <c r="H151" s="39"/>
      <c r="I151" s="33" t="s">
        <v>34</v>
      </c>
      <c r="J151" s="40"/>
      <c r="K151" s="39"/>
      <c r="L151" s="33" t="s">
        <v>34</v>
      </c>
      <c r="M151" s="40"/>
      <c r="N151" s="34">
        <f t="shared" si="22"/>
        <v>141</v>
      </c>
      <c r="O151" s="20">
        <f t="shared" si="23"/>
        <v>1.010251</v>
      </c>
      <c r="P151" s="20">
        <f t="shared" si="24"/>
        <v>141</v>
      </c>
      <c r="Q151" s="20" t="str">
        <f t="shared" si="25"/>
        <v xml:space="preserve"> </v>
      </c>
      <c r="R151" s="20">
        <f t="shared" si="26"/>
        <v>0</v>
      </c>
      <c r="S151" s="20">
        <f t="shared" si="27"/>
        <v>0</v>
      </c>
      <c r="T151" s="20">
        <f t="shared" si="28"/>
        <v>0</v>
      </c>
      <c r="U151" s="20">
        <f>IF($J$2="x",IFERROR(SMALL($O$11:$O$14,141),0),IF($J$3="x",IFERROR(SMALL($O$11:$O$18,141),0),IF($J$4="x",IFERROR(SMALL($O$11:$O$26,141),0),IF($J$5="x",IFERROR(SMALL($O$11:$O$42,141),0),IF($J$6="x",IFERROR(SMALL($O$11:$O$74,141),0),IF($J$7="x",IFERROR(SMALL($O$11:$O$138,141),0),IFERROR(SMALL($O$11:$O$266,141),0)))))))</f>
        <v>1.010251</v>
      </c>
      <c r="V151" s="20">
        <f t="shared" si="29"/>
        <v>141</v>
      </c>
      <c r="W151" s="20" t="str">
        <f t="shared" si="30"/>
        <v xml:space="preserve"> </v>
      </c>
      <c r="Y151" s="29">
        <v>141</v>
      </c>
      <c r="Z151" s="36" t="str">
        <f t="shared" si="31"/>
        <v xml:space="preserve"> </v>
      </c>
      <c r="AA151" s="35" t="str">
        <f>IFERROR(INDEX(#REF!,MATCH(AB151,#REF!,0))," ")</f>
        <v xml:space="preserve"> </v>
      </c>
      <c r="AB151" s="30">
        <f t="shared" si="32"/>
        <v>0</v>
      </c>
    </row>
    <row r="152" spans="1:28" x14ac:dyDescent="0.25">
      <c r="A152" s="38"/>
      <c r="B152" s="31" t="s">
        <v>176</v>
      </c>
      <c r="C152" s="32" t="str">
        <f>IF('Infos générales'!$E$2="x",IF(A152&gt;0,INDEX(DP!$A$10:$G$265,MATCH(A152,DP!$A$10:$A$265,0),6)," "),IF(A152&gt;0,INDEX(DP!$A$10:$G$265,MATCH(A152,DP!$A$10:$A$265,0),4)," "))</f>
        <v xml:space="preserve"> </v>
      </c>
      <c r="E152" s="39"/>
      <c r="F152" s="33" t="s">
        <v>34</v>
      </c>
      <c r="G152" s="40"/>
      <c r="H152" s="39"/>
      <c r="I152" s="33" t="s">
        <v>34</v>
      </c>
      <c r="J152" s="40"/>
      <c r="K152" s="39"/>
      <c r="L152" s="33" t="s">
        <v>34</v>
      </c>
      <c r="M152" s="40"/>
      <c r="N152" s="34">
        <f t="shared" si="22"/>
        <v>142</v>
      </c>
      <c r="O152" s="20">
        <f t="shared" si="23"/>
        <v>1.0102519999999999</v>
      </c>
      <c r="P152" s="20">
        <f t="shared" si="24"/>
        <v>142</v>
      </c>
      <c r="Q152" s="20" t="str">
        <f t="shared" si="25"/>
        <v xml:space="preserve"> </v>
      </c>
      <c r="R152" s="20">
        <f t="shared" si="26"/>
        <v>0</v>
      </c>
      <c r="S152" s="20">
        <f t="shared" si="27"/>
        <v>0</v>
      </c>
      <c r="T152" s="20">
        <f t="shared" si="28"/>
        <v>0</v>
      </c>
      <c r="U152" s="20">
        <f>IF($J$2="x",IFERROR(SMALL($O$11:$O$14,142),0),IF($J$3="x",IFERROR(SMALL($O$11:$O$18,142),0),IF($J$4="x",IFERROR(SMALL($O$11:$O$26,142),0),IF($J$5="x",IFERROR(SMALL($O$11:$O$42,142),0),IF($J$6="x",IFERROR(SMALL($O$11:$O$74,142),0),IF($J$7="x",IFERROR(SMALL($O$11:$O$138,142),0),IFERROR(SMALL($O$11:$O$266,142),0)))))))</f>
        <v>1.0102519999999999</v>
      </c>
      <c r="V152" s="20">
        <f t="shared" si="29"/>
        <v>142</v>
      </c>
      <c r="W152" s="20" t="str">
        <f t="shared" si="30"/>
        <v xml:space="preserve"> </v>
      </c>
      <c r="Y152" s="29">
        <v>142</v>
      </c>
      <c r="Z152" s="36" t="str">
        <f t="shared" si="31"/>
        <v xml:space="preserve"> </v>
      </c>
      <c r="AA152" s="35" t="str">
        <f>IFERROR(INDEX(#REF!,MATCH(AB152,#REF!,0))," ")</f>
        <v xml:space="preserve"> </v>
      </c>
      <c r="AB152" s="30">
        <f t="shared" si="32"/>
        <v>0</v>
      </c>
    </row>
    <row r="153" spans="1:28" x14ac:dyDescent="0.25">
      <c r="A153" s="38"/>
      <c r="B153" s="31" t="s">
        <v>177</v>
      </c>
      <c r="C153" s="32" t="str">
        <f>IF('Infos générales'!$E$2="x",IF(A153&gt;0,INDEX(DP!$A$10:$G$265,MATCH(A153,DP!$A$10:$A$265,0),6)," "),IF(A153&gt;0,INDEX(DP!$A$10:$G$265,MATCH(A153,DP!$A$10:$A$265,0),4)," "))</f>
        <v xml:space="preserve"> </v>
      </c>
      <c r="E153" s="39"/>
      <c r="F153" s="33" t="s">
        <v>34</v>
      </c>
      <c r="G153" s="40"/>
      <c r="H153" s="39"/>
      <c r="I153" s="33" t="s">
        <v>34</v>
      </c>
      <c r="J153" s="40"/>
      <c r="K153" s="39"/>
      <c r="L153" s="33" t="s">
        <v>34</v>
      </c>
      <c r="M153" s="40"/>
      <c r="N153" s="34">
        <f t="shared" si="22"/>
        <v>143</v>
      </c>
      <c r="O153" s="20">
        <f t="shared" si="23"/>
        <v>1.0102530000000001</v>
      </c>
      <c r="P153" s="20">
        <f t="shared" si="24"/>
        <v>143</v>
      </c>
      <c r="Q153" s="20" t="str">
        <f t="shared" si="25"/>
        <v xml:space="preserve"> </v>
      </c>
      <c r="R153" s="20">
        <f t="shared" si="26"/>
        <v>0</v>
      </c>
      <c r="S153" s="20">
        <f t="shared" si="27"/>
        <v>0</v>
      </c>
      <c r="T153" s="20">
        <f t="shared" si="28"/>
        <v>0</v>
      </c>
      <c r="U153" s="20">
        <f>IF($J$2="x",IFERROR(SMALL($O$11:$O$14,143),0),IF($J$3="x",IFERROR(SMALL($O$11:$O$18,143),0),IF($J$4="x",IFERROR(SMALL($O$11:$O$26,143),0),IF($J$5="x",IFERROR(SMALL($O$11:$O$42,143),0),IF($J$6="x",IFERROR(SMALL($O$11:$O$74,143),0),IF($J$7="x",IFERROR(SMALL($O$11:$O$138,143),0),IFERROR(SMALL($O$11:$O$266,143),0)))))))</f>
        <v>1.0102530000000001</v>
      </c>
      <c r="V153" s="20">
        <f t="shared" si="29"/>
        <v>143</v>
      </c>
      <c r="W153" s="20" t="str">
        <f t="shared" si="30"/>
        <v xml:space="preserve"> </v>
      </c>
      <c r="Y153" s="29">
        <v>143</v>
      </c>
      <c r="Z153" s="36" t="str">
        <f t="shared" si="31"/>
        <v xml:space="preserve"> </v>
      </c>
      <c r="AA153" s="35" t="str">
        <f>IFERROR(INDEX(#REF!,MATCH(AB153,#REF!,0))," ")</f>
        <v xml:space="preserve"> </v>
      </c>
      <c r="AB153" s="30">
        <f t="shared" si="32"/>
        <v>0</v>
      </c>
    </row>
    <row r="154" spans="1:28" x14ac:dyDescent="0.25">
      <c r="A154" s="38"/>
      <c r="B154" s="31" t="s">
        <v>178</v>
      </c>
      <c r="C154" s="32" t="str">
        <f>IF('Infos générales'!$E$2="x",IF(A154&gt;0,INDEX(DP!$A$10:$G$265,MATCH(A154,DP!$A$10:$A$265,0),6)," "),IF(A154&gt;0,INDEX(DP!$A$10:$G$265,MATCH(A154,DP!$A$10:$A$265,0),4)," "))</f>
        <v xml:space="preserve"> </v>
      </c>
      <c r="E154" s="39"/>
      <c r="F154" s="33" t="s">
        <v>34</v>
      </c>
      <c r="G154" s="40"/>
      <c r="H154" s="39"/>
      <c r="I154" s="33" t="s">
        <v>34</v>
      </c>
      <c r="J154" s="40"/>
      <c r="K154" s="39"/>
      <c r="L154" s="33" t="s">
        <v>34</v>
      </c>
      <c r="M154" s="40"/>
      <c r="N154" s="34">
        <f t="shared" si="22"/>
        <v>144</v>
      </c>
      <c r="O154" s="20">
        <f t="shared" si="23"/>
        <v>1.010254</v>
      </c>
      <c r="P154" s="20">
        <f t="shared" si="24"/>
        <v>144</v>
      </c>
      <c r="Q154" s="20" t="str">
        <f t="shared" si="25"/>
        <v xml:space="preserve"> </v>
      </c>
      <c r="R154" s="20">
        <f t="shared" si="26"/>
        <v>0</v>
      </c>
      <c r="S154" s="20">
        <f t="shared" si="27"/>
        <v>0</v>
      </c>
      <c r="T154" s="20">
        <f t="shared" si="28"/>
        <v>0</v>
      </c>
      <c r="U154" s="20">
        <f>IF($J$2="x",IFERROR(SMALL($O$11:$O$14,144),0),IF($J$3="x",IFERROR(SMALL($O$11:$O$18,144),0),IF($J$4="x",IFERROR(SMALL($O$11:$O$26,144),0),IF($J$5="x",IFERROR(SMALL($O$11:$O$42,144),0),IF($J$6="x",IFERROR(SMALL($O$11:$O$74,144),0),IF($J$7="x",IFERROR(SMALL($O$11:$O$138,144),0),IFERROR(SMALL($O$11:$O$266,144),0)))))))</f>
        <v>1.010254</v>
      </c>
      <c r="V154" s="20">
        <f t="shared" si="29"/>
        <v>144</v>
      </c>
      <c r="W154" s="20" t="str">
        <f t="shared" si="30"/>
        <v xml:space="preserve"> </v>
      </c>
      <c r="Y154" s="29">
        <v>144</v>
      </c>
      <c r="Z154" s="36" t="str">
        <f t="shared" si="31"/>
        <v xml:space="preserve"> </v>
      </c>
      <c r="AA154" s="35" t="str">
        <f>IFERROR(INDEX(#REF!,MATCH(AB154,#REF!,0))," ")</f>
        <v xml:space="preserve"> </v>
      </c>
      <c r="AB154" s="30">
        <f t="shared" si="32"/>
        <v>0</v>
      </c>
    </row>
    <row r="155" spans="1:28" x14ac:dyDescent="0.25">
      <c r="A155" s="38"/>
      <c r="B155" s="31" t="s">
        <v>179</v>
      </c>
      <c r="C155" s="32" t="str">
        <f>IF('Infos générales'!$E$2="x",IF(A155&gt;0,INDEX(DP!$A$10:$G$265,MATCH(A155,DP!$A$10:$A$265,0),6)," "),IF(A155&gt;0,INDEX(DP!$A$10:$G$265,MATCH(A155,DP!$A$10:$A$265,0),4)," "))</f>
        <v xml:space="preserve"> </v>
      </c>
      <c r="E155" s="39"/>
      <c r="F155" s="33" t="s">
        <v>34</v>
      </c>
      <c r="G155" s="40"/>
      <c r="H155" s="39"/>
      <c r="I155" s="33" t="s">
        <v>34</v>
      </c>
      <c r="J155" s="40"/>
      <c r="K155" s="39"/>
      <c r="L155" s="33" t="s">
        <v>34</v>
      </c>
      <c r="M155" s="40"/>
      <c r="N155" s="34">
        <f t="shared" si="22"/>
        <v>145</v>
      </c>
      <c r="O155" s="20">
        <f t="shared" si="23"/>
        <v>1.0102549999999999</v>
      </c>
      <c r="P155" s="20">
        <f t="shared" si="24"/>
        <v>145</v>
      </c>
      <c r="Q155" s="20" t="str">
        <f t="shared" si="25"/>
        <v xml:space="preserve"> </v>
      </c>
      <c r="R155" s="20">
        <f t="shared" si="26"/>
        <v>0</v>
      </c>
      <c r="S155" s="20">
        <f t="shared" si="27"/>
        <v>0</v>
      </c>
      <c r="T155" s="20">
        <f t="shared" si="28"/>
        <v>0</v>
      </c>
      <c r="U155" s="20">
        <f>IF($J$2="x",IFERROR(SMALL($O$11:$O$14,145),0),IF($J$3="x",IFERROR(SMALL($O$11:$O$18,145),0),IF($J$4="x",IFERROR(SMALL($O$11:$O$26,145),0),IF($J$5="x",IFERROR(SMALL($O$11:$O$42,145),0),IF($J$6="x",IFERROR(SMALL($O$11:$O$74,145),0),IF($J$7="x",IFERROR(SMALL($O$11:$O$138,145),0),IFERROR(SMALL($O$11:$O$266,145),0)))))))</f>
        <v>1.0102549999999999</v>
      </c>
      <c r="V155" s="20">
        <f t="shared" si="29"/>
        <v>145</v>
      </c>
      <c r="W155" s="20" t="str">
        <f t="shared" si="30"/>
        <v xml:space="preserve"> </v>
      </c>
      <c r="Y155" s="29">
        <v>145</v>
      </c>
      <c r="Z155" s="36" t="str">
        <f t="shared" si="31"/>
        <v xml:space="preserve"> </v>
      </c>
      <c r="AA155" s="35" t="str">
        <f>IFERROR(INDEX(#REF!,MATCH(AB155,#REF!,0))," ")</f>
        <v xml:space="preserve"> </v>
      </c>
      <c r="AB155" s="30">
        <f t="shared" si="32"/>
        <v>0</v>
      </c>
    </row>
    <row r="156" spans="1:28" x14ac:dyDescent="0.25">
      <c r="A156" s="38"/>
      <c r="B156" s="31" t="s">
        <v>180</v>
      </c>
      <c r="C156" s="32" t="str">
        <f>IF('Infos générales'!$E$2="x",IF(A156&gt;0,INDEX(DP!$A$10:$G$265,MATCH(A156,DP!$A$10:$A$265,0),6)," "),IF(A156&gt;0,INDEX(DP!$A$10:$G$265,MATCH(A156,DP!$A$10:$A$265,0),4)," "))</f>
        <v xml:space="preserve"> </v>
      </c>
      <c r="E156" s="39"/>
      <c r="F156" s="33" t="s">
        <v>34</v>
      </c>
      <c r="G156" s="40"/>
      <c r="H156" s="39"/>
      <c r="I156" s="33" t="s">
        <v>34</v>
      </c>
      <c r="J156" s="40"/>
      <c r="K156" s="39"/>
      <c r="L156" s="33" t="s">
        <v>34</v>
      </c>
      <c r="M156" s="40"/>
      <c r="N156" s="34">
        <f t="shared" si="22"/>
        <v>146</v>
      </c>
      <c r="O156" s="20">
        <f t="shared" si="23"/>
        <v>1.010256</v>
      </c>
      <c r="P156" s="20">
        <f t="shared" si="24"/>
        <v>146</v>
      </c>
      <c r="Q156" s="20" t="str">
        <f t="shared" si="25"/>
        <v xml:space="preserve"> </v>
      </c>
      <c r="R156" s="20">
        <f t="shared" si="26"/>
        <v>0</v>
      </c>
      <c r="S156" s="20">
        <f t="shared" si="27"/>
        <v>0</v>
      </c>
      <c r="T156" s="20">
        <f t="shared" si="28"/>
        <v>0</v>
      </c>
      <c r="U156" s="20">
        <f>IF($J$2="x",IFERROR(SMALL($O$11:$O$14,146),0),IF($J$3="x",IFERROR(SMALL($O$11:$O$18,146),0),IF($J$4="x",IFERROR(SMALL($O$11:$O$26,146),0),IF($J$5="x",IFERROR(SMALL($O$11:$O$42,146),0),IF($J$6="x",IFERROR(SMALL($O$11:$O$74,146),0),IF($J$7="x",IFERROR(SMALL($O$11:$O$138,146),0),IFERROR(SMALL($O$11:$O$266,146),0)))))))</f>
        <v>1.010256</v>
      </c>
      <c r="V156" s="20">
        <f t="shared" si="29"/>
        <v>146</v>
      </c>
      <c r="W156" s="20" t="str">
        <f t="shared" si="30"/>
        <v xml:space="preserve"> </v>
      </c>
      <c r="Y156" s="29">
        <v>146</v>
      </c>
      <c r="Z156" s="36" t="str">
        <f t="shared" si="31"/>
        <v xml:space="preserve"> </v>
      </c>
      <c r="AA156" s="35" t="str">
        <f>IFERROR(INDEX(#REF!,MATCH(AB156,#REF!,0))," ")</f>
        <v xml:space="preserve"> </v>
      </c>
      <c r="AB156" s="30">
        <f t="shared" si="32"/>
        <v>0</v>
      </c>
    </row>
    <row r="157" spans="1:28" x14ac:dyDescent="0.25">
      <c r="A157" s="38"/>
      <c r="B157" s="31" t="s">
        <v>181</v>
      </c>
      <c r="C157" s="32" t="str">
        <f>IF('Infos générales'!$E$2="x",IF(A157&gt;0,INDEX(DP!$A$10:$G$265,MATCH(A157,DP!$A$10:$A$265,0),6)," "),IF(A157&gt;0,INDEX(DP!$A$10:$G$265,MATCH(A157,DP!$A$10:$A$265,0),4)," "))</f>
        <v xml:space="preserve"> </v>
      </c>
      <c r="E157" s="39"/>
      <c r="F157" s="33" t="s">
        <v>34</v>
      </c>
      <c r="G157" s="40"/>
      <c r="H157" s="39"/>
      <c r="I157" s="33" t="s">
        <v>34</v>
      </c>
      <c r="J157" s="40"/>
      <c r="K157" s="39"/>
      <c r="L157" s="33" t="s">
        <v>34</v>
      </c>
      <c r="M157" s="40"/>
      <c r="N157" s="34">
        <f t="shared" si="22"/>
        <v>147</v>
      </c>
      <c r="O157" s="20">
        <f t="shared" si="23"/>
        <v>1.010257</v>
      </c>
      <c r="P157" s="20">
        <f t="shared" si="24"/>
        <v>147</v>
      </c>
      <c r="Q157" s="20" t="str">
        <f t="shared" si="25"/>
        <v xml:space="preserve"> </v>
      </c>
      <c r="R157" s="20">
        <f t="shared" si="26"/>
        <v>0</v>
      </c>
      <c r="S157" s="20">
        <f t="shared" si="27"/>
        <v>0</v>
      </c>
      <c r="T157" s="20">
        <f t="shared" si="28"/>
        <v>0</v>
      </c>
      <c r="U157" s="20">
        <f>IF($J$2="x",IFERROR(SMALL($O$11:$O$14,147),0),IF($J$3="x",IFERROR(SMALL($O$11:$O$18,147),0),IF($J$4="x",IFERROR(SMALL($O$11:$O$26,147),0),IF($J$5="x",IFERROR(SMALL($O$11:$O$42,147),0),IF($J$6="x",IFERROR(SMALL($O$11:$O$74,147),0),IF($J$7="x",IFERROR(SMALL($O$11:$O$138,147),0),IFERROR(SMALL($O$11:$O$266,147),0)))))))</f>
        <v>1.010257</v>
      </c>
      <c r="V157" s="20">
        <f t="shared" si="29"/>
        <v>147</v>
      </c>
      <c r="W157" s="20" t="str">
        <f t="shared" si="30"/>
        <v xml:space="preserve"> </v>
      </c>
      <c r="Y157" s="29">
        <v>147</v>
      </c>
      <c r="Z157" s="36" t="str">
        <f t="shared" si="31"/>
        <v xml:space="preserve"> </v>
      </c>
      <c r="AA157" s="35" t="str">
        <f>IFERROR(INDEX(#REF!,MATCH(AB157,#REF!,0))," ")</f>
        <v xml:space="preserve"> </v>
      </c>
      <c r="AB157" s="30">
        <f t="shared" si="32"/>
        <v>0</v>
      </c>
    </row>
    <row r="158" spans="1:28" x14ac:dyDescent="0.25">
      <c r="A158" s="38"/>
      <c r="B158" s="31" t="s">
        <v>182</v>
      </c>
      <c r="C158" s="32" t="str">
        <f>IF('Infos générales'!$E$2="x",IF(A158&gt;0,INDEX(DP!$A$10:$G$265,MATCH(A158,DP!$A$10:$A$265,0),6)," "),IF(A158&gt;0,INDEX(DP!$A$10:$G$265,MATCH(A158,DP!$A$10:$A$265,0),4)," "))</f>
        <v xml:space="preserve"> </v>
      </c>
      <c r="E158" s="39"/>
      <c r="F158" s="33" t="s">
        <v>34</v>
      </c>
      <c r="G158" s="40"/>
      <c r="H158" s="39"/>
      <c r="I158" s="33" t="s">
        <v>34</v>
      </c>
      <c r="J158" s="40"/>
      <c r="K158" s="39"/>
      <c r="L158" s="33" t="s">
        <v>34</v>
      </c>
      <c r="M158" s="40"/>
      <c r="N158" s="34">
        <f t="shared" si="22"/>
        <v>148</v>
      </c>
      <c r="O158" s="20">
        <f t="shared" si="23"/>
        <v>1.0102580000000001</v>
      </c>
      <c r="P158" s="20">
        <f t="shared" si="24"/>
        <v>148</v>
      </c>
      <c r="Q158" s="20" t="str">
        <f t="shared" si="25"/>
        <v xml:space="preserve"> </v>
      </c>
      <c r="R158" s="20">
        <f t="shared" si="26"/>
        <v>0</v>
      </c>
      <c r="S158" s="20">
        <f t="shared" si="27"/>
        <v>0</v>
      </c>
      <c r="T158" s="20">
        <f t="shared" si="28"/>
        <v>0</v>
      </c>
      <c r="U158" s="20">
        <f>IF($J$2="x",IFERROR(SMALL($O$11:$O$14,148),0),IF($J$3="x",IFERROR(SMALL($O$11:$O$18,148),0),IF($J$4="x",IFERROR(SMALL($O$11:$O$26,148),0),IF($J$5="x",IFERROR(SMALL($O$11:$O$42,148),0),IF($J$6="x",IFERROR(SMALL($O$11:$O$74,148),0),IF($J$7="x",IFERROR(SMALL($O$11:$O$138,148),0),IFERROR(SMALL($O$11:$O$266,148),0)))))))</f>
        <v>1.0102580000000001</v>
      </c>
      <c r="V158" s="20">
        <f t="shared" si="29"/>
        <v>148</v>
      </c>
      <c r="W158" s="20" t="str">
        <f t="shared" si="30"/>
        <v xml:space="preserve"> </v>
      </c>
      <c r="Y158" s="29">
        <v>148</v>
      </c>
      <c r="Z158" s="36" t="str">
        <f t="shared" si="31"/>
        <v xml:space="preserve"> </v>
      </c>
      <c r="AA158" s="35" t="str">
        <f>IFERROR(INDEX(#REF!,MATCH(AB158,#REF!,0))," ")</f>
        <v xml:space="preserve"> </v>
      </c>
      <c r="AB158" s="30">
        <f t="shared" si="32"/>
        <v>0</v>
      </c>
    </row>
    <row r="159" spans="1:28" x14ac:dyDescent="0.25">
      <c r="A159" s="38"/>
      <c r="B159" s="31" t="s">
        <v>183</v>
      </c>
      <c r="C159" s="32" t="str">
        <f>IF('Infos générales'!$E$2="x",IF(A159&gt;0,INDEX(DP!$A$10:$G$265,MATCH(A159,DP!$A$10:$A$265,0),6)," "),IF(A159&gt;0,INDEX(DP!$A$10:$G$265,MATCH(A159,DP!$A$10:$A$265,0),4)," "))</f>
        <v xml:space="preserve"> </v>
      </c>
      <c r="E159" s="39"/>
      <c r="F159" s="33" t="s">
        <v>34</v>
      </c>
      <c r="G159" s="40"/>
      <c r="H159" s="39"/>
      <c r="I159" s="33" t="s">
        <v>34</v>
      </c>
      <c r="J159" s="40"/>
      <c r="K159" s="39"/>
      <c r="L159" s="33" t="s">
        <v>34</v>
      </c>
      <c r="M159" s="40"/>
      <c r="N159" s="34">
        <f t="shared" si="22"/>
        <v>149</v>
      </c>
      <c r="O159" s="20">
        <f t="shared" si="23"/>
        <v>1.010259</v>
      </c>
      <c r="P159" s="20">
        <f t="shared" si="24"/>
        <v>149</v>
      </c>
      <c r="Q159" s="20" t="str">
        <f t="shared" si="25"/>
        <v xml:space="preserve"> </v>
      </c>
      <c r="R159" s="20">
        <f t="shared" si="26"/>
        <v>0</v>
      </c>
      <c r="S159" s="20">
        <f t="shared" si="27"/>
        <v>0</v>
      </c>
      <c r="T159" s="20">
        <f t="shared" si="28"/>
        <v>0</v>
      </c>
      <c r="U159" s="20">
        <f>IF($J$2="x",IFERROR(SMALL($O$11:$O$14,149),0),IF($J$3="x",IFERROR(SMALL($O$11:$O$18,149),0),IF($J$4="x",IFERROR(SMALL($O$11:$O$26,149),0),IF($J$5="x",IFERROR(SMALL($O$11:$O$42,149),0),IF($J$6="x",IFERROR(SMALL($O$11:$O$74,149),0),IF($J$7="x",IFERROR(SMALL($O$11:$O$138,149),0),IFERROR(SMALL($O$11:$O$266,149),0)))))))</f>
        <v>1.010259</v>
      </c>
      <c r="V159" s="20">
        <f t="shared" si="29"/>
        <v>149</v>
      </c>
      <c r="W159" s="20" t="str">
        <f t="shared" si="30"/>
        <v xml:space="preserve"> </v>
      </c>
      <c r="Y159" s="29">
        <v>149</v>
      </c>
      <c r="Z159" s="36" t="str">
        <f t="shared" si="31"/>
        <v xml:space="preserve"> </v>
      </c>
      <c r="AA159" s="35" t="str">
        <f>IFERROR(INDEX(#REF!,MATCH(AB159,#REF!,0))," ")</f>
        <v xml:space="preserve"> </v>
      </c>
      <c r="AB159" s="30">
        <f t="shared" si="32"/>
        <v>0</v>
      </c>
    </row>
    <row r="160" spans="1:28" x14ac:dyDescent="0.25">
      <c r="A160" s="38"/>
      <c r="B160" s="31" t="s">
        <v>184</v>
      </c>
      <c r="C160" s="32" t="str">
        <f>IF('Infos générales'!$E$2="x",IF(A160&gt;0,INDEX(DP!$A$10:$G$265,MATCH(A160,DP!$A$10:$A$265,0),6)," "),IF(A160&gt;0,INDEX(DP!$A$10:$G$265,MATCH(A160,DP!$A$10:$A$265,0),4)," "))</f>
        <v xml:space="preserve"> </v>
      </c>
      <c r="E160" s="39"/>
      <c r="F160" s="33" t="s">
        <v>34</v>
      </c>
      <c r="G160" s="40"/>
      <c r="H160" s="39"/>
      <c r="I160" s="33" t="s">
        <v>34</v>
      </c>
      <c r="J160" s="40"/>
      <c r="K160" s="39"/>
      <c r="L160" s="33" t="s">
        <v>34</v>
      </c>
      <c r="M160" s="40"/>
      <c r="N160" s="34">
        <f t="shared" si="22"/>
        <v>150</v>
      </c>
      <c r="O160" s="20">
        <f t="shared" si="23"/>
        <v>1.0102599999999999</v>
      </c>
      <c r="P160" s="20">
        <f t="shared" si="24"/>
        <v>150</v>
      </c>
      <c r="Q160" s="20" t="str">
        <f t="shared" si="25"/>
        <v xml:space="preserve"> </v>
      </c>
      <c r="R160" s="20">
        <f t="shared" si="26"/>
        <v>0</v>
      </c>
      <c r="S160" s="20">
        <f t="shared" si="27"/>
        <v>0</v>
      </c>
      <c r="T160" s="20">
        <f t="shared" si="28"/>
        <v>0</v>
      </c>
      <c r="U160" s="20">
        <f>IF($J$2="x",IFERROR(SMALL($O$11:$O$14,150),0),IF($J$3="x",IFERROR(SMALL($O$11:$O$18,150),0),IF($J$4="x",IFERROR(SMALL($O$11:$O$26,150),0),IF($J$5="x",IFERROR(SMALL($O$11:$O$42,150),0),IF($J$6="x",IFERROR(SMALL($O$11:$O$74,150),0),IF($J$7="x",IFERROR(SMALL($O$11:$O$138,150),0),IFERROR(SMALL($O$11:$O$266,150),0)))))))</f>
        <v>1.0102599999999999</v>
      </c>
      <c r="V160" s="20">
        <f t="shared" si="29"/>
        <v>150</v>
      </c>
      <c r="W160" s="20" t="str">
        <f t="shared" si="30"/>
        <v xml:space="preserve"> </v>
      </c>
      <c r="Y160" s="29">
        <v>150</v>
      </c>
      <c r="Z160" s="36" t="str">
        <f t="shared" si="31"/>
        <v xml:space="preserve"> </v>
      </c>
      <c r="AA160" s="35" t="str">
        <f>IFERROR(INDEX(#REF!,MATCH(AB160,#REF!,0))," ")</f>
        <v xml:space="preserve"> </v>
      </c>
      <c r="AB160" s="30">
        <f t="shared" si="32"/>
        <v>0</v>
      </c>
    </row>
    <row r="161" spans="1:28" x14ac:dyDescent="0.25">
      <c r="A161" s="38"/>
      <c r="B161" s="31" t="s">
        <v>185</v>
      </c>
      <c r="C161" s="32" t="str">
        <f>IF('Infos générales'!$E$2="x",IF(A161&gt;0,INDEX(DP!$A$10:$G$265,MATCH(A161,DP!$A$10:$A$265,0),6)," "),IF(A161&gt;0,INDEX(DP!$A$10:$G$265,MATCH(A161,DP!$A$10:$A$265,0),4)," "))</f>
        <v xml:space="preserve"> </v>
      </c>
      <c r="E161" s="39"/>
      <c r="F161" s="33" t="s">
        <v>34</v>
      </c>
      <c r="G161" s="40"/>
      <c r="H161" s="39"/>
      <c r="I161" s="33" t="s">
        <v>34</v>
      </c>
      <c r="J161" s="40"/>
      <c r="K161" s="39"/>
      <c r="L161" s="33" t="s">
        <v>34</v>
      </c>
      <c r="M161" s="40"/>
      <c r="N161" s="34">
        <f t="shared" si="22"/>
        <v>151</v>
      </c>
      <c r="O161" s="20">
        <f t="shared" si="23"/>
        <v>1.0102610000000001</v>
      </c>
      <c r="P161" s="20">
        <f t="shared" si="24"/>
        <v>151</v>
      </c>
      <c r="Q161" s="20" t="str">
        <f t="shared" si="25"/>
        <v xml:space="preserve"> </v>
      </c>
      <c r="R161" s="20">
        <f t="shared" si="26"/>
        <v>0</v>
      </c>
      <c r="S161" s="20">
        <f t="shared" si="27"/>
        <v>0</v>
      </c>
      <c r="T161" s="20">
        <f t="shared" si="28"/>
        <v>0</v>
      </c>
      <c r="U161" s="20">
        <f>IF($J$2="x",IFERROR(SMALL($O$11:$O$14,151),0),IF($J$3="x",IFERROR(SMALL($O$11:$O$18,151),0),IF($J$4="x",IFERROR(SMALL($O$11:$O$26,151),0),IF($J$5="x",IFERROR(SMALL($O$11:$O$42,151),0),IF($J$6="x",IFERROR(SMALL($O$11:$O$74,151),0),IF($J$7="x",IFERROR(SMALL($O$11:$O$138,151),0),IFERROR(SMALL($O$11:$O$266,151),0)))))))</f>
        <v>1.0102610000000001</v>
      </c>
      <c r="V161" s="20">
        <f t="shared" si="29"/>
        <v>151</v>
      </c>
      <c r="W161" s="20" t="str">
        <f t="shared" si="30"/>
        <v xml:space="preserve"> </v>
      </c>
      <c r="Y161" s="29">
        <v>151</v>
      </c>
      <c r="Z161" s="36" t="str">
        <f t="shared" si="31"/>
        <v xml:space="preserve"> </v>
      </c>
      <c r="AA161" s="35" t="str">
        <f>IFERROR(INDEX(#REF!,MATCH(AB161,#REF!,0))," ")</f>
        <v xml:space="preserve"> </v>
      </c>
      <c r="AB161" s="30">
        <f t="shared" si="32"/>
        <v>0</v>
      </c>
    </row>
    <row r="162" spans="1:28" x14ac:dyDescent="0.25">
      <c r="A162" s="38"/>
      <c r="B162" s="31" t="s">
        <v>186</v>
      </c>
      <c r="C162" s="32" t="str">
        <f>IF('Infos générales'!$E$2="x",IF(A162&gt;0,INDEX(DP!$A$10:$G$265,MATCH(A162,DP!$A$10:$A$265,0),6)," "),IF(A162&gt;0,INDEX(DP!$A$10:$G$265,MATCH(A162,DP!$A$10:$A$265,0),4)," "))</f>
        <v xml:space="preserve"> </v>
      </c>
      <c r="E162" s="39"/>
      <c r="F162" s="33" t="s">
        <v>34</v>
      </c>
      <c r="G162" s="40"/>
      <c r="H162" s="39"/>
      <c r="I162" s="33" t="s">
        <v>34</v>
      </c>
      <c r="J162" s="40"/>
      <c r="K162" s="39"/>
      <c r="L162" s="33" t="s">
        <v>34</v>
      </c>
      <c r="M162" s="40"/>
      <c r="N162" s="34">
        <f t="shared" si="22"/>
        <v>152</v>
      </c>
      <c r="O162" s="20">
        <f t="shared" si="23"/>
        <v>1.010262</v>
      </c>
      <c r="P162" s="20">
        <f t="shared" si="24"/>
        <v>152</v>
      </c>
      <c r="Q162" s="20" t="str">
        <f t="shared" si="25"/>
        <v xml:space="preserve"> </v>
      </c>
      <c r="R162" s="20">
        <f t="shared" si="26"/>
        <v>0</v>
      </c>
      <c r="S162" s="20">
        <f t="shared" si="27"/>
        <v>0</v>
      </c>
      <c r="T162" s="20">
        <f t="shared" si="28"/>
        <v>0</v>
      </c>
      <c r="U162" s="20">
        <f>IF($J$2="x",IFERROR(SMALL($O$11:$O$14,152),0),IF($J$3="x",IFERROR(SMALL($O$11:$O$18,152),0),IF($J$4="x",IFERROR(SMALL($O$11:$O$26,152),0),IF($J$5="x",IFERROR(SMALL($O$11:$O$42,152),0),IF($J$6="x",IFERROR(SMALL($O$11:$O$74,152),0),IF($J$7="x",IFERROR(SMALL($O$11:$O$138,152),0),IFERROR(SMALL($O$11:$O$266,152),0)))))))</f>
        <v>1.010262</v>
      </c>
      <c r="V162" s="20">
        <f t="shared" si="29"/>
        <v>152</v>
      </c>
      <c r="W162" s="20" t="str">
        <f t="shared" si="30"/>
        <v xml:space="preserve"> </v>
      </c>
      <c r="Y162" s="29">
        <v>152</v>
      </c>
      <c r="Z162" s="36" t="str">
        <f t="shared" si="31"/>
        <v xml:space="preserve"> </v>
      </c>
      <c r="AA162" s="35" t="str">
        <f>IFERROR(INDEX(#REF!,MATCH(AB162,#REF!,0))," ")</f>
        <v xml:space="preserve"> </v>
      </c>
      <c r="AB162" s="30">
        <f t="shared" si="32"/>
        <v>0</v>
      </c>
    </row>
    <row r="163" spans="1:28" x14ac:dyDescent="0.25">
      <c r="A163" s="38"/>
      <c r="B163" s="31" t="s">
        <v>187</v>
      </c>
      <c r="C163" s="32" t="str">
        <f>IF('Infos générales'!$E$2="x",IF(A163&gt;0,INDEX(DP!$A$10:$G$265,MATCH(A163,DP!$A$10:$A$265,0),6)," "),IF(A163&gt;0,INDEX(DP!$A$10:$G$265,MATCH(A163,DP!$A$10:$A$265,0),4)," "))</f>
        <v xml:space="preserve"> </v>
      </c>
      <c r="E163" s="39"/>
      <c r="F163" s="33" t="s">
        <v>34</v>
      </c>
      <c r="G163" s="40"/>
      <c r="H163" s="39"/>
      <c r="I163" s="33" t="s">
        <v>34</v>
      </c>
      <c r="J163" s="40"/>
      <c r="K163" s="39"/>
      <c r="L163" s="33" t="s">
        <v>34</v>
      </c>
      <c r="M163" s="40"/>
      <c r="N163" s="34">
        <f t="shared" si="22"/>
        <v>153</v>
      </c>
      <c r="O163" s="20">
        <f t="shared" si="23"/>
        <v>1.0102629999999999</v>
      </c>
      <c r="P163" s="20">
        <f t="shared" si="24"/>
        <v>153</v>
      </c>
      <c r="Q163" s="20" t="str">
        <f t="shared" si="25"/>
        <v xml:space="preserve"> </v>
      </c>
      <c r="R163" s="20">
        <f t="shared" si="26"/>
        <v>0</v>
      </c>
      <c r="S163" s="20">
        <f t="shared" si="27"/>
        <v>0</v>
      </c>
      <c r="T163" s="20">
        <f t="shared" si="28"/>
        <v>0</v>
      </c>
      <c r="U163" s="20">
        <f>IF($J$2="x",IFERROR(SMALL($O$11:$O$14,153),0),IF($J$3="x",IFERROR(SMALL($O$11:$O$18,153),0),IF($J$4="x",IFERROR(SMALL($O$11:$O$26,153),0),IF($J$5="x",IFERROR(SMALL($O$11:$O$42,153),0),IF($J$6="x",IFERROR(SMALL($O$11:$O$74,153),0),IF($J$7="x",IFERROR(SMALL($O$11:$O$138,153),0),IFERROR(SMALL($O$11:$O$266,153),0)))))))</f>
        <v>1.0102629999999999</v>
      </c>
      <c r="V163" s="20">
        <f t="shared" si="29"/>
        <v>153</v>
      </c>
      <c r="W163" s="20" t="str">
        <f t="shared" si="30"/>
        <v xml:space="preserve"> </v>
      </c>
      <c r="Y163" s="29">
        <v>153</v>
      </c>
      <c r="Z163" s="36" t="str">
        <f t="shared" si="31"/>
        <v xml:space="preserve"> </v>
      </c>
      <c r="AA163" s="35" t="str">
        <f>IFERROR(INDEX(#REF!,MATCH(AB163,#REF!,0))," ")</f>
        <v xml:space="preserve"> </v>
      </c>
      <c r="AB163" s="30">
        <f t="shared" si="32"/>
        <v>0</v>
      </c>
    </row>
    <row r="164" spans="1:28" x14ac:dyDescent="0.25">
      <c r="A164" s="38"/>
      <c r="B164" s="31" t="s">
        <v>188</v>
      </c>
      <c r="C164" s="32" t="str">
        <f>IF('Infos générales'!$E$2="x",IF(A164&gt;0,INDEX(DP!$A$10:$G$265,MATCH(A164,DP!$A$10:$A$265,0),6)," "),IF(A164&gt;0,INDEX(DP!$A$10:$G$265,MATCH(A164,DP!$A$10:$A$265,0),4)," "))</f>
        <v xml:space="preserve"> </v>
      </c>
      <c r="E164" s="39"/>
      <c r="F164" s="33" t="s">
        <v>34</v>
      </c>
      <c r="G164" s="40"/>
      <c r="H164" s="39"/>
      <c r="I164" s="33" t="s">
        <v>34</v>
      </c>
      <c r="J164" s="40"/>
      <c r="K164" s="39"/>
      <c r="L164" s="33" t="s">
        <v>34</v>
      </c>
      <c r="M164" s="40"/>
      <c r="N164" s="34">
        <f t="shared" si="22"/>
        <v>154</v>
      </c>
      <c r="O164" s="20">
        <f t="shared" si="23"/>
        <v>1.0102640000000001</v>
      </c>
      <c r="P164" s="20">
        <f t="shared" si="24"/>
        <v>154</v>
      </c>
      <c r="Q164" s="20" t="str">
        <f t="shared" si="25"/>
        <v xml:space="preserve"> </v>
      </c>
      <c r="R164" s="20">
        <f t="shared" si="26"/>
        <v>0</v>
      </c>
      <c r="S164" s="20">
        <f t="shared" si="27"/>
        <v>0</v>
      </c>
      <c r="T164" s="20">
        <f t="shared" si="28"/>
        <v>0</v>
      </c>
      <c r="U164" s="20">
        <f>IF($J$2="x",IFERROR(SMALL($O$11:$O$14,154),0),IF($J$3="x",IFERROR(SMALL($O$11:$O$18,154),0),IF($J$4="x",IFERROR(SMALL($O$11:$O$26,154),0),IF($J$5="x",IFERROR(SMALL($O$11:$O$42,154),0),IF($J$6="x",IFERROR(SMALL($O$11:$O$74,154),0),IF($J$7="x",IFERROR(SMALL($O$11:$O$138,154),0),IFERROR(SMALL($O$11:$O$266,154),0)))))))</f>
        <v>1.0102640000000001</v>
      </c>
      <c r="V164" s="20">
        <f t="shared" si="29"/>
        <v>154</v>
      </c>
      <c r="W164" s="20" t="str">
        <f t="shared" si="30"/>
        <v xml:space="preserve"> </v>
      </c>
      <c r="Y164" s="29">
        <v>154</v>
      </c>
      <c r="Z164" s="36" t="str">
        <f t="shared" si="31"/>
        <v xml:space="preserve"> </v>
      </c>
      <c r="AA164" s="35" t="str">
        <f>IFERROR(INDEX(#REF!,MATCH(AB164,#REF!,0))," ")</f>
        <v xml:space="preserve"> </v>
      </c>
      <c r="AB164" s="30">
        <f t="shared" si="32"/>
        <v>0</v>
      </c>
    </row>
    <row r="165" spans="1:28" x14ac:dyDescent="0.25">
      <c r="A165" s="38"/>
      <c r="B165" s="31" t="s">
        <v>189</v>
      </c>
      <c r="C165" s="32" t="str">
        <f>IF('Infos générales'!$E$2="x",IF(A165&gt;0,INDEX(DP!$A$10:$G$265,MATCH(A165,DP!$A$10:$A$265,0),6)," "),IF(A165&gt;0,INDEX(DP!$A$10:$G$265,MATCH(A165,DP!$A$10:$A$265,0),4)," "))</f>
        <v xml:space="preserve"> </v>
      </c>
      <c r="E165" s="39"/>
      <c r="F165" s="33" t="s">
        <v>34</v>
      </c>
      <c r="G165" s="40"/>
      <c r="H165" s="39"/>
      <c r="I165" s="33" t="s">
        <v>34</v>
      </c>
      <c r="J165" s="40"/>
      <c r="K165" s="39"/>
      <c r="L165" s="33" t="s">
        <v>34</v>
      </c>
      <c r="M165" s="40"/>
      <c r="N165" s="34">
        <f t="shared" si="22"/>
        <v>155</v>
      </c>
      <c r="O165" s="20">
        <f t="shared" si="23"/>
        <v>1.010265</v>
      </c>
      <c r="P165" s="20">
        <f t="shared" si="24"/>
        <v>155</v>
      </c>
      <c r="Q165" s="20" t="str">
        <f t="shared" si="25"/>
        <v xml:space="preserve"> </v>
      </c>
      <c r="R165" s="20">
        <f t="shared" si="26"/>
        <v>0</v>
      </c>
      <c r="S165" s="20">
        <f t="shared" si="27"/>
        <v>0</v>
      </c>
      <c r="T165" s="20">
        <f t="shared" si="28"/>
        <v>0</v>
      </c>
      <c r="U165" s="20">
        <f>IF($J$2="x",IFERROR(SMALL($O$11:$O$14,155),0),IF($J$3="x",IFERROR(SMALL($O$11:$O$18,155),0),IF($J$4="x",IFERROR(SMALL($O$11:$O$26,155),0),IF($J$5="x",IFERROR(SMALL($O$11:$O$42,155),0),IF($J$6="x",IFERROR(SMALL($O$11:$O$74,155),0),IF($J$7="x",IFERROR(SMALL($O$11:$O$138,155),0),IFERROR(SMALL($O$11:$O$266,155),0)))))))</f>
        <v>1.010265</v>
      </c>
      <c r="V165" s="20">
        <f t="shared" si="29"/>
        <v>155</v>
      </c>
      <c r="W165" s="20" t="str">
        <f t="shared" si="30"/>
        <v xml:space="preserve"> </v>
      </c>
      <c r="Y165" s="29">
        <v>155</v>
      </c>
      <c r="Z165" s="36" t="str">
        <f t="shared" si="31"/>
        <v xml:space="preserve"> </v>
      </c>
      <c r="AA165" s="35" t="str">
        <f>IFERROR(INDEX(#REF!,MATCH(AB165,#REF!,0))," ")</f>
        <v xml:space="preserve"> </v>
      </c>
      <c r="AB165" s="30">
        <f t="shared" si="32"/>
        <v>0</v>
      </c>
    </row>
    <row r="166" spans="1:28" x14ac:dyDescent="0.25">
      <c r="A166" s="38"/>
      <c r="B166" s="31" t="s">
        <v>190</v>
      </c>
      <c r="C166" s="32" t="str">
        <f>IF('Infos générales'!$E$2="x",IF(A166&gt;0,INDEX(DP!$A$10:$G$265,MATCH(A166,DP!$A$10:$A$265,0),6)," "),IF(A166&gt;0,INDEX(DP!$A$10:$G$265,MATCH(A166,DP!$A$10:$A$265,0),4)," "))</f>
        <v xml:space="preserve"> </v>
      </c>
      <c r="E166" s="39"/>
      <c r="F166" s="33" t="s">
        <v>34</v>
      </c>
      <c r="G166" s="40"/>
      <c r="H166" s="39"/>
      <c r="I166" s="33" t="s">
        <v>34</v>
      </c>
      <c r="J166" s="40"/>
      <c r="K166" s="39"/>
      <c r="L166" s="33" t="s">
        <v>34</v>
      </c>
      <c r="M166" s="40"/>
      <c r="N166" s="34">
        <f t="shared" si="22"/>
        <v>156</v>
      </c>
      <c r="O166" s="20">
        <f t="shared" si="23"/>
        <v>1.0102660000000001</v>
      </c>
      <c r="P166" s="20">
        <f t="shared" si="24"/>
        <v>156</v>
      </c>
      <c r="Q166" s="20" t="str">
        <f t="shared" si="25"/>
        <v xml:space="preserve"> </v>
      </c>
      <c r="R166" s="20">
        <f t="shared" si="26"/>
        <v>0</v>
      </c>
      <c r="S166" s="20">
        <f t="shared" si="27"/>
        <v>0</v>
      </c>
      <c r="T166" s="20">
        <f t="shared" si="28"/>
        <v>0</v>
      </c>
      <c r="U166" s="20">
        <f>IF($J$2="x",IFERROR(SMALL($O$11:$O$14,156),0),IF($J$3="x",IFERROR(SMALL($O$11:$O$18,156),0),IF($J$4="x",IFERROR(SMALL($O$11:$O$26,156),0),IF($J$5="x",IFERROR(SMALL($O$11:$O$42,156),0),IF($J$6="x",IFERROR(SMALL($O$11:$O$74,156),0),IF($J$7="x",IFERROR(SMALL($O$11:$O$138,156),0),IFERROR(SMALL($O$11:$O$266,156),0)))))))</f>
        <v>1.0102660000000001</v>
      </c>
      <c r="V166" s="20">
        <f t="shared" si="29"/>
        <v>156</v>
      </c>
      <c r="W166" s="20" t="str">
        <f t="shared" si="30"/>
        <v xml:space="preserve"> </v>
      </c>
      <c r="Y166" s="29">
        <v>156</v>
      </c>
      <c r="Z166" s="36" t="str">
        <f t="shared" si="31"/>
        <v xml:space="preserve"> </v>
      </c>
      <c r="AA166" s="35" t="str">
        <f>IFERROR(INDEX(#REF!,MATCH(AB166,#REF!,0))," ")</f>
        <v xml:space="preserve"> </v>
      </c>
      <c r="AB166" s="30">
        <f t="shared" si="32"/>
        <v>0</v>
      </c>
    </row>
    <row r="167" spans="1:28" x14ac:dyDescent="0.25">
      <c r="A167" s="38"/>
      <c r="B167" s="31" t="s">
        <v>191</v>
      </c>
      <c r="C167" s="32" t="str">
        <f>IF('Infos générales'!$E$2="x",IF(A167&gt;0,INDEX(DP!$A$10:$G$265,MATCH(A167,DP!$A$10:$A$265,0),6)," "),IF(A167&gt;0,INDEX(DP!$A$10:$G$265,MATCH(A167,DP!$A$10:$A$265,0),4)," "))</f>
        <v xml:space="preserve"> </v>
      </c>
      <c r="E167" s="39"/>
      <c r="F167" s="33" t="s">
        <v>34</v>
      </c>
      <c r="G167" s="40"/>
      <c r="H167" s="39"/>
      <c r="I167" s="33" t="s">
        <v>34</v>
      </c>
      <c r="J167" s="40"/>
      <c r="K167" s="39"/>
      <c r="L167" s="33" t="s">
        <v>34</v>
      </c>
      <c r="M167" s="40"/>
      <c r="N167" s="34">
        <f t="shared" si="22"/>
        <v>157</v>
      </c>
      <c r="O167" s="20">
        <f t="shared" si="23"/>
        <v>1.010267</v>
      </c>
      <c r="P167" s="20">
        <f t="shared" si="24"/>
        <v>157</v>
      </c>
      <c r="Q167" s="20" t="str">
        <f t="shared" si="25"/>
        <v xml:space="preserve"> </v>
      </c>
      <c r="R167" s="20">
        <f t="shared" si="26"/>
        <v>0</v>
      </c>
      <c r="S167" s="20">
        <f t="shared" si="27"/>
        <v>0</v>
      </c>
      <c r="T167" s="20">
        <f t="shared" si="28"/>
        <v>0</v>
      </c>
      <c r="U167" s="20">
        <f>IF($J$2="x",IFERROR(SMALL($O$11:$O$14,157),0),IF($J$3="x",IFERROR(SMALL($O$11:$O$18,157),0),IF($J$4="x",IFERROR(SMALL($O$11:$O$26,157),0),IF($J$5="x",IFERROR(SMALL($O$11:$O$42,157),0),IF($J$6="x",IFERROR(SMALL($O$11:$O$74,157),0),IF($J$7="x",IFERROR(SMALL($O$11:$O$138,157),0),IFERROR(SMALL($O$11:$O$266,157),0)))))))</f>
        <v>1.010267</v>
      </c>
      <c r="V167" s="20">
        <f t="shared" si="29"/>
        <v>157</v>
      </c>
      <c r="W167" s="20" t="str">
        <f t="shared" si="30"/>
        <v xml:space="preserve"> </v>
      </c>
      <c r="Y167" s="29">
        <v>157</v>
      </c>
      <c r="Z167" s="36" t="str">
        <f t="shared" si="31"/>
        <v xml:space="preserve"> </v>
      </c>
      <c r="AA167" s="35" t="str">
        <f>IFERROR(INDEX(#REF!,MATCH(AB167,#REF!,0))," ")</f>
        <v xml:space="preserve"> </v>
      </c>
      <c r="AB167" s="30">
        <f t="shared" si="32"/>
        <v>0</v>
      </c>
    </row>
    <row r="168" spans="1:28" x14ac:dyDescent="0.25">
      <c r="A168" s="38"/>
      <c r="B168" s="31" t="s">
        <v>192</v>
      </c>
      <c r="C168" s="32" t="str">
        <f>IF('Infos générales'!$E$2="x",IF(A168&gt;0,INDEX(DP!$A$10:$G$265,MATCH(A168,DP!$A$10:$A$265,0),6)," "),IF(A168&gt;0,INDEX(DP!$A$10:$G$265,MATCH(A168,DP!$A$10:$A$265,0),4)," "))</f>
        <v xml:space="preserve"> </v>
      </c>
      <c r="E168" s="39"/>
      <c r="F168" s="33" t="s">
        <v>34</v>
      </c>
      <c r="G168" s="40"/>
      <c r="H168" s="39"/>
      <c r="I168" s="33" t="s">
        <v>34</v>
      </c>
      <c r="J168" s="40"/>
      <c r="K168" s="39"/>
      <c r="L168" s="33" t="s">
        <v>34</v>
      </c>
      <c r="M168" s="40"/>
      <c r="N168" s="34">
        <f t="shared" si="22"/>
        <v>158</v>
      </c>
      <c r="O168" s="20">
        <f t="shared" si="23"/>
        <v>1.0102679999999999</v>
      </c>
      <c r="P168" s="20">
        <f t="shared" si="24"/>
        <v>158</v>
      </c>
      <c r="Q168" s="20" t="str">
        <f t="shared" si="25"/>
        <v xml:space="preserve"> </v>
      </c>
      <c r="R168" s="20">
        <f t="shared" si="26"/>
        <v>0</v>
      </c>
      <c r="S168" s="20">
        <f t="shared" si="27"/>
        <v>0</v>
      </c>
      <c r="T168" s="20">
        <f t="shared" si="28"/>
        <v>0</v>
      </c>
      <c r="U168" s="20">
        <f>IF($J$2="x",IFERROR(SMALL($O$11:$O$14,158),0),IF($J$3="x",IFERROR(SMALL($O$11:$O$18,158),0),IF($J$4="x",IFERROR(SMALL($O$11:$O$26,158),0),IF($J$5="x",IFERROR(SMALL($O$11:$O$42,158),0),IF($J$6="x",IFERROR(SMALL($O$11:$O$74,158),0),IF($J$7="x",IFERROR(SMALL($O$11:$O$138,158),0),IFERROR(SMALL($O$11:$O$266,158),0)))))))</f>
        <v>1.0102679999999999</v>
      </c>
      <c r="V168" s="20">
        <f t="shared" si="29"/>
        <v>158</v>
      </c>
      <c r="W168" s="20" t="str">
        <f t="shared" si="30"/>
        <v xml:space="preserve"> </v>
      </c>
      <c r="Y168" s="29">
        <v>158</v>
      </c>
      <c r="Z168" s="36" t="str">
        <f t="shared" si="31"/>
        <v xml:space="preserve"> </v>
      </c>
      <c r="AA168" s="35" t="str">
        <f>IFERROR(INDEX(#REF!,MATCH(AB168,#REF!,0))," ")</f>
        <v xml:space="preserve"> </v>
      </c>
      <c r="AB168" s="30">
        <f t="shared" si="32"/>
        <v>0</v>
      </c>
    </row>
    <row r="169" spans="1:28" x14ac:dyDescent="0.25">
      <c r="A169" s="38"/>
      <c r="B169" s="31" t="s">
        <v>193</v>
      </c>
      <c r="C169" s="32" t="str">
        <f>IF('Infos générales'!$E$2="x",IF(A169&gt;0,INDEX(DP!$A$10:$G$265,MATCH(A169,DP!$A$10:$A$265,0),6)," "),IF(A169&gt;0,INDEX(DP!$A$10:$G$265,MATCH(A169,DP!$A$10:$A$265,0),4)," "))</f>
        <v xml:space="preserve"> </v>
      </c>
      <c r="E169" s="39"/>
      <c r="F169" s="33" t="s">
        <v>34</v>
      </c>
      <c r="G169" s="40"/>
      <c r="H169" s="39"/>
      <c r="I169" s="33" t="s">
        <v>34</v>
      </c>
      <c r="J169" s="40"/>
      <c r="K169" s="39"/>
      <c r="L169" s="33" t="s">
        <v>34</v>
      </c>
      <c r="M169" s="40"/>
      <c r="N169" s="34">
        <f t="shared" si="22"/>
        <v>159</v>
      </c>
      <c r="O169" s="20">
        <f t="shared" si="23"/>
        <v>1.0102690000000001</v>
      </c>
      <c r="P169" s="20">
        <f t="shared" si="24"/>
        <v>159</v>
      </c>
      <c r="Q169" s="20" t="str">
        <f t="shared" si="25"/>
        <v xml:space="preserve"> </v>
      </c>
      <c r="R169" s="20">
        <f t="shared" si="26"/>
        <v>0</v>
      </c>
      <c r="S169" s="20">
        <f t="shared" si="27"/>
        <v>0</v>
      </c>
      <c r="T169" s="20">
        <f t="shared" si="28"/>
        <v>0</v>
      </c>
      <c r="U169" s="20">
        <f>IF($J$2="x",IFERROR(SMALL($O$11:$O$14,159),0),IF($J$3="x",IFERROR(SMALL($O$11:$O$18,159),0),IF($J$4="x",IFERROR(SMALL($O$11:$O$26,159),0),IF($J$5="x",IFERROR(SMALL($O$11:$O$42,159),0),IF($J$6="x",IFERROR(SMALL($O$11:$O$74,159),0),IF($J$7="x",IFERROR(SMALL($O$11:$O$138,159),0),IFERROR(SMALL($O$11:$O$266,159),0)))))))</f>
        <v>1.0102690000000001</v>
      </c>
      <c r="V169" s="20">
        <f t="shared" si="29"/>
        <v>159</v>
      </c>
      <c r="W169" s="20" t="str">
        <f t="shared" si="30"/>
        <v xml:space="preserve"> </v>
      </c>
      <c r="Y169" s="29">
        <v>159</v>
      </c>
      <c r="Z169" s="36" t="str">
        <f t="shared" si="31"/>
        <v xml:space="preserve"> </v>
      </c>
      <c r="AA169" s="35" t="str">
        <f>IFERROR(INDEX(#REF!,MATCH(AB169,#REF!,0))," ")</f>
        <v xml:space="preserve"> </v>
      </c>
      <c r="AB169" s="30">
        <f t="shared" si="32"/>
        <v>0</v>
      </c>
    </row>
    <row r="170" spans="1:28" x14ac:dyDescent="0.25">
      <c r="A170" s="38"/>
      <c r="B170" s="31" t="s">
        <v>194</v>
      </c>
      <c r="C170" s="32" t="str">
        <f>IF('Infos générales'!$E$2="x",IF(A170&gt;0,INDEX(DP!$A$10:$G$265,MATCH(A170,DP!$A$10:$A$265,0),6)," "),IF(A170&gt;0,INDEX(DP!$A$10:$G$265,MATCH(A170,DP!$A$10:$A$265,0),4)," "))</f>
        <v xml:space="preserve"> </v>
      </c>
      <c r="E170" s="39"/>
      <c r="F170" s="33" t="s">
        <v>34</v>
      </c>
      <c r="G170" s="40"/>
      <c r="H170" s="39"/>
      <c r="I170" s="33" t="s">
        <v>34</v>
      </c>
      <c r="J170" s="40"/>
      <c r="K170" s="39"/>
      <c r="L170" s="33" t="s">
        <v>34</v>
      </c>
      <c r="M170" s="40"/>
      <c r="N170" s="34">
        <f t="shared" si="22"/>
        <v>160</v>
      </c>
      <c r="O170" s="20">
        <f t="shared" si="23"/>
        <v>1.01027</v>
      </c>
      <c r="P170" s="20">
        <f t="shared" si="24"/>
        <v>160</v>
      </c>
      <c r="Q170" s="20" t="str">
        <f t="shared" si="25"/>
        <v xml:space="preserve"> </v>
      </c>
      <c r="R170" s="20">
        <f t="shared" si="26"/>
        <v>0</v>
      </c>
      <c r="S170" s="20">
        <f t="shared" si="27"/>
        <v>0</v>
      </c>
      <c r="T170" s="20">
        <f t="shared" si="28"/>
        <v>0</v>
      </c>
      <c r="U170" s="20">
        <f>IF($J$2="x",IFERROR(SMALL($O$11:$O$14,160),0),IF($J$3="x",IFERROR(SMALL($O$11:$O$18,160),0),IF($J$4="x",IFERROR(SMALL($O$11:$O$26,160),0),IF($J$5="x",IFERROR(SMALL($O$11:$O$42,160),0),IF($J$6="x",IFERROR(SMALL($O$11:$O$74,160),0),IF($J$7="x",IFERROR(SMALL($O$11:$O$138,160),0),IFERROR(SMALL($O$11:$O$266,160),0)))))))</f>
        <v>1.01027</v>
      </c>
      <c r="V170" s="20">
        <f t="shared" si="29"/>
        <v>160</v>
      </c>
      <c r="W170" s="20" t="str">
        <f t="shared" si="30"/>
        <v xml:space="preserve"> </v>
      </c>
      <c r="Y170" s="29">
        <v>160</v>
      </c>
      <c r="Z170" s="36" t="str">
        <f t="shared" si="31"/>
        <v xml:space="preserve"> </v>
      </c>
      <c r="AA170" s="35" t="str">
        <f>IFERROR(INDEX(#REF!,MATCH(AB170,#REF!,0))," ")</f>
        <v xml:space="preserve"> </v>
      </c>
      <c r="AB170" s="30">
        <f t="shared" si="32"/>
        <v>0</v>
      </c>
    </row>
    <row r="171" spans="1:28" x14ac:dyDescent="0.25">
      <c r="A171" s="38"/>
      <c r="B171" s="31" t="s">
        <v>195</v>
      </c>
      <c r="C171" s="32" t="str">
        <f>IF('Infos générales'!$E$2="x",IF(A171&gt;0,INDEX(DP!$A$10:$G$265,MATCH(A171,DP!$A$10:$A$265,0),6)," "),IF(A171&gt;0,INDEX(DP!$A$10:$G$265,MATCH(A171,DP!$A$10:$A$265,0),4)," "))</f>
        <v xml:space="preserve"> </v>
      </c>
      <c r="E171" s="39"/>
      <c r="F171" s="33" t="s">
        <v>34</v>
      </c>
      <c r="G171" s="40"/>
      <c r="H171" s="39"/>
      <c r="I171" s="33" t="s">
        <v>34</v>
      </c>
      <c r="J171" s="40"/>
      <c r="K171" s="39"/>
      <c r="L171" s="33" t="s">
        <v>34</v>
      </c>
      <c r="M171" s="40"/>
      <c r="N171" s="34">
        <f t="shared" si="22"/>
        <v>161</v>
      </c>
      <c r="O171" s="20">
        <f t="shared" si="23"/>
        <v>1.0102709999999999</v>
      </c>
      <c r="P171" s="20">
        <f t="shared" si="24"/>
        <v>161</v>
      </c>
      <c r="Q171" s="20" t="str">
        <f t="shared" si="25"/>
        <v xml:space="preserve"> </v>
      </c>
      <c r="R171" s="20">
        <f t="shared" si="26"/>
        <v>0</v>
      </c>
      <c r="S171" s="20">
        <f t="shared" si="27"/>
        <v>0</v>
      </c>
      <c r="T171" s="20">
        <f t="shared" si="28"/>
        <v>0</v>
      </c>
      <c r="U171" s="20">
        <f>IF($J$2="x",IFERROR(SMALL($O$11:$O$14,161),0),IF($J$3="x",IFERROR(SMALL($O$11:$O$18,161),0),IF($J$4="x",IFERROR(SMALL($O$11:$O$26,161),0),IF($J$5="x",IFERROR(SMALL($O$11:$O$42,161),0),IF($J$6="x",IFERROR(SMALL($O$11:$O$74,161),0),IF($J$7="x",IFERROR(SMALL($O$11:$O$138,161),0),IFERROR(SMALL($O$11:$O$266,161),0)))))))</f>
        <v>1.0102709999999999</v>
      </c>
      <c r="V171" s="20">
        <f t="shared" si="29"/>
        <v>161</v>
      </c>
      <c r="W171" s="20" t="str">
        <f t="shared" si="30"/>
        <v xml:space="preserve"> </v>
      </c>
      <c r="Y171" s="29">
        <v>161</v>
      </c>
      <c r="Z171" s="36" t="str">
        <f t="shared" si="31"/>
        <v xml:space="preserve"> </v>
      </c>
      <c r="AA171" s="35" t="str">
        <f>IFERROR(INDEX(#REF!,MATCH(AB171,#REF!,0))," ")</f>
        <v xml:space="preserve"> </v>
      </c>
      <c r="AB171" s="30">
        <f t="shared" si="32"/>
        <v>0</v>
      </c>
    </row>
    <row r="172" spans="1:28" x14ac:dyDescent="0.25">
      <c r="A172" s="38"/>
      <c r="B172" s="31" t="s">
        <v>196</v>
      </c>
      <c r="C172" s="32" t="str">
        <f>IF('Infos générales'!$E$2="x",IF(A172&gt;0,INDEX(DP!$A$10:$G$265,MATCH(A172,DP!$A$10:$A$265,0),6)," "),IF(A172&gt;0,INDEX(DP!$A$10:$G$265,MATCH(A172,DP!$A$10:$A$265,0),4)," "))</f>
        <v xml:space="preserve"> </v>
      </c>
      <c r="E172" s="39"/>
      <c r="F172" s="33" t="s">
        <v>34</v>
      </c>
      <c r="G172" s="40"/>
      <c r="H172" s="39"/>
      <c r="I172" s="33" t="s">
        <v>34</v>
      </c>
      <c r="J172" s="40"/>
      <c r="K172" s="39"/>
      <c r="L172" s="33" t="s">
        <v>34</v>
      </c>
      <c r="M172" s="40"/>
      <c r="N172" s="34">
        <f t="shared" si="22"/>
        <v>162</v>
      </c>
      <c r="O172" s="20">
        <f t="shared" si="23"/>
        <v>1.0102720000000001</v>
      </c>
      <c r="P172" s="20">
        <f t="shared" si="24"/>
        <v>162</v>
      </c>
      <c r="Q172" s="20" t="str">
        <f t="shared" si="25"/>
        <v xml:space="preserve"> </v>
      </c>
      <c r="R172" s="20">
        <f t="shared" si="26"/>
        <v>0</v>
      </c>
      <c r="S172" s="20">
        <f t="shared" si="27"/>
        <v>0</v>
      </c>
      <c r="T172" s="20">
        <f t="shared" si="28"/>
        <v>0</v>
      </c>
      <c r="U172" s="20">
        <f>IF($J$2="x",IFERROR(SMALL($O$11:$O$14,162),0),IF($J$3="x",IFERROR(SMALL($O$11:$O$18,162),0),IF($J$4="x",IFERROR(SMALL($O$11:$O$26,162),0),IF($J$5="x",IFERROR(SMALL($O$11:$O$42,162),0),IF($J$6="x",IFERROR(SMALL($O$11:$O$74,162),0),IF($J$7="x",IFERROR(SMALL($O$11:$O$138,162),0),IFERROR(SMALL($O$11:$O$266,162),0)))))))</f>
        <v>1.0102720000000001</v>
      </c>
      <c r="V172" s="20">
        <f t="shared" si="29"/>
        <v>162</v>
      </c>
      <c r="W172" s="20" t="str">
        <f t="shared" si="30"/>
        <v xml:space="preserve"> </v>
      </c>
      <c r="Y172" s="29">
        <v>162</v>
      </c>
      <c r="Z172" s="36" t="str">
        <f t="shared" si="31"/>
        <v xml:space="preserve"> </v>
      </c>
      <c r="AA172" s="35" t="str">
        <f>IFERROR(INDEX(#REF!,MATCH(AB172,#REF!,0))," ")</f>
        <v xml:space="preserve"> </v>
      </c>
      <c r="AB172" s="30">
        <f t="shared" si="32"/>
        <v>0</v>
      </c>
    </row>
    <row r="173" spans="1:28" x14ac:dyDescent="0.25">
      <c r="A173" s="38"/>
      <c r="B173" s="31" t="s">
        <v>197</v>
      </c>
      <c r="C173" s="32" t="str">
        <f>IF('Infos générales'!$E$2="x",IF(A173&gt;0,INDEX(DP!$A$10:$G$265,MATCH(A173,DP!$A$10:$A$265,0),6)," "),IF(A173&gt;0,INDEX(DP!$A$10:$G$265,MATCH(A173,DP!$A$10:$A$265,0),4)," "))</f>
        <v xml:space="preserve"> </v>
      </c>
      <c r="E173" s="39"/>
      <c r="F173" s="33" t="s">
        <v>34</v>
      </c>
      <c r="G173" s="40"/>
      <c r="H173" s="39"/>
      <c r="I173" s="33" t="s">
        <v>34</v>
      </c>
      <c r="J173" s="40"/>
      <c r="K173" s="39"/>
      <c r="L173" s="33" t="s">
        <v>34</v>
      </c>
      <c r="M173" s="40"/>
      <c r="N173" s="34">
        <f t="shared" si="22"/>
        <v>163</v>
      </c>
      <c r="O173" s="20">
        <f t="shared" si="23"/>
        <v>1.010273</v>
      </c>
      <c r="P173" s="20">
        <f t="shared" si="24"/>
        <v>163</v>
      </c>
      <c r="Q173" s="20" t="str">
        <f t="shared" si="25"/>
        <v xml:space="preserve"> </v>
      </c>
      <c r="R173" s="20">
        <f t="shared" si="26"/>
        <v>0</v>
      </c>
      <c r="S173" s="20">
        <f t="shared" si="27"/>
        <v>0</v>
      </c>
      <c r="T173" s="20">
        <f t="shared" si="28"/>
        <v>0</v>
      </c>
      <c r="U173" s="20">
        <f>IF($J$2="x",IFERROR(SMALL($O$11:$O$14,163),0),IF($J$3="x",IFERROR(SMALL($O$11:$O$18,163),0),IF($J$4="x",IFERROR(SMALL($O$11:$O$26,163),0),IF($J$5="x",IFERROR(SMALL($O$11:$O$42,163),0),IF($J$6="x",IFERROR(SMALL($O$11:$O$74,163),0),IF($J$7="x",IFERROR(SMALL($O$11:$O$138,O63),0),IFERROR(SMALL($O$11:$O$266,163),0)))))))</f>
        <v>1.010273</v>
      </c>
      <c r="V173" s="20">
        <f t="shared" si="29"/>
        <v>163</v>
      </c>
      <c r="W173" s="20" t="str">
        <f t="shared" si="30"/>
        <v xml:space="preserve"> </v>
      </c>
      <c r="Y173" s="29">
        <v>163</v>
      </c>
      <c r="Z173" s="36" t="str">
        <f t="shared" si="31"/>
        <v xml:space="preserve"> </v>
      </c>
      <c r="AA173" s="35" t="str">
        <f>IFERROR(INDEX(#REF!,MATCH(AB173,#REF!,0))," ")</f>
        <v xml:space="preserve"> </v>
      </c>
      <c r="AB173" s="30">
        <f t="shared" si="32"/>
        <v>0</v>
      </c>
    </row>
    <row r="174" spans="1:28" x14ac:dyDescent="0.25">
      <c r="A174" s="38"/>
      <c r="B174" s="31" t="s">
        <v>198</v>
      </c>
      <c r="C174" s="32" t="str">
        <f>IF('Infos générales'!$E$2="x",IF(A174&gt;0,INDEX(DP!$A$10:$G$265,MATCH(A174,DP!$A$10:$A$265,0),6)," "),IF(A174&gt;0,INDEX(DP!$A$10:$G$265,MATCH(A174,DP!$A$10:$A$265,0),4)," "))</f>
        <v xml:space="preserve"> </v>
      </c>
      <c r="E174" s="39"/>
      <c r="F174" s="33" t="s">
        <v>34</v>
      </c>
      <c r="G174" s="40"/>
      <c r="H174" s="39"/>
      <c r="I174" s="33" t="s">
        <v>34</v>
      </c>
      <c r="J174" s="40"/>
      <c r="K174" s="39"/>
      <c r="L174" s="33" t="s">
        <v>34</v>
      </c>
      <c r="M174" s="40"/>
      <c r="N174" s="34">
        <f t="shared" si="22"/>
        <v>164</v>
      </c>
      <c r="O174" s="20">
        <f t="shared" si="23"/>
        <v>1.0102739999999999</v>
      </c>
      <c r="P174" s="20">
        <f t="shared" si="24"/>
        <v>164</v>
      </c>
      <c r="Q174" s="20" t="str">
        <f t="shared" si="25"/>
        <v xml:space="preserve"> </v>
      </c>
      <c r="R174" s="20">
        <f t="shared" si="26"/>
        <v>0</v>
      </c>
      <c r="S174" s="20">
        <f t="shared" si="27"/>
        <v>0</v>
      </c>
      <c r="T174" s="20">
        <f t="shared" si="28"/>
        <v>0</v>
      </c>
      <c r="U174" s="20">
        <f>IF($J$2="x",IFERROR(SMALL($O$11:$O$14,164),0),IF($J$3="x",IFERROR(SMALL($O$11:$O$18,164),0),IF($J$4="x",IFERROR(SMALL($O$11:$O$26,164),0),IF($J$5="x",IFERROR(SMALL($O$11:$O$42,164),0),IF($J$6="x",IFERROR(SMALL($O$11:$O$74,164),0),IF($J$7="x",IFERROR(SMALL($O$11:$O$138,164),0),IFERROR(SMALL($O$11:$O$266,164),0)))))))</f>
        <v>1.0102739999999999</v>
      </c>
      <c r="V174" s="20">
        <f t="shared" si="29"/>
        <v>164</v>
      </c>
      <c r="W174" s="20" t="str">
        <f t="shared" si="30"/>
        <v xml:space="preserve"> </v>
      </c>
      <c r="Y174" s="29">
        <v>164</v>
      </c>
      <c r="Z174" s="36" t="str">
        <f t="shared" si="31"/>
        <v xml:space="preserve"> </v>
      </c>
      <c r="AA174" s="35" t="str">
        <f>IFERROR(INDEX(#REF!,MATCH(AB174,#REF!,0))," ")</f>
        <v xml:space="preserve"> </v>
      </c>
      <c r="AB174" s="30">
        <f t="shared" si="32"/>
        <v>0</v>
      </c>
    </row>
    <row r="175" spans="1:28" x14ac:dyDescent="0.25">
      <c r="A175" s="38"/>
      <c r="B175" s="31" t="s">
        <v>199</v>
      </c>
      <c r="C175" s="32" t="str">
        <f>IF('Infos générales'!$E$2="x",IF(A175&gt;0,INDEX(DP!$A$10:$G$265,MATCH(A175,DP!$A$10:$A$265,0),6)," "),IF(A175&gt;0,INDEX(DP!$A$10:$G$265,MATCH(A175,DP!$A$10:$A$265,0),4)," "))</f>
        <v xml:space="preserve"> </v>
      </c>
      <c r="E175" s="39"/>
      <c r="F175" s="33" t="s">
        <v>34</v>
      </c>
      <c r="G175" s="40"/>
      <c r="H175" s="39"/>
      <c r="I175" s="33" t="s">
        <v>34</v>
      </c>
      <c r="J175" s="40"/>
      <c r="K175" s="39"/>
      <c r="L175" s="33" t="s">
        <v>34</v>
      </c>
      <c r="M175" s="40"/>
      <c r="N175" s="34">
        <f t="shared" si="22"/>
        <v>165</v>
      </c>
      <c r="O175" s="20">
        <f t="shared" si="23"/>
        <v>1.010275</v>
      </c>
      <c r="P175" s="20">
        <f t="shared" si="24"/>
        <v>165</v>
      </c>
      <c r="Q175" s="20" t="str">
        <f t="shared" si="25"/>
        <v xml:space="preserve"> </v>
      </c>
      <c r="R175" s="20">
        <f t="shared" si="26"/>
        <v>0</v>
      </c>
      <c r="S175" s="20">
        <f t="shared" si="27"/>
        <v>0</v>
      </c>
      <c r="T175" s="20">
        <f t="shared" si="28"/>
        <v>0</v>
      </c>
      <c r="U175" s="20">
        <f>IF($J$2="x",IFERROR(SMALL($O$11:$O$14,165),0),IF($J$3="x",IFERROR(SMALL($O$11:$O$18,165),0),IF($J$4="x",IFERROR(SMALL($O$11:$O$26,165),0),IF($J$5="x",IFERROR(SMALL($O$11:$O$42,165),0),IF($J$6="x",IFERROR(SMALL($O$11:$O$74,165),0),IF($J$7="x",IFERROR(SMALL($O$11:$O$138,165),0),IFERROR(SMALL($O$11:$O$266,165),0)))))))</f>
        <v>1.010275</v>
      </c>
      <c r="V175" s="20">
        <f t="shared" si="29"/>
        <v>165</v>
      </c>
      <c r="W175" s="20" t="str">
        <f t="shared" si="30"/>
        <v xml:space="preserve"> </v>
      </c>
      <c r="Y175" s="29">
        <v>165</v>
      </c>
      <c r="Z175" s="36" t="str">
        <f t="shared" si="31"/>
        <v xml:space="preserve"> </v>
      </c>
      <c r="AA175" s="35" t="str">
        <f>IFERROR(INDEX(#REF!,MATCH(AB175,#REF!,0))," ")</f>
        <v xml:space="preserve"> </v>
      </c>
      <c r="AB175" s="30">
        <f t="shared" si="32"/>
        <v>0</v>
      </c>
    </row>
    <row r="176" spans="1:28" x14ac:dyDescent="0.25">
      <c r="A176" s="38"/>
      <c r="B176" s="31" t="s">
        <v>200</v>
      </c>
      <c r="C176" s="32" t="str">
        <f>IF('Infos générales'!$E$2="x",IF(A176&gt;0,INDEX(DP!$A$10:$G$265,MATCH(A176,DP!$A$10:$A$265,0),6)," "),IF(A176&gt;0,INDEX(DP!$A$10:$G$265,MATCH(A176,DP!$A$10:$A$265,0),4)," "))</f>
        <v xml:space="preserve"> </v>
      </c>
      <c r="E176" s="39"/>
      <c r="F176" s="33" t="s">
        <v>34</v>
      </c>
      <c r="G176" s="40"/>
      <c r="H176" s="39"/>
      <c r="I176" s="33" t="s">
        <v>34</v>
      </c>
      <c r="J176" s="40"/>
      <c r="K176" s="39"/>
      <c r="L176" s="33" t="s">
        <v>34</v>
      </c>
      <c r="M176" s="40"/>
      <c r="N176" s="34">
        <f t="shared" si="22"/>
        <v>166</v>
      </c>
      <c r="O176" s="20">
        <f t="shared" si="23"/>
        <v>1.010276</v>
      </c>
      <c r="P176" s="20">
        <f t="shared" si="24"/>
        <v>166</v>
      </c>
      <c r="Q176" s="20" t="str">
        <f t="shared" si="25"/>
        <v xml:space="preserve"> </v>
      </c>
      <c r="R176" s="20">
        <f t="shared" si="26"/>
        <v>0</v>
      </c>
      <c r="S176" s="20">
        <f t="shared" si="27"/>
        <v>0</v>
      </c>
      <c r="T176" s="20">
        <f t="shared" si="28"/>
        <v>0</v>
      </c>
      <c r="U176" s="20">
        <f>IF($J$2="x",IFERROR(SMALL($O$11:$O$14,166),0),IF($J$3="x",IFERROR(SMALL($O$11:$O$18,166),0),IF($J$4="x",IFERROR(SMALL($O$11:$O$26,166),0),IF($J$5="x",IFERROR(SMALL($O$11:$O$42,166),0),IF($J$6="x",IFERROR(SMALL($O$11:$O$74,166),0),IF($J$7="x",IFERROR(SMALL($O$11:$O$138,166),0),IFERROR(SMALL($O$11:$O$266,166),0)))))))</f>
        <v>1.010276</v>
      </c>
      <c r="V176" s="20">
        <f t="shared" si="29"/>
        <v>166</v>
      </c>
      <c r="W176" s="20" t="str">
        <f t="shared" si="30"/>
        <v xml:space="preserve"> </v>
      </c>
      <c r="Y176" s="29">
        <v>166</v>
      </c>
      <c r="Z176" s="36" t="str">
        <f t="shared" si="31"/>
        <v xml:space="preserve"> </v>
      </c>
      <c r="AA176" s="35" t="str">
        <f>IFERROR(INDEX(#REF!,MATCH(AB176,#REF!,0))," ")</f>
        <v xml:space="preserve"> </v>
      </c>
      <c r="AB176" s="30">
        <f t="shared" si="32"/>
        <v>0</v>
      </c>
    </row>
    <row r="177" spans="1:28" x14ac:dyDescent="0.25">
      <c r="A177" s="38"/>
      <c r="B177" s="31" t="s">
        <v>201</v>
      </c>
      <c r="C177" s="32" t="str">
        <f>IF('Infos générales'!$E$2="x",IF(A177&gt;0,INDEX(DP!$A$10:$G$265,MATCH(A177,DP!$A$10:$A$265,0),6)," "),IF(A177&gt;0,INDEX(DP!$A$10:$G$265,MATCH(A177,DP!$A$10:$A$265,0),4)," "))</f>
        <v xml:space="preserve"> </v>
      </c>
      <c r="E177" s="39"/>
      <c r="F177" s="33" t="s">
        <v>34</v>
      </c>
      <c r="G177" s="40"/>
      <c r="H177" s="39"/>
      <c r="I177" s="33" t="s">
        <v>34</v>
      </c>
      <c r="J177" s="40"/>
      <c r="K177" s="39"/>
      <c r="L177" s="33" t="s">
        <v>34</v>
      </c>
      <c r="M177" s="40"/>
      <c r="N177" s="34">
        <f t="shared" si="22"/>
        <v>167</v>
      </c>
      <c r="O177" s="20">
        <f t="shared" si="23"/>
        <v>1.0102770000000001</v>
      </c>
      <c r="P177" s="20">
        <f t="shared" si="24"/>
        <v>167</v>
      </c>
      <c r="Q177" s="20" t="str">
        <f t="shared" si="25"/>
        <v xml:space="preserve"> </v>
      </c>
      <c r="R177" s="20">
        <f t="shared" si="26"/>
        <v>0</v>
      </c>
      <c r="S177" s="20">
        <f t="shared" si="27"/>
        <v>0</v>
      </c>
      <c r="T177" s="20">
        <f t="shared" si="28"/>
        <v>0</v>
      </c>
      <c r="U177" s="20">
        <f>IF($J$2="x",IFERROR(SMALL($O$11:$O$14,167),0),IF($J$3="x",IFERROR(SMALL($O$11:$O$18,167),0),IF($J$4="x",IFERROR(SMALL($O$11:$O$26,167),0),IF($J$5="x",IFERROR(SMALL($O$11:$O$42,167),0),IF($J$6="x",IFERROR(SMALL($O$11:$O$74,167),0),IF($J$7="x",IFERROR(SMALL($O$11:$O$138,167),0),IFERROR(SMALL($O$11:$O$266,167),0)))))))</f>
        <v>1.0102770000000001</v>
      </c>
      <c r="V177" s="20">
        <f t="shared" si="29"/>
        <v>167</v>
      </c>
      <c r="W177" s="20" t="str">
        <f t="shared" si="30"/>
        <v xml:space="preserve"> </v>
      </c>
      <c r="Y177" s="29">
        <v>167</v>
      </c>
      <c r="Z177" s="36" t="str">
        <f t="shared" si="31"/>
        <v xml:space="preserve"> </v>
      </c>
      <c r="AA177" s="35" t="str">
        <f>IFERROR(INDEX(#REF!,MATCH(AB177,#REF!,0))," ")</f>
        <v xml:space="preserve"> </v>
      </c>
      <c r="AB177" s="30">
        <f t="shared" si="32"/>
        <v>0</v>
      </c>
    </row>
    <row r="178" spans="1:28" x14ac:dyDescent="0.25">
      <c r="A178" s="38"/>
      <c r="B178" s="31" t="s">
        <v>202</v>
      </c>
      <c r="C178" s="32" t="str">
        <f>IF('Infos générales'!$E$2="x",IF(A178&gt;0,INDEX(DP!$A$10:$G$265,MATCH(A178,DP!$A$10:$A$265,0),6)," "),IF(A178&gt;0,INDEX(DP!$A$10:$G$265,MATCH(A178,DP!$A$10:$A$265,0),4)," "))</f>
        <v xml:space="preserve"> </v>
      </c>
      <c r="E178" s="39"/>
      <c r="F178" s="33" t="s">
        <v>34</v>
      </c>
      <c r="G178" s="40"/>
      <c r="H178" s="39"/>
      <c r="I178" s="33" t="s">
        <v>34</v>
      </c>
      <c r="J178" s="40"/>
      <c r="K178" s="39"/>
      <c r="L178" s="33" t="s">
        <v>34</v>
      </c>
      <c r="M178" s="40"/>
      <c r="N178" s="34">
        <f t="shared" si="22"/>
        <v>168</v>
      </c>
      <c r="O178" s="20">
        <f t="shared" si="23"/>
        <v>1.010278</v>
      </c>
      <c r="P178" s="20">
        <f t="shared" si="24"/>
        <v>168</v>
      </c>
      <c r="Q178" s="20" t="str">
        <f t="shared" si="25"/>
        <v xml:space="preserve"> </v>
      </c>
      <c r="R178" s="20">
        <f t="shared" si="26"/>
        <v>0</v>
      </c>
      <c r="S178" s="20">
        <f t="shared" si="27"/>
        <v>0</v>
      </c>
      <c r="T178" s="20">
        <f t="shared" si="28"/>
        <v>0</v>
      </c>
      <c r="U178" s="20">
        <f>IF($J$2="x",IFERROR(SMALL($O$11:$O$14,168),0),IF($J$3="x",IFERROR(SMALL($O$11:$O$18,168),0),IF($J$4="x",IFERROR(SMALL($O$11:$O$26,168),0),IF($J$5="x",IFERROR(SMALL($O$11:$O$42,168),0),IF($J$6="x",IFERROR(SMALL($O$11:$O$74,168),0),IF($J$7="x",IFERROR(SMALL($O$11:$O$138,168),0),IFERROR(SMALL($O$11:$O$266,168),0)))))))</f>
        <v>1.010278</v>
      </c>
      <c r="V178" s="20">
        <f t="shared" si="29"/>
        <v>168</v>
      </c>
      <c r="W178" s="20" t="str">
        <f t="shared" si="30"/>
        <v xml:space="preserve"> </v>
      </c>
      <c r="Y178" s="29">
        <v>168</v>
      </c>
      <c r="Z178" s="36" t="str">
        <f t="shared" si="31"/>
        <v xml:space="preserve"> </v>
      </c>
      <c r="AA178" s="35" t="str">
        <f>IFERROR(INDEX(#REF!,MATCH(AB178,#REF!,0))," ")</f>
        <v xml:space="preserve"> </v>
      </c>
      <c r="AB178" s="30">
        <f t="shared" si="32"/>
        <v>0</v>
      </c>
    </row>
    <row r="179" spans="1:28" x14ac:dyDescent="0.25">
      <c r="A179" s="38"/>
      <c r="B179" s="31" t="s">
        <v>203</v>
      </c>
      <c r="C179" s="32" t="str">
        <f>IF('Infos générales'!$E$2="x",IF(A179&gt;0,INDEX(DP!$A$10:$G$265,MATCH(A179,DP!$A$10:$A$265,0),6)," "),IF(A179&gt;0,INDEX(DP!$A$10:$G$265,MATCH(A179,DP!$A$10:$A$265,0),4)," "))</f>
        <v xml:space="preserve"> </v>
      </c>
      <c r="E179" s="39"/>
      <c r="F179" s="33" t="s">
        <v>34</v>
      </c>
      <c r="G179" s="40"/>
      <c r="H179" s="39"/>
      <c r="I179" s="33" t="s">
        <v>34</v>
      </c>
      <c r="J179" s="40"/>
      <c r="K179" s="39"/>
      <c r="L179" s="33" t="s">
        <v>34</v>
      </c>
      <c r="M179" s="40"/>
      <c r="N179" s="34">
        <f t="shared" si="22"/>
        <v>169</v>
      </c>
      <c r="O179" s="20">
        <f t="shared" si="23"/>
        <v>1.0102789999999999</v>
      </c>
      <c r="P179" s="20">
        <f t="shared" si="24"/>
        <v>169</v>
      </c>
      <c r="Q179" s="20" t="str">
        <f t="shared" si="25"/>
        <v xml:space="preserve"> </v>
      </c>
      <c r="R179" s="20">
        <f t="shared" si="26"/>
        <v>0</v>
      </c>
      <c r="S179" s="20">
        <f t="shared" si="27"/>
        <v>0</v>
      </c>
      <c r="T179" s="20">
        <f t="shared" si="28"/>
        <v>0</v>
      </c>
      <c r="U179" s="20">
        <f>IF($J$2="x",IFERROR(SMALL($O$11:$O$14,169),0),IF($J$3="x",IFERROR(SMALL($O$11:$O$18,169),0),IF($J$4="x",IFERROR(SMALL($O$11:$O$26,169),0),IF($J$5="x",IFERROR(SMALL($O$11:$O$42,169),0),IF($J$6="x",IFERROR(SMALL($O$11:$O$74,169),0),IF($J$7="x",IFERROR(SMALL($O$11:$O$138,169),0),IFERROR(SMALL($O$11:$O$266,169),0)))))))</f>
        <v>1.0102789999999999</v>
      </c>
      <c r="V179" s="20">
        <f t="shared" si="29"/>
        <v>169</v>
      </c>
      <c r="W179" s="20" t="str">
        <f t="shared" si="30"/>
        <v xml:space="preserve"> </v>
      </c>
      <c r="Y179" s="29">
        <v>169</v>
      </c>
      <c r="Z179" s="36" t="str">
        <f t="shared" si="31"/>
        <v xml:space="preserve"> </v>
      </c>
      <c r="AA179" s="35" t="str">
        <f>IFERROR(INDEX(#REF!,MATCH(AB179,#REF!,0))," ")</f>
        <v xml:space="preserve"> </v>
      </c>
      <c r="AB179" s="30">
        <f t="shared" si="32"/>
        <v>0</v>
      </c>
    </row>
    <row r="180" spans="1:28" x14ac:dyDescent="0.25">
      <c r="A180" s="38"/>
      <c r="B180" s="31" t="s">
        <v>204</v>
      </c>
      <c r="C180" s="32" t="str">
        <f>IF('Infos générales'!$E$2="x",IF(A180&gt;0,INDEX(DP!$A$10:$G$265,MATCH(A180,DP!$A$10:$A$265,0),6)," "),IF(A180&gt;0,INDEX(DP!$A$10:$G$265,MATCH(A180,DP!$A$10:$A$265,0),4)," "))</f>
        <v xml:space="preserve"> </v>
      </c>
      <c r="E180" s="39"/>
      <c r="F180" s="33" t="s">
        <v>34</v>
      </c>
      <c r="G180" s="40"/>
      <c r="H180" s="39"/>
      <c r="I180" s="33" t="s">
        <v>34</v>
      </c>
      <c r="J180" s="40"/>
      <c r="K180" s="39"/>
      <c r="L180" s="33" t="s">
        <v>34</v>
      </c>
      <c r="M180" s="40"/>
      <c r="N180" s="34">
        <f t="shared" si="22"/>
        <v>170</v>
      </c>
      <c r="O180" s="20">
        <f t="shared" si="23"/>
        <v>1.0102800000000001</v>
      </c>
      <c r="P180" s="20">
        <f t="shared" si="24"/>
        <v>170</v>
      </c>
      <c r="Q180" s="20" t="str">
        <f t="shared" si="25"/>
        <v xml:space="preserve"> </v>
      </c>
      <c r="R180" s="20">
        <f t="shared" si="26"/>
        <v>0</v>
      </c>
      <c r="S180" s="20">
        <f t="shared" si="27"/>
        <v>0</v>
      </c>
      <c r="T180" s="20">
        <f t="shared" si="28"/>
        <v>0</v>
      </c>
      <c r="U180" s="20">
        <f>IF($J$2="x",IFERROR(SMALL($O$11:$O$14,170),0),IF($J$3="x",IFERROR(SMALL($O$11:$O$18,170),0),IF($J$4="x",IFERROR(SMALL($O$11:$O$26,170),0),IF($J$5="x",IFERROR(SMALL($O$11:$O$42,170),0),IF($J$6="x",IFERROR(SMALL($O$11:$O$74,170),0),IF($J$7="x",IFERROR(SMALL($O$11:$O$138,170),0),IFERROR(SMALL($O$11:$O$266,170),0)))))))</f>
        <v>1.0102800000000001</v>
      </c>
      <c r="V180" s="20">
        <f t="shared" si="29"/>
        <v>170</v>
      </c>
      <c r="W180" s="20" t="str">
        <f t="shared" si="30"/>
        <v xml:space="preserve"> </v>
      </c>
      <c r="Y180" s="29">
        <v>170</v>
      </c>
      <c r="Z180" s="36" t="str">
        <f t="shared" si="31"/>
        <v xml:space="preserve"> </v>
      </c>
      <c r="AA180" s="35" t="str">
        <f>IFERROR(INDEX(#REF!,MATCH(AB180,#REF!,0))," ")</f>
        <v xml:space="preserve"> </v>
      </c>
      <c r="AB180" s="30">
        <f t="shared" si="32"/>
        <v>0</v>
      </c>
    </row>
    <row r="181" spans="1:28" x14ac:dyDescent="0.25">
      <c r="A181" s="38"/>
      <c r="B181" s="31" t="s">
        <v>205</v>
      </c>
      <c r="C181" s="32" t="str">
        <f>IF('Infos générales'!$E$2="x",IF(A181&gt;0,INDEX(DP!$A$10:$G$265,MATCH(A181,DP!$A$10:$A$265,0),6)," "),IF(A181&gt;0,INDEX(DP!$A$10:$G$265,MATCH(A181,DP!$A$10:$A$265,0),4)," "))</f>
        <v xml:space="preserve"> </v>
      </c>
      <c r="E181" s="39"/>
      <c r="F181" s="33" t="s">
        <v>34</v>
      </c>
      <c r="G181" s="40"/>
      <c r="H181" s="39"/>
      <c r="I181" s="33" t="s">
        <v>34</v>
      </c>
      <c r="J181" s="40"/>
      <c r="K181" s="39"/>
      <c r="L181" s="33" t="s">
        <v>34</v>
      </c>
      <c r="M181" s="40"/>
      <c r="N181" s="34">
        <f t="shared" si="22"/>
        <v>171</v>
      </c>
      <c r="O181" s="20">
        <f t="shared" si="23"/>
        <v>1.010281</v>
      </c>
      <c r="P181" s="20">
        <f t="shared" si="24"/>
        <v>171</v>
      </c>
      <c r="Q181" s="20" t="str">
        <f t="shared" si="25"/>
        <v xml:space="preserve"> </v>
      </c>
      <c r="R181" s="20">
        <f t="shared" si="26"/>
        <v>0</v>
      </c>
      <c r="S181" s="20">
        <f t="shared" si="27"/>
        <v>0</v>
      </c>
      <c r="T181" s="20">
        <f t="shared" si="28"/>
        <v>0</v>
      </c>
      <c r="U181" s="20">
        <f>IF($J$2="x",IFERROR(SMALL($O$11:$O$14,171),0),IF($J$3="x",IFERROR(SMALL($O$11:$O$18,171),0),IF($J$4="x",IFERROR(SMALL($O$11:$O$26,171),0),IF($J$5="x",IFERROR(SMALL($O$11:$O$42,171),0),IF($J$6="x",IFERROR(SMALL($O$11:$O$74,171),0),IF($J$7="x",IFERROR(SMALL($O$11:$O$138,171),0),IFERROR(SMALL($O$11:$O$266,171),0)))))))</f>
        <v>1.010281</v>
      </c>
      <c r="V181" s="20">
        <f t="shared" si="29"/>
        <v>171</v>
      </c>
      <c r="W181" s="20" t="str">
        <f t="shared" si="30"/>
        <v xml:space="preserve"> </v>
      </c>
      <c r="Y181" s="29">
        <v>171</v>
      </c>
      <c r="Z181" s="36" t="str">
        <f t="shared" si="31"/>
        <v xml:space="preserve"> </v>
      </c>
      <c r="AA181" s="35" t="str">
        <f>IFERROR(INDEX(#REF!,MATCH(AB181,#REF!,0))," ")</f>
        <v xml:space="preserve"> </v>
      </c>
      <c r="AB181" s="30">
        <f t="shared" si="32"/>
        <v>0</v>
      </c>
    </row>
    <row r="182" spans="1:28" x14ac:dyDescent="0.25">
      <c r="A182" s="38"/>
      <c r="B182" s="31" t="s">
        <v>206</v>
      </c>
      <c r="C182" s="32" t="str">
        <f>IF('Infos générales'!$E$2="x",IF(A182&gt;0,INDEX(DP!$A$10:$G$265,MATCH(A182,DP!$A$10:$A$265,0),6)," "),IF(A182&gt;0,INDEX(DP!$A$10:$G$265,MATCH(A182,DP!$A$10:$A$265,0),4)," "))</f>
        <v xml:space="preserve"> </v>
      </c>
      <c r="E182" s="39"/>
      <c r="F182" s="33" t="s">
        <v>34</v>
      </c>
      <c r="G182" s="40"/>
      <c r="H182" s="39"/>
      <c r="I182" s="33" t="s">
        <v>34</v>
      </c>
      <c r="J182" s="40"/>
      <c r="K182" s="39"/>
      <c r="L182" s="33" t="s">
        <v>34</v>
      </c>
      <c r="M182" s="40"/>
      <c r="N182" s="34">
        <f t="shared" si="22"/>
        <v>172</v>
      </c>
      <c r="O182" s="20">
        <f t="shared" si="23"/>
        <v>1.0102819999999999</v>
      </c>
      <c r="P182" s="20">
        <f t="shared" si="24"/>
        <v>172</v>
      </c>
      <c r="Q182" s="20" t="str">
        <f t="shared" si="25"/>
        <v xml:space="preserve"> </v>
      </c>
      <c r="R182" s="20">
        <f t="shared" si="26"/>
        <v>0</v>
      </c>
      <c r="S182" s="20">
        <f t="shared" si="27"/>
        <v>0</v>
      </c>
      <c r="T182" s="20">
        <f t="shared" si="28"/>
        <v>0</v>
      </c>
      <c r="U182" s="20">
        <f>IF($J$2="x",IFERROR(SMALL($O$11:$O$14,172),0),IF($J$3="x",IFERROR(SMALL($O$11:$O$18,172),0),IF($J$4="x",IFERROR(SMALL($O$11:$O$26,172),0),IF($J$5="x",IFERROR(SMALL($O$11:$O$42,172),0),IF($J$6="x",IFERROR(SMALL($O$11:$O$74,172),0),IF($J$7="x",IFERROR(SMALL($O$11:$O$138,172),0),IFERROR(SMALL($O$11:$O$266,172),0)))))))</f>
        <v>1.0102819999999999</v>
      </c>
      <c r="V182" s="20">
        <f t="shared" si="29"/>
        <v>172</v>
      </c>
      <c r="W182" s="20" t="str">
        <f t="shared" si="30"/>
        <v xml:space="preserve"> </v>
      </c>
      <c r="Y182" s="29">
        <v>172</v>
      </c>
      <c r="Z182" s="36" t="str">
        <f t="shared" si="31"/>
        <v xml:space="preserve"> </v>
      </c>
      <c r="AA182" s="35" t="str">
        <f>IFERROR(INDEX(#REF!,MATCH(AB182,#REF!,0))," ")</f>
        <v xml:space="preserve"> </v>
      </c>
      <c r="AB182" s="30">
        <f t="shared" si="32"/>
        <v>0</v>
      </c>
    </row>
    <row r="183" spans="1:28" x14ac:dyDescent="0.25">
      <c r="A183" s="38"/>
      <c r="B183" s="31" t="s">
        <v>207</v>
      </c>
      <c r="C183" s="32" t="str">
        <f>IF('Infos générales'!$E$2="x",IF(A183&gt;0,INDEX(DP!$A$10:$G$265,MATCH(A183,DP!$A$10:$A$265,0),6)," "),IF(A183&gt;0,INDEX(DP!$A$10:$G$265,MATCH(A183,DP!$A$10:$A$265,0),4)," "))</f>
        <v xml:space="preserve"> </v>
      </c>
      <c r="E183" s="39"/>
      <c r="F183" s="33" t="s">
        <v>34</v>
      </c>
      <c r="G183" s="40"/>
      <c r="H183" s="39"/>
      <c r="I183" s="33" t="s">
        <v>34</v>
      </c>
      <c r="J183" s="40"/>
      <c r="K183" s="39"/>
      <c r="L183" s="33" t="s">
        <v>34</v>
      </c>
      <c r="M183" s="40"/>
      <c r="N183" s="34">
        <f t="shared" si="22"/>
        <v>173</v>
      </c>
      <c r="O183" s="20">
        <f t="shared" si="23"/>
        <v>1.010283</v>
      </c>
      <c r="P183" s="20">
        <f t="shared" si="24"/>
        <v>173</v>
      </c>
      <c r="Q183" s="20" t="str">
        <f t="shared" si="25"/>
        <v xml:space="preserve"> </v>
      </c>
      <c r="R183" s="20">
        <f t="shared" si="26"/>
        <v>0</v>
      </c>
      <c r="S183" s="20">
        <f t="shared" si="27"/>
        <v>0</v>
      </c>
      <c r="T183" s="20">
        <f t="shared" si="28"/>
        <v>0</v>
      </c>
      <c r="U183" s="20">
        <f>IF($J$2="x",IFERROR(SMALL($O$11:$O$14,173),0),IF($J$3="x",IFERROR(SMALL($O$11:$O$18,173),0),IF($J$4="x",IFERROR(SMALL($O$11:$O$26,173),0),IF($J$5="x",IFERROR(SMALL($O$11:$O$42,173),0),IF($J$6="x",IFERROR(SMALL($O$11:$O$74,173),0),IF($J$7="x",IFERROR(SMALL($O$11:$O$138,173),0),IFERROR(SMALL($O$11:$O$266,173),0)))))))</f>
        <v>1.010283</v>
      </c>
      <c r="V183" s="20">
        <f t="shared" si="29"/>
        <v>173</v>
      </c>
      <c r="W183" s="20" t="str">
        <f t="shared" si="30"/>
        <v xml:space="preserve"> </v>
      </c>
      <c r="Y183" s="29">
        <v>173</v>
      </c>
      <c r="Z183" s="36" t="str">
        <f t="shared" si="31"/>
        <v xml:space="preserve"> </v>
      </c>
      <c r="AA183" s="35" t="str">
        <f>IFERROR(INDEX(#REF!,MATCH(AB183,#REF!,0))," ")</f>
        <v xml:space="preserve"> </v>
      </c>
      <c r="AB183" s="30">
        <f t="shared" si="32"/>
        <v>0</v>
      </c>
    </row>
    <row r="184" spans="1:28" x14ac:dyDescent="0.25">
      <c r="A184" s="38"/>
      <c r="B184" s="31" t="s">
        <v>208</v>
      </c>
      <c r="C184" s="32" t="str">
        <f>IF('Infos générales'!$E$2="x",IF(A184&gt;0,INDEX(DP!$A$10:$G$265,MATCH(A184,DP!$A$10:$A$265,0),6)," "),IF(A184&gt;0,INDEX(DP!$A$10:$G$265,MATCH(A184,DP!$A$10:$A$265,0),4)," "))</f>
        <v xml:space="preserve"> </v>
      </c>
      <c r="E184" s="39"/>
      <c r="F184" s="33" t="s">
        <v>34</v>
      </c>
      <c r="G184" s="40"/>
      <c r="H184" s="39"/>
      <c r="I184" s="33" t="s">
        <v>34</v>
      </c>
      <c r="J184" s="40"/>
      <c r="K184" s="39"/>
      <c r="L184" s="33" t="s">
        <v>34</v>
      </c>
      <c r="M184" s="40"/>
      <c r="N184" s="34">
        <f t="shared" si="22"/>
        <v>174</v>
      </c>
      <c r="O184" s="20">
        <f t="shared" si="23"/>
        <v>1.010284</v>
      </c>
      <c r="P184" s="20">
        <f t="shared" si="24"/>
        <v>174</v>
      </c>
      <c r="Q184" s="20" t="str">
        <f t="shared" si="25"/>
        <v xml:space="preserve"> </v>
      </c>
      <c r="R184" s="20">
        <f t="shared" si="26"/>
        <v>0</v>
      </c>
      <c r="S184" s="20">
        <f t="shared" si="27"/>
        <v>0</v>
      </c>
      <c r="T184" s="20">
        <f t="shared" si="28"/>
        <v>0</v>
      </c>
      <c r="U184" s="20">
        <f>IF($J$2="x",IFERROR(SMALL($O$11:$O$14,174),0),IF($J$3="x",IFERROR(SMALL($O$11:$O$18,174),0),IF($J$4="x",IFERROR(SMALL($O$11:$O$26,174),0),IF($J$5="x",IFERROR(SMALL($O$11:$O$42,174),0),IF($J$6="x",IFERROR(SMALL($O$11:$O$74,174),0),IF($J$7="x",IFERROR(SMALL($O$11:$O$138,174),0),IFERROR(SMALL($O$11:$O$266,174),0)))))))</f>
        <v>1.010284</v>
      </c>
      <c r="V184" s="20">
        <f t="shared" si="29"/>
        <v>174</v>
      </c>
      <c r="W184" s="20" t="str">
        <f t="shared" si="30"/>
        <v xml:space="preserve"> </v>
      </c>
      <c r="Y184" s="29">
        <v>174</v>
      </c>
      <c r="Z184" s="36" t="str">
        <f t="shared" si="31"/>
        <v xml:space="preserve"> </v>
      </c>
      <c r="AA184" s="35" t="str">
        <f>IFERROR(INDEX(#REF!,MATCH(AB184,#REF!,0))," ")</f>
        <v xml:space="preserve"> </v>
      </c>
      <c r="AB184" s="30">
        <f t="shared" si="32"/>
        <v>0</v>
      </c>
    </row>
    <row r="185" spans="1:28" x14ac:dyDescent="0.25">
      <c r="A185" s="38"/>
      <c r="B185" s="31" t="s">
        <v>209</v>
      </c>
      <c r="C185" s="32" t="str">
        <f>IF('Infos générales'!$E$2="x",IF(A185&gt;0,INDEX(DP!$A$10:$G$265,MATCH(A185,DP!$A$10:$A$265,0),6)," "),IF(A185&gt;0,INDEX(DP!$A$10:$G$265,MATCH(A185,DP!$A$10:$A$265,0),4)," "))</f>
        <v xml:space="preserve"> </v>
      </c>
      <c r="E185" s="39"/>
      <c r="F185" s="33" t="s">
        <v>34</v>
      </c>
      <c r="G185" s="40"/>
      <c r="H185" s="39"/>
      <c r="I185" s="33" t="s">
        <v>34</v>
      </c>
      <c r="J185" s="40"/>
      <c r="K185" s="39"/>
      <c r="L185" s="33" t="s">
        <v>34</v>
      </c>
      <c r="M185" s="40"/>
      <c r="N185" s="34">
        <f t="shared" si="22"/>
        <v>175</v>
      </c>
      <c r="O185" s="20">
        <f t="shared" si="23"/>
        <v>1.0102850000000001</v>
      </c>
      <c r="P185" s="20">
        <f t="shared" si="24"/>
        <v>175</v>
      </c>
      <c r="Q185" s="20" t="str">
        <f t="shared" si="25"/>
        <v xml:space="preserve"> </v>
      </c>
      <c r="R185" s="20">
        <f t="shared" si="26"/>
        <v>0</v>
      </c>
      <c r="S185" s="20">
        <f t="shared" si="27"/>
        <v>0</v>
      </c>
      <c r="T185" s="20">
        <f t="shared" si="28"/>
        <v>0</v>
      </c>
      <c r="U185" s="20">
        <f>IF($J$2="x",IFERROR(SMALL($O$11:$O$14,175),0),IF($J$3="x",IFERROR(SMALL($O$11:$O$18,175),0),IF($J$4="x",IFERROR(SMALL($O$11:$O$26,175),0),IF($J$5="x",IFERROR(SMALL($O$11:$O$42,175),0),IF($J$6="x",IFERROR(SMALL($O$11:$O$74,175),0),IF($J$7="x",IFERROR(SMALL($O$11:$O$138,175),0),IFERROR(SMALL($O$11:$O$266,175),0)))))))</f>
        <v>1.0102850000000001</v>
      </c>
      <c r="V185" s="20">
        <f t="shared" si="29"/>
        <v>175</v>
      </c>
      <c r="W185" s="20" t="str">
        <f t="shared" si="30"/>
        <v xml:space="preserve"> </v>
      </c>
      <c r="Y185" s="29">
        <v>175</v>
      </c>
      <c r="Z185" s="36" t="str">
        <f t="shared" si="31"/>
        <v xml:space="preserve"> </v>
      </c>
      <c r="AA185" s="35" t="str">
        <f>IFERROR(INDEX(#REF!,MATCH(AB185,#REF!,0))," ")</f>
        <v xml:space="preserve"> </v>
      </c>
      <c r="AB185" s="30">
        <f t="shared" si="32"/>
        <v>0</v>
      </c>
    </row>
    <row r="186" spans="1:28" x14ac:dyDescent="0.25">
      <c r="A186" s="38"/>
      <c r="B186" s="31" t="s">
        <v>210</v>
      </c>
      <c r="C186" s="32" t="str">
        <f>IF('Infos générales'!$E$2="x",IF(A186&gt;0,INDEX(DP!$A$10:$G$265,MATCH(A186,DP!$A$10:$A$265,0),6)," "),IF(A186&gt;0,INDEX(DP!$A$10:$G$265,MATCH(A186,DP!$A$10:$A$265,0),4)," "))</f>
        <v xml:space="preserve"> </v>
      </c>
      <c r="E186" s="39"/>
      <c r="F186" s="33" t="s">
        <v>34</v>
      </c>
      <c r="G186" s="40"/>
      <c r="H186" s="39"/>
      <c r="I186" s="33" t="s">
        <v>34</v>
      </c>
      <c r="J186" s="40"/>
      <c r="K186" s="39"/>
      <c r="L186" s="33" t="s">
        <v>34</v>
      </c>
      <c r="M186" s="40"/>
      <c r="N186" s="34">
        <f t="shared" si="22"/>
        <v>176</v>
      </c>
      <c r="O186" s="20">
        <f t="shared" si="23"/>
        <v>1.010286</v>
      </c>
      <c r="P186" s="20">
        <f t="shared" si="24"/>
        <v>176</v>
      </c>
      <c r="Q186" s="20" t="str">
        <f t="shared" si="25"/>
        <v xml:space="preserve"> </v>
      </c>
      <c r="R186" s="20">
        <f t="shared" si="26"/>
        <v>0</v>
      </c>
      <c r="S186" s="20">
        <f t="shared" si="27"/>
        <v>0</v>
      </c>
      <c r="T186" s="20">
        <f t="shared" si="28"/>
        <v>0</v>
      </c>
      <c r="U186" s="20">
        <f>IF($J$2="x",IFERROR(SMALL($O$11:$O$14,176),0),IF($J$3="x",IFERROR(SMALL($O$11:$O$18,176),0),IF($J$4="x",IFERROR(SMALL($O$11:$O$26,176),0),IF($J$5="x",IFERROR(SMALL($O$11:$O$42,176),0),IF($J$6="x",IFERROR(SMALL($O$11:$O$74,176),0),IF($J$7="x",IFERROR(SMALL($O$11:$O$138,176),0),IFERROR(SMALL($O$11:$O$266,176),0)))))))</f>
        <v>1.010286</v>
      </c>
      <c r="V186" s="20">
        <f t="shared" si="29"/>
        <v>176</v>
      </c>
      <c r="W186" s="20" t="str">
        <f t="shared" si="30"/>
        <v xml:space="preserve"> </v>
      </c>
      <c r="Y186" s="29">
        <v>176</v>
      </c>
      <c r="Z186" s="36" t="str">
        <f t="shared" si="31"/>
        <v xml:space="preserve"> </v>
      </c>
      <c r="AA186" s="35" t="str">
        <f>IFERROR(INDEX(#REF!,MATCH(AB186,#REF!,0))," ")</f>
        <v xml:space="preserve"> </v>
      </c>
      <c r="AB186" s="30">
        <f t="shared" si="32"/>
        <v>0</v>
      </c>
    </row>
    <row r="187" spans="1:28" x14ac:dyDescent="0.25">
      <c r="A187" s="38"/>
      <c r="B187" s="31" t="s">
        <v>211</v>
      </c>
      <c r="C187" s="32" t="str">
        <f>IF('Infos générales'!$E$2="x",IF(A187&gt;0,INDEX(DP!$A$10:$G$265,MATCH(A187,DP!$A$10:$A$265,0),6)," "),IF(A187&gt;0,INDEX(DP!$A$10:$G$265,MATCH(A187,DP!$A$10:$A$265,0),4)," "))</f>
        <v xml:space="preserve"> </v>
      </c>
      <c r="E187" s="39"/>
      <c r="F187" s="33" t="s">
        <v>34</v>
      </c>
      <c r="G187" s="40"/>
      <c r="H187" s="39"/>
      <c r="I187" s="33" t="s">
        <v>34</v>
      </c>
      <c r="J187" s="40"/>
      <c r="K187" s="39"/>
      <c r="L187" s="33" t="s">
        <v>34</v>
      </c>
      <c r="M187" s="40"/>
      <c r="N187" s="34">
        <f t="shared" si="22"/>
        <v>177</v>
      </c>
      <c r="O187" s="20">
        <f t="shared" si="23"/>
        <v>1.0102869999999999</v>
      </c>
      <c r="P187" s="20">
        <f t="shared" si="24"/>
        <v>177</v>
      </c>
      <c r="Q187" s="20" t="str">
        <f t="shared" si="25"/>
        <v xml:space="preserve"> </v>
      </c>
      <c r="R187" s="20">
        <f t="shared" si="26"/>
        <v>0</v>
      </c>
      <c r="S187" s="20">
        <f t="shared" si="27"/>
        <v>0</v>
      </c>
      <c r="T187" s="20">
        <f t="shared" si="28"/>
        <v>0</v>
      </c>
      <c r="U187" s="20">
        <f>IF($J$2="x",IFERROR(SMALL($O$11:$O$14,177),0),IF($J$3="x",IFERROR(SMALL($O$11:$O$18,177),0),IF($J$4="x",IFERROR(SMALL($O$11:$O$26,177),0),IF($J$5="x",IFERROR(SMALL($O$11:$O$42,177),0),IF($J$6="x",IFERROR(SMALL($O$11:$O$74,177),0),IF($J$7="x",IFERROR(SMALL($O$11:$O$138,177),0),IFERROR(SMALL($O$11:$O$266,177),0)))))))</f>
        <v>1.0102869999999999</v>
      </c>
      <c r="V187" s="20">
        <f t="shared" si="29"/>
        <v>177</v>
      </c>
      <c r="W187" s="20" t="str">
        <f t="shared" si="30"/>
        <v xml:space="preserve"> </v>
      </c>
      <c r="Y187" s="29">
        <v>177</v>
      </c>
      <c r="Z187" s="36" t="str">
        <f t="shared" si="31"/>
        <v xml:space="preserve"> </v>
      </c>
      <c r="AA187" s="35" t="str">
        <f>IFERROR(INDEX(#REF!,MATCH(AB187,#REF!,0))," ")</f>
        <v xml:space="preserve"> </v>
      </c>
      <c r="AB187" s="30">
        <f t="shared" si="32"/>
        <v>0</v>
      </c>
    </row>
    <row r="188" spans="1:28" x14ac:dyDescent="0.25">
      <c r="A188" s="38"/>
      <c r="B188" s="31" t="s">
        <v>212</v>
      </c>
      <c r="C188" s="32" t="str">
        <f>IF('Infos générales'!$E$2="x",IF(A188&gt;0,INDEX(DP!$A$10:$G$265,MATCH(A188,DP!$A$10:$A$265,0),6)," "),IF(A188&gt;0,INDEX(DP!$A$10:$G$265,MATCH(A188,DP!$A$10:$A$265,0),4)," "))</f>
        <v xml:space="preserve"> </v>
      </c>
      <c r="E188" s="39"/>
      <c r="F188" s="33" t="s">
        <v>34</v>
      </c>
      <c r="G188" s="40"/>
      <c r="H188" s="39"/>
      <c r="I188" s="33" t="s">
        <v>34</v>
      </c>
      <c r="J188" s="40"/>
      <c r="K188" s="39"/>
      <c r="L188" s="33" t="s">
        <v>34</v>
      </c>
      <c r="M188" s="40"/>
      <c r="N188" s="34">
        <f t="shared" si="22"/>
        <v>178</v>
      </c>
      <c r="O188" s="20">
        <f t="shared" si="23"/>
        <v>1.0102880000000001</v>
      </c>
      <c r="P188" s="20">
        <f t="shared" si="24"/>
        <v>178</v>
      </c>
      <c r="Q188" s="20" t="str">
        <f t="shared" si="25"/>
        <v xml:space="preserve"> </v>
      </c>
      <c r="R188" s="20">
        <f t="shared" si="26"/>
        <v>0</v>
      </c>
      <c r="S188" s="20">
        <f t="shared" si="27"/>
        <v>0</v>
      </c>
      <c r="T188" s="20">
        <f t="shared" si="28"/>
        <v>0</v>
      </c>
      <c r="U188" s="20">
        <f>IF($J$2="x",IFERROR(SMALL($O$11:$O$14,178),0),IF($J$3="x",IFERROR(SMALL($O$11:$O$18,178),0),IF($J$4="x",IFERROR(SMALL($O$11:$O$26,178),0),IF($J$5="x",IFERROR(SMALL($O$11:$O$42,178),0),IF($J$6="x",IFERROR(SMALL($O$11:$O$74,178),0),IF($J$7="x",IFERROR(SMALL($O$11:$O$138,178),0),IFERROR(SMALL($O$11:$O$266,178),0)))))))</f>
        <v>1.0102880000000001</v>
      </c>
      <c r="V188" s="20">
        <f t="shared" si="29"/>
        <v>178</v>
      </c>
      <c r="W188" s="20" t="str">
        <f t="shared" si="30"/>
        <v xml:space="preserve"> </v>
      </c>
      <c r="Y188" s="29">
        <v>178</v>
      </c>
      <c r="Z188" s="36" t="str">
        <f t="shared" si="31"/>
        <v xml:space="preserve"> </v>
      </c>
      <c r="AA188" s="35" t="str">
        <f>IFERROR(INDEX(#REF!,MATCH(AB188,#REF!,0))," ")</f>
        <v xml:space="preserve"> </v>
      </c>
      <c r="AB188" s="30">
        <f t="shared" si="32"/>
        <v>0</v>
      </c>
    </row>
    <row r="189" spans="1:28" x14ac:dyDescent="0.25">
      <c r="A189" s="38"/>
      <c r="B189" s="31" t="s">
        <v>213</v>
      </c>
      <c r="C189" s="32" t="str">
        <f>IF('Infos générales'!$E$2="x",IF(A189&gt;0,INDEX(DP!$A$10:$G$265,MATCH(A189,DP!$A$10:$A$265,0),6)," "),IF(A189&gt;0,INDEX(DP!$A$10:$G$265,MATCH(A189,DP!$A$10:$A$265,0),4)," "))</f>
        <v xml:space="preserve"> </v>
      </c>
      <c r="E189" s="39"/>
      <c r="F189" s="33" t="s">
        <v>34</v>
      </c>
      <c r="G189" s="40"/>
      <c r="H189" s="39"/>
      <c r="I189" s="33" t="s">
        <v>34</v>
      </c>
      <c r="J189" s="40"/>
      <c r="K189" s="39"/>
      <c r="L189" s="33" t="s">
        <v>34</v>
      </c>
      <c r="M189" s="40"/>
      <c r="N189" s="34">
        <f t="shared" si="22"/>
        <v>179</v>
      </c>
      <c r="O189" s="20">
        <f t="shared" si="23"/>
        <v>1.010289</v>
      </c>
      <c r="P189" s="20">
        <f t="shared" si="24"/>
        <v>179</v>
      </c>
      <c r="Q189" s="20" t="str">
        <f t="shared" si="25"/>
        <v xml:space="preserve"> </v>
      </c>
      <c r="R189" s="20">
        <f t="shared" si="26"/>
        <v>0</v>
      </c>
      <c r="S189" s="20">
        <f t="shared" si="27"/>
        <v>0</v>
      </c>
      <c r="T189" s="20">
        <f t="shared" si="28"/>
        <v>0</v>
      </c>
      <c r="U189" s="20">
        <f>IF($J$2="x",IFERROR(SMALL($O$11:$O$14,179),0),IF($J$3="x",IFERROR(SMALL($O$11:$O$18,179),0),IF($J$4="x",IFERROR(SMALL($O$11:$O$26,179),0),IF($J$5="x",IFERROR(SMALL($O$11:$O$42,179),0),IF($J$6="x",IFERROR(SMALL($O$11:$O$74,179),0),IF($J$7="x",IFERROR(SMALL($O$11:$O$138,179),0),IFERROR(SMALL($O$11:$O$266,179),0)))))))</f>
        <v>1.010289</v>
      </c>
      <c r="V189" s="20">
        <f t="shared" si="29"/>
        <v>179</v>
      </c>
      <c r="W189" s="20" t="str">
        <f t="shared" si="30"/>
        <v xml:space="preserve"> </v>
      </c>
      <c r="Y189" s="29">
        <v>179</v>
      </c>
      <c r="Z189" s="36" t="str">
        <f t="shared" si="31"/>
        <v xml:space="preserve"> </v>
      </c>
      <c r="AA189" s="35" t="str">
        <f>IFERROR(INDEX(#REF!,MATCH(AB189,#REF!,0))," ")</f>
        <v xml:space="preserve"> </v>
      </c>
      <c r="AB189" s="30">
        <f t="shared" si="32"/>
        <v>0</v>
      </c>
    </row>
    <row r="190" spans="1:28" x14ac:dyDescent="0.25">
      <c r="A190" s="38"/>
      <c r="B190" s="31" t="s">
        <v>214</v>
      </c>
      <c r="C190" s="32" t="str">
        <f>IF('Infos générales'!$E$2="x",IF(A190&gt;0,INDEX(DP!$A$10:$G$265,MATCH(A190,DP!$A$10:$A$265,0),6)," "),IF(A190&gt;0,INDEX(DP!$A$10:$G$265,MATCH(A190,DP!$A$10:$A$265,0),4)," "))</f>
        <v xml:space="preserve"> </v>
      </c>
      <c r="E190" s="39"/>
      <c r="F190" s="33" t="s">
        <v>34</v>
      </c>
      <c r="G190" s="40"/>
      <c r="H190" s="39"/>
      <c r="I190" s="33" t="s">
        <v>34</v>
      </c>
      <c r="J190" s="40"/>
      <c r="K190" s="39"/>
      <c r="L190" s="33" t="s">
        <v>34</v>
      </c>
      <c r="M190" s="40"/>
      <c r="N190" s="34">
        <f t="shared" si="22"/>
        <v>180</v>
      </c>
      <c r="O190" s="20">
        <f t="shared" si="23"/>
        <v>1.0102899999999999</v>
      </c>
      <c r="P190" s="20">
        <f t="shared" si="24"/>
        <v>180</v>
      </c>
      <c r="Q190" s="20" t="str">
        <f t="shared" si="25"/>
        <v xml:space="preserve"> </v>
      </c>
      <c r="R190" s="20">
        <f t="shared" si="26"/>
        <v>0</v>
      </c>
      <c r="S190" s="20">
        <f t="shared" si="27"/>
        <v>0</v>
      </c>
      <c r="T190" s="20">
        <f t="shared" si="28"/>
        <v>0</v>
      </c>
      <c r="U190" s="20">
        <f>IF($J$2="x",IFERROR(SMALL($O$11:$O$14,180),0),IF($J$3="x",IFERROR(SMALL($O$11:$O$18,180),0),IF($J$4="x",IFERROR(SMALL($O$11:$O$26,180),0),IF($J$5="x",IFERROR(SMALL($O$11:$O$42,180),0),IF($J$6="x",IFERROR(SMALL($O$11:$O$74,180),0),IF($J$7="x",IFERROR(SMALL($O$11:$O$138,180),0),IFERROR(SMALL($O$11:$O$266,180),0)))))))</f>
        <v>1.0102899999999999</v>
      </c>
      <c r="V190" s="20">
        <f t="shared" si="29"/>
        <v>180</v>
      </c>
      <c r="W190" s="20" t="str">
        <f t="shared" si="30"/>
        <v xml:space="preserve"> </v>
      </c>
      <c r="Y190" s="29">
        <v>180</v>
      </c>
      <c r="Z190" s="36" t="str">
        <f t="shared" si="31"/>
        <v xml:space="preserve"> </v>
      </c>
      <c r="AA190" s="35" t="str">
        <f>IFERROR(INDEX(#REF!,MATCH(AB190,#REF!,0))," ")</f>
        <v xml:space="preserve"> </v>
      </c>
      <c r="AB190" s="30">
        <f t="shared" si="32"/>
        <v>0</v>
      </c>
    </row>
    <row r="191" spans="1:28" x14ac:dyDescent="0.25">
      <c r="A191" s="38"/>
      <c r="B191" s="31" t="s">
        <v>215</v>
      </c>
      <c r="C191" s="32" t="str">
        <f>IF('Infos générales'!$E$2="x",IF(A191&gt;0,INDEX(DP!$A$10:$G$265,MATCH(A191,DP!$A$10:$A$265,0),6)," "),IF(A191&gt;0,INDEX(DP!$A$10:$G$265,MATCH(A191,DP!$A$10:$A$265,0),4)," "))</f>
        <v xml:space="preserve"> </v>
      </c>
      <c r="E191" s="39"/>
      <c r="F191" s="33" t="s">
        <v>34</v>
      </c>
      <c r="G191" s="40"/>
      <c r="H191" s="39"/>
      <c r="I191" s="33" t="s">
        <v>34</v>
      </c>
      <c r="J191" s="40"/>
      <c r="K191" s="39"/>
      <c r="L191" s="33" t="s">
        <v>34</v>
      </c>
      <c r="M191" s="40"/>
      <c r="N191" s="34">
        <f t="shared" si="22"/>
        <v>181</v>
      </c>
      <c r="O191" s="20">
        <f t="shared" si="23"/>
        <v>1.0102910000000001</v>
      </c>
      <c r="P191" s="20">
        <f t="shared" si="24"/>
        <v>181</v>
      </c>
      <c r="Q191" s="20" t="str">
        <f t="shared" si="25"/>
        <v xml:space="preserve"> </v>
      </c>
      <c r="R191" s="20">
        <f t="shared" si="26"/>
        <v>0</v>
      </c>
      <c r="S191" s="20">
        <f t="shared" si="27"/>
        <v>0</v>
      </c>
      <c r="T191" s="20">
        <f t="shared" si="28"/>
        <v>0</v>
      </c>
      <c r="U191" s="20">
        <f>IF($J$2="x",IFERROR(SMALL($O$11:$O$14,181),0),IF($J$3="x",IFERROR(SMALL($O$11:$O$18,181),0),IF($J$4="x",IFERROR(SMALL($O$11:$O$26,181),0),IF($J$5="x",IFERROR(SMALL($O$11:$O$42,181),0),IF($J$6="x",IFERROR(SMALL($O$11:$O$74,181),0),IF($J$7="x",IFERROR(SMALL($O$11:$O$138,181),0),IFERROR(SMALL($O$11:$O$266,181),0)))))))</f>
        <v>1.0102910000000001</v>
      </c>
      <c r="V191" s="20">
        <f t="shared" si="29"/>
        <v>181</v>
      </c>
      <c r="W191" s="20" t="str">
        <f t="shared" si="30"/>
        <v xml:space="preserve"> </v>
      </c>
      <c r="Y191" s="29">
        <v>181</v>
      </c>
      <c r="Z191" s="36" t="str">
        <f t="shared" si="31"/>
        <v xml:space="preserve"> </v>
      </c>
      <c r="AA191" s="35" t="str">
        <f>IFERROR(INDEX(#REF!,MATCH(AB191,#REF!,0))," ")</f>
        <v xml:space="preserve"> </v>
      </c>
      <c r="AB191" s="30">
        <f t="shared" si="32"/>
        <v>0</v>
      </c>
    </row>
    <row r="192" spans="1:28" x14ac:dyDescent="0.25">
      <c r="A192" s="38"/>
      <c r="B192" s="31" t="s">
        <v>216</v>
      </c>
      <c r="C192" s="32" t="str">
        <f>IF('Infos générales'!$E$2="x",IF(A192&gt;0,INDEX(DP!$A$10:$G$265,MATCH(A192,DP!$A$10:$A$265,0),6)," "),IF(A192&gt;0,INDEX(DP!$A$10:$G$265,MATCH(A192,DP!$A$10:$A$265,0),4)," "))</f>
        <v xml:space="preserve"> </v>
      </c>
      <c r="E192" s="39"/>
      <c r="F192" s="33" t="s">
        <v>34</v>
      </c>
      <c r="G192" s="40"/>
      <c r="H192" s="39"/>
      <c r="I192" s="33" t="s">
        <v>34</v>
      </c>
      <c r="J192" s="40"/>
      <c r="K192" s="39"/>
      <c r="L192" s="33" t="s">
        <v>34</v>
      </c>
      <c r="M192" s="40"/>
      <c r="N192" s="34">
        <f t="shared" si="22"/>
        <v>182</v>
      </c>
      <c r="O192" s="20">
        <f t="shared" si="23"/>
        <v>1.010292</v>
      </c>
      <c r="P192" s="20">
        <f t="shared" si="24"/>
        <v>182</v>
      </c>
      <c r="Q192" s="20" t="str">
        <f t="shared" si="25"/>
        <v xml:space="preserve"> </v>
      </c>
      <c r="R192" s="20">
        <f t="shared" si="26"/>
        <v>0</v>
      </c>
      <c r="S192" s="20">
        <f t="shared" si="27"/>
        <v>0</v>
      </c>
      <c r="T192" s="20">
        <f t="shared" si="28"/>
        <v>0</v>
      </c>
      <c r="U192" s="20">
        <f>IF($J$2="x",IFERROR(SMALL($O$11:$O$14,182),0),IF($J$3="x",IFERROR(SMALL($O$11:$O$18,182),0),IF($J$4="x",IFERROR(SMALL($O$11:$O$26,182),0),IF($J$5="x",IFERROR(SMALL($O$11:$O$42,182),0),IF($J$6="x",IFERROR(SMALL($O$11:$O$74,182),0),IF($J$7="x",IFERROR(SMALL($O$11:$O$138,182),0),IFERROR(SMALL($O$11:$O$266,182),0)))))))</f>
        <v>1.010292</v>
      </c>
      <c r="V192" s="20">
        <f t="shared" si="29"/>
        <v>182</v>
      </c>
      <c r="W192" s="20" t="str">
        <f t="shared" si="30"/>
        <v xml:space="preserve"> </v>
      </c>
      <c r="Y192" s="29">
        <v>182</v>
      </c>
      <c r="Z192" s="36" t="str">
        <f t="shared" si="31"/>
        <v xml:space="preserve"> </v>
      </c>
      <c r="AA192" s="35" t="str">
        <f>IFERROR(INDEX(#REF!,MATCH(AB192,#REF!,0))," ")</f>
        <v xml:space="preserve"> </v>
      </c>
      <c r="AB192" s="30">
        <f t="shared" si="32"/>
        <v>0</v>
      </c>
    </row>
    <row r="193" spans="1:28" x14ac:dyDescent="0.25">
      <c r="A193" s="38"/>
      <c r="B193" s="31" t="s">
        <v>217</v>
      </c>
      <c r="C193" s="32" t="str">
        <f>IF('Infos générales'!$E$2="x",IF(A193&gt;0,INDEX(DP!$A$10:$G$265,MATCH(A193,DP!$A$10:$A$265,0),6)," "),IF(A193&gt;0,INDEX(DP!$A$10:$G$265,MATCH(A193,DP!$A$10:$A$265,0),4)," "))</f>
        <v xml:space="preserve"> </v>
      </c>
      <c r="E193" s="39"/>
      <c r="F193" s="33" t="s">
        <v>34</v>
      </c>
      <c r="G193" s="40"/>
      <c r="H193" s="39"/>
      <c r="I193" s="33" t="s">
        <v>34</v>
      </c>
      <c r="J193" s="40"/>
      <c r="K193" s="39"/>
      <c r="L193" s="33" t="s">
        <v>34</v>
      </c>
      <c r="M193" s="40"/>
      <c r="N193" s="34">
        <f t="shared" si="22"/>
        <v>183</v>
      </c>
      <c r="O193" s="20">
        <f t="shared" si="23"/>
        <v>1.0102930000000001</v>
      </c>
      <c r="P193" s="20">
        <f t="shared" si="24"/>
        <v>183</v>
      </c>
      <c r="Q193" s="20" t="str">
        <f t="shared" si="25"/>
        <v xml:space="preserve"> </v>
      </c>
      <c r="R193" s="20">
        <f t="shared" si="26"/>
        <v>0</v>
      </c>
      <c r="S193" s="20">
        <f t="shared" si="27"/>
        <v>0</v>
      </c>
      <c r="T193" s="20">
        <f t="shared" si="28"/>
        <v>0</v>
      </c>
      <c r="U193" s="20">
        <f>IF($J$2="x",IFERROR(SMALL($O$11:$O$14,183),0),IF($J$3="x",IFERROR(SMALL($O$11:$O$18,183),0),IF($J$4="x",IFERROR(SMALL($O$11:$O$26,183),0),IF($J$5="x",IFERROR(SMALL($O$11:$O$42,183),0),IF($J$6="x",IFERROR(SMALL($O$11:$O$74,183),0),IF($J$7="x",IFERROR(SMALL($O$11:$O$138,183),0),IFERROR(SMALL($O$11:$O$266,183),0)))))))</f>
        <v>1.0102930000000001</v>
      </c>
      <c r="V193" s="20">
        <f t="shared" si="29"/>
        <v>183</v>
      </c>
      <c r="W193" s="20" t="str">
        <f t="shared" si="30"/>
        <v xml:space="preserve"> </v>
      </c>
      <c r="Y193" s="29">
        <v>183</v>
      </c>
      <c r="Z193" s="36" t="str">
        <f t="shared" si="31"/>
        <v xml:space="preserve"> </v>
      </c>
      <c r="AA193" s="35" t="str">
        <f>IFERROR(INDEX(#REF!,MATCH(AB193,#REF!,0))," ")</f>
        <v xml:space="preserve"> </v>
      </c>
      <c r="AB193" s="30">
        <f t="shared" si="32"/>
        <v>0</v>
      </c>
    </row>
    <row r="194" spans="1:28" x14ac:dyDescent="0.25">
      <c r="A194" s="38"/>
      <c r="B194" s="31" t="s">
        <v>218</v>
      </c>
      <c r="C194" s="32" t="str">
        <f>IF('Infos générales'!$E$2="x",IF(A194&gt;0,INDEX(DP!$A$10:$G$265,MATCH(A194,DP!$A$10:$A$265,0),6)," "),IF(A194&gt;0,INDEX(DP!$A$10:$G$265,MATCH(A194,DP!$A$10:$A$265,0),4)," "))</f>
        <v xml:space="preserve"> </v>
      </c>
      <c r="E194" s="39"/>
      <c r="F194" s="33" t="s">
        <v>34</v>
      </c>
      <c r="G194" s="40"/>
      <c r="H194" s="39"/>
      <c r="I194" s="33" t="s">
        <v>34</v>
      </c>
      <c r="J194" s="40"/>
      <c r="K194" s="39"/>
      <c r="L194" s="33" t="s">
        <v>34</v>
      </c>
      <c r="M194" s="40"/>
      <c r="N194" s="34">
        <f t="shared" si="22"/>
        <v>184</v>
      </c>
      <c r="O194" s="20">
        <f t="shared" si="23"/>
        <v>1.010294</v>
      </c>
      <c r="P194" s="20">
        <f t="shared" si="24"/>
        <v>184</v>
      </c>
      <c r="Q194" s="20" t="str">
        <f t="shared" si="25"/>
        <v xml:space="preserve"> </v>
      </c>
      <c r="R194" s="20">
        <f t="shared" si="26"/>
        <v>0</v>
      </c>
      <c r="S194" s="20">
        <f t="shared" si="27"/>
        <v>0</v>
      </c>
      <c r="T194" s="20">
        <f t="shared" si="28"/>
        <v>0</v>
      </c>
      <c r="U194" s="20">
        <f>IF($J$2="x",IFERROR(SMALL($O$11:$O$14,184),0),IF($J$3="x",IFERROR(SMALL($O$11:$O$18,184),0),IF($J$4="x",IFERROR(SMALL($O$11:$O$26,184),0),IF($J$5="x",IFERROR(SMALL($O$11:$O$42,184),0),IF($J$6="x",IFERROR(SMALL($O$11:$O$74,184),0),IF($J$7="x",IFERROR(SMALL($O$11:$O$138,184),0),IFERROR(SMALL($O$11:$O$266,184),0)))))))</f>
        <v>1.010294</v>
      </c>
      <c r="V194" s="20">
        <f t="shared" si="29"/>
        <v>184</v>
      </c>
      <c r="W194" s="20" t="str">
        <f t="shared" si="30"/>
        <v xml:space="preserve"> </v>
      </c>
      <c r="Y194" s="29">
        <v>184</v>
      </c>
      <c r="Z194" s="36" t="str">
        <f t="shared" si="31"/>
        <v xml:space="preserve"> </v>
      </c>
      <c r="AA194" s="35" t="str">
        <f>IFERROR(INDEX(#REF!,MATCH(AB194,#REF!,0))," ")</f>
        <v xml:space="preserve"> </v>
      </c>
      <c r="AB194" s="30">
        <f t="shared" si="32"/>
        <v>0</v>
      </c>
    </row>
    <row r="195" spans="1:28" x14ac:dyDescent="0.25">
      <c r="A195" s="38"/>
      <c r="B195" s="31" t="s">
        <v>219</v>
      </c>
      <c r="C195" s="32" t="str">
        <f>IF('Infos générales'!$E$2="x",IF(A195&gt;0,INDEX(DP!$A$10:$G$265,MATCH(A195,DP!$A$10:$A$265,0),6)," "),IF(A195&gt;0,INDEX(DP!$A$10:$G$265,MATCH(A195,DP!$A$10:$A$265,0),4)," "))</f>
        <v xml:space="preserve"> </v>
      </c>
      <c r="E195" s="39"/>
      <c r="F195" s="33" t="s">
        <v>34</v>
      </c>
      <c r="G195" s="40"/>
      <c r="H195" s="39"/>
      <c r="I195" s="33" t="s">
        <v>34</v>
      </c>
      <c r="J195" s="40"/>
      <c r="K195" s="39"/>
      <c r="L195" s="33" t="s">
        <v>34</v>
      </c>
      <c r="M195" s="40"/>
      <c r="N195" s="34">
        <f t="shared" si="22"/>
        <v>185</v>
      </c>
      <c r="O195" s="20">
        <f t="shared" si="23"/>
        <v>1.0102949999999999</v>
      </c>
      <c r="P195" s="20">
        <f t="shared" si="24"/>
        <v>185</v>
      </c>
      <c r="Q195" s="20" t="str">
        <f t="shared" si="25"/>
        <v xml:space="preserve"> </v>
      </c>
      <c r="R195" s="20">
        <f t="shared" si="26"/>
        <v>0</v>
      </c>
      <c r="S195" s="20">
        <f t="shared" si="27"/>
        <v>0</v>
      </c>
      <c r="T195" s="20">
        <f t="shared" si="28"/>
        <v>0</v>
      </c>
      <c r="U195" s="20">
        <f>IF($J$2="x",IFERROR(SMALL($O$11:$O$14,185),0),IF($J$3="x",IFERROR(SMALL($O$11:$O$18,185),0),IF($J$4="x",IFERROR(SMALL($O$11:$O$26,185),0),IF($J$5="x",IFERROR(SMALL($O$11:$O$42,185),0),IF($J$6="x",IFERROR(SMALL($O$11:$O$74,185),0),IF($J$7="x",IFERROR(SMALL($O$11:$O$138,185),0),IFERROR(SMALL($O$11:$O$266,185),0)))))))</f>
        <v>1.0102949999999999</v>
      </c>
      <c r="V195" s="20">
        <f t="shared" si="29"/>
        <v>185</v>
      </c>
      <c r="W195" s="20" t="str">
        <f t="shared" si="30"/>
        <v xml:space="preserve"> </v>
      </c>
      <c r="Y195" s="29">
        <v>185</v>
      </c>
      <c r="Z195" s="36" t="str">
        <f t="shared" si="31"/>
        <v xml:space="preserve"> </v>
      </c>
      <c r="AA195" s="35" t="str">
        <f>IFERROR(INDEX(#REF!,MATCH(AB195,#REF!,0))," ")</f>
        <v xml:space="preserve"> </v>
      </c>
      <c r="AB195" s="30">
        <f t="shared" si="32"/>
        <v>0</v>
      </c>
    </row>
    <row r="196" spans="1:28" x14ac:dyDescent="0.25">
      <c r="A196" s="38"/>
      <c r="B196" s="31" t="s">
        <v>220</v>
      </c>
      <c r="C196" s="32" t="str">
        <f>IF('Infos générales'!$E$2="x",IF(A196&gt;0,INDEX(DP!$A$10:$G$265,MATCH(A196,DP!$A$10:$A$265,0),6)," "),IF(A196&gt;0,INDEX(DP!$A$10:$G$265,MATCH(A196,DP!$A$10:$A$265,0),4)," "))</f>
        <v xml:space="preserve"> </v>
      </c>
      <c r="E196" s="39"/>
      <c r="F196" s="33" t="s">
        <v>34</v>
      </c>
      <c r="G196" s="40"/>
      <c r="H196" s="39"/>
      <c r="I196" s="33" t="s">
        <v>34</v>
      </c>
      <c r="J196" s="40"/>
      <c r="K196" s="39"/>
      <c r="L196" s="33" t="s">
        <v>34</v>
      </c>
      <c r="M196" s="40"/>
      <c r="N196" s="34">
        <f t="shared" si="22"/>
        <v>186</v>
      </c>
      <c r="O196" s="20">
        <f t="shared" si="23"/>
        <v>1.0102960000000001</v>
      </c>
      <c r="P196" s="20">
        <f t="shared" si="24"/>
        <v>186</v>
      </c>
      <c r="Q196" s="20" t="str">
        <f t="shared" si="25"/>
        <v xml:space="preserve"> </v>
      </c>
      <c r="R196" s="20">
        <f t="shared" si="26"/>
        <v>0</v>
      </c>
      <c r="S196" s="20">
        <f t="shared" si="27"/>
        <v>0</v>
      </c>
      <c r="T196" s="20">
        <f t="shared" si="28"/>
        <v>0</v>
      </c>
      <c r="U196" s="20">
        <f>IF($J$2="x",IFERROR(SMALL($O$11:$O$14,186),0),IF($J$3="x",IFERROR(SMALL($O$11:$O$18,186),0),IF($J$4="x",IFERROR(SMALL($O$11:$O$26,186),0),IF($J$5="x",IFERROR(SMALL($O$11:$O$42,186),0),IF($J$6="x",IFERROR(SMALL($O$11:$O$74,186),0),IF($J$7="x",IFERROR(SMALL($O$11:$O$138,186),0),IFERROR(SMALL($O$11:$O$266,186),0)))))))</f>
        <v>1.0102960000000001</v>
      </c>
      <c r="V196" s="20">
        <f t="shared" si="29"/>
        <v>186</v>
      </c>
      <c r="W196" s="20" t="str">
        <f t="shared" si="30"/>
        <v xml:space="preserve"> </v>
      </c>
      <c r="Y196" s="29">
        <v>186</v>
      </c>
      <c r="Z196" s="36" t="str">
        <f t="shared" si="31"/>
        <v xml:space="preserve"> </v>
      </c>
      <c r="AA196" s="35" t="str">
        <f>IFERROR(INDEX(#REF!,MATCH(AB196,#REF!,0))," ")</f>
        <v xml:space="preserve"> </v>
      </c>
      <c r="AB196" s="30">
        <f t="shared" si="32"/>
        <v>0</v>
      </c>
    </row>
    <row r="197" spans="1:28" x14ac:dyDescent="0.25">
      <c r="A197" s="38"/>
      <c r="B197" s="31" t="s">
        <v>221</v>
      </c>
      <c r="C197" s="32" t="str">
        <f>IF('Infos générales'!$E$2="x",IF(A197&gt;0,INDEX(DP!$A$10:$G$265,MATCH(A197,DP!$A$10:$A$265,0),6)," "),IF(A197&gt;0,INDEX(DP!$A$10:$G$265,MATCH(A197,DP!$A$10:$A$265,0),4)," "))</f>
        <v xml:space="preserve"> </v>
      </c>
      <c r="E197" s="39"/>
      <c r="F197" s="33" t="s">
        <v>34</v>
      </c>
      <c r="G197" s="40"/>
      <c r="H197" s="39"/>
      <c r="I197" s="33" t="s">
        <v>34</v>
      </c>
      <c r="J197" s="40"/>
      <c r="K197" s="39"/>
      <c r="L197" s="33" t="s">
        <v>34</v>
      </c>
      <c r="M197" s="40"/>
      <c r="N197" s="34">
        <f t="shared" si="22"/>
        <v>187</v>
      </c>
      <c r="O197" s="20">
        <f t="shared" si="23"/>
        <v>1.010297</v>
      </c>
      <c r="P197" s="20">
        <f t="shared" si="24"/>
        <v>187</v>
      </c>
      <c r="Q197" s="20" t="str">
        <f t="shared" si="25"/>
        <v xml:space="preserve"> </v>
      </c>
      <c r="R197" s="20">
        <f t="shared" si="26"/>
        <v>0</v>
      </c>
      <c r="S197" s="20">
        <f t="shared" si="27"/>
        <v>0</v>
      </c>
      <c r="T197" s="20">
        <f t="shared" si="28"/>
        <v>0</v>
      </c>
      <c r="U197" s="20">
        <f>IF($J$2="x",IFERROR(SMALL($O$11:$O$14,187),0),IF($J$3="x",IFERROR(SMALL($O$11:$O$18,187),0),IF($J$4="x",IFERROR(SMALL($O$11:$O$26,187),0),IF($J$5="x",IFERROR(SMALL($O$11:$O$42,187),0),IF($J$6="x",IFERROR(SMALL($O$11:$O$74,187),0),IF($J$7="x",IFERROR(SMALL($O$11:$O$138,187),0),IFERROR(SMALL($O$11:$O$266,187),0)))))))</f>
        <v>1.010297</v>
      </c>
      <c r="V197" s="20">
        <f t="shared" si="29"/>
        <v>187</v>
      </c>
      <c r="W197" s="20" t="str">
        <f t="shared" si="30"/>
        <v xml:space="preserve"> </v>
      </c>
      <c r="Y197" s="29">
        <v>187</v>
      </c>
      <c r="Z197" s="36" t="str">
        <f t="shared" si="31"/>
        <v xml:space="preserve"> </v>
      </c>
      <c r="AA197" s="35" t="str">
        <f>IFERROR(INDEX(#REF!,MATCH(AB197,#REF!,0))," ")</f>
        <v xml:space="preserve"> </v>
      </c>
      <c r="AB197" s="30">
        <f t="shared" si="32"/>
        <v>0</v>
      </c>
    </row>
    <row r="198" spans="1:28" x14ac:dyDescent="0.25">
      <c r="A198" s="38"/>
      <c r="B198" s="31" t="s">
        <v>222</v>
      </c>
      <c r="C198" s="32" t="str">
        <f>IF('Infos générales'!$E$2="x",IF(A198&gt;0,INDEX(DP!$A$10:$G$265,MATCH(A198,DP!$A$10:$A$265,0),6)," "),IF(A198&gt;0,INDEX(DP!$A$10:$G$265,MATCH(A198,DP!$A$10:$A$265,0),4)," "))</f>
        <v xml:space="preserve"> </v>
      </c>
      <c r="E198" s="39"/>
      <c r="F198" s="33" t="s">
        <v>34</v>
      </c>
      <c r="G198" s="40"/>
      <c r="H198" s="39"/>
      <c r="I198" s="33" t="s">
        <v>34</v>
      </c>
      <c r="J198" s="40"/>
      <c r="K198" s="39"/>
      <c r="L198" s="33" t="s">
        <v>34</v>
      </c>
      <c r="M198" s="40"/>
      <c r="N198" s="34">
        <f t="shared" si="22"/>
        <v>188</v>
      </c>
      <c r="O198" s="20">
        <f t="shared" si="23"/>
        <v>1.0102979999999999</v>
      </c>
      <c r="P198" s="20">
        <f t="shared" si="24"/>
        <v>188</v>
      </c>
      <c r="Q198" s="20" t="str">
        <f t="shared" si="25"/>
        <v xml:space="preserve"> </v>
      </c>
      <c r="R198" s="20">
        <f t="shared" si="26"/>
        <v>0</v>
      </c>
      <c r="S198" s="20">
        <f t="shared" si="27"/>
        <v>0</v>
      </c>
      <c r="T198" s="20">
        <f t="shared" si="28"/>
        <v>0</v>
      </c>
      <c r="U198" s="20">
        <f>IF($J$2="x",IFERROR(SMALL($O$11:$O$14,188),0),IF($J$3="x",IFERROR(SMALL($O$11:$O$18,188),0),IF($J$4="x",IFERROR(SMALL($O$11:$O$26,188),0),IF($J$5="x",IFERROR(SMALL($O$11:$O$42,188),0),IF($J$6="x",IFERROR(SMALL($O$11:$O$74,188),0),IF($J$7="x",IFERROR(SMALL($O$11:$O$138,188),0),IFERROR(SMALL($O$11:$O$266,188),0)))))))</f>
        <v>1.0102979999999999</v>
      </c>
      <c r="V198" s="20">
        <f t="shared" si="29"/>
        <v>188</v>
      </c>
      <c r="W198" s="20" t="str">
        <f t="shared" si="30"/>
        <v xml:space="preserve"> </v>
      </c>
      <c r="Y198" s="29">
        <v>188</v>
      </c>
      <c r="Z198" s="36" t="str">
        <f t="shared" si="31"/>
        <v xml:space="preserve"> </v>
      </c>
      <c r="AA198" s="35" t="str">
        <f>IFERROR(INDEX(#REF!,MATCH(AB198,#REF!,0))," ")</f>
        <v xml:space="preserve"> </v>
      </c>
      <c r="AB198" s="30">
        <f t="shared" si="32"/>
        <v>0</v>
      </c>
    </row>
    <row r="199" spans="1:28" x14ac:dyDescent="0.25">
      <c r="A199" s="38"/>
      <c r="B199" s="31" t="s">
        <v>223</v>
      </c>
      <c r="C199" s="32" t="str">
        <f>IF('Infos générales'!$E$2="x",IF(A199&gt;0,INDEX(DP!$A$10:$G$265,MATCH(A199,DP!$A$10:$A$265,0),6)," "),IF(A199&gt;0,INDEX(DP!$A$10:$G$265,MATCH(A199,DP!$A$10:$A$265,0),4)," "))</f>
        <v xml:space="preserve"> </v>
      </c>
      <c r="E199" s="39"/>
      <c r="F199" s="33" t="s">
        <v>34</v>
      </c>
      <c r="G199" s="40"/>
      <c r="H199" s="39"/>
      <c r="I199" s="33" t="s">
        <v>34</v>
      </c>
      <c r="J199" s="40"/>
      <c r="K199" s="39"/>
      <c r="L199" s="33" t="s">
        <v>34</v>
      </c>
      <c r="M199" s="40"/>
      <c r="N199" s="34">
        <f t="shared" si="22"/>
        <v>189</v>
      </c>
      <c r="O199" s="20">
        <f t="shared" si="23"/>
        <v>1.0102990000000001</v>
      </c>
      <c r="P199" s="20">
        <f t="shared" si="24"/>
        <v>189</v>
      </c>
      <c r="Q199" s="20" t="str">
        <f t="shared" si="25"/>
        <v xml:space="preserve"> </v>
      </c>
      <c r="R199" s="20">
        <f t="shared" si="26"/>
        <v>0</v>
      </c>
      <c r="S199" s="20">
        <f t="shared" si="27"/>
        <v>0</v>
      </c>
      <c r="T199" s="20">
        <f t="shared" si="28"/>
        <v>0</v>
      </c>
      <c r="U199" s="20">
        <f>IF($J$2="x",IFERROR(SMALL($O$11:$O$14,189),0),IF($J$3="x",IFERROR(SMALL($O$11:$O$18,189),0),IF($J$4="x",IFERROR(SMALL($O$11:$O$26,189),0),IF($J$5="x",IFERROR(SMALL($O$11:$O$42,189),0),IF($J$6="x",IFERROR(SMALL($O$11:$O$74,189),0),IF($J$7="x",IFERROR(SMALL($O$11:$O$138,189),0),IFERROR(SMALL($O$11:$O$266,189),0)))))))</f>
        <v>1.0102990000000001</v>
      </c>
      <c r="V199" s="20">
        <f t="shared" si="29"/>
        <v>189</v>
      </c>
      <c r="W199" s="20" t="str">
        <f t="shared" si="30"/>
        <v xml:space="preserve"> </v>
      </c>
      <c r="Y199" s="29">
        <v>189</v>
      </c>
      <c r="Z199" s="36" t="str">
        <f t="shared" si="31"/>
        <v xml:space="preserve"> </v>
      </c>
      <c r="AA199" s="35" t="str">
        <f>IFERROR(INDEX(#REF!,MATCH(AB199,#REF!,0))," ")</f>
        <v xml:space="preserve"> </v>
      </c>
      <c r="AB199" s="30">
        <f t="shared" si="32"/>
        <v>0</v>
      </c>
    </row>
    <row r="200" spans="1:28" x14ac:dyDescent="0.25">
      <c r="A200" s="38"/>
      <c r="B200" s="31" t="s">
        <v>224</v>
      </c>
      <c r="C200" s="32" t="str">
        <f>IF('Infos générales'!$E$2="x",IF(A200&gt;0,INDEX(DP!$A$10:$G$265,MATCH(A200,DP!$A$10:$A$265,0),6)," "),IF(A200&gt;0,INDEX(DP!$A$10:$G$265,MATCH(A200,DP!$A$10:$A$265,0),4)," "))</f>
        <v xml:space="preserve"> </v>
      </c>
      <c r="E200" s="39"/>
      <c r="F200" s="33" t="s">
        <v>34</v>
      </c>
      <c r="G200" s="40"/>
      <c r="H200" s="39"/>
      <c r="I200" s="33" t="s">
        <v>34</v>
      </c>
      <c r="J200" s="40"/>
      <c r="K200" s="39"/>
      <c r="L200" s="33" t="s">
        <v>34</v>
      </c>
      <c r="M200" s="40"/>
      <c r="N200" s="34">
        <f t="shared" si="22"/>
        <v>190</v>
      </c>
      <c r="O200" s="20">
        <f t="shared" si="23"/>
        <v>1.0103</v>
      </c>
      <c r="P200" s="20">
        <f t="shared" si="24"/>
        <v>190</v>
      </c>
      <c r="Q200" s="20" t="str">
        <f t="shared" si="25"/>
        <v xml:space="preserve"> </v>
      </c>
      <c r="R200" s="20">
        <f t="shared" si="26"/>
        <v>0</v>
      </c>
      <c r="S200" s="20">
        <f t="shared" si="27"/>
        <v>0</v>
      </c>
      <c r="T200" s="20">
        <f t="shared" si="28"/>
        <v>0</v>
      </c>
      <c r="U200" s="20">
        <f>IF($J$2="x",IFERROR(SMALL($O$11:$O$14,190),0),IF($J$3="x",IFERROR(SMALL($O$11:$O$18,190),0),IF($J$4="x",IFERROR(SMALL($O$11:$O$26,190),0),IF($J$5="x",IFERROR(SMALL($O$11:$O$42,190),0),IF($J$6="x",IFERROR(SMALL($O$11:$O$74,190),0),IF($J$7="x",IFERROR(SMALL($O$11:$O$138,190),0),IFERROR(SMALL($O$11:$O$266,190),0)))))))</f>
        <v>1.0103</v>
      </c>
      <c r="V200" s="20">
        <f t="shared" si="29"/>
        <v>190</v>
      </c>
      <c r="W200" s="20" t="str">
        <f t="shared" si="30"/>
        <v xml:space="preserve"> </v>
      </c>
      <c r="Y200" s="29">
        <v>190</v>
      </c>
      <c r="Z200" s="36" t="str">
        <f t="shared" si="31"/>
        <v xml:space="preserve"> </v>
      </c>
      <c r="AA200" s="35" t="str">
        <f>IFERROR(INDEX(#REF!,MATCH(AB200,#REF!,0))," ")</f>
        <v xml:space="preserve"> </v>
      </c>
      <c r="AB200" s="30">
        <f t="shared" si="32"/>
        <v>0</v>
      </c>
    </row>
    <row r="201" spans="1:28" x14ac:dyDescent="0.25">
      <c r="A201" s="38"/>
      <c r="B201" s="31" t="s">
        <v>225</v>
      </c>
      <c r="C201" s="32" t="str">
        <f>IF('Infos générales'!$E$2="x",IF(A201&gt;0,INDEX(DP!$A$10:$G$265,MATCH(A201,DP!$A$10:$A$265,0),6)," "),IF(A201&gt;0,INDEX(DP!$A$10:$G$265,MATCH(A201,DP!$A$10:$A$265,0),4)," "))</f>
        <v xml:space="preserve"> </v>
      </c>
      <c r="E201" s="39"/>
      <c r="F201" s="33" t="s">
        <v>34</v>
      </c>
      <c r="G201" s="40"/>
      <c r="H201" s="39"/>
      <c r="I201" s="33" t="s">
        <v>34</v>
      </c>
      <c r="J201" s="40"/>
      <c r="K201" s="39"/>
      <c r="L201" s="33" t="s">
        <v>34</v>
      </c>
      <c r="M201" s="40"/>
      <c r="N201" s="34">
        <f t="shared" si="22"/>
        <v>191</v>
      </c>
      <c r="O201" s="20">
        <f t="shared" si="23"/>
        <v>1.0103009999999999</v>
      </c>
      <c r="P201" s="20">
        <f t="shared" si="24"/>
        <v>191</v>
      </c>
      <c r="Q201" s="20" t="str">
        <f t="shared" si="25"/>
        <v xml:space="preserve"> </v>
      </c>
      <c r="R201" s="20">
        <f t="shared" si="26"/>
        <v>0</v>
      </c>
      <c r="S201" s="20">
        <f t="shared" si="27"/>
        <v>0</v>
      </c>
      <c r="T201" s="20">
        <f t="shared" si="28"/>
        <v>0</v>
      </c>
      <c r="U201" s="20">
        <f>IF($J$2="x",IFERROR(SMALL($O$11:$O$14,191),0),IF($J$3="x",IFERROR(SMALL($O$11:$O$18,191),0),IF($J$4="x",IFERROR(SMALL($O$11:$O$26,191),0),IF($J$5="x",IFERROR(SMALL($O$11:$O$42,191),0),IF($J$6="x",IFERROR(SMALL($O$11:$O$74,191),0),IF($J$7="x",IFERROR(SMALL($O$11:$O$138,191),0),IFERROR(SMALL($O$11:$O$266,191),0)))))))</f>
        <v>1.0103009999999999</v>
      </c>
      <c r="V201" s="20">
        <f t="shared" si="29"/>
        <v>191</v>
      </c>
      <c r="W201" s="20" t="str">
        <f t="shared" si="30"/>
        <v xml:space="preserve"> </v>
      </c>
      <c r="Y201" s="29">
        <v>191</v>
      </c>
      <c r="Z201" s="36" t="str">
        <f t="shared" si="31"/>
        <v xml:space="preserve"> </v>
      </c>
      <c r="AA201" s="35" t="str">
        <f>IFERROR(INDEX(#REF!,MATCH(AB201,#REF!,0))," ")</f>
        <v xml:space="preserve"> </v>
      </c>
      <c r="AB201" s="30">
        <f t="shared" si="32"/>
        <v>0</v>
      </c>
    </row>
    <row r="202" spans="1:28" x14ac:dyDescent="0.25">
      <c r="A202" s="38"/>
      <c r="B202" s="31" t="s">
        <v>226</v>
      </c>
      <c r="C202" s="32" t="str">
        <f>IF('Infos générales'!$E$2="x",IF(A202&gt;0,INDEX(DP!$A$10:$G$265,MATCH(A202,DP!$A$10:$A$265,0),6)," "),IF(A202&gt;0,INDEX(DP!$A$10:$G$265,MATCH(A202,DP!$A$10:$A$265,0),4)," "))</f>
        <v xml:space="preserve"> </v>
      </c>
      <c r="E202" s="39"/>
      <c r="F202" s="33" t="s">
        <v>34</v>
      </c>
      <c r="G202" s="40"/>
      <c r="H202" s="39"/>
      <c r="I202" s="33" t="s">
        <v>34</v>
      </c>
      <c r="J202" s="40"/>
      <c r="K202" s="39"/>
      <c r="L202" s="33" t="s">
        <v>34</v>
      </c>
      <c r="M202" s="40"/>
      <c r="N202" s="34">
        <f t="shared" si="22"/>
        <v>192</v>
      </c>
      <c r="O202" s="20">
        <f t="shared" si="23"/>
        <v>1.010302</v>
      </c>
      <c r="P202" s="20">
        <f t="shared" si="24"/>
        <v>192</v>
      </c>
      <c r="Q202" s="20" t="str">
        <f t="shared" si="25"/>
        <v xml:space="preserve"> </v>
      </c>
      <c r="R202" s="20">
        <f t="shared" si="26"/>
        <v>0</v>
      </c>
      <c r="S202" s="20">
        <f t="shared" si="27"/>
        <v>0</v>
      </c>
      <c r="T202" s="20">
        <f t="shared" si="28"/>
        <v>0</v>
      </c>
      <c r="U202" s="20">
        <f>IF($J$2="x",IFERROR(SMALL($O$11:$O$14,192),0),IF($J$3="x",IFERROR(SMALL($O$11:$O$18,192),0),IF($J$4="x",IFERROR(SMALL($O$11:$O$26,192),0),IF($J$5="x",IFERROR(SMALL($O$11:$O$42,192),0),IF($J$6="x",IFERROR(SMALL($O$11:$O$74,192),0),IF($J$7="x",IFERROR(SMALL($O$11:$O$138,192),0),IFERROR(SMALL($O$11:$O$266,192),0)))))))</f>
        <v>1.010302</v>
      </c>
      <c r="V202" s="20">
        <f t="shared" si="29"/>
        <v>192</v>
      </c>
      <c r="W202" s="20" t="str">
        <f t="shared" si="30"/>
        <v xml:space="preserve"> </v>
      </c>
      <c r="Y202" s="29">
        <v>192</v>
      </c>
      <c r="Z202" s="36" t="str">
        <f t="shared" si="31"/>
        <v xml:space="preserve"> </v>
      </c>
      <c r="AA202" s="35" t="str">
        <f>IFERROR(INDEX(#REF!,MATCH(AB202,#REF!,0))," ")</f>
        <v xml:space="preserve"> </v>
      </c>
      <c r="AB202" s="30">
        <f t="shared" si="32"/>
        <v>0</v>
      </c>
    </row>
    <row r="203" spans="1:28" x14ac:dyDescent="0.25">
      <c r="A203" s="38"/>
      <c r="B203" s="31" t="s">
        <v>227</v>
      </c>
      <c r="C203" s="32" t="str">
        <f>IF('Infos générales'!$E$2="x",IF(A203&gt;0,INDEX(DP!$A$10:$G$265,MATCH(A203,DP!$A$10:$A$265,0),6)," "),IF(A203&gt;0,INDEX(DP!$A$10:$G$265,MATCH(A203,DP!$A$10:$A$265,0),4)," "))</f>
        <v xml:space="preserve"> </v>
      </c>
      <c r="E203" s="39"/>
      <c r="F203" s="33" t="s">
        <v>34</v>
      </c>
      <c r="G203" s="40"/>
      <c r="H203" s="39"/>
      <c r="I203" s="33" t="s">
        <v>34</v>
      </c>
      <c r="J203" s="40"/>
      <c r="K203" s="39"/>
      <c r="L203" s="33" t="s">
        <v>34</v>
      </c>
      <c r="M203" s="40"/>
      <c r="N203" s="34">
        <f t="shared" ref="N203:N266" si="33">IF($J$2="x",IFERROR(IF(O203="","",RANK(O203,$O$11:$O$14,1)),0),IF($J$3="x",IFERROR(IF(O203="","",RANK(O203,$O$11:$O$18,1)),0),IF($J$4="x",IFERROR(IF(O203="","",RANK(O203,$O$11:$O$26,1)),0),IF($J$5="x",IFERROR(IF(O203="","",RANK(O203,$O$11:$O$42,1)),0),IF($J$6="x",IFERROR(IF(O203="","",RANK(O203,$O$11:$O$74,1)),0),IF($J$7="x",IFERROR(IF(O203="","",RANK(O203,$O$11:$O$138,1)),0),IFERROR(IF(O203="","",RANK(O203,$O$11:$O$266,1)),0)))))))</f>
        <v>193</v>
      </c>
      <c r="O203" s="20">
        <f t="shared" ref="O203:O266" si="34">IF($J$2="x",(IFERROR(IF(C203="","-",RANK(R203,$R$11:$R$14,0)+RANK(S203,$S$11:$S$14,0)%+RANK(T203,$T$11:$T$14,0)%%+ROW()%%%),"-")),IF($J$3="x",(IFERROR(IF(C203="","-",RANK(R203,$R$11:$R$18,0)+RANK(S203,$S$11:$S$18,0)%+RANK(T203,$T$11:$T$18,0)%%+ROW()%%%),"-")),IF($J$4="x",(IFERROR(IF(C203="","-",RANK(R203,$R$11:$R$26,0)+RANK(S203,$S$11:$S$26,0)%+RANK(T203,$T$11:$T$26,0)%%+ROW()%%%),"-")),IF($J$5="x",(IFERROR(IF(C203="","-",RANK(R203,$R$11:$R$42,0)+RANK(S203,$S$11:$S$42,0)%+RANK(T203,$T$11:$T$42,0)%%+ROW()%%%),"-")),IF($J$6="x",(IFERROR(IF(C203="","-",RANK(R203,$R$11:$R$74,0)+RANK(S203,$S$11:$S$74,0)%+RANK(T203,$T$11:$T$74,0)%%+ROW()%%%),"-")),IF($J$7="x",(IFERROR(IF(C203="","-",RANK(R203,$R$11:$R$138,0)+RANK(S203,$S$11:$S$138,0)%+RANK(T203,$T$11:$T$138,0)%%+ROW()%%%),"-")),(IFERROR(IF(C203="","-",RANK(R203,$R$11:$R$266,0)+RANK(S203,$S$11:$S$266,0)%+RANK(T203,$T$11:$T$266,0)%%+ROW()%%%),"-"))))))))</f>
        <v>1.010303</v>
      </c>
      <c r="P203" s="20">
        <f t="shared" ref="P203:P266" si="35">IF($J$2="x",IFERROR(IF(O203="","",RANK(O203,$O$11:$O$14,1)),"-"),IF($J$3="x",IFERROR(IF(O203="","",RANK(O203,$O$11:$O$18,1)),"-"),IF($J$4="x",IFERROR(IF(O203="","",RANK(O203,$O$11:$O$26,1)),"-"),IF($J$5="x",IFERROR(IF(O203="","",RANK(O203,$O$11:$O$42,1)),"-"),IF($J$6="x",IFERROR(IF(O203="","",RANK(O203,$O$11:$O$74,1)),"-"),IF($J$7="x",IFERROR(IF(O203="","",RANK(O203,$O$11:$O$138,1)),"-"),IFERROR(IF(O203="","",RANK(O203,$O$11:$O$266,1)),"-")))))))</f>
        <v>193</v>
      </c>
      <c r="Q203" s="20" t="str">
        <f t="shared" ref="Q203:Q266" si="36">C203</f>
        <v xml:space="preserve"> </v>
      </c>
      <c r="R203" s="20">
        <f t="shared" ref="R203:R266" si="37">SUM(E203-G203)</f>
        <v>0</v>
      </c>
      <c r="S203" s="20">
        <f t="shared" ref="S203:S266" si="38">SUM(H203-J203)</f>
        <v>0</v>
      </c>
      <c r="T203" s="20">
        <f t="shared" ref="T203:T266" si="39">SUM(K203-M203)</f>
        <v>0</v>
      </c>
      <c r="U203" s="20">
        <f>IF($J$2="x",IFERROR(SMALL($O$11:$O$14,193),0),IF($J$3="x",IFERROR(SMALL($O$11:$O$18,193),0),IF($J$4="x",IFERROR(SMALL($O$11:$O$26,193),0),IF($J$5="x",IFERROR(SMALL($O$11:$O$42,193),0),IF($J$6="x",IFERROR(SMALL($O$11:$O$74,193),0),IF($J$7="x",IFERROR(SMALL($O$11:$O$138,193),0),IFERROR(SMALL($O$11:$O$266,193),0)))))))</f>
        <v>1.010303</v>
      </c>
      <c r="V203" s="20">
        <f t="shared" ref="V203:V266" si="40">IF($J$2="x",IFERROR(IF(U203="","",RANK(U203,$U$11:$U$14,1)),0),IF($J$3="x",IFERROR(IF(U203="","",RANK(U203,$U$11:$U$18,1)),0),IF($J$4="x",IFERROR(IF(U203="","",RANK(U203,$U$11:$U$26,1)),0),IF($J$5="x",IFERROR(IF(U203="","",RANK(U203,$U$11:$U$42,1)),0),IF($J$6="x",IFERROR(IF(U203="","",RANK(U203,$U$11:$U$74,1)),0),IF($J$7="x",IFERROR(IF(U203="","",RANK(U203,$U$11:$U$138,1)),0),IFERROR(IF(U203="","",RANK(U203,$U$11:$U$266,1)),0)))))))</f>
        <v>193</v>
      </c>
      <c r="W203" s="20" t="str">
        <f t="shared" ref="W203:W266" si="41">IF($J$2="x",IFERROR(INDEX($Q$11:$Q$14,MATCH(U203,$O$11:$O$14,0),1),0),IF($J$3="x",IFERROR(INDEX($Q$11:$Q$18,MATCH(U203,$O$11:$O$18,0),1),0),IF($J$4="x",IFERROR(INDEX($Q$11:$Q$26,MATCH(U203,$O$11:$O$26,0),1),0),IF($J$5="x",IFERROR(INDEX($Q$11:$Q$42,MATCH(U203,$O$11:$O$42,0),1),0),IF($J$6="x",IFERROR(INDEX($Q$11:$Q$74,MATCH(U203,$O$11:$O$74,0),1),0),IF($J$7="x",IFERROR(INDEX($Q$11:$Q$138,MATCH(U203,$O$11:$O$138,0),1),0),IFERROR(INDEX($Q$11:$Q$266,MATCH(U203,$O$11:$O$266,0),1),0)))))))</f>
        <v xml:space="preserve"> </v>
      </c>
      <c r="Y203" s="29">
        <v>193</v>
      </c>
      <c r="Z203" s="36" t="str">
        <f t="shared" ref="Z203:Z266" si="42">W203</f>
        <v xml:space="preserve"> </v>
      </c>
      <c r="AA203" s="35" t="str">
        <f>IFERROR(INDEX(#REF!,MATCH(AB203,#REF!,0))," ")</f>
        <v xml:space="preserve"> </v>
      </c>
      <c r="AB203" s="30">
        <f t="shared" ref="AB203:AB266" si="43">IFERROR(INDEX($A$11:$A$266,MATCH(Z203,$C$11:$C$266,0)),0)</f>
        <v>0</v>
      </c>
    </row>
    <row r="204" spans="1:28" x14ac:dyDescent="0.25">
      <c r="A204" s="38"/>
      <c r="B204" s="31" t="s">
        <v>228</v>
      </c>
      <c r="C204" s="32" t="str">
        <f>IF('Infos générales'!$E$2="x",IF(A204&gt;0,INDEX(DP!$A$10:$G$265,MATCH(A204,DP!$A$10:$A$265,0),6)," "),IF(A204&gt;0,INDEX(DP!$A$10:$G$265,MATCH(A204,DP!$A$10:$A$265,0),4)," "))</f>
        <v xml:space="preserve"> </v>
      </c>
      <c r="E204" s="39"/>
      <c r="F204" s="33" t="s">
        <v>34</v>
      </c>
      <c r="G204" s="40"/>
      <c r="H204" s="39"/>
      <c r="I204" s="33" t="s">
        <v>34</v>
      </c>
      <c r="J204" s="40"/>
      <c r="K204" s="39"/>
      <c r="L204" s="33" t="s">
        <v>34</v>
      </c>
      <c r="M204" s="40"/>
      <c r="N204" s="34">
        <f t="shared" si="33"/>
        <v>194</v>
      </c>
      <c r="O204" s="20">
        <f t="shared" si="34"/>
        <v>1.0103040000000001</v>
      </c>
      <c r="P204" s="20">
        <f t="shared" si="35"/>
        <v>194</v>
      </c>
      <c r="Q204" s="20" t="str">
        <f t="shared" si="36"/>
        <v xml:space="preserve"> </v>
      </c>
      <c r="R204" s="20">
        <f t="shared" si="37"/>
        <v>0</v>
      </c>
      <c r="S204" s="20">
        <f t="shared" si="38"/>
        <v>0</v>
      </c>
      <c r="T204" s="20">
        <f t="shared" si="39"/>
        <v>0</v>
      </c>
      <c r="U204" s="20">
        <f>IF($J$2="x",IFERROR(SMALL($O$11:$O$14,194),0),IF($J$3="x",IFERROR(SMALL($O$11:$O$18,194),0),IF($J$4="x",IFERROR(SMALL($O$11:$O$26,194),0),IF($J$5="x",IFERROR(SMALL($O$11:$O$42,194),0),IF($J$6="x",IFERROR(SMALL($O$11:$O$74,194),0),IF($J$7="x",IFERROR(SMALL($O$11:$O$138,194),0),IFERROR(SMALL($O$11:$O$266,194),0)))))))</f>
        <v>1.0103040000000001</v>
      </c>
      <c r="V204" s="20">
        <f t="shared" si="40"/>
        <v>194</v>
      </c>
      <c r="W204" s="20" t="str">
        <f t="shared" si="41"/>
        <v xml:space="preserve"> </v>
      </c>
      <c r="Y204" s="29">
        <v>194</v>
      </c>
      <c r="Z204" s="36" t="str">
        <f t="shared" si="42"/>
        <v xml:space="preserve"> </v>
      </c>
      <c r="AA204" s="35" t="str">
        <f>IFERROR(INDEX(#REF!,MATCH(AB204,#REF!,0))," ")</f>
        <v xml:space="preserve"> </v>
      </c>
      <c r="AB204" s="30">
        <f t="shared" si="43"/>
        <v>0</v>
      </c>
    </row>
    <row r="205" spans="1:28" x14ac:dyDescent="0.25">
      <c r="A205" s="38"/>
      <c r="B205" s="31" t="s">
        <v>229</v>
      </c>
      <c r="C205" s="32" t="str">
        <f>IF('Infos générales'!$E$2="x",IF(A205&gt;0,INDEX(DP!$A$10:$G$265,MATCH(A205,DP!$A$10:$A$265,0),6)," "),IF(A205&gt;0,INDEX(DP!$A$10:$G$265,MATCH(A205,DP!$A$10:$A$265,0),4)," "))</f>
        <v xml:space="preserve"> </v>
      </c>
      <c r="E205" s="39"/>
      <c r="F205" s="33" t="s">
        <v>34</v>
      </c>
      <c r="G205" s="40"/>
      <c r="H205" s="39"/>
      <c r="I205" s="33" t="s">
        <v>34</v>
      </c>
      <c r="J205" s="40"/>
      <c r="K205" s="39"/>
      <c r="L205" s="33" t="s">
        <v>34</v>
      </c>
      <c r="M205" s="40"/>
      <c r="N205" s="34">
        <f t="shared" si="33"/>
        <v>195</v>
      </c>
      <c r="O205" s="20">
        <f t="shared" si="34"/>
        <v>1.010305</v>
      </c>
      <c r="P205" s="20">
        <f t="shared" si="35"/>
        <v>195</v>
      </c>
      <c r="Q205" s="20" t="str">
        <f t="shared" si="36"/>
        <v xml:space="preserve"> </v>
      </c>
      <c r="R205" s="20">
        <f t="shared" si="37"/>
        <v>0</v>
      </c>
      <c r="S205" s="20">
        <f t="shared" si="38"/>
        <v>0</v>
      </c>
      <c r="T205" s="20">
        <f t="shared" si="39"/>
        <v>0</v>
      </c>
      <c r="U205" s="20">
        <f>IF($J$2="x",IFERROR(SMALL($O$11:$O$14,195),0),IF($J$3="x",IFERROR(SMALL($O$11:$O$18,195),0),IF($J$4="x",IFERROR(SMALL($O$11:$O$26,195),0),IF($J$5="x",IFERROR(SMALL($O$11:$O$42,195),0),IF($J$6="x",IFERROR(SMALL($O$11:$O$74,195),0),IF($J$7="x",IFERROR(SMALL($O$11:$O$138,195),0),IFERROR(SMALL($O$11:$O$266,195),0)))))))</f>
        <v>1.010305</v>
      </c>
      <c r="V205" s="20">
        <f t="shared" si="40"/>
        <v>195</v>
      </c>
      <c r="W205" s="20" t="str">
        <f t="shared" si="41"/>
        <v xml:space="preserve"> </v>
      </c>
      <c r="Y205" s="29">
        <v>195</v>
      </c>
      <c r="Z205" s="36" t="str">
        <f t="shared" si="42"/>
        <v xml:space="preserve"> </v>
      </c>
      <c r="AA205" s="35" t="str">
        <f>IFERROR(INDEX(#REF!,MATCH(AB205,#REF!,0))," ")</f>
        <v xml:space="preserve"> </v>
      </c>
      <c r="AB205" s="30">
        <f t="shared" si="43"/>
        <v>0</v>
      </c>
    </row>
    <row r="206" spans="1:28" x14ac:dyDescent="0.25">
      <c r="A206" s="38"/>
      <c r="B206" s="31" t="s">
        <v>230</v>
      </c>
      <c r="C206" s="32" t="str">
        <f>IF('Infos générales'!$E$2="x",IF(A206&gt;0,INDEX(DP!$A$10:$G$265,MATCH(A206,DP!$A$10:$A$265,0),6)," "),IF(A206&gt;0,INDEX(DP!$A$10:$G$265,MATCH(A206,DP!$A$10:$A$265,0),4)," "))</f>
        <v xml:space="preserve"> </v>
      </c>
      <c r="E206" s="39"/>
      <c r="F206" s="33" t="s">
        <v>34</v>
      </c>
      <c r="G206" s="40"/>
      <c r="H206" s="39"/>
      <c r="I206" s="33" t="s">
        <v>34</v>
      </c>
      <c r="J206" s="40"/>
      <c r="K206" s="39"/>
      <c r="L206" s="33" t="s">
        <v>34</v>
      </c>
      <c r="M206" s="40"/>
      <c r="N206" s="34">
        <f t="shared" si="33"/>
        <v>196</v>
      </c>
      <c r="O206" s="20">
        <f t="shared" si="34"/>
        <v>1.0103059999999999</v>
      </c>
      <c r="P206" s="20">
        <f t="shared" si="35"/>
        <v>196</v>
      </c>
      <c r="Q206" s="20" t="str">
        <f t="shared" si="36"/>
        <v xml:space="preserve"> </v>
      </c>
      <c r="R206" s="20">
        <f t="shared" si="37"/>
        <v>0</v>
      </c>
      <c r="S206" s="20">
        <f t="shared" si="38"/>
        <v>0</v>
      </c>
      <c r="T206" s="20">
        <f t="shared" si="39"/>
        <v>0</v>
      </c>
      <c r="U206" s="20">
        <f>IF($J$2="x",IFERROR(SMALL($O$11:$O$14,196),0),IF($J$3="x",IFERROR(SMALL($O$11:$O$18,196),0),IF($J$4="x",IFERROR(SMALL($O$11:$O$26,196),0),IF($J$5="x",IFERROR(SMALL($O$11:$O$42,196),0),IF($J$6="x",IFERROR(SMALL($O$11:$O$74,196),0),IF($J$7="x",IFERROR(SMALL($O$11:$O$138,196),0),IFERROR(SMALL($O$11:$O$266,196),0)))))))</f>
        <v>1.0103059999999999</v>
      </c>
      <c r="V206" s="20">
        <f t="shared" si="40"/>
        <v>196</v>
      </c>
      <c r="W206" s="20" t="str">
        <f t="shared" si="41"/>
        <v xml:space="preserve"> </v>
      </c>
      <c r="Y206" s="29">
        <v>196</v>
      </c>
      <c r="Z206" s="36" t="str">
        <f t="shared" si="42"/>
        <v xml:space="preserve"> </v>
      </c>
      <c r="AA206" s="35" t="str">
        <f>IFERROR(INDEX(#REF!,MATCH(AB206,#REF!,0))," ")</f>
        <v xml:space="preserve"> </v>
      </c>
      <c r="AB206" s="30">
        <f t="shared" si="43"/>
        <v>0</v>
      </c>
    </row>
    <row r="207" spans="1:28" x14ac:dyDescent="0.25">
      <c r="A207" s="38"/>
      <c r="B207" s="31" t="s">
        <v>231</v>
      </c>
      <c r="C207" s="32" t="str">
        <f>IF('Infos générales'!$E$2="x",IF(A207&gt;0,INDEX(DP!$A$10:$G$265,MATCH(A207,DP!$A$10:$A$265,0),6)," "),IF(A207&gt;0,INDEX(DP!$A$10:$G$265,MATCH(A207,DP!$A$10:$A$265,0),4)," "))</f>
        <v xml:space="preserve"> </v>
      </c>
      <c r="E207" s="39"/>
      <c r="F207" s="33" t="s">
        <v>34</v>
      </c>
      <c r="G207" s="40"/>
      <c r="H207" s="39"/>
      <c r="I207" s="33" t="s">
        <v>34</v>
      </c>
      <c r="J207" s="40"/>
      <c r="K207" s="39"/>
      <c r="L207" s="33" t="s">
        <v>34</v>
      </c>
      <c r="M207" s="40"/>
      <c r="N207" s="34">
        <f t="shared" si="33"/>
        <v>197</v>
      </c>
      <c r="O207" s="20">
        <f t="shared" si="34"/>
        <v>1.0103070000000001</v>
      </c>
      <c r="P207" s="20">
        <f t="shared" si="35"/>
        <v>197</v>
      </c>
      <c r="Q207" s="20" t="str">
        <f t="shared" si="36"/>
        <v xml:space="preserve"> </v>
      </c>
      <c r="R207" s="20">
        <f t="shared" si="37"/>
        <v>0</v>
      </c>
      <c r="S207" s="20">
        <f t="shared" si="38"/>
        <v>0</v>
      </c>
      <c r="T207" s="20">
        <f t="shared" si="39"/>
        <v>0</v>
      </c>
      <c r="U207" s="20">
        <f>IF($J$2="x",IFERROR(SMALL($O$11:$O$14,197),0),IF($J$3="x",IFERROR(SMALL($O$11:$O$18,197),0),IF($J$4="x",IFERROR(SMALL($O$11:$O$26,197),0),IF($J$5="x",IFERROR(SMALL($O$11:$O$42,197),0),IF($J$6="x",IFERROR(SMALL($O$11:$O$74,197),0),IF($J$7="x",IFERROR(SMALL($O$11:$O$138,197),0),IFERROR(SMALL($O$11:$O$266,197),0)))))))</f>
        <v>1.0103070000000001</v>
      </c>
      <c r="V207" s="20">
        <f t="shared" si="40"/>
        <v>197</v>
      </c>
      <c r="W207" s="20" t="str">
        <f t="shared" si="41"/>
        <v xml:space="preserve"> </v>
      </c>
      <c r="Y207" s="29">
        <v>197</v>
      </c>
      <c r="Z207" s="36" t="str">
        <f t="shared" si="42"/>
        <v xml:space="preserve"> </v>
      </c>
      <c r="AA207" s="35" t="str">
        <f>IFERROR(INDEX(#REF!,MATCH(AB207,#REF!,0))," ")</f>
        <v xml:space="preserve"> </v>
      </c>
      <c r="AB207" s="30">
        <f t="shared" si="43"/>
        <v>0</v>
      </c>
    </row>
    <row r="208" spans="1:28" x14ac:dyDescent="0.25">
      <c r="A208" s="38"/>
      <c r="B208" s="31" t="s">
        <v>232</v>
      </c>
      <c r="C208" s="32" t="str">
        <f>IF('Infos générales'!$E$2="x",IF(A208&gt;0,INDEX(DP!$A$10:$G$265,MATCH(A208,DP!$A$10:$A$265,0),6)," "),IF(A208&gt;0,INDEX(DP!$A$10:$G$265,MATCH(A208,DP!$A$10:$A$265,0),4)," "))</f>
        <v xml:space="preserve"> </v>
      </c>
      <c r="E208" s="39"/>
      <c r="F208" s="33" t="s">
        <v>34</v>
      </c>
      <c r="G208" s="40"/>
      <c r="H208" s="39"/>
      <c r="I208" s="33" t="s">
        <v>34</v>
      </c>
      <c r="J208" s="40"/>
      <c r="K208" s="39"/>
      <c r="L208" s="33" t="s">
        <v>34</v>
      </c>
      <c r="M208" s="40"/>
      <c r="N208" s="34">
        <f t="shared" si="33"/>
        <v>198</v>
      </c>
      <c r="O208" s="20">
        <f t="shared" si="34"/>
        <v>1.010308</v>
      </c>
      <c r="P208" s="20">
        <f t="shared" si="35"/>
        <v>198</v>
      </c>
      <c r="Q208" s="20" t="str">
        <f t="shared" si="36"/>
        <v xml:space="preserve"> </v>
      </c>
      <c r="R208" s="20">
        <f t="shared" si="37"/>
        <v>0</v>
      </c>
      <c r="S208" s="20">
        <f t="shared" si="38"/>
        <v>0</v>
      </c>
      <c r="T208" s="20">
        <f t="shared" si="39"/>
        <v>0</v>
      </c>
      <c r="U208" s="20">
        <f>IF($J$2="x",IFERROR(SMALL($O$11:$O$14,198),0),IF($J$3="x",IFERROR(SMALL($O$11:$O$18,198),0),IF($J$4="x",IFERROR(SMALL($O$11:$O$26,198),0),IF($J$5="x",IFERROR(SMALL($O$11:$O$42,198),0),IF($J$6="x",IFERROR(SMALL($O$11:$O$74,198),0),IF($J$7="x",IFERROR(SMALL($O$11:$O$138,198),0),IFERROR(SMALL($O$11:$O$266,198),0)))))))</f>
        <v>1.010308</v>
      </c>
      <c r="V208" s="20">
        <f t="shared" si="40"/>
        <v>198</v>
      </c>
      <c r="W208" s="20" t="str">
        <f t="shared" si="41"/>
        <v xml:space="preserve"> </v>
      </c>
      <c r="Y208" s="29">
        <v>198</v>
      </c>
      <c r="Z208" s="36" t="str">
        <f t="shared" si="42"/>
        <v xml:space="preserve"> </v>
      </c>
      <c r="AA208" s="35" t="str">
        <f>IFERROR(INDEX(#REF!,MATCH(AB208,#REF!,0))," ")</f>
        <v xml:space="preserve"> </v>
      </c>
      <c r="AB208" s="30">
        <f t="shared" si="43"/>
        <v>0</v>
      </c>
    </row>
    <row r="209" spans="1:28" x14ac:dyDescent="0.25">
      <c r="A209" s="38"/>
      <c r="B209" s="31" t="s">
        <v>233</v>
      </c>
      <c r="C209" s="32" t="str">
        <f>IF('Infos générales'!$E$2="x",IF(A209&gt;0,INDEX(DP!$A$10:$G$265,MATCH(A209,DP!$A$10:$A$265,0),6)," "),IF(A209&gt;0,INDEX(DP!$A$10:$G$265,MATCH(A209,DP!$A$10:$A$265,0),4)," "))</f>
        <v xml:space="preserve"> </v>
      </c>
      <c r="E209" s="39"/>
      <c r="F209" s="33" t="s">
        <v>34</v>
      </c>
      <c r="G209" s="40"/>
      <c r="H209" s="39"/>
      <c r="I209" s="33" t="s">
        <v>34</v>
      </c>
      <c r="J209" s="40"/>
      <c r="K209" s="39"/>
      <c r="L209" s="33" t="s">
        <v>34</v>
      </c>
      <c r="M209" s="40"/>
      <c r="N209" s="34">
        <f t="shared" si="33"/>
        <v>199</v>
      </c>
      <c r="O209" s="20">
        <f t="shared" si="34"/>
        <v>1.0103089999999999</v>
      </c>
      <c r="P209" s="20">
        <f t="shared" si="35"/>
        <v>199</v>
      </c>
      <c r="Q209" s="20" t="str">
        <f t="shared" si="36"/>
        <v xml:space="preserve"> </v>
      </c>
      <c r="R209" s="20">
        <f t="shared" si="37"/>
        <v>0</v>
      </c>
      <c r="S209" s="20">
        <f t="shared" si="38"/>
        <v>0</v>
      </c>
      <c r="T209" s="20">
        <f t="shared" si="39"/>
        <v>0</v>
      </c>
      <c r="U209" s="20">
        <f>IF($J$2="x",IFERROR(SMALL($O$11:$O$14,199),0),IF($J$3="x",IFERROR(SMALL($O$11:$O$18,199),0),IF($J$4="x",IFERROR(SMALL($O$11:$O$26,199),0),IF($J$5="x",IFERROR(SMALL($O$11:$O$42,199),0),IF($J$6="x",IFERROR(SMALL($O$11:$O$74,199),0),IF($J$7="x",IFERROR(SMALL($O$11:$O$138,199),0),IFERROR(SMALL($O$11:$O$266,199),0)))))))</f>
        <v>1.0103089999999999</v>
      </c>
      <c r="V209" s="20">
        <f t="shared" si="40"/>
        <v>199</v>
      </c>
      <c r="W209" s="20" t="str">
        <f t="shared" si="41"/>
        <v xml:space="preserve"> </v>
      </c>
      <c r="Y209" s="29">
        <v>199</v>
      </c>
      <c r="Z209" s="36" t="str">
        <f t="shared" si="42"/>
        <v xml:space="preserve"> </v>
      </c>
      <c r="AA209" s="35" t="str">
        <f>IFERROR(INDEX(#REF!,MATCH(AB209,#REF!,0))," ")</f>
        <v xml:space="preserve"> </v>
      </c>
      <c r="AB209" s="30">
        <f t="shared" si="43"/>
        <v>0</v>
      </c>
    </row>
    <row r="210" spans="1:28" x14ac:dyDescent="0.25">
      <c r="A210" s="38"/>
      <c r="B210" s="31" t="s">
        <v>234</v>
      </c>
      <c r="C210" s="32" t="str">
        <f>IF('Infos générales'!$E$2="x",IF(A210&gt;0,INDEX(DP!$A$10:$G$265,MATCH(A210,DP!$A$10:$A$265,0),6)," "),IF(A210&gt;0,INDEX(DP!$A$10:$G$265,MATCH(A210,DP!$A$10:$A$265,0),4)," "))</f>
        <v xml:space="preserve"> </v>
      </c>
      <c r="E210" s="39"/>
      <c r="F210" s="33" t="s">
        <v>34</v>
      </c>
      <c r="G210" s="40"/>
      <c r="H210" s="39"/>
      <c r="I210" s="33" t="s">
        <v>34</v>
      </c>
      <c r="J210" s="40"/>
      <c r="K210" s="39"/>
      <c r="L210" s="33" t="s">
        <v>34</v>
      </c>
      <c r="M210" s="40"/>
      <c r="N210" s="34">
        <f t="shared" si="33"/>
        <v>200</v>
      </c>
      <c r="O210" s="20">
        <f t="shared" si="34"/>
        <v>1.01031</v>
      </c>
      <c r="P210" s="20">
        <f t="shared" si="35"/>
        <v>200</v>
      </c>
      <c r="Q210" s="20" t="str">
        <f t="shared" si="36"/>
        <v xml:space="preserve"> </v>
      </c>
      <c r="R210" s="20">
        <f t="shared" si="37"/>
        <v>0</v>
      </c>
      <c r="S210" s="20">
        <f t="shared" si="38"/>
        <v>0</v>
      </c>
      <c r="T210" s="20">
        <f t="shared" si="39"/>
        <v>0</v>
      </c>
      <c r="U210" s="20">
        <f>IF($J$2="x",IFERROR(SMALL($O$11:$O$14,200),0),IF($J$3="x",IFERROR(SMALL($O$11:$O$18,200),0),IF($J$4="x",IFERROR(SMALL($O$11:$O$26,200),0),IF($J$5="x",IFERROR(SMALL($O$11:$O$42,200),0),IF($J$6="x",IFERROR(SMALL($O$11:$O$74,200),0),IF($J$7="x",IFERROR(SMALL($O$11:$O$138,200),0),IFERROR(SMALL($O$11:$O$266,200),0)))))))</f>
        <v>1.01031</v>
      </c>
      <c r="V210" s="20">
        <f t="shared" si="40"/>
        <v>200</v>
      </c>
      <c r="W210" s="20" t="str">
        <f t="shared" si="41"/>
        <v xml:space="preserve"> </v>
      </c>
      <c r="Y210" s="29">
        <v>200</v>
      </c>
      <c r="Z210" s="36" t="str">
        <f t="shared" si="42"/>
        <v xml:space="preserve"> </v>
      </c>
      <c r="AA210" s="35" t="str">
        <f>IFERROR(INDEX(#REF!,MATCH(AB210,#REF!,0))," ")</f>
        <v xml:space="preserve"> </v>
      </c>
      <c r="AB210" s="30">
        <f t="shared" si="43"/>
        <v>0</v>
      </c>
    </row>
    <row r="211" spans="1:28" x14ac:dyDescent="0.25">
      <c r="A211" s="38"/>
      <c r="B211" s="31" t="s">
        <v>235</v>
      </c>
      <c r="C211" s="32" t="str">
        <f>IF('Infos générales'!$E$2="x",IF(A211&gt;0,INDEX(DP!$A$10:$G$265,MATCH(A211,DP!$A$10:$A$265,0),6)," "),IF(A211&gt;0,INDEX(DP!$A$10:$G$265,MATCH(A211,DP!$A$10:$A$265,0),4)," "))</f>
        <v xml:space="preserve"> </v>
      </c>
      <c r="E211" s="39"/>
      <c r="F211" s="33" t="s">
        <v>34</v>
      </c>
      <c r="G211" s="40"/>
      <c r="H211" s="39"/>
      <c r="I211" s="33" t="s">
        <v>34</v>
      </c>
      <c r="J211" s="40"/>
      <c r="K211" s="39"/>
      <c r="L211" s="33" t="s">
        <v>34</v>
      </c>
      <c r="M211" s="40"/>
      <c r="N211" s="34">
        <f t="shared" si="33"/>
        <v>201</v>
      </c>
      <c r="O211" s="20">
        <f t="shared" si="34"/>
        <v>1.010311</v>
      </c>
      <c r="P211" s="20">
        <f t="shared" si="35"/>
        <v>201</v>
      </c>
      <c r="Q211" s="20" t="str">
        <f t="shared" si="36"/>
        <v xml:space="preserve"> </v>
      </c>
      <c r="R211" s="20">
        <f t="shared" si="37"/>
        <v>0</v>
      </c>
      <c r="S211" s="20">
        <f t="shared" si="38"/>
        <v>0</v>
      </c>
      <c r="T211" s="20">
        <f t="shared" si="39"/>
        <v>0</v>
      </c>
      <c r="U211" s="20">
        <f>IF($J$2="x",IFERROR(SMALL($O$11:$O$14,201),0),IF($J$3="x",IFERROR(SMALL($O$11:$O$18,201),0),IF($J$4="x",IFERROR(SMALL($O$11:$O$26,201),0),IF($J$5="x",IFERROR(SMALL($O$11:$O$42,201),0),IF($J$6="x",IFERROR(SMALL($O$11:$O$74,201),0),IF($J$7="x",IFERROR(SMALL($O$11:$O$138,201),0),IFERROR(SMALL($O$11:$O$266,201),0)))))))</f>
        <v>1.010311</v>
      </c>
      <c r="V211" s="20">
        <f t="shared" si="40"/>
        <v>201</v>
      </c>
      <c r="W211" s="20" t="str">
        <f t="shared" si="41"/>
        <v xml:space="preserve"> </v>
      </c>
      <c r="Y211" s="29">
        <v>201</v>
      </c>
      <c r="Z211" s="36" t="str">
        <f t="shared" si="42"/>
        <v xml:space="preserve"> </v>
      </c>
      <c r="AA211" s="35" t="str">
        <f>IFERROR(INDEX(#REF!,MATCH(AB211,#REF!,0))," ")</f>
        <v xml:space="preserve"> </v>
      </c>
      <c r="AB211" s="30">
        <f t="shared" si="43"/>
        <v>0</v>
      </c>
    </row>
    <row r="212" spans="1:28" x14ac:dyDescent="0.25">
      <c r="A212" s="38"/>
      <c r="B212" s="31" t="s">
        <v>236</v>
      </c>
      <c r="C212" s="32" t="str">
        <f>IF('Infos générales'!$E$2="x",IF(A212&gt;0,INDEX(DP!$A$10:$G$265,MATCH(A212,DP!$A$10:$A$265,0),6)," "),IF(A212&gt;0,INDEX(DP!$A$10:$G$265,MATCH(A212,DP!$A$10:$A$265,0),4)," "))</f>
        <v xml:space="preserve"> </v>
      </c>
      <c r="E212" s="39"/>
      <c r="F212" s="33" t="s">
        <v>34</v>
      </c>
      <c r="G212" s="40"/>
      <c r="H212" s="39"/>
      <c r="I212" s="33" t="s">
        <v>34</v>
      </c>
      <c r="J212" s="40"/>
      <c r="K212" s="39"/>
      <c r="L212" s="33" t="s">
        <v>34</v>
      </c>
      <c r="M212" s="40"/>
      <c r="N212" s="34">
        <f t="shared" si="33"/>
        <v>202</v>
      </c>
      <c r="O212" s="20">
        <f t="shared" si="34"/>
        <v>1.0103120000000001</v>
      </c>
      <c r="P212" s="20">
        <f t="shared" si="35"/>
        <v>202</v>
      </c>
      <c r="Q212" s="20" t="str">
        <f t="shared" si="36"/>
        <v xml:space="preserve"> </v>
      </c>
      <c r="R212" s="20">
        <f t="shared" si="37"/>
        <v>0</v>
      </c>
      <c r="S212" s="20">
        <f t="shared" si="38"/>
        <v>0</v>
      </c>
      <c r="T212" s="20">
        <f t="shared" si="39"/>
        <v>0</v>
      </c>
      <c r="U212" s="20">
        <f>IF($J$2="x",IFERROR(SMALL($O$11:$O$14,202),0),IF($J$3="x",IFERROR(SMALL($O$11:$O$18,202),0),IF($J$4="x",IFERROR(SMALL($O$11:$O$26,202),0),IF($J$5="x",IFERROR(SMALL($O$11:$O$42,202),0),IF($J$6="x",IFERROR(SMALL($O$11:$O$74,202),0),IF($J$7="x",IFERROR(SMALL($O$11:$O$138,202),0),IFERROR(SMALL($O$11:$O$266,202),0)))))))</f>
        <v>1.0103120000000001</v>
      </c>
      <c r="V212" s="20">
        <f t="shared" si="40"/>
        <v>202</v>
      </c>
      <c r="W212" s="20" t="str">
        <f t="shared" si="41"/>
        <v xml:space="preserve"> </v>
      </c>
      <c r="Y212" s="29">
        <v>202</v>
      </c>
      <c r="Z212" s="36" t="str">
        <f t="shared" si="42"/>
        <v xml:space="preserve"> </v>
      </c>
      <c r="AA212" s="35" t="str">
        <f>IFERROR(INDEX(#REF!,MATCH(AB212,#REF!,0))," ")</f>
        <v xml:space="preserve"> </v>
      </c>
      <c r="AB212" s="30">
        <f t="shared" si="43"/>
        <v>0</v>
      </c>
    </row>
    <row r="213" spans="1:28" x14ac:dyDescent="0.25">
      <c r="A213" s="38"/>
      <c r="B213" s="31" t="s">
        <v>237</v>
      </c>
      <c r="C213" s="32" t="str">
        <f>IF('Infos générales'!$E$2="x",IF(A213&gt;0,INDEX(DP!$A$10:$G$265,MATCH(A213,DP!$A$10:$A$265,0),6)," "),IF(A213&gt;0,INDEX(DP!$A$10:$G$265,MATCH(A213,DP!$A$10:$A$265,0),4)," "))</f>
        <v xml:space="preserve"> </v>
      </c>
      <c r="E213" s="39"/>
      <c r="F213" s="33" t="s">
        <v>34</v>
      </c>
      <c r="G213" s="40"/>
      <c r="H213" s="39"/>
      <c r="I213" s="33" t="s">
        <v>34</v>
      </c>
      <c r="J213" s="40"/>
      <c r="K213" s="39"/>
      <c r="L213" s="33" t="s">
        <v>34</v>
      </c>
      <c r="M213" s="40"/>
      <c r="N213" s="34">
        <f t="shared" si="33"/>
        <v>203</v>
      </c>
      <c r="O213" s="20">
        <f t="shared" si="34"/>
        <v>1.010313</v>
      </c>
      <c r="P213" s="20">
        <f t="shared" si="35"/>
        <v>203</v>
      </c>
      <c r="Q213" s="20" t="str">
        <f t="shared" si="36"/>
        <v xml:space="preserve"> </v>
      </c>
      <c r="R213" s="20">
        <f t="shared" si="37"/>
        <v>0</v>
      </c>
      <c r="S213" s="20">
        <f t="shared" si="38"/>
        <v>0</v>
      </c>
      <c r="T213" s="20">
        <f t="shared" si="39"/>
        <v>0</v>
      </c>
      <c r="U213" s="20">
        <f>IF($J$2="x",IFERROR(SMALL($O$11:$O$14,203),0),IF($J$3="x",IFERROR(SMALL($O$11:$O$18,203),0),IF($J$4="x",IFERROR(SMALL($O$11:$O$26,203),0),IF($J$5="x",IFERROR(SMALL($O$11:$O$42,203),0),IF($J$6="x",IFERROR(SMALL($O$11:$O$74,203),0),IF($J$7="x",IFERROR(SMALL($O$11:$O$138,203),0),IFERROR(SMALL($O$11:$O$266,203),0)))))))</f>
        <v>1.010313</v>
      </c>
      <c r="V213" s="20">
        <f t="shared" si="40"/>
        <v>203</v>
      </c>
      <c r="W213" s="20" t="str">
        <f t="shared" si="41"/>
        <v xml:space="preserve"> </v>
      </c>
      <c r="Y213" s="29">
        <v>203</v>
      </c>
      <c r="Z213" s="36" t="str">
        <f t="shared" si="42"/>
        <v xml:space="preserve"> </v>
      </c>
      <c r="AA213" s="35" t="str">
        <f>IFERROR(INDEX(#REF!,MATCH(AB213,#REF!,0))," ")</f>
        <v xml:space="preserve"> </v>
      </c>
      <c r="AB213" s="30">
        <f t="shared" si="43"/>
        <v>0</v>
      </c>
    </row>
    <row r="214" spans="1:28" x14ac:dyDescent="0.25">
      <c r="A214" s="38"/>
      <c r="B214" s="31" t="s">
        <v>238</v>
      </c>
      <c r="C214" s="32" t="str">
        <f>IF('Infos générales'!$E$2="x",IF(A214&gt;0,INDEX(DP!$A$10:$G$265,MATCH(A214,DP!$A$10:$A$265,0),6)," "),IF(A214&gt;0,INDEX(DP!$A$10:$G$265,MATCH(A214,DP!$A$10:$A$265,0),4)," "))</f>
        <v xml:space="preserve"> </v>
      </c>
      <c r="E214" s="39"/>
      <c r="F214" s="33" t="s">
        <v>34</v>
      </c>
      <c r="G214" s="40"/>
      <c r="H214" s="39"/>
      <c r="I214" s="33" t="s">
        <v>34</v>
      </c>
      <c r="J214" s="40"/>
      <c r="K214" s="39"/>
      <c r="L214" s="33" t="s">
        <v>34</v>
      </c>
      <c r="M214" s="40"/>
      <c r="N214" s="34">
        <f t="shared" si="33"/>
        <v>204</v>
      </c>
      <c r="O214" s="20">
        <f t="shared" si="34"/>
        <v>1.0103139999999999</v>
      </c>
      <c r="P214" s="20">
        <f t="shared" si="35"/>
        <v>204</v>
      </c>
      <c r="Q214" s="20" t="str">
        <f t="shared" si="36"/>
        <v xml:space="preserve"> </v>
      </c>
      <c r="R214" s="20">
        <f t="shared" si="37"/>
        <v>0</v>
      </c>
      <c r="S214" s="20">
        <f t="shared" si="38"/>
        <v>0</v>
      </c>
      <c r="T214" s="20">
        <f t="shared" si="39"/>
        <v>0</v>
      </c>
      <c r="U214" s="20">
        <f>IF($J$2="x",IFERROR(SMALL($O$11:$O$14,204),0),IF($J$3="x",IFERROR(SMALL($O$11:$O$18,204),0),IF($J$4="x",IFERROR(SMALL($O$11:$O$26,204),0),IF($J$5="x",IFERROR(SMALL($O$11:$O$42,204),0),IF($J$6="x",IFERROR(SMALL($O$11:$O$74,204),0),IF($J$7="x",IFERROR(SMALL($O$11:$O$138,204),0),IFERROR(SMALL($O$11:$O$266,204),0)))))))</f>
        <v>1.0103139999999999</v>
      </c>
      <c r="V214" s="20">
        <f t="shared" si="40"/>
        <v>204</v>
      </c>
      <c r="W214" s="20" t="str">
        <f t="shared" si="41"/>
        <v xml:space="preserve"> </v>
      </c>
      <c r="Y214" s="29">
        <v>204</v>
      </c>
      <c r="Z214" s="36" t="str">
        <f t="shared" si="42"/>
        <v xml:space="preserve"> </v>
      </c>
      <c r="AA214" s="35" t="str">
        <f>IFERROR(INDEX(#REF!,MATCH(AB214,#REF!,0))," ")</f>
        <v xml:space="preserve"> </v>
      </c>
      <c r="AB214" s="30">
        <f t="shared" si="43"/>
        <v>0</v>
      </c>
    </row>
    <row r="215" spans="1:28" x14ac:dyDescent="0.25">
      <c r="A215" s="38"/>
      <c r="B215" s="31" t="s">
        <v>239</v>
      </c>
      <c r="C215" s="32" t="str">
        <f>IF('Infos générales'!$E$2="x",IF(A215&gt;0,INDEX(DP!$A$10:$G$265,MATCH(A215,DP!$A$10:$A$265,0),6)," "),IF(A215&gt;0,INDEX(DP!$A$10:$G$265,MATCH(A215,DP!$A$10:$A$265,0),4)," "))</f>
        <v xml:space="preserve"> </v>
      </c>
      <c r="E215" s="39"/>
      <c r="F215" s="33" t="s">
        <v>34</v>
      </c>
      <c r="G215" s="40"/>
      <c r="H215" s="39"/>
      <c r="I215" s="33" t="s">
        <v>34</v>
      </c>
      <c r="J215" s="40"/>
      <c r="K215" s="39"/>
      <c r="L215" s="33" t="s">
        <v>34</v>
      </c>
      <c r="M215" s="40"/>
      <c r="N215" s="34">
        <f t="shared" si="33"/>
        <v>205</v>
      </c>
      <c r="O215" s="20">
        <f t="shared" si="34"/>
        <v>1.0103150000000001</v>
      </c>
      <c r="P215" s="20">
        <f t="shared" si="35"/>
        <v>205</v>
      </c>
      <c r="Q215" s="20" t="str">
        <f t="shared" si="36"/>
        <v xml:space="preserve"> </v>
      </c>
      <c r="R215" s="20">
        <f t="shared" si="37"/>
        <v>0</v>
      </c>
      <c r="S215" s="20">
        <f t="shared" si="38"/>
        <v>0</v>
      </c>
      <c r="T215" s="20">
        <f t="shared" si="39"/>
        <v>0</v>
      </c>
      <c r="U215" s="20">
        <f>IF($J$2="x",IFERROR(SMALL($O$11:$O$14,205),0),IF($J$3="x",IFERROR(SMALL($O$11:$O$18,205),0),IF($J$4="x",IFERROR(SMALL($O$11:$O$26,205),0),IF($J$5="x",IFERROR(SMALL($O$11:$O$42,205),0),IF($J$6="x",IFERROR(SMALL($O$11:$O$74,205),0),IF($J$7="x",IFERROR(SMALL($O$11:$O$138,205),0),IFERROR(SMALL($O$11:$O$266,205),0)))))))</f>
        <v>1.0103150000000001</v>
      </c>
      <c r="V215" s="20">
        <f t="shared" si="40"/>
        <v>205</v>
      </c>
      <c r="W215" s="20" t="str">
        <f t="shared" si="41"/>
        <v xml:space="preserve"> </v>
      </c>
      <c r="Y215" s="29">
        <v>205</v>
      </c>
      <c r="Z215" s="36" t="str">
        <f t="shared" si="42"/>
        <v xml:space="preserve"> </v>
      </c>
      <c r="AA215" s="35" t="str">
        <f>IFERROR(INDEX(#REF!,MATCH(AB215,#REF!,0))," ")</f>
        <v xml:space="preserve"> </v>
      </c>
      <c r="AB215" s="30">
        <f t="shared" si="43"/>
        <v>0</v>
      </c>
    </row>
    <row r="216" spans="1:28" x14ac:dyDescent="0.25">
      <c r="A216" s="38"/>
      <c r="B216" s="31" t="s">
        <v>240</v>
      </c>
      <c r="C216" s="32" t="str">
        <f>IF('Infos générales'!$E$2="x",IF(A216&gt;0,INDEX(DP!$A$10:$G$265,MATCH(A216,DP!$A$10:$A$265,0),6)," "),IF(A216&gt;0,INDEX(DP!$A$10:$G$265,MATCH(A216,DP!$A$10:$A$265,0),4)," "))</f>
        <v xml:space="preserve"> </v>
      </c>
      <c r="E216" s="39"/>
      <c r="F216" s="33" t="s">
        <v>34</v>
      </c>
      <c r="G216" s="40"/>
      <c r="H216" s="39"/>
      <c r="I216" s="33" t="s">
        <v>34</v>
      </c>
      <c r="J216" s="40"/>
      <c r="K216" s="39"/>
      <c r="L216" s="33" t="s">
        <v>34</v>
      </c>
      <c r="M216" s="40"/>
      <c r="N216" s="34">
        <f t="shared" si="33"/>
        <v>206</v>
      </c>
      <c r="O216" s="20">
        <f t="shared" si="34"/>
        <v>1.010316</v>
      </c>
      <c r="P216" s="20">
        <f t="shared" si="35"/>
        <v>206</v>
      </c>
      <c r="Q216" s="20" t="str">
        <f t="shared" si="36"/>
        <v xml:space="preserve"> </v>
      </c>
      <c r="R216" s="20">
        <f t="shared" si="37"/>
        <v>0</v>
      </c>
      <c r="S216" s="20">
        <f t="shared" si="38"/>
        <v>0</v>
      </c>
      <c r="T216" s="20">
        <f t="shared" si="39"/>
        <v>0</v>
      </c>
      <c r="U216" s="20">
        <f>IF($J$2="x",IFERROR(SMALL($O$11:$O$14,206),0),IF($J$3="x",IFERROR(SMALL($O$11:$O$18,206),0),IF($J$4="x",IFERROR(SMALL($O$11:$O$26,206),0),IF($J$5="x",IFERROR(SMALL($O$11:$O$42,206),0),IF($J$6="x",IFERROR(SMALL($O$11:$O$74,206),0),IF($J$7="x",IFERROR(SMALL($O$11:$O$138,206),0),IFERROR(SMALL($O$11:$O$266,206),0)))))))</f>
        <v>1.010316</v>
      </c>
      <c r="V216" s="20">
        <f t="shared" si="40"/>
        <v>206</v>
      </c>
      <c r="W216" s="20" t="str">
        <f t="shared" si="41"/>
        <v xml:space="preserve"> </v>
      </c>
      <c r="Y216" s="29">
        <v>206</v>
      </c>
      <c r="Z216" s="36" t="str">
        <f t="shared" si="42"/>
        <v xml:space="preserve"> </v>
      </c>
      <c r="AA216" s="35" t="str">
        <f>IFERROR(INDEX(#REF!,MATCH(AB216,#REF!,0))," ")</f>
        <v xml:space="preserve"> </v>
      </c>
      <c r="AB216" s="30">
        <f t="shared" si="43"/>
        <v>0</v>
      </c>
    </row>
    <row r="217" spans="1:28" x14ac:dyDescent="0.25">
      <c r="A217" s="38"/>
      <c r="B217" s="31" t="s">
        <v>241</v>
      </c>
      <c r="C217" s="32" t="str">
        <f>IF('Infos générales'!$E$2="x",IF(A217&gt;0,INDEX(DP!$A$10:$G$265,MATCH(A217,DP!$A$10:$A$265,0),6)," "),IF(A217&gt;0,INDEX(DP!$A$10:$G$265,MATCH(A217,DP!$A$10:$A$265,0),4)," "))</f>
        <v xml:space="preserve"> </v>
      </c>
      <c r="E217" s="39"/>
      <c r="F217" s="33" t="s">
        <v>34</v>
      </c>
      <c r="G217" s="40"/>
      <c r="H217" s="39"/>
      <c r="I217" s="33" t="s">
        <v>34</v>
      </c>
      <c r="J217" s="40"/>
      <c r="K217" s="39"/>
      <c r="L217" s="33" t="s">
        <v>34</v>
      </c>
      <c r="M217" s="40"/>
      <c r="N217" s="34">
        <f t="shared" si="33"/>
        <v>207</v>
      </c>
      <c r="O217" s="20">
        <f t="shared" si="34"/>
        <v>1.0103169999999999</v>
      </c>
      <c r="P217" s="20">
        <f t="shared" si="35"/>
        <v>207</v>
      </c>
      <c r="Q217" s="20" t="str">
        <f t="shared" si="36"/>
        <v xml:space="preserve"> </v>
      </c>
      <c r="R217" s="20">
        <f t="shared" si="37"/>
        <v>0</v>
      </c>
      <c r="S217" s="20">
        <f t="shared" si="38"/>
        <v>0</v>
      </c>
      <c r="T217" s="20">
        <f t="shared" si="39"/>
        <v>0</v>
      </c>
      <c r="U217" s="20">
        <f>IF($J$2="x",IFERROR(SMALL($O$11:$O$14,207),0),IF($J$3="x",IFERROR(SMALL($O$11:$O$18,207),0),IF($J$4="x",IFERROR(SMALL($O$11:$O$26,207),0),IF($J$5="x",IFERROR(SMALL($O$11:$O$42,207),0),IF($J$6="x",IFERROR(SMALL($O$11:$O$74,207),0),IF($J$7="x",IFERROR(SMALL($O$11:$O$138,207),0),IFERROR(SMALL($O$11:$O$266,207),0)))))))</f>
        <v>1.0103169999999999</v>
      </c>
      <c r="V217" s="20">
        <f t="shared" si="40"/>
        <v>207</v>
      </c>
      <c r="W217" s="20" t="str">
        <f t="shared" si="41"/>
        <v xml:space="preserve"> </v>
      </c>
      <c r="Y217" s="29">
        <v>207</v>
      </c>
      <c r="Z217" s="36" t="str">
        <f t="shared" si="42"/>
        <v xml:space="preserve"> </v>
      </c>
      <c r="AA217" s="35" t="str">
        <f>IFERROR(INDEX(#REF!,MATCH(AB217,#REF!,0))," ")</f>
        <v xml:space="preserve"> </v>
      </c>
      <c r="AB217" s="30">
        <f t="shared" si="43"/>
        <v>0</v>
      </c>
    </row>
    <row r="218" spans="1:28" x14ac:dyDescent="0.25">
      <c r="A218" s="38"/>
      <c r="B218" s="31" t="s">
        <v>242</v>
      </c>
      <c r="C218" s="32" t="str">
        <f>IF('Infos générales'!$E$2="x",IF(A218&gt;0,INDEX(DP!$A$10:$G$265,MATCH(A218,DP!$A$10:$A$265,0),6)," "),IF(A218&gt;0,INDEX(DP!$A$10:$G$265,MATCH(A218,DP!$A$10:$A$265,0),4)," "))</f>
        <v xml:space="preserve"> </v>
      </c>
      <c r="E218" s="39"/>
      <c r="F218" s="33" t="s">
        <v>34</v>
      </c>
      <c r="G218" s="40"/>
      <c r="H218" s="39"/>
      <c r="I218" s="33" t="s">
        <v>34</v>
      </c>
      <c r="J218" s="40"/>
      <c r="K218" s="39"/>
      <c r="L218" s="33" t="s">
        <v>34</v>
      </c>
      <c r="M218" s="40"/>
      <c r="N218" s="34">
        <f t="shared" si="33"/>
        <v>208</v>
      </c>
      <c r="O218" s="20">
        <f t="shared" si="34"/>
        <v>1.010318</v>
      </c>
      <c r="P218" s="20">
        <f t="shared" si="35"/>
        <v>208</v>
      </c>
      <c r="Q218" s="20" t="str">
        <f t="shared" si="36"/>
        <v xml:space="preserve"> </v>
      </c>
      <c r="R218" s="20">
        <f t="shared" si="37"/>
        <v>0</v>
      </c>
      <c r="S218" s="20">
        <f t="shared" si="38"/>
        <v>0</v>
      </c>
      <c r="T218" s="20">
        <f t="shared" si="39"/>
        <v>0</v>
      </c>
      <c r="U218" s="20">
        <f>IF($J$2="x",IFERROR(SMALL($O$11:$O$14,208),0),IF($J$3="x",IFERROR(SMALL($O$11:$O$18,208),0),IF($J$4="x",IFERROR(SMALL($O$11:$O$26,208),0),IF($J$5="x",IFERROR(SMALL($O$11:$O$42,208),0),IF($J$6="x",IFERROR(SMALL($O$11:$O$74,208),0),IF($J$7="x",IFERROR(SMALL($O$11:$O$138,208),0),IFERROR(SMALL($O$11:$O$266,208),0)))))))</f>
        <v>1.010318</v>
      </c>
      <c r="V218" s="20">
        <f t="shared" si="40"/>
        <v>208</v>
      </c>
      <c r="W218" s="20" t="str">
        <f t="shared" si="41"/>
        <v xml:space="preserve"> </v>
      </c>
      <c r="Y218" s="29">
        <v>208</v>
      </c>
      <c r="Z218" s="36" t="str">
        <f t="shared" si="42"/>
        <v xml:space="preserve"> </v>
      </c>
      <c r="AA218" s="35" t="str">
        <f>IFERROR(INDEX(#REF!,MATCH(AB218,#REF!,0))," ")</f>
        <v xml:space="preserve"> </v>
      </c>
      <c r="AB218" s="30">
        <f t="shared" si="43"/>
        <v>0</v>
      </c>
    </row>
    <row r="219" spans="1:28" x14ac:dyDescent="0.25">
      <c r="A219" s="38"/>
      <c r="B219" s="31" t="s">
        <v>243</v>
      </c>
      <c r="C219" s="32" t="str">
        <f>IF('Infos générales'!$E$2="x",IF(A219&gt;0,INDEX(DP!$A$10:$G$265,MATCH(A219,DP!$A$10:$A$265,0),6)," "),IF(A219&gt;0,INDEX(DP!$A$10:$G$265,MATCH(A219,DP!$A$10:$A$265,0),4)," "))</f>
        <v xml:space="preserve"> </v>
      </c>
      <c r="E219" s="39"/>
      <c r="F219" s="33" t="s">
        <v>34</v>
      </c>
      <c r="G219" s="40"/>
      <c r="H219" s="39"/>
      <c r="I219" s="33" t="s">
        <v>34</v>
      </c>
      <c r="J219" s="40"/>
      <c r="K219" s="39"/>
      <c r="L219" s="33" t="s">
        <v>34</v>
      </c>
      <c r="M219" s="40"/>
      <c r="N219" s="34">
        <f t="shared" si="33"/>
        <v>209</v>
      </c>
      <c r="O219" s="20">
        <f t="shared" si="34"/>
        <v>1.010319</v>
      </c>
      <c r="P219" s="20">
        <f t="shared" si="35"/>
        <v>209</v>
      </c>
      <c r="Q219" s="20" t="str">
        <f t="shared" si="36"/>
        <v xml:space="preserve"> </v>
      </c>
      <c r="R219" s="20">
        <f t="shared" si="37"/>
        <v>0</v>
      </c>
      <c r="S219" s="20">
        <f t="shared" si="38"/>
        <v>0</v>
      </c>
      <c r="T219" s="20">
        <f t="shared" si="39"/>
        <v>0</v>
      </c>
      <c r="U219" s="20">
        <f>IF($J$2="x",IFERROR(SMALL($O$11:$O$14,209),0),IF($J$3="x",IFERROR(SMALL($O$11:$O$18,209),0),IF($J$4="x",IFERROR(SMALL($O$11:$O$26,209),0),IF($J$5="x",IFERROR(SMALL($O$11:$O$42,209),0),IF($J$6="x",IFERROR(SMALL($O$11:$O$74,209),0),IF($J$7="x",IFERROR(SMALL($O$11:$O$138,209),0),IFERROR(SMALL($O$11:$O$266,209),0)))))))</f>
        <v>1.010319</v>
      </c>
      <c r="V219" s="20">
        <f t="shared" si="40"/>
        <v>209</v>
      </c>
      <c r="W219" s="20" t="str">
        <f t="shared" si="41"/>
        <v xml:space="preserve"> </v>
      </c>
      <c r="Y219" s="29">
        <v>209</v>
      </c>
      <c r="Z219" s="36" t="str">
        <f t="shared" si="42"/>
        <v xml:space="preserve"> </v>
      </c>
      <c r="AA219" s="35" t="str">
        <f>IFERROR(INDEX(#REF!,MATCH(AB219,#REF!,0))," ")</f>
        <v xml:space="preserve"> </v>
      </c>
      <c r="AB219" s="30">
        <f t="shared" si="43"/>
        <v>0</v>
      </c>
    </row>
    <row r="220" spans="1:28" x14ac:dyDescent="0.25">
      <c r="A220" s="38"/>
      <c r="B220" s="31" t="s">
        <v>244</v>
      </c>
      <c r="C220" s="32" t="str">
        <f>IF('Infos générales'!$E$2="x",IF(A220&gt;0,INDEX(DP!$A$10:$G$265,MATCH(A220,DP!$A$10:$A$265,0),6)," "),IF(A220&gt;0,INDEX(DP!$A$10:$G$265,MATCH(A220,DP!$A$10:$A$265,0),4)," "))</f>
        <v xml:space="preserve"> </v>
      </c>
      <c r="E220" s="39"/>
      <c r="F220" s="33" t="s">
        <v>34</v>
      </c>
      <c r="G220" s="40"/>
      <c r="H220" s="39"/>
      <c r="I220" s="33" t="s">
        <v>34</v>
      </c>
      <c r="J220" s="40"/>
      <c r="K220" s="39"/>
      <c r="L220" s="33" t="s">
        <v>34</v>
      </c>
      <c r="M220" s="40"/>
      <c r="N220" s="34">
        <f t="shared" si="33"/>
        <v>210</v>
      </c>
      <c r="O220" s="20">
        <f t="shared" si="34"/>
        <v>1.0103200000000001</v>
      </c>
      <c r="P220" s="20">
        <f t="shared" si="35"/>
        <v>210</v>
      </c>
      <c r="Q220" s="20" t="str">
        <f t="shared" si="36"/>
        <v xml:space="preserve"> </v>
      </c>
      <c r="R220" s="20">
        <f t="shared" si="37"/>
        <v>0</v>
      </c>
      <c r="S220" s="20">
        <f t="shared" si="38"/>
        <v>0</v>
      </c>
      <c r="T220" s="20">
        <f t="shared" si="39"/>
        <v>0</v>
      </c>
      <c r="U220" s="20">
        <f>IF($J$2="x",IFERROR(SMALL($O$11:$O$14,210),0),IF($J$3="x",IFERROR(SMALL($O$11:$O$18,210),0),IF($J$4="x",IFERROR(SMALL($O$11:$O$26,210),0),IF($J$5="x",IFERROR(SMALL($O$11:$O$42,210),0),IF($J$6="x",IFERROR(SMALL($O$11:$O$74,210),0),IF($J$7="x",IFERROR(SMALL($O$11:$O$138,210),0),IFERROR(SMALL($O$11:$O$266,210),0)))))))</f>
        <v>1.0103200000000001</v>
      </c>
      <c r="V220" s="20">
        <f t="shared" si="40"/>
        <v>210</v>
      </c>
      <c r="W220" s="20" t="str">
        <f t="shared" si="41"/>
        <v xml:space="preserve"> </v>
      </c>
      <c r="Y220" s="29">
        <v>210</v>
      </c>
      <c r="Z220" s="36" t="str">
        <f t="shared" si="42"/>
        <v xml:space="preserve"> </v>
      </c>
      <c r="AA220" s="35" t="str">
        <f>IFERROR(INDEX(#REF!,MATCH(AB220,#REF!,0))," ")</f>
        <v xml:space="preserve"> </v>
      </c>
      <c r="AB220" s="30">
        <f t="shared" si="43"/>
        <v>0</v>
      </c>
    </row>
    <row r="221" spans="1:28" x14ac:dyDescent="0.25">
      <c r="A221" s="38"/>
      <c r="B221" s="31" t="s">
        <v>245</v>
      </c>
      <c r="C221" s="32" t="str">
        <f>IF('Infos générales'!$E$2="x",IF(A221&gt;0,INDEX(DP!$A$10:$G$265,MATCH(A221,DP!$A$10:$A$265,0),6)," "),IF(A221&gt;0,INDEX(DP!$A$10:$G$265,MATCH(A221,DP!$A$10:$A$265,0),4)," "))</f>
        <v xml:space="preserve"> </v>
      </c>
      <c r="E221" s="39"/>
      <c r="F221" s="33" t="s">
        <v>34</v>
      </c>
      <c r="G221" s="40"/>
      <c r="H221" s="39"/>
      <c r="I221" s="33" t="s">
        <v>34</v>
      </c>
      <c r="J221" s="40"/>
      <c r="K221" s="39"/>
      <c r="L221" s="33" t="s">
        <v>34</v>
      </c>
      <c r="M221" s="40"/>
      <c r="N221" s="34">
        <f t="shared" si="33"/>
        <v>211</v>
      </c>
      <c r="O221" s="20">
        <f t="shared" si="34"/>
        <v>1.010321</v>
      </c>
      <c r="P221" s="20">
        <f t="shared" si="35"/>
        <v>211</v>
      </c>
      <c r="Q221" s="20" t="str">
        <f t="shared" si="36"/>
        <v xml:space="preserve"> </v>
      </c>
      <c r="R221" s="20">
        <f t="shared" si="37"/>
        <v>0</v>
      </c>
      <c r="S221" s="20">
        <f t="shared" si="38"/>
        <v>0</v>
      </c>
      <c r="T221" s="20">
        <f t="shared" si="39"/>
        <v>0</v>
      </c>
      <c r="U221" s="20">
        <f>IF($J$2="x",IFERROR(SMALL($O$11:$O$14,211),0),IF($J$3="x",IFERROR(SMALL($O$11:$O$18,211),0),IF($J$4="x",IFERROR(SMALL($O$11:$O$26,211),0),IF($J$5="x",IFERROR(SMALL($O$11:$O$42,211),0),IF($J$6="x",IFERROR(SMALL($O$11:$O$74,211),0),IF($J$7="x",IFERROR(SMALL($O$11:$O$138,211),0),IFERROR(SMALL($O$11:$O$266,211),0)))))))</f>
        <v>1.010321</v>
      </c>
      <c r="V221" s="20">
        <f t="shared" si="40"/>
        <v>211</v>
      </c>
      <c r="W221" s="20" t="str">
        <f t="shared" si="41"/>
        <v xml:space="preserve"> </v>
      </c>
      <c r="Y221" s="29">
        <v>211</v>
      </c>
      <c r="Z221" s="36" t="str">
        <f t="shared" si="42"/>
        <v xml:space="preserve"> </v>
      </c>
      <c r="AA221" s="35" t="str">
        <f>IFERROR(INDEX(#REF!,MATCH(AB221,#REF!,0))," ")</f>
        <v xml:space="preserve"> </v>
      </c>
      <c r="AB221" s="30">
        <f t="shared" si="43"/>
        <v>0</v>
      </c>
    </row>
    <row r="222" spans="1:28" x14ac:dyDescent="0.25">
      <c r="A222" s="38"/>
      <c r="B222" s="31" t="s">
        <v>246</v>
      </c>
      <c r="C222" s="32" t="str">
        <f>IF('Infos générales'!$E$2="x",IF(A222&gt;0,INDEX(DP!$A$10:$G$265,MATCH(A222,DP!$A$10:$A$265,0),6)," "),IF(A222&gt;0,INDEX(DP!$A$10:$G$265,MATCH(A222,DP!$A$10:$A$265,0),4)," "))</f>
        <v xml:space="preserve"> </v>
      </c>
      <c r="E222" s="39"/>
      <c r="F222" s="33" t="s">
        <v>34</v>
      </c>
      <c r="G222" s="40"/>
      <c r="H222" s="39"/>
      <c r="I222" s="33" t="s">
        <v>34</v>
      </c>
      <c r="J222" s="40"/>
      <c r="K222" s="39"/>
      <c r="L222" s="33" t="s">
        <v>34</v>
      </c>
      <c r="M222" s="40"/>
      <c r="N222" s="34">
        <f t="shared" si="33"/>
        <v>212</v>
      </c>
      <c r="O222" s="20">
        <f t="shared" si="34"/>
        <v>1.0103219999999999</v>
      </c>
      <c r="P222" s="20">
        <f t="shared" si="35"/>
        <v>212</v>
      </c>
      <c r="Q222" s="20" t="str">
        <f t="shared" si="36"/>
        <v xml:space="preserve"> </v>
      </c>
      <c r="R222" s="20">
        <f t="shared" si="37"/>
        <v>0</v>
      </c>
      <c r="S222" s="20">
        <f t="shared" si="38"/>
        <v>0</v>
      </c>
      <c r="T222" s="20">
        <f t="shared" si="39"/>
        <v>0</v>
      </c>
      <c r="U222" s="20">
        <f>IF($J$2="x",IFERROR(SMALL($O$11:$O$14,212),0),IF($J$3="x",IFERROR(SMALL($O$11:$O$18,212),0),IF($J$4="x",IFERROR(SMALL($O$11:$O$26,212),0),IF($J$5="x",IFERROR(SMALL($O$11:$O$42,212),0),IF($J$6="x",IFERROR(SMALL($O$11:$O$74,212),0),IF($J$7="x",IFERROR(SMALL($O$11:$O$138,212),0),IFERROR(SMALL($O$11:$O$266,212),0)))))))</f>
        <v>1.0103219999999999</v>
      </c>
      <c r="V222" s="20">
        <f t="shared" si="40"/>
        <v>212</v>
      </c>
      <c r="W222" s="20" t="str">
        <f t="shared" si="41"/>
        <v xml:space="preserve"> </v>
      </c>
      <c r="Y222" s="29">
        <v>212</v>
      </c>
      <c r="Z222" s="36" t="str">
        <f t="shared" si="42"/>
        <v xml:space="preserve"> </v>
      </c>
      <c r="AA222" s="35" t="str">
        <f>IFERROR(INDEX(#REF!,MATCH(AB222,#REF!,0))," ")</f>
        <v xml:space="preserve"> </v>
      </c>
      <c r="AB222" s="30">
        <f t="shared" si="43"/>
        <v>0</v>
      </c>
    </row>
    <row r="223" spans="1:28" x14ac:dyDescent="0.25">
      <c r="A223" s="38"/>
      <c r="B223" s="31" t="s">
        <v>247</v>
      </c>
      <c r="C223" s="32" t="str">
        <f>IF('Infos générales'!$E$2="x",IF(A223&gt;0,INDEX(DP!$A$10:$G$265,MATCH(A223,DP!$A$10:$A$265,0),6)," "),IF(A223&gt;0,INDEX(DP!$A$10:$G$265,MATCH(A223,DP!$A$10:$A$265,0),4)," "))</f>
        <v xml:space="preserve"> </v>
      </c>
      <c r="E223" s="39"/>
      <c r="F223" s="33" t="s">
        <v>34</v>
      </c>
      <c r="G223" s="40"/>
      <c r="H223" s="39"/>
      <c r="I223" s="33" t="s">
        <v>34</v>
      </c>
      <c r="J223" s="40"/>
      <c r="K223" s="39"/>
      <c r="L223" s="33" t="s">
        <v>34</v>
      </c>
      <c r="M223" s="40"/>
      <c r="N223" s="34">
        <f t="shared" si="33"/>
        <v>213</v>
      </c>
      <c r="O223" s="20">
        <f t="shared" si="34"/>
        <v>1.0103230000000001</v>
      </c>
      <c r="P223" s="20">
        <f t="shared" si="35"/>
        <v>213</v>
      </c>
      <c r="Q223" s="20" t="str">
        <f t="shared" si="36"/>
        <v xml:space="preserve"> </v>
      </c>
      <c r="R223" s="20">
        <f t="shared" si="37"/>
        <v>0</v>
      </c>
      <c r="S223" s="20">
        <f t="shared" si="38"/>
        <v>0</v>
      </c>
      <c r="T223" s="20">
        <f t="shared" si="39"/>
        <v>0</v>
      </c>
      <c r="U223" s="20">
        <f>IF($J$2="x",IFERROR(SMALL($O$11:$O$14,213),0),IF($J$3="x",IFERROR(SMALL($O$11:$O$18,213),0),IF($J$4="x",IFERROR(SMALL($O$11:$O$26,213),0),IF($J$5="x",IFERROR(SMALL($O$11:$O$42,213),0),IF($J$6="x",IFERROR(SMALL($O$11:$O$74,213),0),IF($J$7="x",IFERROR(SMALL($O$11:$O$138,213),0),IFERROR(SMALL($O$11:$O$266,213),0)))))))</f>
        <v>1.0103230000000001</v>
      </c>
      <c r="V223" s="20">
        <f t="shared" si="40"/>
        <v>213</v>
      </c>
      <c r="W223" s="20" t="str">
        <f t="shared" si="41"/>
        <v xml:space="preserve"> </v>
      </c>
      <c r="Y223" s="29">
        <v>213</v>
      </c>
      <c r="Z223" s="36" t="str">
        <f t="shared" si="42"/>
        <v xml:space="preserve"> </v>
      </c>
      <c r="AA223" s="35" t="str">
        <f>IFERROR(INDEX(#REF!,MATCH(AB223,#REF!,0))," ")</f>
        <v xml:space="preserve"> </v>
      </c>
      <c r="AB223" s="30">
        <f t="shared" si="43"/>
        <v>0</v>
      </c>
    </row>
    <row r="224" spans="1:28" x14ac:dyDescent="0.25">
      <c r="A224" s="38"/>
      <c r="B224" s="31" t="s">
        <v>248</v>
      </c>
      <c r="C224" s="32" t="str">
        <f>IF('Infos générales'!$E$2="x",IF(A224&gt;0,INDEX(DP!$A$10:$G$265,MATCH(A224,DP!$A$10:$A$265,0),6)," "),IF(A224&gt;0,INDEX(DP!$A$10:$G$265,MATCH(A224,DP!$A$10:$A$265,0),4)," "))</f>
        <v xml:space="preserve"> </v>
      </c>
      <c r="E224" s="39"/>
      <c r="F224" s="33" t="s">
        <v>34</v>
      </c>
      <c r="G224" s="40"/>
      <c r="H224" s="39"/>
      <c r="I224" s="33" t="s">
        <v>34</v>
      </c>
      <c r="J224" s="40"/>
      <c r="K224" s="39"/>
      <c r="L224" s="33" t="s">
        <v>34</v>
      </c>
      <c r="M224" s="40"/>
      <c r="N224" s="34">
        <f t="shared" si="33"/>
        <v>214</v>
      </c>
      <c r="O224" s="20">
        <f t="shared" si="34"/>
        <v>1.010324</v>
      </c>
      <c r="P224" s="20">
        <f t="shared" si="35"/>
        <v>214</v>
      </c>
      <c r="Q224" s="20" t="str">
        <f t="shared" si="36"/>
        <v xml:space="preserve"> </v>
      </c>
      <c r="R224" s="20">
        <f t="shared" si="37"/>
        <v>0</v>
      </c>
      <c r="S224" s="20">
        <f t="shared" si="38"/>
        <v>0</v>
      </c>
      <c r="T224" s="20">
        <f t="shared" si="39"/>
        <v>0</v>
      </c>
      <c r="U224" s="20">
        <f>IF($J$2="x",IFERROR(SMALL($O$11:$O$14,214),0),IF($J$3="x",IFERROR(SMALL($O$11:$O$18,214),0),IF($J$4="x",IFERROR(SMALL($O$11:$O$26,214),0),IF($J$5="x",IFERROR(SMALL($O$11:$O$42,214),0),IF($J$6="x",IFERROR(SMALL($O$11:$O$74,214),0),IF($J$7="x",IFERROR(SMALL($O$11:$O$138,214),0),IFERROR(SMALL($O$11:$O$266,214),0)))))))</f>
        <v>1.010324</v>
      </c>
      <c r="V224" s="20">
        <f t="shared" si="40"/>
        <v>214</v>
      </c>
      <c r="W224" s="20" t="str">
        <f t="shared" si="41"/>
        <v xml:space="preserve"> </v>
      </c>
      <c r="Y224" s="29">
        <v>214</v>
      </c>
      <c r="Z224" s="36" t="str">
        <f t="shared" si="42"/>
        <v xml:space="preserve"> </v>
      </c>
      <c r="AA224" s="35" t="str">
        <f>IFERROR(INDEX(#REF!,MATCH(AB224,#REF!,0))," ")</f>
        <v xml:space="preserve"> </v>
      </c>
      <c r="AB224" s="30">
        <f t="shared" si="43"/>
        <v>0</v>
      </c>
    </row>
    <row r="225" spans="1:28" x14ac:dyDescent="0.25">
      <c r="A225" s="38"/>
      <c r="B225" s="31" t="s">
        <v>249</v>
      </c>
      <c r="C225" s="32" t="str">
        <f>IF('Infos générales'!$E$2="x",IF(A225&gt;0,INDEX(DP!$A$10:$G$265,MATCH(A225,DP!$A$10:$A$265,0),6)," "),IF(A225&gt;0,INDEX(DP!$A$10:$G$265,MATCH(A225,DP!$A$10:$A$265,0),4)," "))</f>
        <v xml:space="preserve"> </v>
      </c>
      <c r="E225" s="39"/>
      <c r="F225" s="33" t="s">
        <v>34</v>
      </c>
      <c r="G225" s="40"/>
      <c r="H225" s="39"/>
      <c r="I225" s="33" t="s">
        <v>34</v>
      </c>
      <c r="J225" s="40"/>
      <c r="K225" s="39"/>
      <c r="L225" s="33" t="s">
        <v>34</v>
      </c>
      <c r="M225" s="40"/>
      <c r="N225" s="34">
        <f t="shared" si="33"/>
        <v>215</v>
      </c>
      <c r="O225" s="20">
        <f t="shared" si="34"/>
        <v>1.0103249999999999</v>
      </c>
      <c r="P225" s="20">
        <f t="shared" si="35"/>
        <v>215</v>
      </c>
      <c r="Q225" s="20" t="str">
        <f t="shared" si="36"/>
        <v xml:space="preserve"> </v>
      </c>
      <c r="R225" s="20">
        <f t="shared" si="37"/>
        <v>0</v>
      </c>
      <c r="S225" s="20">
        <f t="shared" si="38"/>
        <v>0</v>
      </c>
      <c r="T225" s="20">
        <f t="shared" si="39"/>
        <v>0</v>
      </c>
      <c r="U225" s="20">
        <f>IF($J$2="x",IFERROR(SMALL($O$11:$O$14,215),0),IF($J$3="x",IFERROR(SMALL($O$11:$O$18,215),0),IF($J$4="x",IFERROR(SMALL($O$11:$O$26,215),0),IF($J$5="x",IFERROR(SMALL($O$11:$O$42,215),0),IF($J$6="x",IFERROR(SMALL($O$11:$O$74,215),0),IF($J$7="x",IFERROR(SMALL($O$11:$O$138,215),0),IFERROR(SMALL($O$11:$O$266,215),0)))))))</f>
        <v>1.0103249999999999</v>
      </c>
      <c r="V225" s="20">
        <f t="shared" si="40"/>
        <v>215</v>
      </c>
      <c r="W225" s="20" t="str">
        <f t="shared" si="41"/>
        <v xml:space="preserve"> </v>
      </c>
      <c r="Y225" s="29">
        <v>215</v>
      </c>
      <c r="Z225" s="36" t="str">
        <f t="shared" si="42"/>
        <v xml:space="preserve"> </v>
      </c>
      <c r="AA225" s="35" t="str">
        <f>IFERROR(INDEX(#REF!,MATCH(AB225,#REF!,0))," ")</f>
        <v xml:space="preserve"> </v>
      </c>
      <c r="AB225" s="30">
        <f t="shared" si="43"/>
        <v>0</v>
      </c>
    </row>
    <row r="226" spans="1:28" x14ac:dyDescent="0.25">
      <c r="A226" s="38"/>
      <c r="B226" s="31" t="s">
        <v>250</v>
      </c>
      <c r="C226" s="32" t="str">
        <f>IF('Infos générales'!$E$2="x",IF(A226&gt;0,INDEX(DP!$A$10:$G$265,MATCH(A226,DP!$A$10:$A$265,0),6)," "),IF(A226&gt;0,INDEX(DP!$A$10:$G$265,MATCH(A226,DP!$A$10:$A$265,0),4)," "))</f>
        <v xml:space="preserve"> </v>
      </c>
      <c r="E226" s="39"/>
      <c r="F226" s="33" t="s">
        <v>34</v>
      </c>
      <c r="G226" s="40"/>
      <c r="H226" s="39"/>
      <c r="I226" s="33" t="s">
        <v>34</v>
      </c>
      <c r="J226" s="40"/>
      <c r="K226" s="39"/>
      <c r="L226" s="33" t="s">
        <v>34</v>
      </c>
      <c r="M226" s="40"/>
      <c r="N226" s="34">
        <f t="shared" si="33"/>
        <v>216</v>
      </c>
      <c r="O226" s="20">
        <f t="shared" si="34"/>
        <v>1.0103260000000001</v>
      </c>
      <c r="P226" s="20">
        <f t="shared" si="35"/>
        <v>216</v>
      </c>
      <c r="Q226" s="20" t="str">
        <f t="shared" si="36"/>
        <v xml:space="preserve"> </v>
      </c>
      <c r="R226" s="20">
        <f t="shared" si="37"/>
        <v>0</v>
      </c>
      <c r="S226" s="20">
        <f t="shared" si="38"/>
        <v>0</v>
      </c>
      <c r="T226" s="20">
        <f t="shared" si="39"/>
        <v>0</v>
      </c>
      <c r="U226" s="20">
        <f>IF($J$2="x",IFERROR(SMALL($O$11:$O$14,216),0),IF($J$3="x",IFERROR(SMALL($O$11:$O$18,216),0),IF($J$4="x",IFERROR(SMALL($O$11:$O$26,216),0),IF($J$5="x",IFERROR(SMALL($O$11:$O$42,216),0),IF($J$6="x",IFERROR(SMALL($O$11:$O$74,216),0),IF($J$7="x",IFERROR(SMALL($O$11:$O$138,216),0),IFERROR(SMALL($O$11:$O$266,216),0)))))))</f>
        <v>1.0103260000000001</v>
      </c>
      <c r="V226" s="20">
        <f t="shared" si="40"/>
        <v>216</v>
      </c>
      <c r="W226" s="20" t="str">
        <f t="shared" si="41"/>
        <v xml:space="preserve"> </v>
      </c>
      <c r="Y226" s="29">
        <v>216</v>
      </c>
      <c r="Z226" s="36" t="str">
        <f t="shared" si="42"/>
        <v xml:space="preserve"> </v>
      </c>
      <c r="AA226" s="35" t="str">
        <f>IFERROR(INDEX(#REF!,MATCH(AB226,#REF!,0))," ")</f>
        <v xml:space="preserve"> </v>
      </c>
      <c r="AB226" s="30">
        <f t="shared" si="43"/>
        <v>0</v>
      </c>
    </row>
    <row r="227" spans="1:28" x14ac:dyDescent="0.25">
      <c r="A227" s="38"/>
      <c r="B227" s="31" t="s">
        <v>251</v>
      </c>
      <c r="C227" s="32" t="str">
        <f>IF('Infos générales'!$E$2="x",IF(A227&gt;0,INDEX(DP!$A$10:$G$265,MATCH(A227,DP!$A$10:$A$265,0),6)," "),IF(A227&gt;0,INDEX(DP!$A$10:$G$265,MATCH(A227,DP!$A$10:$A$265,0),4)," "))</f>
        <v xml:space="preserve"> </v>
      </c>
      <c r="E227" s="39"/>
      <c r="F227" s="33" t="s">
        <v>34</v>
      </c>
      <c r="G227" s="40"/>
      <c r="H227" s="39"/>
      <c r="I227" s="33" t="s">
        <v>34</v>
      </c>
      <c r="J227" s="40"/>
      <c r="K227" s="39"/>
      <c r="L227" s="33" t="s">
        <v>34</v>
      </c>
      <c r="M227" s="40"/>
      <c r="N227" s="34">
        <f t="shared" si="33"/>
        <v>217</v>
      </c>
      <c r="O227" s="20">
        <f t="shared" si="34"/>
        <v>1.010327</v>
      </c>
      <c r="P227" s="20">
        <f t="shared" si="35"/>
        <v>217</v>
      </c>
      <c r="Q227" s="20" t="str">
        <f t="shared" si="36"/>
        <v xml:space="preserve"> </v>
      </c>
      <c r="R227" s="20">
        <f t="shared" si="37"/>
        <v>0</v>
      </c>
      <c r="S227" s="20">
        <f t="shared" si="38"/>
        <v>0</v>
      </c>
      <c r="T227" s="20">
        <f t="shared" si="39"/>
        <v>0</v>
      </c>
      <c r="U227" s="20">
        <f>IF($J$2="x",IFERROR(SMALL($O$11:$O$14,217),0),IF($J$3="x",IFERROR(SMALL($O$11:$O$18,217),0),IF($J$4="x",IFERROR(SMALL($O$11:$O$26,217),0),IF($J$5="x",IFERROR(SMALL($O$11:$O$42,217),0),IF($J$6="x",IFERROR(SMALL($O$11:$O$74,217),0),IF($J$7="x",IFERROR(SMALL($O$11:$O$138,217),0),IFERROR(SMALL($O$11:$O$266,217),0)))))))</f>
        <v>1.010327</v>
      </c>
      <c r="V227" s="20">
        <f t="shared" si="40"/>
        <v>217</v>
      </c>
      <c r="W227" s="20" t="str">
        <f t="shared" si="41"/>
        <v xml:space="preserve"> </v>
      </c>
      <c r="Y227" s="29">
        <v>217</v>
      </c>
      <c r="Z227" s="36" t="str">
        <f t="shared" si="42"/>
        <v xml:space="preserve"> </v>
      </c>
      <c r="AA227" s="35" t="str">
        <f>IFERROR(INDEX(#REF!,MATCH(AB227,#REF!,0))," ")</f>
        <v xml:space="preserve"> </v>
      </c>
      <c r="AB227" s="30">
        <f t="shared" si="43"/>
        <v>0</v>
      </c>
    </row>
    <row r="228" spans="1:28" x14ac:dyDescent="0.25">
      <c r="A228" s="38"/>
      <c r="B228" s="31" t="s">
        <v>252</v>
      </c>
      <c r="C228" s="32" t="str">
        <f>IF('Infos générales'!$E$2="x",IF(A228&gt;0,INDEX(DP!$A$10:$G$265,MATCH(A228,DP!$A$10:$A$265,0),6)," "),IF(A228&gt;0,INDEX(DP!$A$10:$G$265,MATCH(A228,DP!$A$10:$A$265,0),4)," "))</f>
        <v xml:space="preserve"> </v>
      </c>
      <c r="E228" s="39"/>
      <c r="F228" s="33" t="s">
        <v>34</v>
      </c>
      <c r="G228" s="40"/>
      <c r="H228" s="39"/>
      <c r="I228" s="33" t="s">
        <v>34</v>
      </c>
      <c r="J228" s="40"/>
      <c r="K228" s="39"/>
      <c r="L228" s="33" t="s">
        <v>34</v>
      </c>
      <c r="M228" s="40"/>
      <c r="N228" s="34">
        <f t="shared" si="33"/>
        <v>218</v>
      </c>
      <c r="O228" s="20">
        <f t="shared" si="34"/>
        <v>1.0103279999999999</v>
      </c>
      <c r="P228" s="20">
        <f t="shared" si="35"/>
        <v>218</v>
      </c>
      <c r="Q228" s="20" t="str">
        <f t="shared" si="36"/>
        <v xml:space="preserve"> </v>
      </c>
      <c r="R228" s="20">
        <f t="shared" si="37"/>
        <v>0</v>
      </c>
      <c r="S228" s="20">
        <f t="shared" si="38"/>
        <v>0</v>
      </c>
      <c r="T228" s="20">
        <f t="shared" si="39"/>
        <v>0</v>
      </c>
      <c r="U228" s="20">
        <f>IF($J$2="x",IFERROR(SMALL($O$11:$O$14,218),0),IF($J$3="x",IFERROR(SMALL($O$11:$O$18,218),0),IF($J$4="x",IFERROR(SMALL($O$11:$O$26,218),0),IF($J$5="x",IFERROR(SMALL($O$11:$O$42,218),0),IF($J$6="x",IFERROR(SMALL($O$11:$O$74,218),0),IF($J$7="x",IFERROR(SMALL($O$11:$O$138,218),0),IFERROR(SMALL($O$11:$O$266,218),0)))))))</f>
        <v>1.0103279999999999</v>
      </c>
      <c r="V228" s="20">
        <f t="shared" si="40"/>
        <v>218</v>
      </c>
      <c r="W228" s="20" t="str">
        <f t="shared" si="41"/>
        <v xml:space="preserve"> </v>
      </c>
      <c r="Y228" s="29">
        <v>218</v>
      </c>
      <c r="Z228" s="36" t="str">
        <f t="shared" si="42"/>
        <v xml:space="preserve"> </v>
      </c>
      <c r="AA228" s="35" t="str">
        <f>IFERROR(INDEX(#REF!,MATCH(AB228,#REF!,0))," ")</f>
        <v xml:space="preserve"> </v>
      </c>
      <c r="AB228" s="30">
        <f t="shared" si="43"/>
        <v>0</v>
      </c>
    </row>
    <row r="229" spans="1:28" x14ac:dyDescent="0.25">
      <c r="A229" s="38"/>
      <c r="B229" s="31" t="s">
        <v>253</v>
      </c>
      <c r="C229" s="32" t="str">
        <f>IF('Infos générales'!$E$2="x",IF(A229&gt;0,INDEX(DP!$A$10:$G$265,MATCH(A229,DP!$A$10:$A$265,0),6)," "),IF(A229&gt;0,INDEX(DP!$A$10:$G$265,MATCH(A229,DP!$A$10:$A$265,0),4)," "))</f>
        <v xml:space="preserve"> </v>
      </c>
      <c r="E229" s="39"/>
      <c r="F229" s="33" t="s">
        <v>34</v>
      </c>
      <c r="G229" s="40"/>
      <c r="H229" s="39"/>
      <c r="I229" s="33" t="s">
        <v>34</v>
      </c>
      <c r="J229" s="40"/>
      <c r="K229" s="39"/>
      <c r="L229" s="33" t="s">
        <v>34</v>
      </c>
      <c r="M229" s="40"/>
      <c r="N229" s="34">
        <f t="shared" si="33"/>
        <v>219</v>
      </c>
      <c r="O229" s="20">
        <f t="shared" si="34"/>
        <v>1.010329</v>
      </c>
      <c r="P229" s="20">
        <f t="shared" si="35"/>
        <v>219</v>
      </c>
      <c r="Q229" s="20" t="str">
        <f t="shared" si="36"/>
        <v xml:space="preserve"> </v>
      </c>
      <c r="R229" s="20">
        <f t="shared" si="37"/>
        <v>0</v>
      </c>
      <c r="S229" s="20">
        <f t="shared" si="38"/>
        <v>0</v>
      </c>
      <c r="T229" s="20">
        <f t="shared" si="39"/>
        <v>0</v>
      </c>
      <c r="U229" s="20">
        <f>IF($J$2="x",IFERROR(SMALL($O$11:$O$14,219),0),IF($J$3="x",IFERROR(SMALL($O$11:$O$18,219),0),IF($J$4="x",IFERROR(SMALL($O$11:$O$26,219),0),IF($J$5="x",IFERROR(SMALL($O$11:$O$42,219),0),IF($J$6="x",IFERROR(SMALL($O$11:$O$74,219),0),IF($J$7="x",IFERROR(SMALL($O$11:$O$138,219),0),IFERROR(SMALL($O$11:$O$266,219),0)))))))</f>
        <v>1.010329</v>
      </c>
      <c r="V229" s="20">
        <f t="shared" si="40"/>
        <v>219</v>
      </c>
      <c r="W229" s="20" t="str">
        <f t="shared" si="41"/>
        <v xml:space="preserve"> </v>
      </c>
      <c r="Y229" s="29">
        <v>219</v>
      </c>
      <c r="Z229" s="36" t="str">
        <f t="shared" si="42"/>
        <v xml:space="preserve"> </v>
      </c>
      <c r="AA229" s="35" t="str">
        <f>IFERROR(INDEX(#REF!,MATCH(AB229,#REF!,0))," ")</f>
        <v xml:space="preserve"> </v>
      </c>
      <c r="AB229" s="30">
        <f t="shared" si="43"/>
        <v>0</v>
      </c>
    </row>
    <row r="230" spans="1:28" x14ac:dyDescent="0.25">
      <c r="A230" s="38"/>
      <c r="B230" s="31" t="s">
        <v>254</v>
      </c>
      <c r="C230" s="32" t="str">
        <f>IF('Infos générales'!$E$2="x",IF(A230&gt;0,INDEX(DP!$A$10:$G$265,MATCH(A230,DP!$A$10:$A$265,0),6)," "),IF(A230&gt;0,INDEX(DP!$A$10:$G$265,MATCH(A230,DP!$A$10:$A$265,0),4)," "))</f>
        <v xml:space="preserve"> </v>
      </c>
      <c r="E230" s="39"/>
      <c r="F230" s="33" t="s">
        <v>34</v>
      </c>
      <c r="G230" s="40"/>
      <c r="H230" s="39"/>
      <c r="I230" s="33" t="s">
        <v>34</v>
      </c>
      <c r="J230" s="40"/>
      <c r="K230" s="39"/>
      <c r="L230" s="33" t="s">
        <v>34</v>
      </c>
      <c r="M230" s="40"/>
      <c r="N230" s="34">
        <f t="shared" si="33"/>
        <v>220</v>
      </c>
      <c r="O230" s="20">
        <f t="shared" si="34"/>
        <v>1.01033</v>
      </c>
      <c r="P230" s="20">
        <f t="shared" si="35"/>
        <v>220</v>
      </c>
      <c r="Q230" s="20" t="str">
        <f t="shared" si="36"/>
        <v xml:space="preserve"> </v>
      </c>
      <c r="R230" s="20">
        <f t="shared" si="37"/>
        <v>0</v>
      </c>
      <c r="S230" s="20">
        <f t="shared" si="38"/>
        <v>0</v>
      </c>
      <c r="T230" s="20">
        <f t="shared" si="39"/>
        <v>0</v>
      </c>
      <c r="U230" s="20">
        <f>IF($J$2="x",IFERROR(SMALL($O$11:$O$14,220),0),IF($J$3="x",IFERROR(SMALL($O$11:$O$18,220),0),IF($J$4="x",IFERROR(SMALL($O$11:$O$26,220),0),IF($J$5="x",IFERROR(SMALL($O$11:$O$42,220),0),IF($J$6="x",IFERROR(SMALL($O$11:$O$74,220),0),IF($J$7="x",IFERROR(SMALL($O$11:$O$138,220),0),IFERROR(SMALL($O$11:$O$266,220),0)))))))</f>
        <v>1.01033</v>
      </c>
      <c r="V230" s="20">
        <f t="shared" si="40"/>
        <v>220</v>
      </c>
      <c r="W230" s="20" t="str">
        <f t="shared" si="41"/>
        <v xml:space="preserve"> </v>
      </c>
      <c r="Y230" s="29">
        <v>220</v>
      </c>
      <c r="Z230" s="36" t="str">
        <f t="shared" si="42"/>
        <v xml:space="preserve"> </v>
      </c>
      <c r="AA230" s="35" t="str">
        <f>IFERROR(INDEX(#REF!,MATCH(AB230,#REF!,0))," ")</f>
        <v xml:space="preserve"> </v>
      </c>
      <c r="AB230" s="30">
        <f t="shared" si="43"/>
        <v>0</v>
      </c>
    </row>
    <row r="231" spans="1:28" x14ac:dyDescent="0.25">
      <c r="A231" s="38"/>
      <c r="B231" s="31" t="s">
        <v>255</v>
      </c>
      <c r="C231" s="32" t="str">
        <f>IF('Infos générales'!$E$2="x",IF(A231&gt;0,INDEX(DP!$A$10:$G$265,MATCH(A231,DP!$A$10:$A$265,0),6)," "),IF(A231&gt;0,INDEX(DP!$A$10:$G$265,MATCH(A231,DP!$A$10:$A$265,0),4)," "))</f>
        <v xml:space="preserve"> </v>
      </c>
      <c r="E231" s="39"/>
      <c r="F231" s="33" t="s">
        <v>34</v>
      </c>
      <c r="G231" s="40"/>
      <c r="H231" s="39"/>
      <c r="I231" s="33" t="s">
        <v>34</v>
      </c>
      <c r="J231" s="40"/>
      <c r="K231" s="39"/>
      <c r="L231" s="33" t="s">
        <v>34</v>
      </c>
      <c r="M231" s="40"/>
      <c r="N231" s="34">
        <f t="shared" si="33"/>
        <v>221</v>
      </c>
      <c r="O231" s="20">
        <f t="shared" si="34"/>
        <v>1.0103310000000001</v>
      </c>
      <c r="P231" s="20">
        <f t="shared" si="35"/>
        <v>221</v>
      </c>
      <c r="Q231" s="20" t="str">
        <f t="shared" si="36"/>
        <v xml:space="preserve"> </v>
      </c>
      <c r="R231" s="20">
        <f t="shared" si="37"/>
        <v>0</v>
      </c>
      <c r="S231" s="20">
        <f t="shared" si="38"/>
        <v>0</v>
      </c>
      <c r="T231" s="20">
        <f t="shared" si="39"/>
        <v>0</v>
      </c>
      <c r="U231" s="20">
        <f>IF($J$2="x",IFERROR(SMALL($O$11:$O$14,221),0),IF($J$3="x",IFERROR(SMALL($O$11:$O$18,221),0),IF($J$4="x",IFERROR(SMALL($O$11:$O$26,221),0),IF($J$5="x",IFERROR(SMALL($O$11:$O$42,221),0),IF($J$6="x",IFERROR(SMALL($O$11:$O$74,221),0),IF($J$7="x",IFERROR(SMALL($O$11:$O$138,221),0),IFERROR(SMALL($O$11:$O$266,221),0)))))))</f>
        <v>1.0103310000000001</v>
      </c>
      <c r="V231" s="20">
        <f t="shared" si="40"/>
        <v>221</v>
      </c>
      <c r="W231" s="20" t="str">
        <f t="shared" si="41"/>
        <v xml:space="preserve"> </v>
      </c>
      <c r="Y231" s="29">
        <v>221</v>
      </c>
      <c r="Z231" s="36" t="str">
        <f t="shared" si="42"/>
        <v xml:space="preserve"> </v>
      </c>
      <c r="AA231" s="35" t="str">
        <f>IFERROR(INDEX(#REF!,MATCH(AB231,#REF!,0))," ")</f>
        <v xml:space="preserve"> </v>
      </c>
      <c r="AB231" s="30">
        <f t="shared" si="43"/>
        <v>0</v>
      </c>
    </row>
    <row r="232" spans="1:28" x14ac:dyDescent="0.25">
      <c r="A232" s="38"/>
      <c r="B232" s="31" t="s">
        <v>256</v>
      </c>
      <c r="C232" s="32" t="str">
        <f>IF('Infos générales'!$E$2="x",IF(A232&gt;0,INDEX(DP!$A$10:$G$265,MATCH(A232,DP!$A$10:$A$265,0),6)," "),IF(A232&gt;0,INDEX(DP!$A$10:$G$265,MATCH(A232,DP!$A$10:$A$265,0),4)," "))</f>
        <v xml:space="preserve"> </v>
      </c>
      <c r="E232" s="39"/>
      <c r="F232" s="33" t="s">
        <v>34</v>
      </c>
      <c r="G232" s="40"/>
      <c r="H232" s="39"/>
      <c r="I232" s="33" t="s">
        <v>34</v>
      </c>
      <c r="J232" s="40"/>
      <c r="K232" s="39"/>
      <c r="L232" s="33" t="s">
        <v>34</v>
      </c>
      <c r="M232" s="40"/>
      <c r="N232" s="34">
        <f t="shared" si="33"/>
        <v>222</v>
      </c>
      <c r="O232" s="20">
        <f t="shared" si="34"/>
        <v>1.010332</v>
      </c>
      <c r="P232" s="20">
        <f t="shared" si="35"/>
        <v>222</v>
      </c>
      <c r="Q232" s="20" t="str">
        <f t="shared" si="36"/>
        <v xml:space="preserve"> </v>
      </c>
      <c r="R232" s="20">
        <f t="shared" si="37"/>
        <v>0</v>
      </c>
      <c r="S232" s="20">
        <f t="shared" si="38"/>
        <v>0</v>
      </c>
      <c r="T232" s="20">
        <f t="shared" si="39"/>
        <v>0</v>
      </c>
      <c r="U232" s="20">
        <f>IF($J$2="x",IFERROR(SMALL($O$11:$O$14,222),0),IF($J$3="x",IFERROR(SMALL($O$11:$O$18,222),0),IF($J$4="x",IFERROR(SMALL($O$11:$O$26,222),0),IF($J$5="x",IFERROR(SMALL($O$11:$O$42,222),0),IF($J$6="x",IFERROR(SMALL($O$11:$O$74,222),0),IF($J$7="x",IFERROR(SMALL($O$11:$O$138,222),0),IFERROR(SMALL($O$11:$O$266,222),0)))))))</f>
        <v>1.010332</v>
      </c>
      <c r="V232" s="20">
        <f t="shared" si="40"/>
        <v>222</v>
      </c>
      <c r="W232" s="20" t="str">
        <f t="shared" si="41"/>
        <v xml:space="preserve"> </v>
      </c>
      <c r="Y232" s="29">
        <v>222</v>
      </c>
      <c r="Z232" s="36" t="str">
        <f t="shared" si="42"/>
        <v xml:space="preserve"> </v>
      </c>
      <c r="AA232" s="35" t="str">
        <f>IFERROR(INDEX(#REF!,MATCH(AB232,#REF!,0))," ")</f>
        <v xml:space="preserve"> </v>
      </c>
      <c r="AB232" s="30">
        <f t="shared" si="43"/>
        <v>0</v>
      </c>
    </row>
    <row r="233" spans="1:28" x14ac:dyDescent="0.25">
      <c r="A233" s="38"/>
      <c r="B233" s="31" t="s">
        <v>257</v>
      </c>
      <c r="C233" s="32" t="str">
        <f>IF('Infos générales'!$E$2="x",IF(A233&gt;0,INDEX(DP!$A$10:$G$265,MATCH(A233,DP!$A$10:$A$265,0),6)," "),IF(A233&gt;0,INDEX(DP!$A$10:$G$265,MATCH(A233,DP!$A$10:$A$265,0),4)," "))</f>
        <v xml:space="preserve"> </v>
      </c>
      <c r="E233" s="39"/>
      <c r="F233" s="33" t="s">
        <v>34</v>
      </c>
      <c r="G233" s="40"/>
      <c r="H233" s="39"/>
      <c r="I233" s="33" t="s">
        <v>34</v>
      </c>
      <c r="J233" s="40"/>
      <c r="K233" s="39"/>
      <c r="L233" s="33" t="s">
        <v>34</v>
      </c>
      <c r="M233" s="40"/>
      <c r="N233" s="34">
        <f t="shared" si="33"/>
        <v>223</v>
      </c>
      <c r="O233" s="20">
        <f t="shared" si="34"/>
        <v>1.0103329999999999</v>
      </c>
      <c r="P233" s="20">
        <f t="shared" si="35"/>
        <v>223</v>
      </c>
      <c r="Q233" s="20" t="str">
        <f t="shared" si="36"/>
        <v xml:space="preserve"> </v>
      </c>
      <c r="R233" s="20">
        <f t="shared" si="37"/>
        <v>0</v>
      </c>
      <c r="S233" s="20">
        <f t="shared" si="38"/>
        <v>0</v>
      </c>
      <c r="T233" s="20">
        <f t="shared" si="39"/>
        <v>0</v>
      </c>
      <c r="U233" s="20">
        <f>IF($J$2="x",IFERROR(SMALL($O$11:$O$14,223),0),IF($J$3="x",IFERROR(SMALL($O$11:$O$18,223),0),IF($J$4="x",IFERROR(SMALL($O$11:$O$26,223),0),IF($J$5="x",IFERROR(SMALL($O$11:$O$42,223),0),IF($J$6="x",IFERROR(SMALL($O$11:$O$74,223),0),IF($J$7="x",IFERROR(SMALL($O$11:$O$138,223),0),IFERROR(SMALL($O$11:$O$266,223),0)))))))</f>
        <v>1.0103329999999999</v>
      </c>
      <c r="V233" s="20">
        <f t="shared" si="40"/>
        <v>223</v>
      </c>
      <c r="W233" s="20" t="str">
        <f t="shared" si="41"/>
        <v xml:space="preserve"> </v>
      </c>
      <c r="Y233" s="29">
        <v>223</v>
      </c>
      <c r="Z233" s="36" t="str">
        <f t="shared" si="42"/>
        <v xml:space="preserve"> </v>
      </c>
      <c r="AA233" s="35" t="str">
        <f>IFERROR(INDEX(#REF!,MATCH(AB233,#REF!,0))," ")</f>
        <v xml:space="preserve"> </v>
      </c>
      <c r="AB233" s="30">
        <f t="shared" si="43"/>
        <v>0</v>
      </c>
    </row>
    <row r="234" spans="1:28" x14ac:dyDescent="0.25">
      <c r="A234" s="38"/>
      <c r="B234" s="31" t="s">
        <v>258</v>
      </c>
      <c r="C234" s="32" t="str">
        <f>IF('Infos générales'!$E$2="x",IF(A234&gt;0,INDEX(DP!$A$10:$G$265,MATCH(A234,DP!$A$10:$A$265,0),6)," "),IF(A234&gt;0,INDEX(DP!$A$10:$G$265,MATCH(A234,DP!$A$10:$A$265,0),4)," "))</f>
        <v xml:space="preserve"> </v>
      </c>
      <c r="E234" s="39"/>
      <c r="F234" s="33" t="s">
        <v>34</v>
      </c>
      <c r="G234" s="40"/>
      <c r="H234" s="39"/>
      <c r="I234" s="33" t="s">
        <v>34</v>
      </c>
      <c r="J234" s="40"/>
      <c r="K234" s="39"/>
      <c r="L234" s="33" t="s">
        <v>34</v>
      </c>
      <c r="M234" s="40"/>
      <c r="N234" s="34">
        <f t="shared" si="33"/>
        <v>224</v>
      </c>
      <c r="O234" s="20">
        <f t="shared" si="34"/>
        <v>1.0103340000000001</v>
      </c>
      <c r="P234" s="20">
        <f t="shared" si="35"/>
        <v>224</v>
      </c>
      <c r="Q234" s="20" t="str">
        <f t="shared" si="36"/>
        <v xml:space="preserve"> </v>
      </c>
      <c r="R234" s="20">
        <f t="shared" si="37"/>
        <v>0</v>
      </c>
      <c r="S234" s="20">
        <f t="shared" si="38"/>
        <v>0</v>
      </c>
      <c r="T234" s="20">
        <f t="shared" si="39"/>
        <v>0</v>
      </c>
      <c r="U234" s="20">
        <f>IF($J$2="x",IFERROR(SMALL($O$11:$O$14,224),0),IF($J$3="x",IFERROR(SMALL($O$11:$O$18,224),0),IF($J$4="x",IFERROR(SMALL($O$11:$O$26,224),0),IF($J$5="x",IFERROR(SMALL($O$11:$O$42,224),0),IF($J$6="x",IFERROR(SMALL($O$11:$O$74,224),0),IF($J$7="x",IFERROR(SMALL($O$11:$O$138,224),0),IFERROR(SMALL($O$11:$O$266,224),0)))))))</f>
        <v>1.0103340000000001</v>
      </c>
      <c r="V234" s="20">
        <f t="shared" si="40"/>
        <v>224</v>
      </c>
      <c r="W234" s="20" t="str">
        <f t="shared" si="41"/>
        <v xml:space="preserve"> </v>
      </c>
      <c r="Y234" s="29">
        <v>224</v>
      </c>
      <c r="Z234" s="36" t="str">
        <f t="shared" si="42"/>
        <v xml:space="preserve"> </v>
      </c>
      <c r="AA234" s="35" t="str">
        <f>IFERROR(INDEX(#REF!,MATCH(AB234,#REF!,0))," ")</f>
        <v xml:space="preserve"> </v>
      </c>
      <c r="AB234" s="30">
        <f t="shared" si="43"/>
        <v>0</v>
      </c>
    </row>
    <row r="235" spans="1:28" x14ac:dyDescent="0.25">
      <c r="A235" s="38"/>
      <c r="B235" s="31" t="s">
        <v>259</v>
      </c>
      <c r="C235" s="32" t="str">
        <f>IF('Infos générales'!$E$2="x",IF(A235&gt;0,INDEX(DP!$A$10:$G$265,MATCH(A235,DP!$A$10:$A$265,0),6)," "),IF(A235&gt;0,INDEX(DP!$A$10:$G$265,MATCH(A235,DP!$A$10:$A$265,0),4)," "))</f>
        <v xml:space="preserve"> </v>
      </c>
      <c r="E235" s="39"/>
      <c r="F235" s="33" t="s">
        <v>34</v>
      </c>
      <c r="G235" s="40"/>
      <c r="H235" s="39"/>
      <c r="I235" s="33" t="s">
        <v>34</v>
      </c>
      <c r="J235" s="40"/>
      <c r="K235" s="39"/>
      <c r="L235" s="33" t="s">
        <v>34</v>
      </c>
      <c r="M235" s="40"/>
      <c r="N235" s="34">
        <f t="shared" si="33"/>
        <v>225</v>
      </c>
      <c r="O235" s="20">
        <f t="shared" si="34"/>
        <v>1.010335</v>
      </c>
      <c r="P235" s="20">
        <f t="shared" si="35"/>
        <v>225</v>
      </c>
      <c r="Q235" s="20" t="str">
        <f t="shared" si="36"/>
        <v xml:space="preserve"> </v>
      </c>
      <c r="R235" s="20">
        <f t="shared" si="37"/>
        <v>0</v>
      </c>
      <c r="S235" s="20">
        <f t="shared" si="38"/>
        <v>0</v>
      </c>
      <c r="T235" s="20">
        <f t="shared" si="39"/>
        <v>0</v>
      </c>
      <c r="U235" s="20">
        <f>IF($J$2="x",IFERROR(SMALL($O$11:$O$14,225),0),IF($J$3="x",IFERROR(SMALL($O$11:$O$18,225),0),IF($J$4="x",IFERROR(SMALL($O$11:$O$26,225),0),IF($J$5="x",IFERROR(SMALL($O$11:$O$42,225),0),IF($J$6="x",IFERROR(SMALL($O$11:$O$74,225),0),IF($J$7="x",IFERROR(SMALL($O$11:$O$138,225),0),IFERROR(SMALL($O$11:$O$266,225),0)))))))</f>
        <v>1.010335</v>
      </c>
      <c r="V235" s="20">
        <f t="shared" si="40"/>
        <v>225</v>
      </c>
      <c r="W235" s="20" t="str">
        <f t="shared" si="41"/>
        <v xml:space="preserve"> </v>
      </c>
      <c r="Y235" s="29">
        <v>225</v>
      </c>
      <c r="Z235" s="36" t="str">
        <f t="shared" si="42"/>
        <v xml:space="preserve"> </v>
      </c>
      <c r="AA235" s="35" t="str">
        <f>IFERROR(INDEX(#REF!,MATCH(AB235,#REF!,0))," ")</f>
        <v xml:space="preserve"> </v>
      </c>
      <c r="AB235" s="30">
        <f t="shared" si="43"/>
        <v>0</v>
      </c>
    </row>
    <row r="236" spans="1:28" x14ac:dyDescent="0.25">
      <c r="A236" s="38"/>
      <c r="B236" s="31" t="s">
        <v>260</v>
      </c>
      <c r="C236" s="32" t="str">
        <f>IF('Infos générales'!$E$2="x",IF(A236&gt;0,INDEX(DP!$A$10:$G$265,MATCH(A236,DP!$A$10:$A$265,0),6)," "),IF(A236&gt;0,INDEX(DP!$A$10:$G$265,MATCH(A236,DP!$A$10:$A$265,0),4)," "))</f>
        <v xml:space="preserve"> </v>
      </c>
      <c r="E236" s="39"/>
      <c r="F236" s="33" t="s">
        <v>34</v>
      </c>
      <c r="G236" s="40"/>
      <c r="H236" s="39"/>
      <c r="I236" s="33" t="s">
        <v>34</v>
      </c>
      <c r="J236" s="40"/>
      <c r="K236" s="39"/>
      <c r="L236" s="33" t="s">
        <v>34</v>
      </c>
      <c r="M236" s="40"/>
      <c r="N236" s="34">
        <f t="shared" si="33"/>
        <v>226</v>
      </c>
      <c r="O236" s="20">
        <f t="shared" si="34"/>
        <v>1.0103359999999999</v>
      </c>
      <c r="P236" s="20">
        <f t="shared" si="35"/>
        <v>226</v>
      </c>
      <c r="Q236" s="20" t="str">
        <f t="shared" si="36"/>
        <v xml:space="preserve"> </v>
      </c>
      <c r="R236" s="20">
        <f t="shared" si="37"/>
        <v>0</v>
      </c>
      <c r="S236" s="20">
        <f t="shared" si="38"/>
        <v>0</v>
      </c>
      <c r="T236" s="20">
        <f t="shared" si="39"/>
        <v>0</v>
      </c>
      <c r="U236" s="20">
        <f>IF($J$2="x",IFERROR(SMALL($O$11:$O$14,226),0),IF($J$3="x",IFERROR(SMALL($O$11:$O$18,226),0),IF($J$4="x",IFERROR(SMALL($O$11:$O$26,226),0),IF($J$5="x",IFERROR(SMALL($O$11:$O$42,226),0),IF($J$6="x",IFERROR(SMALL($O$11:$O$74,226),0),IF($J$7="x",IFERROR(SMALL($O$11:$O$138,226),0),IFERROR(SMALL($O$11:$O$266,226),0)))))))</f>
        <v>1.0103359999999999</v>
      </c>
      <c r="V236" s="20">
        <f t="shared" si="40"/>
        <v>226</v>
      </c>
      <c r="W236" s="20" t="str">
        <f t="shared" si="41"/>
        <v xml:space="preserve"> </v>
      </c>
      <c r="Y236" s="29">
        <v>226</v>
      </c>
      <c r="Z236" s="36" t="str">
        <f t="shared" si="42"/>
        <v xml:space="preserve"> </v>
      </c>
      <c r="AA236" s="35" t="str">
        <f>IFERROR(INDEX(#REF!,MATCH(AB236,#REF!,0))," ")</f>
        <v xml:space="preserve"> </v>
      </c>
      <c r="AB236" s="30">
        <f t="shared" si="43"/>
        <v>0</v>
      </c>
    </row>
    <row r="237" spans="1:28" x14ac:dyDescent="0.25">
      <c r="A237" s="38"/>
      <c r="B237" s="31" t="s">
        <v>261</v>
      </c>
      <c r="C237" s="32" t="str">
        <f>IF('Infos générales'!$E$2="x",IF(A237&gt;0,INDEX(DP!$A$10:$G$265,MATCH(A237,DP!$A$10:$A$265,0),6)," "),IF(A237&gt;0,INDEX(DP!$A$10:$G$265,MATCH(A237,DP!$A$10:$A$265,0),4)," "))</f>
        <v xml:space="preserve"> </v>
      </c>
      <c r="E237" s="39"/>
      <c r="F237" s="33" t="s">
        <v>34</v>
      </c>
      <c r="G237" s="40"/>
      <c r="H237" s="39"/>
      <c r="I237" s="33" t="s">
        <v>34</v>
      </c>
      <c r="J237" s="40"/>
      <c r="K237" s="39"/>
      <c r="L237" s="33" t="s">
        <v>34</v>
      </c>
      <c r="M237" s="40"/>
      <c r="N237" s="34">
        <f t="shared" si="33"/>
        <v>227</v>
      </c>
      <c r="O237" s="20">
        <f t="shared" si="34"/>
        <v>1.010337</v>
      </c>
      <c r="P237" s="20">
        <f t="shared" si="35"/>
        <v>227</v>
      </c>
      <c r="Q237" s="20" t="str">
        <f t="shared" si="36"/>
        <v xml:space="preserve"> </v>
      </c>
      <c r="R237" s="20">
        <f t="shared" si="37"/>
        <v>0</v>
      </c>
      <c r="S237" s="20">
        <f t="shared" si="38"/>
        <v>0</v>
      </c>
      <c r="T237" s="20">
        <f t="shared" si="39"/>
        <v>0</v>
      </c>
      <c r="U237" s="20">
        <f>IF($J$2="x",IFERROR(SMALL($O$11:$O$14,227),0),IF($J$3="x",IFERROR(SMALL($O$11:$O$18,227),0),IF($J$4="x",IFERROR(SMALL($O$11:$O$26,227),0),IF($J$5="x",IFERROR(SMALL($O$11:$O$42,227),0),IF($J$6="x",IFERROR(SMALL($O$11:$O$74,227),0),IF($J$7="x",IFERROR(SMALL($O$11:$O$138,227),0),IFERROR(SMALL($O$11:$O$266,227),0)))))))</f>
        <v>1.010337</v>
      </c>
      <c r="V237" s="20">
        <f t="shared" si="40"/>
        <v>227</v>
      </c>
      <c r="W237" s="20" t="str">
        <f t="shared" si="41"/>
        <v xml:space="preserve"> </v>
      </c>
      <c r="Y237" s="29">
        <v>227</v>
      </c>
      <c r="Z237" s="36" t="str">
        <f t="shared" si="42"/>
        <v xml:space="preserve"> </v>
      </c>
      <c r="AA237" s="35" t="str">
        <f>IFERROR(INDEX(#REF!,MATCH(AB237,#REF!,0))," ")</f>
        <v xml:space="preserve"> </v>
      </c>
      <c r="AB237" s="30">
        <f t="shared" si="43"/>
        <v>0</v>
      </c>
    </row>
    <row r="238" spans="1:28" x14ac:dyDescent="0.25">
      <c r="A238" s="38"/>
      <c r="B238" s="31" t="s">
        <v>262</v>
      </c>
      <c r="C238" s="32" t="str">
        <f>IF('Infos générales'!$E$2="x",IF(A238&gt;0,INDEX(DP!$A$10:$G$265,MATCH(A238,DP!$A$10:$A$265,0),6)," "),IF(A238&gt;0,INDEX(DP!$A$10:$G$265,MATCH(A238,DP!$A$10:$A$265,0),4)," "))</f>
        <v xml:space="preserve"> </v>
      </c>
      <c r="E238" s="39"/>
      <c r="F238" s="33" t="s">
        <v>34</v>
      </c>
      <c r="G238" s="40"/>
      <c r="H238" s="39"/>
      <c r="I238" s="33" t="s">
        <v>34</v>
      </c>
      <c r="J238" s="40"/>
      <c r="K238" s="39"/>
      <c r="L238" s="33" t="s">
        <v>34</v>
      </c>
      <c r="M238" s="40"/>
      <c r="N238" s="34">
        <f t="shared" si="33"/>
        <v>228</v>
      </c>
      <c r="O238" s="20">
        <f t="shared" si="34"/>
        <v>1.010338</v>
      </c>
      <c r="P238" s="20">
        <f t="shared" si="35"/>
        <v>228</v>
      </c>
      <c r="Q238" s="20" t="str">
        <f t="shared" si="36"/>
        <v xml:space="preserve"> </v>
      </c>
      <c r="R238" s="20">
        <f t="shared" si="37"/>
        <v>0</v>
      </c>
      <c r="S238" s="20">
        <f t="shared" si="38"/>
        <v>0</v>
      </c>
      <c r="T238" s="20">
        <f t="shared" si="39"/>
        <v>0</v>
      </c>
      <c r="U238" s="20">
        <f>IF($J$2="x",IFERROR(SMALL($O$11:$O$14,228),0),IF($J$3="x",IFERROR(SMALL($O$11:$O$18,228),0),IF($J$4="x",IFERROR(SMALL($O$11:$O$26,228),0),IF($J$5="x",IFERROR(SMALL($O$11:$O$42,228),0),IF($J$6="x",IFERROR(SMALL($O$11:$O$74,228),0),IF($J$7="x",IFERROR(SMALL($O$11:$O$138,228),0),IFERROR(SMALL($O$11:$O$266,228),0)))))))</f>
        <v>1.010338</v>
      </c>
      <c r="V238" s="20">
        <f t="shared" si="40"/>
        <v>228</v>
      </c>
      <c r="W238" s="20" t="str">
        <f t="shared" si="41"/>
        <v xml:space="preserve"> </v>
      </c>
      <c r="Y238" s="29">
        <v>228</v>
      </c>
      <c r="Z238" s="36" t="str">
        <f t="shared" si="42"/>
        <v xml:space="preserve"> </v>
      </c>
      <c r="AA238" s="35" t="str">
        <f>IFERROR(INDEX(#REF!,MATCH(AB238,#REF!,0))," ")</f>
        <v xml:space="preserve"> </v>
      </c>
      <c r="AB238" s="30">
        <f t="shared" si="43"/>
        <v>0</v>
      </c>
    </row>
    <row r="239" spans="1:28" x14ac:dyDescent="0.25">
      <c r="A239" s="38"/>
      <c r="B239" s="31" t="s">
        <v>263</v>
      </c>
      <c r="C239" s="32" t="str">
        <f>IF('Infos générales'!$E$2="x",IF(A239&gt;0,INDEX(DP!$A$10:$G$265,MATCH(A239,DP!$A$10:$A$265,0),6)," "),IF(A239&gt;0,INDEX(DP!$A$10:$G$265,MATCH(A239,DP!$A$10:$A$265,0),4)," "))</f>
        <v xml:space="preserve"> </v>
      </c>
      <c r="E239" s="39"/>
      <c r="F239" s="33" t="s">
        <v>34</v>
      </c>
      <c r="G239" s="40"/>
      <c r="H239" s="39"/>
      <c r="I239" s="33" t="s">
        <v>34</v>
      </c>
      <c r="J239" s="40"/>
      <c r="K239" s="39"/>
      <c r="L239" s="33" t="s">
        <v>34</v>
      </c>
      <c r="M239" s="40"/>
      <c r="N239" s="34">
        <f t="shared" si="33"/>
        <v>229</v>
      </c>
      <c r="O239" s="20">
        <f t="shared" si="34"/>
        <v>1.0103390000000001</v>
      </c>
      <c r="P239" s="20">
        <f t="shared" si="35"/>
        <v>229</v>
      </c>
      <c r="Q239" s="20" t="str">
        <f t="shared" si="36"/>
        <v xml:space="preserve"> </v>
      </c>
      <c r="R239" s="20">
        <f t="shared" si="37"/>
        <v>0</v>
      </c>
      <c r="S239" s="20">
        <f t="shared" si="38"/>
        <v>0</v>
      </c>
      <c r="T239" s="20">
        <f t="shared" si="39"/>
        <v>0</v>
      </c>
      <c r="U239" s="20">
        <f>IF($J$2="x",IFERROR(SMALL($O$11:$O$14,229),0),IF($J$3="x",IFERROR(SMALL($O$11:$O$18,229),0),IF($J$4="x",IFERROR(SMALL($O$11:$O$26,229),0),IF($J$5="x",IFERROR(SMALL($O$11:$O$42,229),0),IF($J$6="x",IFERROR(SMALL($O$11:$O$74,229),0),IF($J$7="x",IFERROR(SMALL($O$11:$O$138,229),0),IFERROR(SMALL($O$11:$O$266,229),0)))))))</f>
        <v>1.0103390000000001</v>
      </c>
      <c r="V239" s="20">
        <f t="shared" si="40"/>
        <v>229</v>
      </c>
      <c r="W239" s="20" t="str">
        <f t="shared" si="41"/>
        <v xml:space="preserve"> </v>
      </c>
      <c r="Y239" s="29">
        <v>229</v>
      </c>
      <c r="Z239" s="36" t="str">
        <f t="shared" si="42"/>
        <v xml:space="preserve"> </v>
      </c>
      <c r="AA239" s="35" t="str">
        <f>IFERROR(INDEX(#REF!,MATCH(AB239,#REF!,0))," ")</f>
        <v xml:space="preserve"> </v>
      </c>
      <c r="AB239" s="30">
        <f t="shared" si="43"/>
        <v>0</v>
      </c>
    </row>
    <row r="240" spans="1:28" x14ac:dyDescent="0.25">
      <c r="A240" s="38"/>
      <c r="B240" s="31" t="s">
        <v>264</v>
      </c>
      <c r="C240" s="32" t="str">
        <f>IF('Infos générales'!$E$2="x",IF(A240&gt;0,INDEX(DP!$A$10:$G$265,MATCH(A240,DP!$A$10:$A$265,0),6)," "),IF(A240&gt;0,INDEX(DP!$A$10:$G$265,MATCH(A240,DP!$A$10:$A$265,0),4)," "))</f>
        <v xml:space="preserve"> </v>
      </c>
      <c r="E240" s="39"/>
      <c r="F240" s="33" t="s">
        <v>34</v>
      </c>
      <c r="G240" s="40"/>
      <c r="H240" s="39"/>
      <c r="I240" s="33" t="s">
        <v>34</v>
      </c>
      <c r="J240" s="40"/>
      <c r="K240" s="39"/>
      <c r="L240" s="33" t="s">
        <v>34</v>
      </c>
      <c r="M240" s="40"/>
      <c r="N240" s="34">
        <f t="shared" si="33"/>
        <v>230</v>
      </c>
      <c r="O240" s="20">
        <f t="shared" si="34"/>
        <v>1.01034</v>
      </c>
      <c r="P240" s="20">
        <f t="shared" si="35"/>
        <v>230</v>
      </c>
      <c r="Q240" s="20" t="str">
        <f t="shared" si="36"/>
        <v xml:space="preserve"> </v>
      </c>
      <c r="R240" s="20">
        <f t="shared" si="37"/>
        <v>0</v>
      </c>
      <c r="S240" s="20">
        <f t="shared" si="38"/>
        <v>0</v>
      </c>
      <c r="T240" s="20">
        <f t="shared" si="39"/>
        <v>0</v>
      </c>
      <c r="U240" s="20">
        <f>IF($J$2="x",IFERROR(SMALL($O$11:$O$14,230),0),IF($J$3="x",IFERROR(SMALL($O$11:$O$18,230),0),IF($J$4="x",IFERROR(SMALL($O$11:$O$26,230),0),IF($J$5="x",IFERROR(SMALL($O$11:$O$42,230),0),IF($J$6="x",IFERROR(SMALL($O$11:$O$74,230),0),IF($J$7="x",IFERROR(SMALL($O$11:$O$138,230),0),IFERROR(SMALL($O$11:$O$266,230),0)))))))</f>
        <v>1.01034</v>
      </c>
      <c r="V240" s="20">
        <f t="shared" si="40"/>
        <v>230</v>
      </c>
      <c r="W240" s="20" t="str">
        <f t="shared" si="41"/>
        <v xml:space="preserve"> </v>
      </c>
      <c r="Y240" s="29">
        <v>230</v>
      </c>
      <c r="Z240" s="36" t="str">
        <f t="shared" si="42"/>
        <v xml:space="preserve"> </v>
      </c>
      <c r="AA240" s="35" t="str">
        <f>IFERROR(INDEX(#REF!,MATCH(AB240,#REF!,0))," ")</f>
        <v xml:space="preserve"> </v>
      </c>
      <c r="AB240" s="30">
        <f t="shared" si="43"/>
        <v>0</v>
      </c>
    </row>
    <row r="241" spans="1:28" x14ac:dyDescent="0.25">
      <c r="A241" s="38"/>
      <c r="B241" s="31" t="s">
        <v>265</v>
      </c>
      <c r="C241" s="32" t="str">
        <f>IF('Infos générales'!$E$2="x",IF(A241&gt;0,INDEX(DP!$A$10:$G$265,MATCH(A241,DP!$A$10:$A$265,0),6)," "),IF(A241&gt;0,INDEX(DP!$A$10:$G$265,MATCH(A241,DP!$A$10:$A$265,0),4)," "))</f>
        <v xml:space="preserve"> </v>
      </c>
      <c r="E241" s="39"/>
      <c r="F241" s="33" t="s">
        <v>34</v>
      </c>
      <c r="G241" s="40"/>
      <c r="H241" s="39"/>
      <c r="I241" s="33" t="s">
        <v>34</v>
      </c>
      <c r="J241" s="40"/>
      <c r="K241" s="39"/>
      <c r="L241" s="33" t="s">
        <v>34</v>
      </c>
      <c r="M241" s="40"/>
      <c r="N241" s="34">
        <f t="shared" si="33"/>
        <v>231</v>
      </c>
      <c r="O241" s="20">
        <f t="shared" si="34"/>
        <v>1.0103409999999999</v>
      </c>
      <c r="P241" s="20">
        <f t="shared" si="35"/>
        <v>231</v>
      </c>
      <c r="Q241" s="20" t="str">
        <f t="shared" si="36"/>
        <v xml:space="preserve"> </v>
      </c>
      <c r="R241" s="20">
        <f t="shared" si="37"/>
        <v>0</v>
      </c>
      <c r="S241" s="20">
        <f t="shared" si="38"/>
        <v>0</v>
      </c>
      <c r="T241" s="20">
        <f t="shared" si="39"/>
        <v>0</v>
      </c>
      <c r="U241" s="20">
        <f>IF($J$2="x",IFERROR(SMALL($O$11:$O$14,231),0),IF($J$3="x",IFERROR(SMALL($O$11:$O$18,231),0),IF($J$4="x",IFERROR(SMALL($O$11:$O$26,231),0),IF($J$5="x",IFERROR(SMALL($O$11:$O$42,231),0),IF($J$6="x",IFERROR(SMALL($O$11:$O$74,231),0),IF($J$7="x",IFERROR(SMALL($O$11:$O$138,231),0),IFERROR(SMALL($O$11:$O$266,231),0)))))))</f>
        <v>1.0103409999999999</v>
      </c>
      <c r="V241" s="20">
        <f t="shared" si="40"/>
        <v>231</v>
      </c>
      <c r="W241" s="20" t="str">
        <f t="shared" si="41"/>
        <v xml:space="preserve"> </v>
      </c>
      <c r="Y241" s="29">
        <v>231</v>
      </c>
      <c r="Z241" s="36" t="str">
        <f t="shared" si="42"/>
        <v xml:space="preserve"> </v>
      </c>
      <c r="AA241" s="35" t="str">
        <f>IFERROR(INDEX(#REF!,MATCH(AB241,#REF!,0))," ")</f>
        <v xml:space="preserve"> </v>
      </c>
      <c r="AB241" s="30">
        <f t="shared" si="43"/>
        <v>0</v>
      </c>
    </row>
    <row r="242" spans="1:28" x14ac:dyDescent="0.25">
      <c r="A242" s="38"/>
      <c r="B242" s="31" t="s">
        <v>266</v>
      </c>
      <c r="C242" s="32" t="str">
        <f>IF('Infos générales'!$E$2="x",IF(A242&gt;0,INDEX(DP!$A$10:$G$265,MATCH(A242,DP!$A$10:$A$265,0),6)," "),IF(A242&gt;0,INDEX(DP!$A$10:$G$265,MATCH(A242,DP!$A$10:$A$265,0),4)," "))</f>
        <v xml:space="preserve"> </v>
      </c>
      <c r="E242" s="39"/>
      <c r="F242" s="33" t="s">
        <v>34</v>
      </c>
      <c r="G242" s="40"/>
      <c r="H242" s="39"/>
      <c r="I242" s="33" t="s">
        <v>34</v>
      </c>
      <c r="J242" s="40"/>
      <c r="K242" s="39"/>
      <c r="L242" s="33" t="s">
        <v>34</v>
      </c>
      <c r="M242" s="40"/>
      <c r="N242" s="34">
        <f t="shared" si="33"/>
        <v>232</v>
      </c>
      <c r="O242" s="20">
        <f t="shared" si="34"/>
        <v>1.0103420000000001</v>
      </c>
      <c r="P242" s="20">
        <f t="shared" si="35"/>
        <v>232</v>
      </c>
      <c r="Q242" s="20" t="str">
        <f t="shared" si="36"/>
        <v xml:space="preserve"> </v>
      </c>
      <c r="R242" s="20">
        <f t="shared" si="37"/>
        <v>0</v>
      </c>
      <c r="S242" s="20">
        <f t="shared" si="38"/>
        <v>0</v>
      </c>
      <c r="T242" s="20">
        <f t="shared" si="39"/>
        <v>0</v>
      </c>
      <c r="U242" s="20">
        <f>IF($J$2="x",IFERROR(SMALL($O$11:$O$14,232),0),IF($J$3="x",IFERROR(SMALL($O$11:$O$18,232),0),IF($J$4="x",IFERROR(SMALL($O$11:$O$26,232),0),IF($J$5="x",IFERROR(SMALL($O$11:$O$42,232),0),IF($J$6="x",IFERROR(SMALL($O$11:$O$74,232),0),IF($J$7="x",IFERROR(SMALL($O$11:$O$138,232),0),IFERROR(SMALL($O$11:$O$266,232),0)))))))</f>
        <v>1.0103420000000001</v>
      </c>
      <c r="V242" s="20">
        <f t="shared" si="40"/>
        <v>232</v>
      </c>
      <c r="W242" s="20" t="str">
        <f t="shared" si="41"/>
        <v xml:space="preserve"> </v>
      </c>
      <c r="Y242" s="29">
        <v>232</v>
      </c>
      <c r="Z242" s="36" t="str">
        <f t="shared" si="42"/>
        <v xml:space="preserve"> </v>
      </c>
      <c r="AA242" s="35" t="str">
        <f>IFERROR(INDEX(#REF!,MATCH(AB242,#REF!,0))," ")</f>
        <v xml:space="preserve"> </v>
      </c>
      <c r="AB242" s="30">
        <f t="shared" si="43"/>
        <v>0</v>
      </c>
    </row>
    <row r="243" spans="1:28" x14ac:dyDescent="0.25">
      <c r="A243" s="38"/>
      <c r="B243" s="31" t="s">
        <v>267</v>
      </c>
      <c r="C243" s="32" t="str">
        <f>IF('Infos générales'!$E$2="x",IF(A243&gt;0,INDEX(DP!$A$10:$G$265,MATCH(A243,DP!$A$10:$A$265,0),6)," "),IF(A243&gt;0,INDEX(DP!$A$10:$G$265,MATCH(A243,DP!$A$10:$A$265,0),4)," "))</f>
        <v xml:space="preserve"> </v>
      </c>
      <c r="E243" s="39"/>
      <c r="F243" s="33" t="s">
        <v>34</v>
      </c>
      <c r="G243" s="40"/>
      <c r="H243" s="39"/>
      <c r="I243" s="33" t="s">
        <v>34</v>
      </c>
      <c r="J243" s="40"/>
      <c r="K243" s="39"/>
      <c r="L243" s="33" t="s">
        <v>34</v>
      </c>
      <c r="M243" s="40"/>
      <c r="N243" s="34">
        <f t="shared" si="33"/>
        <v>233</v>
      </c>
      <c r="O243" s="20">
        <f t="shared" si="34"/>
        <v>1.010343</v>
      </c>
      <c r="P243" s="20">
        <f t="shared" si="35"/>
        <v>233</v>
      </c>
      <c r="Q243" s="20" t="str">
        <f t="shared" si="36"/>
        <v xml:space="preserve"> </v>
      </c>
      <c r="R243" s="20">
        <f t="shared" si="37"/>
        <v>0</v>
      </c>
      <c r="S243" s="20">
        <f t="shared" si="38"/>
        <v>0</v>
      </c>
      <c r="T243" s="20">
        <f t="shared" si="39"/>
        <v>0</v>
      </c>
      <c r="U243" s="20">
        <f>IF($J$2="x",IFERROR(SMALL($O$11:$O$14,233),0),IF($J$3="x",IFERROR(SMALL($O$11:$O$18,233),0),IF($J$4="x",IFERROR(SMALL($O$11:$O$26,233),0),IF($J$5="x",IFERROR(SMALL($O$11:$O$42,233),0),IF($J$6="x",IFERROR(SMALL($O$11:$O$74,233),0),IF($J$7="x",IFERROR(SMALL($O$11:$O$138,233),0),IFERROR(SMALL($O$11:$O$266,233),0)))))))</f>
        <v>1.010343</v>
      </c>
      <c r="V243" s="20">
        <f t="shared" si="40"/>
        <v>233</v>
      </c>
      <c r="W243" s="20" t="str">
        <f t="shared" si="41"/>
        <v xml:space="preserve"> </v>
      </c>
      <c r="Y243" s="29">
        <v>233</v>
      </c>
      <c r="Z243" s="36" t="str">
        <f t="shared" si="42"/>
        <v xml:space="preserve"> </v>
      </c>
      <c r="AA243" s="35" t="str">
        <f>IFERROR(INDEX(#REF!,MATCH(AB243,#REF!,0))," ")</f>
        <v xml:space="preserve"> </v>
      </c>
      <c r="AB243" s="30">
        <f t="shared" si="43"/>
        <v>0</v>
      </c>
    </row>
    <row r="244" spans="1:28" x14ac:dyDescent="0.25">
      <c r="A244" s="38"/>
      <c r="B244" s="31" t="s">
        <v>268</v>
      </c>
      <c r="C244" s="32" t="str">
        <f>IF('Infos générales'!$E$2="x",IF(A244&gt;0,INDEX(DP!$A$10:$G$265,MATCH(A244,DP!$A$10:$A$265,0),6)," "),IF(A244&gt;0,INDEX(DP!$A$10:$G$265,MATCH(A244,DP!$A$10:$A$265,0),4)," "))</f>
        <v xml:space="preserve"> </v>
      </c>
      <c r="E244" s="39"/>
      <c r="F244" s="33" t="s">
        <v>34</v>
      </c>
      <c r="G244" s="40"/>
      <c r="H244" s="39"/>
      <c r="I244" s="33" t="s">
        <v>34</v>
      </c>
      <c r="J244" s="40"/>
      <c r="K244" s="39"/>
      <c r="L244" s="33" t="s">
        <v>34</v>
      </c>
      <c r="M244" s="40"/>
      <c r="N244" s="34">
        <f t="shared" si="33"/>
        <v>234</v>
      </c>
      <c r="O244" s="20">
        <f t="shared" si="34"/>
        <v>1.0103439999999999</v>
      </c>
      <c r="P244" s="20">
        <f t="shared" si="35"/>
        <v>234</v>
      </c>
      <c r="Q244" s="20" t="str">
        <f t="shared" si="36"/>
        <v xml:space="preserve"> </v>
      </c>
      <c r="R244" s="20">
        <f t="shared" si="37"/>
        <v>0</v>
      </c>
      <c r="S244" s="20">
        <f t="shared" si="38"/>
        <v>0</v>
      </c>
      <c r="T244" s="20">
        <f t="shared" si="39"/>
        <v>0</v>
      </c>
      <c r="U244" s="20">
        <f>IF($J$2="x",IFERROR(SMALL($O$11:$O$14,234),0),IF($J$3="x",IFERROR(SMALL($O$11:$O$18,234),0),IF($J$4="x",IFERROR(SMALL($O$11:$O$26,234),0),IF($J$5="x",IFERROR(SMALL($O$11:$O$42,234),0),IF($J$6="x",IFERROR(SMALL($O$11:$O$74,234),0),IF($J$7="x",IFERROR(SMALL($O$11:$O$138,234),0),IFERROR(SMALL($O$11:$O$266,234),0)))))))</f>
        <v>1.0103439999999999</v>
      </c>
      <c r="V244" s="20">
        <f t="shared" si="40"/>
        <v>234</v>
      </c>
      <c r="W244" s="20" t="str">
        <f t="shared" si="41"/>
        <v xml:space="preserve"> </v>
      </c>
      <c r="Y244" s="29">
        <v>234</v>
      </c>
      <c r="Z244" s="36" t="str">
        <f t="shared" si="42"/>
        <v xml:space="preserve"> </v>
      </c>
      <c r="AA244" s="35" t="str">
        <f>IFERROR(INDEX(#REF!,MATCH(AB244,#REF!,0))," ")</f>
        <v xml:space="preserve"> </v>
      </c>
      <c r="AB244" s="30">
        <f t="shared" si="43"/>
        <v>0</v>
      </c>
    </row>
    <row r="245" spans="1:28" x14ac:dyDescent="0.25">
      <c r="A245" s="38"/>
      <c r="B245" s="31" t="s">
        <v>269</v>
      </c>
      <c r="C245" s="32" t="str">
        <f>IF('Infos générales'!$E$2="x",IF(A245&gt;0,INDEX(DP!$A$10:$G$265,MATCH(A245,DP!$A$10:$A$265,0),6)," "),IF(A245&gt;0,INDEX(DP!$A$10:$G$265,MATCH(A245,DP!$A$10:$A$265,0),4)," "))</f>
        <v xml:space="preserve"> </v>
      </c>
      <c r="E245" s="39"/>
      <c r="F245" s="33" t="s">
        <v>34</v>
      </c>
      <c r="G245" s="40"/>
      <c r="H245" s="39"/>
      <c r="I245" s="33" t="s">
        <v>34</v>
      </c>
      <c r="J245" s="40"/>
      <c r="K245" s="39"/>
      <c r="L245" s="33" t="s">
        <v>34</v>
      </c>
      <c r="M245" s="40"/>
      <c r="N245" s="34">
        <f t="shared" si="33"/>
        <v>235</v>
      </c>
      <c r="O245" s="20">
        <f t="shared" si="34"/>
        <v>1.010345</v>
      </c>
      <c r="P245" s="20">
        <f t="shared" si="35"/>
        <v>235</v>
      </c>
      <c r="Q245" s="20" t="str">
        <f t="shared" si="36"/>
        <v xml:space="preserve"> </v>
      </c>
      <c r="R245" s="20">
        <f t="shared" si="37"/>
        <v>0</v>
      </c>
      <c r="S245" s="20">
        <f t="shared" si="38"/>
        <v>0</v>
      </c>
      <c r="T245" s="20">
        <f t="shared" si="39"/>
        <v>0</v>
      </c>
      <c r="U245" s="20">
        <f>IF($J$2="x",IFERROR(SMALL($O$11:$O$14,235),0),IF($J$3="x",IFERROR(SMALL($O$11:$O$18,235),0),IF($J$4="x",IFERROR(SMALL($O$11:$O$26,235),0),IF($J$5="x",IFERROR(SMALL($O$11:$O$42,235),0),IF($J$6="x",IFERROR(SMALL($O$11:$O$74,235),0),IF($J$7="x",IFERROR(SMALL($O$11:$O$138,235),0),IFERROR(SMALL($O$11:$O$266,235),0)))))))</f>
        <v>1.010345</v>
      </c>
      <c r="V245" s="20">
        <f t="shared" si="40"/>
        <v>235</v>
      </c>
      <c r="W245" s="20" t="str">
        <f t="shared" si="41"/>
        <v xml:space="preserve"> </v>
      </c>
      <c r="Y245" s="29">
        <v>235</v>
      </c>
      <c r="Z245" s="36" t="str">
        <f t="shared" si="42"/>
        <v xml:space="preserve"> </v>
      </c>
      <c r="AA245" s="35" t="str">
        <f>IFERROR(INDEX(#REF!,MATCH(AB245,#REF!,0))," ")</f>
        <v xml:space="preserve"> </v>
      </c>
      <c r="AB245" s="30">
        <f t="shared" si="43"/>
        <v>0</v>
      </c>
    </row>
    <row r="246" spans="1:28" x14ac:dyDescent="0.25">
      <c r="A246" s="38"/>
      <c r="B246" s="31" t="s">
        <v>270</v>
      </c>
      <c r="C246" s="32" t="str">
        <f>IF('Infos générales'!$E$2="x",IF(A246&gt;0,INDEX(DP!$A$10:$G$265,MATCH(A246,DP!$A$10:$A$265,0),6)," "),IF(A246&gt;0,INDEX(DP!$A$10:$G$265,MATCH(A246,DP!$A$10:$A$265,0),4)," "))</f>
        <v xml:space="preserve"> </v>
      </c>
      <c r="E246" s="39"/>
      <c r="F246" s="33" t="s">
        <v>34</v>
      </c>
      <c r="G246" s="40"/>
      <c r="H246" s="39"/>
      <c r="I246" s="33" t="s">
        <v>34</v>
      </c>
      <c r="J246" s="40"/>
      <c r="K246" s="39"/>
      <c r="L246" s="33" t="s">
        <v>34</v>
      </c>
      <c r="M246" s="40"/>
      <c r="N246" s="34">
        <f t="shared" si="33"/>
        <v>236</v>
      </c>
      <c r="O246" s="20">
        <f t="shared" si="34"/>
        <v>1.010346</v>
      </c>
      <c r="P246" s="20">
        <f t="shared" si="35"/>
        <v>236</v>
      </c>
      <c r="Q246" s="20" t="str">
        <f t="shared" si="36"/>
        <v xml:space="preserve"> </v>
      </c>
      <c r="R246" s="20">
        <f t="shared" si="37"/>
        <v>0</v>
      </c>
      <c r="S246" s="20">
        <f t="shared" si="38"/>
        <v>0</v>
      </c>
      <c r="T246" s="20">
        <f t="shared" si="39"/>
        <v>0</v>
      </c>
      <c r="U246" s="20">
        <f>IF($J$2="x",IFERROR(SMALL($O$11:$O$14,236),0),IF($J$3="x",IFERROR(SMALL($O$11:$O$18,236),0),IF($J$4="x",IFERROR(SMALL($O$11:$O$26,236),0),IF($J$5="x",IFERROR(SMALL($O$11:$O$42,236),0),IF($J$6="x",IFERROR(SMALL($O$11:$O$74,236),0),IF($J$7="x",IFERROR(SMALL($O$11:$O$138,236),0),IFERROR(SMALL($O$11:$O$266,236),0)))))))</f>
        <v>1.010346</v>
      </c>
      <c r="V246" s="20">
        <f t="shared" si="40"/>
        <v>236</v>
      </c>
      <c r="W246" s="20" t="str">
        <f t="shared" si="41"/>
        <v xml:space="preserve"> </v>
      </c>
      <c r="Y246" s="29">
        <v>236</v>
      </c>
      <c r="Z246" s="36" t="str">
        <f t="shared" si="42"/>
        <v xml:space="preserve"> </v>
      </c>
      <c r="AA246" s="35" t="str">
        <f>IFERROR(INDEX(#REF!,MATCH(AB246,#REF!,0))," ")</f>
        <v xml:space="preserve"> </v>
      </c>
      <c r="AB246" s="30">
        <f t="shared" si="43"/>
        <v>0</v>
      </c>
    </row>
    <row r="247" spans="1:28" x14ac:dyDescent="0.25">
      <c r="A247" s="38"/>
      <c r="B247" s="31" t="s">
        <v>271</v>
      </c>
      <c r="C247" s="32" t="str">
        <f>IF('Infos générales'!$E$2="x",IF(A247&gt;0,INDEX(DP!$A$10:$G$265,MATCH(A247,DP!$A$10:$A$265,0),6)," "),IF(A247&gt;0,INDEX(DP!$A$10:$G$265,MATCH(A247,DP!$A$10:$A$265,0),4)," "))</f>
        <v xml:space="preserve"> </v>
      </c>
      <c r="E247" s="39"/>
      <c r="F247" s="33" t="s">
        <v>34</v>
      </c>
      <c r="G247" s="40"/>
      <c r="H247" s="39"/>
      <c r="I247" s="33" t="s">
        <v>34</v>
      </c>
      <c r="J247" s="40"/>
      <c r="K247" s="39"/>
      <c r="L247" s="33" t="s">
        <v>34</v>
      </c>
      <c r="M247" s="40"/>
      <c r="N247" s="34">
        <f t="shared" si="33"/>
        <v>237</v>
      </c>
      <c r="O247" s="20">
        <f t="shared" si="34"/>
        <v>1.0103470000000001</v>
      </c>
      <c r="P247" s="20">
        <f t="shared" si="35"/>
        <v>237</v>
      </c>
      <c r="Q247" s="20" t="str">
        <f t="shared" si="36"/>
        <v xml:space="preserve"> </v>
      </c>
      <c r="R247" s="20">
        <f t="shared" si="37"/>
        <v>0</v>
      </c>
      <c r="S247" s="20">
        <f t="shared" si="38"/>
        <v>0</v>
      </c>
      <c r="T247" s="20">
        <f t="shared" si="39"/>
        <v>0</v>
      </c>
      <c r="U247" s="20">
        <f>IF($J$2="x",IFERROR(SMALL($O$11:$O$14,237),0),IF($J$3="x",IFERROR(SMALL($O$11:$O$18,237),0),IF($J$4="x",IFERROR(SMALL($O$11:$O$26,237),0),IF($J$5="x",IFERROR(SMALL($O$11:$O$42,237),0),IF($J$6="x",IFERROR(SMALL($O$11:$O$74,237),0),IF($J$7="x",IFERROR(SMALL($O$11:$O$138,237),0),IFERROR(SMALL($O$11:$O$266,237),0)))))))</f>
        <v>1.0103470000000001</v>
      </c>
      <c r="V247" s="20">
        <f t="shared" si="40"/>
        <v>237</v>
      </c>
      <c r="W247" s="20" t="str">
        <f t="shared" si="41"/>
        <v xml:space="preserve"> </v>
      </c>
      <c r="Y247" s="29">
        <v>237</v>
      </c>
      <c r="Z247" s="36" t="str">
        <f t="shared" si="42"/>
        <v xml:space="preserve"> </v>
      </c>
      <c r="AA247" s="35" t="str">
        <f>IFERROR(INDEX(#REF!,MATCH(AB247,#REF!,0))," ")</f>
        <v xml:space="preserve"> </v>
      </c>
      <c r="AB247" s="30">
        <f t="shared" si="43"/>
        <v>0</v>
      </c>
    </row>
    <row r="248" spans="1:28" x14ac:dyDescent="0.25">
      <c r="A248" s="38"/>
      <c r="B248" s="31" t="s">
        <v>272</v>
      </c>
      <c r="C248" s="32" t="str">
        <f>IF('Infos générales'!$E$2="x",IF(A248&gt;0,INDEX(DP!$A$10:$G$265,MATCH(A248,DP!$A$10:$A$265,0),6)," "),IF(A248&gt;0,INDEX(DP!$A$10:$G$265,MATCH(A248,DP!$A$10:$A$265,0),4)," "))</f>
        <v xml:space="preserve"> </v>
      </c>
      <c r="E248" s="39"/>
      <c r="F248" s="33" t="s">
        <v>34</v>
      </c>
      <c r="G248" s="40"/>
      <c r="H248" s="39"/>
      <c r="I248" s="33" t="s">
        <v>34</v>
      </c>
      <c r="J248" s="40"/>
      <c r="K248" s="39"/>
      <c r="L248" s="33" t="s">
        <v>34</v>
      </c>
      <c r="M248" s="40"/>
      <c r="N248" s="34">
        <f t="shared" si="33"/>
        <v>238</v>
      </c>
      <c r="O248" s="20">
        <f t="shared" si="34"/>
        <v>1.010348</v>
      </c>
      <c r="P248" s="20">
        <f t="shared" si="35"/>
        <v>238</v>
      </c>
      <c r="Q248" s="20" t="str">
        <f t="shared" si="36"/>
        <v xml:space="preserve"> </v>
      </c>
      <c r="R248" s="20">
        <f t="shared" si="37"/>
        <v>0</v>
      </c>
      <c r="S248" s="20">
        <f t="shared" si="38"/>
        <v>0</v>
      </c>
      <c r="T248" s="20">
        <f t="shared" si="39"/>
        <v>0</v>
      </c>
      <c r="U248" s="20">
        <f>IF($J$2="x",IFERROR(SMALL($O$11:$O$14,238),0),IF($J$3="x",IFERROR(SMALL($O$11:$O$18,238),0),IF($J$4="x",IFERROR(SMALL($O$11:$O$26,238),0),IF($J$5="x",IFERROR(SMALL($O$11:$O$42,238),0),IF($J$6="x",IFERROR(SMALL($O$11:$O$74,238),0),IF($J$7="x",IFERROR(SMALL($O$11:$O$138,238),0),IFERROR(SMALL($O$11:$O$266,238),0)))))))</f>
        <v>1.010348</v>
      </c>
      <c r="V248" s="20">
        <f t="shared" si="40"/>
        <v>238</v>
      </c>
      <c r="W248" s="20" t="str">
        <f t="shared" si="41"/>
        <v xml:space="preserve"> </v>
      </c>
      <c r="Y248" s="29">
        <v>238</v>
      </c>
      <c r="Z248" s="36" t="str">
        <f t="shared" si="42"/>
        <v xml:space="preserve"> </v>
      </c>
      <c r="AA248" s="35" t="str">
        <f>IFERROR(INDEX(#REF!,MATCH(AB248,#REF!,0))," ")</f>
        <v xml:space="preserve"> </v>
      </c>
      <c r="AB248" s="30">
        <f t="shared" si="43"/>
        <v>0</v>
      </c>
    </row>
    <row r="249" spans="1:28" x14ac:dyDescent="0.25">
      <c r="A249" s="38"/>
      <c r="B249" s="31" t="s">
        <v>273</v>
      </c>
      <c r="C249" s="32" t="str">
        <f>IF('Infos générales'!$E$2="x",IF(A249&gt;0,INDEX(DP!$A$10:$G$265,MATCH(A249,DP!$A$10:$A$265,0),6)," "),IF(A249&gt;0,INDEX(DP!$A$10:$G$265,MATCH(A249,DP!$A$10:$A$265,0),4)," "))</f>
        <v xml:space="preserve"> </v>
      </c>
      <c r="E249" s="39"/>
      <c r="F249" s="33" t="s">
        <v>34</v>
      </c>
      <c r="G249" s="40"/>
      <c r="H249" s="39"/>
      <c r="I249" s="33" t="s">
        <v>34</v>
      </c>
      <c r="J249" s="40"/>
      <c r="K249" s="39"/>
      <c r="L249" s="33" t="s">
        <v>34</v>
      </c>
      <c r="M249" s="40"/>
      <c r="N249" s="34">
        <f t="shared" si="33"/>
        <v>239</v>
      </c>
      <c r="O249" s="20">
        <f t="shared" si="34"/>
        <v>1.0103489999999999</v>
      </c>
      <c r="P249" s="20">
        <f t="shared" si="35"/>
        <v>239</v>
      </c>
      <c r="Q249" s="20" t="str">
        <f t="shared" si="36"/>
        <v xml:space="preserve"> </v>
      </c>
      <c r="R249" s="20">
        <f t="shared" si="37"/>
        <v>0</v>
      </c>
      <c r="S249" s="20">
        <f t="shared" si="38"/>
        <v>0</v>
      </c>
      <c r="T249" s="20">
        <f t="shared" si="39"/>
        <v>0</v>
      </c>
      <c r="U249" s="20">
        <f>IF($J$2="x",IFERROR(SMALL($O$11:$O$14,239),0),IF($J$3="x",IFERROR(SMALL($O$11:$O$18,239),0),IF($J$4="x",IFERROR(SMALL($O$11:$O$26,239),0),IF($J$5="x",IFERROR(SMALL($O$11:$O$42,239),0),IF($J$6="x",IFERROR(SMALL($O$11:$O$74,239),0),IF($J$7="x",IFERROR(SMALL($O$11:$O$138,239),0),IFERROR(SMALL($O$11:$O$266,239),0)))))))</f>
        <v>1.0103489999999999</v>
      </c>
      <c r="V249" s="20">
        <f t="shared" si="40"/>
        <v>239</v>
      </c>
      <c r="W249" s="20" t="str">
        <f t="shared" si="41"/>
        <v xml:space="preserve"> </v>
      </c>
      <c r="Y249" s="29">
        <v>239</v>
      </c>
      <c r="Z249" s="36" t="str">
        <f t="shared" si="42"/>
        <v xml:space="preserve"> </v>
      </c>
      <c r="AA249" s="35" t="str">
        <f>IFERROR(INDEX(#REF!,MATCH(AB249,#REF!,0))," ")</f>
        <v xml:space="preserve"> </v>
      </c>
      <c r="AB249" s="30">
        <f t="shared" si="43"/>
        <v>0</v>
      </c>
    </row>
    <row r="250" spans="1:28" x14ac:dyDescent="0.25">
      <c r="A250" s="38"/>
      <c r="B250" s="31" t="s">
        <v>274</v>
      </c>
      <c r="C250" s="32" t="str">
        <f>IF('Infos générales'!$E$2="x",IF(A250&gt;0,INDEX(DP!$A$10:$G$265,MATCH(A250,DP!$A$10:$A$265,0),6)," "),IF(A250&gt;0,INDEX(DP!$A$10:$G$265,MATCH(A250,DP!$A$10:$A$265,0),4)," "))</f>
        <v xml:space="preserve"> </v>
      </c>
      <c r="E250" s="39"/>
      <c r="F250" s="33" t="s">
        <v>34</v>
      </c>
      <c r="G250" s="40"/>
      <c r="H250" s="39"/>
      <c r="I250" s="33" t="s">
        <v>34</v>
      </c>
      <c r="J250" s="40"/>
      <c r="K250" s="39"/>
      <c r="L250" s="33" t="s">
        <v>34</v>
      </c>
      <c r="M250" s="40"/>
      <c r="N250" s="34">
        <f t="shared" si="33"/>
        <v>240</v>
      </c>
      <c r="O250" s="20">
        <f t="shared" si="34"/>
        <v>1.0103500000000001</v>
      </c>
      <c r="P250" s="20">
        <f t="shared" si="35"/>
        <v>240</v>
      </c>
      <c r="Q250" s="20" t="str">
        <f t="shared" si="36"/>
        <v xml:space="preserve"> </v>
      </c>
      <c r="R250" s="20">
        <f t="shared" si="37"/>
        <v>0</v>
      </c>
      <c r="S250" s="20">
        <f t="shared" si="38"/>
        <v>0</v>
      </c>
      <c r="T250" s="20">
        <f t="shared" si="39"/>
        <v>0</v>
      </c>
      <c r="U250" s="20">
        <f>IF($J$2="x",IFERROR(SMALL($O$11:$O$14,240),0),IF($J$3="x",IFERROR(SMALL($O$11:$O$18,240),0),IF($J$4="x",IFERROR(SMALL($O$11:$O$26,240),0),IF($J$5="x",IFERROR(SMALL($O$11:$O$42,240),0),IF($J$6="x",IFERROR(SMALL($O$11:$O$74,240),0),IF($J$7="x",IFERROR(SMALL($O$11:$O$138,240),0),IFERROR(SMALL($O$11:$O$266,240),0)))))))</f>
        <v>1.0103500000000001</v>
      </c>
      <c r="V250" s="20">
        <f t="shared" si="40"/>
        <v>240</v>
      </c>
      <c r="W250" s="20" t="str">
        <f t="shared" si="41"/>
        <v xml:space="preserve"> </v>
      </c>
      <c r="Y250" s="29">
        <v>240</v>
      </c>
      <c r="Z250" s="36" t="str">
        <f t="shared" si="42"/>
        <v xml:space="preserve"> </v>
      </c>
      <c r="AA250" s="35" t="str">
        <f>IFERROR(INDEX(#REF!,MATCH(AB250,#REF!,0))," ")</f>
        <v xml:space="preserve"> </v>
      </c>
      <c r="AB250" s="30">
        <f t="shared" si="43"/>
        <v>0</v>
      </c>
    </row>
    <row r="251" spans="1:28" x14ac:dyDescent="0.25">
      <c r="A251" s="38"/>
      <c r="B251" s="31" t="s">
        <v>275</v>
      </c>
      <c r="C251" s="32" t="str">
        <f>IF('Infos générales'!$E$2="x",IF(A251&gt;0,INDEX(DP!$A$10:$G$265,MATCH(A251,DP!$A$10:$A$265,0),6)," "),IF(A251&gt;0,INDEX(DP!$A$10:$G$265,MATCH(A251,DP!$A$10:$A$265,0),4)," "))</f>
        <v xml:space="preserve"> </v>
      </c>
      <c r="E251" s="39"/>
      <c r="F251" s="33" t="s">
        <v>34</v>
      </c>
      <c r="G251" s="40"/>
      <c r="H251" s="39"/>
      <c r="I251" s="33" t="s">
        <v>34</v>
      </c>
      <c r="J251" s="40"/>
      <c r="K251" s="39"/>
      <c r="L251" s="33" t="s">
        <v>34</v>
      </c>
      <c r="M251" s="40"/>
      <c r="N251" s="34">
        <f t="shared" si="33"/>
        <v>241</v>
      </c>
      <c r="O251" s="20">
        <f t="shared" si="34"/>
        <v>1.010351</v>
      </c>
      <c r="P251" s="20">
        <f t="shared" si="35"/>
        <v>241</v>
      </c>
      <c r="Q251" s="20" t="str">
        <f t="shared" si="36"/>
        <v xml:space="preserve"> </v>
      </c>
      <c r="R251" s="20">
        <f t="shared" si="37"/>
        <v>0</v>
      </c>
      <c r="S251" s="20">
        <f t="shared" si="38"/>
        <v>0</v>
      </c>
      <c r="T251" s="20">
        <f t="shared" si="39"/>
        <v>0</v>
      </c>
      <c r="U251" s="20">
        <f>IF($J$2="x",IFERROR(SMALL($O$11:$O$14,241),0),IF($J$3="x",IFERROR(SMALL($O$11:$O$18,241),0),IF($J$4="x",IFERROR(SMALL($O$11:$O$26,241),0),IF($J$5="x",IFERROR(SMALL($O$11:$O$42,241),0),IF($J$6="x",IFERROR(SMALL($O$11:$O$74,241),0),IF($J$7="x",IFERROR(SMALL($O$11:$O$138,241),0),IFERROR(SMALL($O$11:$O$266,241),0)))))))</f>
        <v>1.010351</v>
      </c>
      <c r="V251" s="20">
        <f t="shared" si="40"/>
        <v>241</v>
      </c>
      <c r="W251" s="20" t="str">
        <f t="shared" si="41"/>
        <v xml:space="preserve"> </v>
      </c>
      <c r="Y251" s="29">
        <v>241</v>
      </c>
      <c r="Z251" s="36" t="str">
        <f t="shared" si="42"/>
        <v xml:space="preserve"> </v>
      </c>
      <c r="AA251" s="35" t="str">
        <f>IFERROR(INDEX(#REF!,MATCH(AB251,#REF!,0))," ")</f>
        <v xml:space="preserve"> </v>
      </c>
      <c r="AB251" s="30">
        <f t="shared" si="43"/>
        <v>0</v>
      </c>
    </row>
    <row r="252" spans="1:28" x14ac:dyDescent="0.25">
      <c r="A252" s="38"/>
      <c r="B252" s="31" t="s">
        <v>276</v>
      </c>
      <c r="C252" s="32" t="str">
        <f>IF('Infos générales'!$E$2="x",IF(A252&gt;0,INDEX(DP!$A$10:$G$265,MATCH(A252,DP!$A$10:$A$265,0),6)," "),IF(A252&gt;0,INDEX(DP!$A$10:$G$265,MATCH(A252,DP!$A$10:$A$265,0),4)," "))</f>
        <v xml:space="preserve"> </v>
      </c>
      <c r="E252" s="39"/>
      <c r="F252" s="33" t="s">
        <v>34</v>
      </c>
      <c r="G252" s="40"/>
      <c r="H252" s="39"/>
      <c r="I252" s="33" t="s">
        <v>34</v>
      </c>
      <c r="J252" s="40"/>
      <c r="K252" s="39"/>
      <c r="L252" s="33" t="s">
        <v>34</v>
      </c>
      <c r="M252" s="40"/>
      <c r="N252" s="34">
        <f t="shared" si="33"/>
        <v>242</v>
      </c>
      <c r="O252" s="20">
        <f t="shared" si="34"/>
        <v>1.0103519999999999</v>
      </c>
      <c r="P252" s="20">
        <f t="shared" si="35"/>
        <v>242</v>
      </c>
      <c r="Q252" s="20" t="str">
        <f t="shared" si="36"/>
        <v xml:space="preserve"> </v>
      </c>
      <c r="R252" s="20">
        <f t="shared" si="37"/>
        <v>0</v>
      </c>
      <c r="S252" s="20">
        <f t="shared" si="38"/>
        <v>0</v>
      </c>
      <c r="T252" s="20">
        <f t="shared" si="39"/>
        <v>0</v>
      </c>
      <c r="U252" s="20">
        <f>IF($J$2="x",IFERROR(SMALL($O$11:$O$14,242),0),IF($J$3="x",IFERROR(SMALL($O$11:$O$18,242),0),IF($J$4="x",IFERROR(SMALL($O$11:$O$26,242),0),IF($J$5="x",IFERROR(SMALL($O$11:$O$42,242),0),IF($J$6="x",IFERROR(SMALL($O$11:$O$74,242),0),IF($J$7="x",IFERROR(SMALL($O$11:$O$138,242),0),IFERROR(SMALL($O$11:$O$266,242),0)))))))</f>
        <v>1.0103519999999999</v>
      </c>
      <c r="V252" s="20">
        <f t="shared" si="40"/>
        <v>242</v>
      </c>
      <c r="W252" s="20" t="str">
        <f t="shared" si="41"/>
        <v xml:space="preserve"> </v>
      </c>
      <c r="Y252" s="29">
        <v>242</v>
      </c>
      <c r="Z252" s="36" t="str">
        <f t="shared" si="42"/>
        <v xml:space="preserve"> </v>
      </c>
      <c r="AA252" s="35" t="str">
        <f>IFERROR(INDEX(#REF!,MATCH(AB252,#REF!,0))," ")</f>
        <v xml:space="preserve"> </v>
      </c>
      <c r="AB252" s="30">
        <f t="shared" si="43"/>
        <v>0</v>
      </c>
    </row>
    <row r="253" spans="1:28" x14ac:dyDescent="0.25">
      <c r="A253" s="38"/>
      <c r="B253" s="31" t="s">
        <v>277</v>
      </c>
      <c r="C253" s="32" t="str">
        <f>IF('Infos générales'!$E$2="x",IF(A253&gt;0,INDEX(DP!$A$10:$G$265,MATCH(A253,DP!$A$10:$A$265,0),6)," "),IF(A253&gt;0,INDEX(DP!$A$10:$G$265,MATCH(A253,DP!$A$10:$A$265,0),4)," "))</f>
        <v xml:space="preserve"> </v>
      </c>
      <c r="E253" s="39"/>
      <c r="F253" s="33" t="s">
        <v>34</v>
      </c>
      <c r="G253" s="40"/>
      <c r="H253" s="39"/>
      <c r="I253" s="33" t="s">
        <v>34</v>
      </c>
      <c r="J253" s="40"/>
      <c r="K253" s="39"/>
      <c r="L253" s="33" t="s">
        <v>34</v>
      </c>
      <c r="M253" s="40"/>
      <c r="N253" s="34">
        <f t="shared" si="33"/>
        <v>243</v>
      </c>
      <c r="O253" s="20">
        <f t="shared" si="34"/>
        <v>1.0103530000000001</v>
      </c>
      <c r="P253" s="20">
        <f t="shared" si="35"/>
        <v>243</v>
      </c>
      <c r="Q253" s="20" t="str">
        <f t="shared" si="36"/>
        <v xml:space="preserve"> </v>
      </c>
      <c r="R253" s="20">
        <f t="shared" si="37"/>
        <v>0</v>
      </c>
      <c r="S253" s="20">
        <f t="shared" si="38"/>
        <v>0</v>
      </c>
      <c r="T253" s="20">
        <f t="shared" si="39"/>
        <v>0</v>
      </c>
      <c r="U253" s="20">
        <f>IF($J$2="x",IFERROR(SMALL($O$11:$O$14,243),0),IF($J$3="x",IFERROR(SMALL($O$11:$O$18,243),0),IF($J$4="x",IFERROR(SMALL($O$11:$O$26,243),0),IF($J$5="x",IFERROR(SMALL($O$11:$O$42,243),0),IF($J$6="x",IFERROR(SMALL($O$11:$O$74,243),0),IF($J$7="x",IFERROR(SMALL($O$11:$O$138,243),0),IFERROR(SMALL($O$11:$O$266,243),0)))))))</f>
        <v>1.0103530000000001</v>
      </c>
      <c r="V253" s="20">
        <f t="shared" si="40"/>
        <v>243</v>
      </c>
      <c r="W253" s="20" t="str">
        <f t="shared" si="41"/>
        <v xml:space="preserve"> </v>
      </c>
      <c r="Y253" s="29">
        <v>243</v>
      </c>
      <c r="Z253" s="36" t="str">
        <f t="shared" si="42"/>
        <v xml:space="preserve"> </v>
      </c>
      <c r="AA253" s="35" t="str">
        <f>IFERROR(INDEX(#REF!,MATCH(AB253,#REF!,0))," ")</f>
        <v xml:space="preserve"> </v>
      </c>
      <c r="AB253" s="30">
        <f t="shared" si="43"/>
        <v>0</v>
      </c>
    </row>
    <row r="254" spans="1:28" x14ac:dyDescent="0.25">
      <c r="A254" s="38"/>
      <c r="B254" s="31" t="s">
        <v>278</v>
      </c>
      <c r="C254" s="32" t="str">
        <f>IF('Infos générales'!$E$2="x",IF(A254&gt;0,INDEX(DP!$A$10:$G$265,MATCH(A254,DP!$A$10:$A$265,0),6)," "),IF(A254&gt;0,INDEX(DP!$A$10:$G$265,MATCH(A254,DP!$A$10:$A$265,0),4)," "))</f>
        <v xml:space="preserve"> </v>
      </c>
      <c r="E254" s="39"/>
      <c r="F254" s="33" t="s">
        <v>34</v>
      </c>
      <c r="G254" s="40"/>
      <c r="H254" s="39"/>
      <c r="I254" s="33" t="s">
        <v>34</v>
      </c>
      <c r="J254" s="40"/>
      <c r="K254" s="39"/>
      <c r="L254" s="33" t="s">
        <v>34</v>
      </c>
      <c r="M254" s="40"/>
      <c r="N254" s="34">
        <f t="shared" si="33"/>
        <v>244</v>
      </c>
      <c r="O254" s="20">
        <f t="shared" si="34"/>
        <v>1.010354</v>
      </c>
      <c r="P254" s="20">
        <f t="shared" si="35"/>
        <v>244</v>
      </c>
      <c r="Q254" s="20" t="str">
        <f t="shared" si="36"/>
        <v xml:space="preserve"> </v>
      </c>
      <c r="R254" s="20">
        <f t="shared" si="37"/>
        <v>0</v>
      </c>
      <c r="S254" s="20">
        <f t="shared" si="38"/>
        <v>0</v>
      </c>
      <c r="T254" s="20">
        <f t="shared" si="39"/>
        <v>0</v>
      </c>
      <c r="U254" s="20">
        <f>IF($J$2="x",IFERROR(SMALL($O$11:$O$14,244),0),IF($J$3="x",IFERROR(SMALL($O$11:$O$18,244),0),IF($J$4="x",IFERROR(SMALL($O$11:$O$26,244),0),IF($J$5="x",IFERROR(SMALL($O$11:$O$42,244),0),IF($J$6="x",IFERROR(SMALL($O$11:$O$74,244),0),IF($J$7="x",IFERROR(SMALL($O$11:$O$138,244),0),IFERROR(SMALL($O$11:$O$266,244),0)))))))</f>
        <v>1.010354</v>
      </c>
      <c r="V254" s="20">
        <f t="shared" si="40"/>
        <v>244</v>
      </c>
      <c r="W254" s="20" t="str">
        <f t="shared" si="41"/>
        <v xml:space="preserve"> </v>
      </c>
      <c r="Y254" s="29">
        <v>244</v>
      </c>
      <c r="Z254" s="36" t="str">
        <f t="shared" si="42"/>
        <v xml:space="preserve"> </v>
      </c>
      <c r="AA254" s="35" t="str">
        <f>IFERROR(INDEX(#REF!,MATCH(AB254,#REF!,0))," ")</f>
        <v xml:space="preserve"> </v>
      </c>
      <c r="AB254" s="30">
        <f t="shared" si="43"/>
        <v>0</v>
      </c>
    </row>
    <row r="255" spans="1:28" x14ac:dyDescent="0.25">
      <c r="A255" s="38"/>
      <c r="B255" s="31" t="s">
        <v>279</v>
      </c>
      <c r="C255" s="32" t="str">
        <f>IF('Infos générales'!$E$2="x",IF(A255&gt;0,INDEX(DP!$A$10:$G$265,MATCH(A255,DP!$A$10:$A$265,0),6)," "),IF(A255&gt;0,INDEX(DP!$A$10:$G$265,MATCH(A255,DP!$A$10:$A$265,0),4)," "))</f>
        <v xml:space="preserve"> </v>
      </c>
      <c r="E255" s="39"/>
      <c r="F255" s="33" t="s">
        <v>34</v>
      </c>
      <c r="G255" s="40"/>
      <c r="H255" s="39"/>
      <c r="I255" s="33" t="s">
        <v>34</v>
      </c>
      <c r="J255" s="40"/>
      <c r="K255" s="39"/>
      <c r="L255" s="33" t="s">
        <v>34</v>
      </c>
      <c r="M255" s="40"/>
      <c r="N255" s="34">
        <f t="shared" si="33"/>
        <v>245</v>
      </c>
      <c r="O255" s="20">
        <f t="shared" si="34"/>
        <v>1.0103549999999999</v>
      </c>
      <c r="P255" s="20">
        <f t="shared" si="35"/>
        <v>245</v>
      </c>
      <c r="Q255" s="20" t="str">
        <f t="shared" si="36"/>
        <v xml:space="preserve"> </v>
      </c>
      <c r="R255" s="20">
        <f t="shared" si="37"/>
        <v>0</v>
      </c>
      <c r="S255" s="20">
        <f t="shared" si="38"/>
        <v>0</v>
      </c>
      <c r="T255" s="20">
        <f t="shared" si="39"/>
        <v>0</v>
      </c>
      <c r="U255" s="20">
        <f>IF($J$2="x",IFERROR(SMALL($O$11:$O$14,245),0),IF($J$3="x",IFERROR(SMALL($O$11:$O$18,245),0),IF($J$4="x",IFERROR(SMALL($O$11:$O$26,245),0),IF($J$5="x",IFERROR(SMALL($O$11:$O$42,245),0),IF($J$6="x",IFERROR(SMALL($O$11:$O$74,245),0),IF($J$7="x",IFERROR(SMALL($O$11:$O$138,245),0),IFERROR(SMALL($O$11:$O$266,245),0)))))))</f>
        <v>1.0103549999999999</v>
      </c>
      <c r="V255" s="20">
        <f t="shared" si="40"/>
        <v>245</v>
      </c>
      <c r="W255" s="20" t="str">
        <f t="shared" si="41"/>
        <v xml:space="preserve"> </v>
      </c>
      <c r="Y255" s="29">
        <v>245</v>
      </c>
      <c r="Z255" s="36" t="str">
        <f t="shared" si="42"/>
        <v xml:space="preserve"> </v>
      </c>
      <c r="AA255" s="35" t="str">
        <f>IFERROR(INDEX(#REF!,MATCH(AB255,#REF!,0))," ")</f>
        <v xml:space="preserve"> </v>
      </c>
      <c r="AB255" s="30">
        <f t="shared" si="43"/>
        <v>0</v>
      </c>
    </row>
    <row r="256" spans="1:28" x14ac:dyDescent="0.25">
      <c r="A256" s="38"/>
      <c r="B256" s="31" t="s">
        <v>280</v>
      </c>
      <c r="C256" s="32" t="str">
        <f>IF('Infos générales'!$E$2="x",IF(A256&gt;0,INDEX(DP!$A$10:$G$265,MATCH(A256,DP!$A$10:$A$265,0),6)," "),IF(A256&gt;0,INDEX(DP!$A$10:$G$265,MATCH(A256,DP!$A$10:$A$265,0),4)," "))</f>
        <v xml:space="preserve"> </v>
      </c>
      <c r="E256" s="39"/>
      <c r="F256" s="33" t="s">
        <v>34</v>
      </c>
      <c r="G256" s="40"/>
      <c r="H256" s="39"/>
      <c r="I256" s="33" t="s">
        <v>34</v>
      </c>
      <c r="J256" s="40"/>
      <c r="K256" s="39"/>
      <c r="L256" s="33" t="s">
        <v>34</v>
      </c>
      <c r="M256" s="40"/>
      <c r="N256" s="34">
        <f t="shared" si="33"/>
        <v>246</v>
      </c>
      <c r="O256" s="20">
        <f t="shared" si="34"/>
        <v>1.010356</v>
      </c>
      <c r="P256" s="20">
        <f t="shared" si="35"/>
        <v>246</v>
      </c>
      <c r="Q256" s="20" t="str">
        <f t="shared" si="36"/>
        <v xml:space="preserve"> </v>
      </c>
      <c r="R256" s="20">
        <f t="shared" si="37"/>
        <v>0</v>
      </c>
      <c r="S256" s="20">
        <f t="shared" si="38"/>
        <v>0</v>
      </c>
      <c r="T256" s="20">
        <f t="shared" si="39"/>
        <v>0</v>
      </c>
      <c r="U256" s="20">
        <f>IF($J$2="x",IFERROR(SMALL($O$11:$O$14,246),0),IF($J$3="x",IFERROR(SMALL($O$11:$O$18,246),0),IF($J$4="x",IFERROR(SMALL($O$11:$O$26,246),0),IF($J$5="x",IFERROR(SMALL($O$11:$O$42,246),0),IF($J$6="x",IFERROR(SMALL($O$11:$O$74,246),0),IF($J$7="x",IFERROR(SMALL($O$11:$O$138,246),0),IFERROR(SMALL($O$11:$O$266,246),0)))))))</f>
        <v>1.010356</v>
      </c>
      <c r="V256" s="20">
        <f t="shared" si="40"/>
        <v>246</v>
      </c>
      <c r="W256" s="20" t="str">
        <f t="shared" si="41"/>
        <v xml:space="preserve"> </v>
      </c>
      <c r="Y256" s="29">
        <v>246</v>
      </c>
      <c r="Z256" s="36" t="str">
        <f t="shared" si="42"/>
        <v xml:space="preserve"> </v>
      </c>
      <c r="AA256" s="35" t="str">
        <f>IFERROR(INDEX(#REF!,MATCH(AB256,#REF!,0))," ")</f>
        <v xml:space="preserve"> </v>
      </c>
      <c r="AB256" s="30">
        <f t="shared" si="43"/>
        <v>0</v>
      </c>
    </row>
    <row r="257" spans="1:28" x14ac:dyDescent="0.25">
      <c r="A257" s="38"/>
      <c r="B257" s="31" t="s">
        <v>281</v>
      </c>
      <c r="C257" s="32" t="str">
        <f>IF('Infos générales'!$E$2="x",IF(A257&gt;0,INDEX(DP!$A$10:$G$265,MATCH(A257,DP!$A$10:$A$265,0),6)," "),IF(A257&gt;0,INDEX(DP!$A$10:$G$265,MATCH(A257,DP!$A$10:$A$265,0),4)," "))</f>
        <v xml:space="preserve"> </v>
      </c>
      <c r="E257" s="39"/>
      <c r="F257" s="33" t="s">
        <v>34</v>
      </c>
      <c r="G257" s="40"/>
      <c r="H257" s="39"/>
      <c r="I257" s="33" t="s">
        <v>34</v>
      </c>
      <c r="J257" s="40"/>
      <c r="K257" s="39"/>
      <c r="L257" s="33" t="s">
        <v>34</v>
      </c>
      <c r="M257" s="40"/>
      <c r="N257" s="34">
        <f t="shared" si="33"/>
        <v>247</v>
      </c>
      <c r="O257" s="20">
        <f t="shared" si="34"/>
        <v>1.0103569999999999</v>
      </c>
      <c r="P257" s="20">
        <f t="shared" si="35"/>
        <v>247</v>
      </c>
      <c r="Q257" s="20" t="str">
        <f t="shared" si="36"/>
        <v xml:space="preserve"> </v>
      </c>
      <c r="R257" s="20">
        <f t="shared" si="37"/>
        <v>0</v>
      </c>
      <c r="S257" s="20">
        <f t="shared" si="38"/>
        <v>0</v>
      </c>
      <c r="T257" s="20">
        <f t="shared" si="39"/>
        <v>0</v>
      </c>
      <c r="U257" s="20">
        <f>IF($J$2="x",IFERROR(SMALL($O$11:$O$14,247),0),IF($J$3="x",IFERROR(SMALL($O$11:$O$18,247),0),IF($J$4="x",IFERROR(SMALL($O$11:$O$26,247),0),IF($J$5="x",IFERROR(SMALL($O$11:$O$42,247),0),IF($J$6="x",IFERROR(SMALL($O$11:$O$74,247),0),IF($J$7="x",IFERROR(SMALL($O$11:$O$138,247),0),IFERROR(SMALL($O$11:$O$266,247),0)))))))</f>
        <v>1.0103569999999999</v>
      </c>
      <c r="V257" s="20">
        <f t="shared" si="40"/>
        <v>247</v>
      </c>
      <c r="W257" s="20" t="str">
        <f t="shared" si="41"/>
        <v xml:space="preserve"> </v>
      </c>
      <c r="Y257" s="29">
        <v>247</v>
      </c>
      <c r="Z257" s="36" t="str">
        <f t="shared" si="42"/>
        <v xml:space="preserve"> </v>
      </c>
      <c r="AA257" s="35" t="str">
        <f>IFERROR(INDEX(#REF!,MATCH(AB257,#REF!,0))," ")</f>
        <v xml:space="preserve"> </v>
      </c>
      <c r="AB257" s="30">
        <f t="shared" si="43"/>
        <v>0</v>
      </c>
    </row>
    <row r="258" spans="1:28" x14ac:dyDescent="0.25">
      <c r="A258" s="38"/>
      <c r="B258" s="31" t="s">
        <v>282</v>
      </c>
      <c r="C258" s="32" t="str">
        <f>IF('Infos générales'!$E$2="x",IF(A258&gt;0,INDEX(DP!$A$10:$G$265,MATCH(A258,DP!$A$10:$A$265,0),6)," "),IF(A258&gt;0,INDEX(DP!$A$10:$G$265,MATCH(A258,DP!$A$10:$A$265,0),4)," "))</f>
        <v xml:space="preserve"> </v>
      </c>
      <c r="E258" s="39"/>
      <c r="F258" s="33" t="s">
        <v>34</v>
      </c>
      <c r="G258" s="40"/>
      <c r="H258" s="39"/>
      <c r="I258" s="33" t="s">
        <v>34</v>
      </c>
      <c r="J258" s="40"/>
      <c r="K258" s="39"/>
      <c r="L258" s="33" t="s">
        <v>34</v>
      </c>
      <c r="M258" s="40"/>
      <c r="N258" s="34">
        <f t="shared" si="33"/>
        <v>248</v>
      </c>
      <c r="O258" s="20">
        <f t="shared" si="34"/>
        <v>1.0103580000000001</v>
      </c>
      <c r="P258" s="20">
        <f t="shared" si="35"/>
        <v>248</v>
      </c>
      <c r="Q258" s="20" t="str">
        <f t="shared" si="36"/>
        <v xml:space="preserve"> </v>
      </c>
      <c r="R258" s="20">
        <f t="shared" si="37"/>
        <v>0</v>
      </c>
      <c r="S258" s="20">
        <f t="shared" si="38"/>
        <v>0</v>
      </c>
      <c r="T258" s="20">
        <f t="shared" si="39"/>
        <v>0</v>
      </c>
      <c r="U258" s="20">
        <f>IF($J$2="x",IFERROR(SMALL($O$11:$O$14,248),0),IF($J$3="x",IFERROR(SMALL($O$11:$O$18,248),0),IF($J$4="x",IFERROR(SMALL($O$11:$O$26,248),0),IF($J$5="x",IFERROR(SMALL($O$11:$O$42,248),0),IF($J$6="x",IFERROR(SMALL($O$11:$O$74,248),0),IF($J$7="x",IFERROR(SMALL($O$11:$O$138,248),0),IFERROR(SMALL($O$11:$O$266,248),0)))))))</f>
        <v>1.0103580000000001</v>
      </c>
      <c r="V258" s="20">
        <f t="shared" si="40"/>
        <v>248</v>
      </c>
      <c r="W258" s="20" t="str">
        <f t="shared" si="41"/>
        <v xml:space="preserve"> </v>
      </c>
      <c r="Y258" s="29">
        <v>248</v>
      </c>
      <c r="Z258" s="36" t="str">
        <f t="shared" si="42"/>
        <v xml:space="preserve"> </v>
      </c>
      <c r="AA258" s="35" t="str">
        <f>IFERROR(INDEX(#REF!,MATCH(AB258,#REF!,0))," ")</f>
        <v xml:space="preserve"> </v>
      </c>
      <c r="AB258" s="30">
        <f t="shared" si="43"/>
        <v>0</v>
      </c>
    </row>
    <row r="259" spans="1:28" x14ac:dyDescent="0.25">
      <c r="A259" s="38"/>
      <c r="B259" s="31" t="s">
        <v>283</v>
      </c>
      <c r="C259" s="32" t="str">
        <f>IF('Infos générales'!$E$2="x",IF(A259&gt;0,INDEX(DP!$A$10:$G$265,MATCH(A259,DP!$A$10:$A$265,0),6)," "),IF(A259&gt;0,INDEX(DP!$A$10:$G$265,MATCH(A259,DP!$A$10:$A$265,0),4)," "))</f>
        <v xml:space="preserve"> </v>
      </c>
      <c r="E259" s="39"/>
      <c r="F259" s="33" t="s">
        <v>34</v>
      </c>
      <c r="G259" s="40"/>
      <c r="H259" s="39"/>
      <c r="I259" s="33" t="s">
        <v>34</v>
      </c>
      <c r="J259" s="40"/>
      <c r="K259" s="39"/>
      <c r="L259" s="33" t="s">
        <v>34</v>
      </c>
      <c r="M259" s="40"/>
      <c r="N259" s="34">
        <f t="shared" si="33"/>
        <v>249</v>
      </c>
      <c r="O259" s="20">
        <f t="shared" si="34"/>
        <v>1.010359</v>
      </c>
      <c r="P259" s="20">
        <f t="shared" si="35"/>
        <v>249</v>
      </c>
      <c r="Q259" s="20" t="str">
        <f t="shared" si="36"/>
        <v xml:space="preserve"> </v>
      </c>
      <c r="R259" s="20">
        <f t="shared" si="37"/>
        <v>0</v>
      </c>
      <c r="S259" s="20">
        <f t="shared" si="38"/>
        <v>0</v>
      </c>
      <c r="T259" s="20">
        <f t="shared" si="39"/>
        <v>0</v>
      </c>
      <c r="U259" s="20">
        <f>IF($J$2="x",IFERROR(SMALL($O$11:$O$14,249),0),IF($J$3="x",IFERROR(SMALL($O$11:$O$18,249),0),IF($J$4="x",IFERROR(SMALL($O$11:$O$26,249),0),IF($J$5="x",IFERROR(SMALL($O$11:$O$42,249),0),IF($J$6="x",IFERROR(SMALL($O$11:$O$74,249),0),IF($J$7="x",IFERROR(SMALL($O$11:$O$138,249),0),IFERROR(SMALL($O$11:$O$266,249),0)))))))</f>
        <v>1.010359</v>
      </c>
      <c r="V259" s="20">
        <f t="shared" si="40"/>
        <v>249</v>
      </c>
      <c r="W259" s="20" t="str">
        <f t="shared" si="41"/>
        <v xml:space="preserve"> </v>
      </c>
      <c r="Y259" s="29">
        <v>249</v>
      </c>
      <c r="Z259" s="36" t="str">
        <f t="shared" si="42"/>
        <v xml:space="preserve"> </v>
      </c>
      <c r="AA259" s="35" t="str">
        <f>IFERROR(INDEX(#REF!,MATCH(AB259,#REF!,0))," ")</f>
        <v xml:space="preserve"> </v>
      </c>
      <c r="AB259" s="30">
        <f t="shared" si="43"/>
        <v>0</v>
      </c>
    </row>
    <row r="260" spans="1:28" x14ac:dyDescent="0.25">
      <c r="A260" s="38"/>
      <c r="B260" s="31" t="s">
        <v>284</v>
      </c>
      <c r="C260" s="32" t="str">
        <f>IF('Infos générales'!$E$2="x",IF(A260&gt;0,INDEX(DP!$A$10:$G$265,MATCH(A260,DP!$A$10:$A$265,0),6)," "),IF(A260&gt;0,INDEX(DP!$A$10:$G$265,MATCH(A260,DP!$A$10:$A$265,0),4)," "))</f>
        <v xml:space="preserve"> </v>
      </c>
      <c r="E260" s="39"/>
      <c r="F260" s="33" t="s">
        <v>34</v>
      </c>
      <c r="G260" s="40"/>
      <c r="H260" s="39"/>
      <c r="I260" s="33" t="s">
        <v>34</v>
      </c>
      <c r="J260" s="40"/>
      <c r="K260" s="39"/>
      <c r="L260" s="33" t="s">
        <v>34</v>
      </c>
      <c r="M260" s="40"/>
      <c r="N260" s="34">
        <f t="shared" si="33"/>
        <v>250</v>
      </c>
      <c r="O260" s="20">
        <f t="shared" si="34"/>
        <v>1.0103599999999999</v>
      </c>
      <c r="P260" s="20">
        <f t="shared" si="35"/>
        <v>250</v>
      </c>
      <c r="Q260" s="20" t="str">
        <f t="shared" si="36"/>
        <v xml:space="preserve"> </v>
      </c>
      <c r="R260" s="20">
        <f t="shared" si="37"/>
        <v>0</v>
      </c>
      <c r="S260" s="20">
        <f t="shared" si="38"/>
        <v>0</v>
      </c>
      <c r="T260" s="20">
        <f t="shared" si="39"/>
        <v>0</v>
      </c>
      <c r="U260" s="20">
        <f>IF($J$2="x",IFERROR(SMALL($O$11:$O$14,250),0),IF($J$3="x",IFERROR(SMALL($O$11:$O$18,250),0),IF($J$4="x",IFERROR(SMALL($O$11:$O$26,250),0),IF($J$5="x",IFERROR(SMALL($O$11:$O$42,250),0),IF($J$6="x",IFERROR(SMALL($O$11:$O$74,250),0),IF($J$7="x",IFERROR(SMALL($O$11:$O$138,250),0),IFERROR(SMALL($O$11:$O$266,250),0)))))))</f>
        <v>1.0103599999999999</v>
      </c>
      <c r="V260" s="20">
        <f t="shared" si="40"/>
        <v>250</v>
      </c>
      <c r="W260" s="20" t="str">
        <f t="shared" si="41"/>
        <v xml:space="preserve"> </v>
      </c>
      <c r="Y260" s="29">
        <v>250</v>
      </c>
      <c r="Z260" s="36" t="str">
        <f t="shared" si="42"/>
        <v xml:space="preserve"> </v>
      </c>
      <c r="AA260" s="35" t="str">
        <f>IFERROR(INDEX(#REF!,MATCH(AB260,#REF!,0))," ")</f>
        <v xml:space="preserve"> </v>
      </c>
      <c r="AB260" s="30">
        <f t="shared" si="43"/>
        <v>0</v>
      </c>
    </row>
    <row r="261" spans="1:28" x14ac:dyDescent="0.25">
      <c r="A261" s="38"/>
      <c r="B261" s="31" t="s">
        <v>285</v>
      </c>
      <c r="C261" s="32" t="str">
        <f>IF('Infos générales'!$E$2="x",IF(A261&gt;0,INDEX(DP!$A$10:$G$265,MATCH(A261,DP!$A$10:$A$265,0),6)," "),IF(A261&gt;0,INDEX(DP!$A$10:$G$265,MATCH(A261,DP!$A$10:$A$265,0),4)," "))</f>
        <v xml:space="preserve"> </v>
      </c>
      <c r="E261" s="39"/>
      <c r="F261" s="33" t="s">
        <v>34</v>
      </c>
      <c r="G261" s="40"/>
      <c r="H261" s="39"/>
      <c r="I261" s="33" t="s">
        <v>34</v>
      </c>
      <c r="J261" s="40"/>
      <c r="K261" s="39"/>
      <c r="L261" s="33" t="s">
        <v>34</v>
      </c>
      <c r="M261" s="40"/>
      <c r="N261" s="34">
        <f t="shared" si="33"/>
        <v>251</v>
      </c>
      <c r="O261" s="20">
        <f t="shared" si="34"/>
        <v>1.0103610000000001</v>
      </c>
      <c r="P261" s="20">
        <f t="shared" si="35"/>
        <v>251</v>
      </c>
      <c r="Q261" s="20" t="str">
        <f t="shared" si="36"/>
        <v xml:space="preserve"> </v>
      </c>
      <c r="R261" s="20">
        <f t="shared" si="37"/>
        <v>0</v>
      </c>
      <c r="S261" s="20">
        <f t="shared" si="38"/>
        <v>0</v>
      </c>
      <c r="T261" s="20">
        <f t="shared" si="39"/>
        <v>0</v>
      </c>
      <c r="U261" s="20">
        <f>IF($J$2="x",IFERROR(SMALL($O$11:$O$14,251),0),IF($J$3="x",IFERROR(SMALL($O$11:$O$18,251),0),IF($J$4="x",IFERROR(SMALL($O$11:$O$26,251),0),IF($J$5="x",IFERROR(SMALL($O$11:$O$42,251),0),IF($J$6="x",IFERROR(SMALL($O$11:$O$74,251),0),IF($J$7="x",IFERROR(SMALL($O$11:$O$138,251),0),IFERROR(SMALL($O$11:$O$266,251),0)))))))</f>
        <v>1.0103610000000001</v>
      </c>
      <c r="V261" s="20">
        <f t="shared" si="40"/>
        <v>251</v>
      </c>
      <c r="W261" s="20" t="str">
        <f t="shared" si="41"/>
        <v xml:space="preserve"> </v>
      </c>
      <c r="Y261" s="29">
        <v>251</v>
      </c>
      <c r="Z261" s="36" t="str">
        <f t="shared" si="42"/>
        <v xml:space="preserve"> </v>
      </c>
      <c r="AA261" s="35" t="str">
        <f>IFERROR(INDEX(#REF!,MATCH(AB261,#REF!,0))," ")</f>
        <v xml:space="preserve"> </v>
      </c>
      <c r="AB261" s="30">
        <f t="shared" si="43"/>
        <v>0</v>
      </c>
    </row>
    <row r="262" spans="1:28" x14ac:dyDescent="0.25">
      <c r="A262" s="38"/>
      <c r="B262" s="31" t="s">
        <v>286</v>
      </c>
      <c r="C262" s="32" t="str">
        <f>IF('Infos générales'!$E$2="x",IF(A262&gt;0,INDEX(DP!$A$10:$G$265,MATCH(A262,DP!$A$10:$A$265,0),6)," "),IF(A262&gt;0,INDEX(DP!$A$10:$G$265,MATCH(A262,DP!$A$10:$A$265,0),4)," "))</f>
        <v xml:space="preserve"> </v>
      </c>
      <c r="E262" s="39"/>
      <c r="F262" s="33" t="s">
        <v>34</v>
      </c>
      <c r="G262" s="40"/>
      <c r="H262" s="39"/>
      <c r="I262" s="33" t="s">
        <v>34</v>
      </c>
      <c r="J262" s="40"/>
      <c r="K262" s="39"/>
      <c r="L262" s="33" t="s">
        <v>34</v>
      </c>
      <c r="M262" s="40"/>
      <c r="N262" s="34">
        <f t="shared" si="33"/>
        <v>252</v>
      </c>
      <c r="O262" s="20">
        <f t="shared" si="34"/>
        <v>1.010362</v>
      </c>
      <c r="P262" s="20">
        <f t="shared" si="35"/>
        <v>252</v>
      </c>
      <c r="Q262" s="20" t="str">
        <f t="shared" si="36"/>
        <v xml:space="preserve"> </v>
      </c>
      <c r="R262" s="20">
        <f t="shared" si="37"/>
        <v>0</v>
      </c>
      <c r="S262" s="20">
        <f t="shared" si="38"/>
        <v>0</v>
      </c>
      <c r="T262" s="20">
        <f t="shared" si="39"/>
        <v>0</v>
      </c>
      <c r="U262" s="20">
        <f>IF($J$2="x",IFERROR(SMALL($O$11:$O$14,252),0),IF($J$3="x",IFERROR(SMALL($O$11:$O$18,252),0),IF($J$4="x",IFERROR(SMALL($O$11:$O$26,252),0),IF($J$5="x",IFERROR(SMALL($O$11:$O$42,252),0),IF($J$6="x",IFERROR(SMALL($O$11:$O$74,252),0),IF($J$7="x",IFERROR(SMALL($O$11:$O$138,252),0),IFERROR(SMALL($O$11:$O$266,252),0)))))))</f>
        <v>1.010362</v>
      </c>
      <c r="V262" s="20">
        <f t="shared" si="40"/>
        <v>252</v>
      </c>
      <c r="W262" s="20" t="str">
        <f t="shared" si="41"/>
        <v xml:space="preserve"> </v>
      </c>
      <c r="Y262" s="29">
        <v>252</v>
      </c>
      <c r="Z262" s="36" t="str">
        <f t="shared" si="42"/>
        <v xml:space="preserve"> </v>
      </c>
      <c r="AA262" s="35" t="str">
        <f>IFERROR(INDEX(#REF!,MATCH(AB262,#REF!,0))," ")</f>
        <v xml:space="preserve"> </v>
      </c>
      <c r="AB262" s="30">
        <f t="shared" si="43"/>
        <v>0</v>
      </c>
    </row>
    <row r="263" spans="1:28" x14ac:dyDescent="0.25">
      <c r="A263" s="38"/>
      <c r="B263" s="31" t="s">
        <v>287</v>
      </c>
      <c r="C263" s="32" t="str">
        <f>IF('Infos générales'!$E$2="x",IF(A263&gt;0,INDEX(DP!$A$10:$G$265,MATCH(A263,DP!$A$10:$A$265,0),6)," "),IF(A263&gt;0,INDEX(DP!$A$10:$G$265,MATCH(A263,DP!$A$10:$A$265,0),4)," "))</f>
        <v xml:space="preserve"> </v>
      </c>
      <c r="E263" s="39"/>
      <c r="F263" s="33" t="s">
        <v>34</v>
      </c>
      <c r="G263" s="40"/>
      <c r="H263" s="39"/>
      <c r="I263" s="33" t="s">
        <v>34</v>
      </c>
      <c r="J263" s="40"/>
      <c r="K263" s="39"/>
      <c r="L263" s="33" t="s">
        <v>34</v>
      </c>
      <c r="M263" s="40"/>
      <c r="N263" s="34">
        <f t="shared" si="33"/>
        <v>253</v>
      </c>
      <c r="O263" s="20">
        <f t="shared" si="34"/>
        <v>1.0103629999999999</v>
      </c>
      <c r="P263" s="20">
        <f t="shared" si="35"/>
        <v>253</v>
      </c>
      <c r="Q263" s="20" t="str">
        <f t="shared" si="36"/>
        <v xml:space="preserve"> </v>
      </c>
      <c r="R263" s="20">
        <f t="shared" si="37"/>
        <v>0</v>
      </c>
      <c r="S263" s="20">
        <f t="shared" si="38"/>
        <v>0</v>
      </c>
      <c r="T263" s="20">
        <f t="shared" si="39"/>
        <v>0</v>
      </c>
      <c r="U263" s="20">
        <f>IF($J$2="x",IFERROR(SMALL($O$11:$O$14,253),0),IF($J$3="x",IFERROR(SMALL($O$11:$O$18,253),0),IF($J$4="x",IFERROR(SMALL($O$11:$O$26,253),0),IF($J$5="x",IFERROR(SMALL($O$11:$O$42,253),0),IF($J$6="x",IFERROR(SMALL($O$11:$O$74,253),0),IF($J$7="x",IFERROR(SMALL($O$11:$O$138,253),0),IFERROR(SMALL($O$11:$O$266,253),0)))))))</f>
        <v>1.0103629999999999</v>
      </c>
      <c r="V263" s="20">
        <f t="shared" si="40"/>
        <v>253</v>
      </c>
      <c r="W263" s="20" t="str">
        <f t="shared" si="41"/>
        <v xml:space="preserve"> </v>
      </c>
      <c r="Y263" s="29">
        <v>253</v>
      </c>
      <c r="Z263" s="36" t="str">
        <f t="shared" si="42"/>
        <v xml:space="preserve"> </v>
      </c>
      <c r="AA263" s="35" t="str">
        <f>IFERROR(INDEX(#REF!,MATCH(AB263,#REF!,0))," ")</f>
        <v xml:space="preserve"> </v>
      </c>
      <c r="AB263" s="30">
        <f t="shared" si="43"/>
        <v>0</v>
      </c>
    </row>
    <row r="264" spans="1:28" x14ac:dyDescent="0.25">
      <c r="A264" s="38"/>
      <c r="B264" s="31" t="s">
        <v>288</v>
      </c>
      <c r="C264" s="32" t="str">
        <f>IF('Infos générales'!$E$2="x",IF(A264&gt;0,INDEX(DP!$A$10:$G$265,MATCH(A264,DP!$A$10:$A$265,0),6)," "),IF(A264&gt;0,INDEX(DP!$A$10:$G$265,MATCH(A264,DP!$A$10:$A$265,0),4)," "))</f>
        <v xml:space="preserve"> </v>
      </c>
      <c r="E264" s="39"/>
      <c r="F264" s="33" t="s">
        <v>34</v>
      </c>
      <c r="G264" s="40"/>
      <c r="H264" s="39"/>
      <c r="I264" s="33" t="s">
        <v>34</v>
      </c>
      <c r="J264" s="40"/>
      <c r="K264" s="39"/>
      <c r="L264" s="33" t="s">
        <v>34</v>
      </c>
      <c r="M264" s="40"/>
      <c r="N264" s="34">
        <f t="shared" si="33"/>
        <v>254</v>
      </c>
      <c r="O264" s="20">
        <f t="shared" si="34"/>
        <v>1.010364</v>
      </c>
      <c r="P264" s="20">
        <f t="shared" si="35"/>
        <v>254</v>
      </c>
      <c r="Q264" s="20" t="str">
        <f t="shared" si="36"/>
        <v xml:space="preserve"> </v>
      </c>
      <c r="R264" s="20">
        <f t="shared" si="37"/>
        <v>0</v>
      </c>
      <c r="S264" s="20">
        <f t="shared" si="38"/>
        <v>0</v>
      </c>
      <c r="T264" s="20">
        <f t="shared" si="39"/>
        <v>0</v>
      </c>
      <c r="U264" s="20">
        <f>IF($J$2="x",IFERROR(SMALL($O$11:$O$14,254),0),IF($J$3="x",IFERROR(SMALL($O$11:$O$18,254),0),IF($J$4="x",IFERROR(SMALL($O$11:$O$26,254),0),IF($J$5="x",IFERROR(SMALL($O$11:$O$42,254),0),IF($J$6="x",IFERROR(SMALL($O$11:$O$74,254),0),IF($J$7="x",IFERROR(SMALL($O$11:$O$138,254),0),IFERROR(SMALL($O$11:$O$266,254),0)))))))</f>
        <v>1.010364</v>
      </c>
      <c r="V264" s="20">
        <f t="shared" si="40"/>
        <v>254</v>
      </c>
      <c r="W264" s="20" t="str">
        <f t="shared" si="41"/>
        <v xml:space="preserve"> </v>
      </c>
      <c r="Y264" s="29">
        <v>254</v>
      </c>
      <c r="Z264" s="36" t="str">
        <f t="shared" si="42"/>
        <v xml:space="preserve"> </v>
      </c>
      <c r="AA264" s="35" t="str">
        <f>IFERROR(INDEX(#REF!,MATCH(AB264,#REF!,0))," ")</f>
        <v xml:space="preserve"> </v>
      </c>
      <c r="AB264" s="30">
        <f t="shared" si="43"/>
        <v>0</v>
      </c>
    </row>
    <row r="265" spans="1:28" x14ac:dyDescent="0.25">
      <c r="A265" s="38"/>
      <c r="B265" s="31" t="s">
        <v>289</v>
      </c>
      <c r="C265" s="32" t="str">
        <f>IF('Infos générales'!$E$2="x",IF(A265&gt;0,INDEX(DP!$A$10:$G$265,MATCH(A265,DP!$A$10:$A$265,0),6)," "),IF(A265&gt;0,INDEX(DP!$A$10:$G$265,MATCH(A265,DP!$A$10:$A$265,0),4)," "))</f>
        <v xml:space="preserve"> </v>
      </c>
      <c r="E265" s="39"/>
      <c r="F265" s="33" t="s">
        <v>34</v>
      </c>
      <c r="G265" s="40"/>
      <c r="H265" s="39"/>
      <c r="I265" s="33" t="s">
        <v>34</v>
      </c>
      <c r="J265" s="40"/>
      <c r="K265" s="39"/>
      <c r="L265" s="33" t="s">
        <v>34</v>
      </c>
      <c r="M265" s="40"/>
      <c r="N265" s="34">
        <f t="shared" si="33"/>
        <v>255</v>
      </c>
      <c r="O265" s="20">
        <f t="shared" si="34"/>
        <v>1.010365</v>
      </c>
      <c r="P265" s="20">
        <f t="shared" si="35"/>
        <v>255</v>
      </c>
      <c r="Q265" s="20" t="str">
        <f t="shared" si="36"/>
        <v xml:space="preserve"> </v>
      </c>
      <c r="R265" s="20">
        <f t="shared" si="37"/>
        <v>0</v>
      </c>
      <c r="S265" s="20">
        <f t="shared" si="38"/>
        <v>0</v>
      </c>
      <c r="T265" s="20">
        <f t="shared" si="39"/>
        <v>0</v>
      </c>
      <c r="U265" s="20">
        <f>IF($J$2="x",IFERROR(SMALL($O$11:$O$14,255),0),IF($J$3="x",IFERROR(SMALL($O$11:$O$18,255),0),IF($J$4="x",IFERROR(SMALL($O$11:$O$26,255),0),IF($J$5="x",IFERROR(SMALL($O$11:$O$42,255),0),IF($J$6="x",IFERROR(SMALL($O$11:$O$74,255),0),IF($J$7="x",IFERROR(SMALL($O$11:$O$138,255),0),IFERROR(SMALL($O$11:$O$266,255),0)))))))</f>
        <v>1.010365</v>
      </c>
      <c r="V265" s="20">
        <f t="shared" si="40"/>
        <v>255</v>
      </c>
      <c r="W265" s="20" t="str">
        <f t="shared" si="41"/>
        <v xml:space="preserve"> </v>
      </c>
      <c r="Y265" s="29">
        <v>255</v>
      </c>
      <c r="Z265" s="36" t="str">
        <f t="shared" si="42"/>
        <v xml:space="preserve"> </v>
      </c>
      <c r="AA265" s="35" t="str">
        <f>IFERROR(INDEX(#REF!,MATCH(AB265,#REF!,0))," ")</f>
        <v xml:space="preserve"> </v>
      </c>
      <c r="AB265" s="30">
        <f t="shared" si="43"/>
        <v>0</v>
      </c>
    </row>
    <row r="266" spans="1:28" x14ac:dyDescent="0.25">
      <c r="A266" s="38"/>
      <c r="B266" s="31" t="s">
        <v>290</v>
      </c>
      <c r="C266" s="32" t="str">
        <f>IF('Infos générales'!$E$2="x",IF(A266&gt;0,INDEX(DP!$A$10:$G$265,MATCH(A266,DP!$A$10:$A$265,0),6)," "),IF(A266&gt;0,INDEX(DP!$A$10:$G$265,MATCH(A266,DP!$A$10:$A$265,0),4)," "))</f>
        <v xml:space="preserve"> </v>
      </c>
      <c r="E266" s="39"/>
      <c r="F266" s="33" t="s">
        <v>34</v>
      </c>
      <c r="G266" s="40"/>
      <c r="H266" s="39"/>
      <c r="I266" s="33" t="s">
        <v>34</v>
      </c>
      <c r="J266" s="40"/>
      <c r="K266" s="39"/>
      <c r="L266" s="33" t="s">
        <v>34</v>
      </c>
      <c r="M266" s="40"/>
      <c r="N266" s="34">
        <f t="shared" si="33"/>
        <v>256</v>
      </c>
      <c r="O266" s="20">
        <f t="shared" si="34"/>
        <v>1.0103660000000001</v>
      </c>
      <c r="P266" s="20">
        <f t="shared" si="35"/>
        <v>256</v>
      </c>
      <c r="Q266" s="20" t="str">
        <f t="shared" si="36"/>
        <v xml:space="preserve"> </v>
      </c>
      <c r="R266" s="20">
        <f t="shared" si="37"/>
        <v>0</v>
      </c>
      <c r="S266" s="20">
        <f t="shared" si="38"/>
        <v>0</v>
      </c>
      <c r="T266" s="20">
        <f t="shared" si="39"/>
        <v>0</v>
      </c>
      <c r="U266" s="20">
        <f>IF($J$2="x",IFERROR(SMALL($O$11:$O$14,256),0),IF($J$3="x",IFERROR(SMALL($O$11:$O$18,256),0),IF($J$4="x",IFERROR(SMALL($O$11:$O$26,256),0),IF($J$5="x",IFERROR(SMALL($O$11:$O$42,256),0),IF($J$6="x",IFERROR(SMALL($O$11:$O$74,256),0),IF($J$7="x",IFERROR(SMALL($O$11:$O$138,256),0),IFERROR(SMALL($O$11:$O$266,256),0)))))))</f>
        <v>1.0103660000000001</v>
      </c>
      <c r="V266" s="20">
        <f t="shared" si="40"/>
        <v>256</v>
      </c>
      <c r="W266" s="20" t="str">
        <f t="shared" si="41"/>
        <v xml:space="preserve"> </v>
      </c>
      <c r="Y266" s="29">
        <v>256</v>
      </c>
      <c r="Z266" s="36" t="str">
        <f t="shared" si="42"/>
        <v xml:space="preserve"> </v>
      </c>
      <c r="AA266" s="35" t="str">
        <f>IFERROR(INDEX(#REF!,MATCH(AB266,#REF!,0))," ")</f>
        <v xml:space="preserve"> </v>
      </c>
      <c r="AB266" s="30">
        <f t="shared" si="43"/>
        <v>0</v>
      </c>
    </row>
  </sheetData>
  <sheetProtection formatRows="0" selectLockedCells="1"/>
  <mergeCells count="11">
    <mergeCell ref="E7:H7"/>
    <mergeCell ref="N2:Z7"/>
    <mergeCell ref="E10:G10"/>
    <mergeCell ref="H10:J10"/>
    <mergeCell ref="K10:M10"/>
    <mergeCell ref="K2:M7"/>
    <mergeCell ref="E2:H2"/>
    <mergeCell ref="E3:H3"/>
    <mergeCell ref="E4:H4"/>
    <mergeCell ref="E5:H5"/>
    <mergeCell ref="E6:H6"/>
  </mergeCell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8913" r:id="rId4" name="CommandButton1">
          <controlPr defaultSize="0" autoLine="0" r:id="rId5">
            <anchor moveWithCells="1">
              <from>
                <xdr:col>1</xdr:col>
                <xdr:colOff>0</xdr:colOff>
                <xdr:row>0</xdr:row>
                <xdr:rowOff>104775</xdr:rowOff>
              </from>
              <to>
                <xdr:col>2</xdr:col>
                <xdr:colOff>971550</xdr:colOff>
                <xdr:row>3</xdr:row>
                <xdr:rowOff>95250</xdr:rowOff>
              </to>
            </anchor>
          </controlPr>
        </control>
      </mc:Choice>
      <mc:Fallback>
        <control shapeId="38913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DP</vt:lpstr>
      <vt:lpstr>DT</vt:lpstr>
      <vt:lpstr>Infos générales</vt:lpstr>
      <vt:lpstr>Classement pour tableau final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2022-10-27T00:03:05Z</cp:lastPrinted>
  <dcterms:created xsi:type="dcterms:W3CDTF">2018-08-20T01:54:31Z</dcterms:created>
  <dcterms:modified xsi:type="dcterms:W3CDTF">2022-11-01T20:07:05Z</dcterms:modified>
</cp:coreProperties>
</file>