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im\Desktop\"/>
    </mc:Choice>
  </mc:AlternateContent>
  <bookViews>
    <workbookView xWindow="0" yWindow="0" windowWidth="15360" windowHeight="7455"/>
  </bookViews>
  <sheets>
    <sheet name="Classements 128 j" sheetId="1" r:id="rId1"/>
    <sheet name="Tableau 32 joueurs" sheetId="2" r:id="rId2"/>
  </sheets>
  <externalReferences>
    <externalReference r:id="rId3"/>
    <externalReference r:id="rId4"/>
    <externalReference r:id="rId5"/>
    <externalReference r:id="rId6"/>
  </externalReferences>
  <definedNames>
    <definedName name="Daten">[1]Eingabe!$A$4:$E$30</definedName>
    <definedName name="Daten___0">[1]Eingabe!$A$4:$E$30</definedName>
    <definedName name="Daten___5">[2]Eingabe!$A$4:$E$30</definedName>
    <definedName name="Daten___6">[2]Eingabe!$A$4:$E$30</definedName>
    <definedName name="Daten___8">[2]Eingabe!$A$4:$E$30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64" i="1" l="1"/>
  <c r="AA262" i="1"/>
  <c r="AA260" i="1"/>
  <c r="AA258" i="1"/>
  <c r="AA256" i="1"/>
  <c r="AA254" i="1"/>
  <c r="AA252" i="1"/>
  <c r="AA250" i="1"/>
  <c r="AA248" i="1"/>
  <c r="AA246" i="1"/>
  <c r="AA244" i="1"/>
  <c r="AA242" i="1"/>
  <c r="AA240" i="1"/>
  <c r="AA238" i="1"/>
  <c r="AA236" i="1"/>
  <c r="AA234" i="1"/>
  <c r="AA232" i="1"/>
  <c r="AA230" i="1"/>
  <c r="AA228" i="1"/>
  <c r="AA226" i="1"/>
  <c r="AA224" i="1"/>
  <c r="AA222" i="1"/>
  <c r="AA220" i="1"/>
  <c r="AA218" i="1"/>
  <c r="AA216" i="1"/>
  <c r="AA214" i="1"/>
  <c r="AA212" i="1"/>
  <c r="AA210" i="1"/>
  <c r="AA208" i="1"/>
  <c r="AA206" i="1"/>
  <c r="AA204" i="1"/>
  <c r="AA202" i="1"/>
  <c r="AA200" i="1"/>
  <c r="AA198" i="1"/>
  <c r="AA196" i="1"/>
  <c r="AA194" i="1"/>
  <c r="AA192" i="1"/>
  <c r="AA190" i="1"/>
  <c r="AA188" i="1"/>
  <c r="AA186" i="1"/>
  <c r="AA184" i="1"/>
  <c r="AA182" i="1"/>
  <c r="AA180" i="1"/>
  <c r="AA178" i="1"/>
  <c r="AA176" i="1"/>
  <c r="AA174" i="1"/>
  <c r="AA172" i="1"/>
  <c r="AA170" i="1"/>
  <c r="AA168" i="1"/>
  <c r="AA166" i="1"/>
  <c r="AA164" i="1"/>
  <c r="AA162" i="1"/>
  <c r="AA160" i="1"/>
  <c r="AA158" i="1"/>
  <c r="AA156" i="1"/>
  <c r="AA154" i="1"/>
  <c r="AA152" i="1"/>
  <c r="AA150" i="1"/>
  <c r="AA148" i="1"/>
  <c r="AA146" i="1"/>
  <c r="AA144" i="1"/>
  <c r="AA142" i="1"/>
  <c r="AA140" i="1"/>
  <c r="AA138" i="1"/>
  <c r="AA136" i="1"/>
  <c r="AA134" i="1"/>
  <c r="AA132" i="1"/>
  <c r="AA130" i="1"/>
  <c r="AA128" i="1"/>
  <c r="AA126" i="1"/>
  <c r="AA124" i="1"/>
  <c r="AA122" i="1"/>
  <c r="AA120" i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2" i="1"/>
  <c r="AA10" i="1"/>
  <c r="Z264" i="1"/>
  <c r="Z262" i="1"/>
  <c r="Z260" i="1"/>
  <c r="Z258" i="1"/>
  <c r="Z256" i="1"/>
  <c r="Z254" i="1"/>
  <c r="Z252" i="1"/>
  <c r="Z250" i="1"/>
  <c r="Z248" i="1"/>
  <c r="Z246" i="1"/>
  <c r="Z244" i="1"/>
  <c r="Z242" i="1"/>
  <c r="Z240" i="1"/>
  <c r="Z238" i="1"/>
  <c r="Z236" i="1"/>
  <c r="Z234" i="1"/>
  <c r="Z232" i="1"/>
  <c r="Z230" i="1"/>
  <c r="Z228" i="1"/>
  <c r="Z226" i="1"/>
  <c r="Z224" i="1"/>
  <c r="Z222" i="1"/>
  <c r="Z220" i="1"/>
  <c r="Z218" i="1"/>
  <c r="Z216" i="1"/>
  <c r="Z214" i="1"/>
  <c r="Z212" i="1"/>
  <c r="Z210" i="1"/>
  <c r="Z208" i="1"/>
  <c r="Z206" i="1"/>
  <c r="Z204" i="1"/>
  <c r="Z202" i="1"/>
  <c r="Z200" i="1"/>
  <c r="Z198" i="1"/>
  <c r="Z196" i="1"/>
  <c r="Z194" i="1"/>
  <c r="Z192" i="1"/>
  <c r="Z190" i="1"/>
  <c r="Z188" i="1"/>
  <c r="Z186" i="1"/>
  <c r="Z184" i="1"/>
  <c r="Z182" i="1"/>
  <c r="Z180" i="1"/>
  <c r="Z178" i="1"/>
  <c r="Z176" i="1"/>
  <c r="Z174" i="1"/>
  <c r="Z172" i="1"/>
  <c r="Z170" i="1"/>
  <c r="Z168" i="1"/>
  <c r="Z166" i="1"/>
  <c r="Z164" i="1"/>
  <c r="Z162" i="1"/>
  <c r="Z160" i="1"/>
  <c r="Z158" i="1"/>
  <c r="Z156" i="1"/>
  <c r="Z154" i="1"/>
  <c r="Z152" i="1"/>
  <c r="Z150" i="1"/>
  <c r="Z148" i="1"/>
  <c r="Z146" i="1"/>
  <c r="Z144" i="1"/>
  <c r="Z142" i="1"/>
  <c r="Z140" i="1"/>
  <c r="Z138" i="1"/>
  <c r="Z136" i="1"/>
  <c r="Z134" i="1"/>
  <c r="Z132" i="1"/>
  <c r="Z130" i="1"/>
  <c r="Z128" i="1"/>
  <c r="Z126" i="1"/>
  <c r="Z124" i="1"/>
  <c r="Z122" i="1"/>
  <c r="Z120" i="1"/>
  <c r="Z118" i="1"/>
  <c r="Z116" i="1"/>
  <c r="Z114" i="1"/>
  <c r="Z112" i="1"/>
  <c r="Z110" i="1"/>
  <c r="Z108" i="1"/>
  <c r="Z106" i="1"/>
  <c r="Z104" i="1"/>
  <c r="Z102" i="1"/>
  <c r="Z100" i="1"/>
  <c r="Z98" i="1"/>
  <c r="Z96" i="1"/>
  <c r="Z94" i="1"/>
  <c r="Z92" i="1"/>
  <c r="Z90" i="1"/>
  <c r="Z88" i="1"/>
  <c r="Z86" i="1"/>
  <c r="Z84" i="1"/>
  <c r="Z82" i="1"/>
  <c r="Z80" i="1"/>
  <c r="Z78" i="1"/>
  <c r="Z76" i="1"/>
  <c r="Z74" i="1"/>
  <c r="Z72" i="1"/>
  <c r="Z70" i="1"/>
  <c r="Z68" i="1"/>
  <c r="Z66" i="1"/>
  <c r="Z64" i="1"/>
  <c r="Z62" i="1"/>
  <c r="Z60" i="1"/>
  <c r="Z58" i="1"/>
  <c r="Z56" i="1"/>
  <c r="Z54" i="1"/>
  <c r="Z52" i="1"/>
  <c r="Z50" i="1"/>
  <c r="Z48" i="1"/>
  <c r="Z46" i="1"/>
  <c r="Z44" i="1"/>
  <c r="Z42" i="1"/>
  <c r="Z40" i="1"/>
  <c r="Z38" i="1"/>
  <c r="Z36" i="1"/>
  <c r="Z34" i="1"/>
  <c r="Z32" i="1"/>
  <c r="Z30" i="1"/>
  <c r="Z28" i="1"/>
  <c r="Z26" i="1"/>
  <c r="Z24" i="1"/>
  <c r="Z22" i="1"/>
  <c r="Z20" i="1"/>
  <c r="Z18" i="1"/>
  <c r="Z16" i="1"/>
  <c r="Z14" i="1"/>
  <c r="Z12" i="1"/>
  <c r="Z10" i="1"/>
  <c r="AZ264" i="1"/>
  <c r="U264" i="1"/>
  <c r="J264" i="1"/>
  <c r="AZ262" i="1"/>
  <c r="U262" i="1"/>
  <c r="J262" i="1"/>
  <c r="AZ260" i="1"/>
  <c r="U260" i="1"/>
  <c r="J260" i="1"/>
  <c r="AZ258" i="1"/>
  <c r="U258" i="1"/>
  <c r="J258" i="1"/>
  <c r="AZ256" i="1"/>
  <c r="U256" i="1"/>
  <c r="J256" i="1"/>
  <c r="AZ254" i="1"/>
  <c r="U254" i="1"/>
  <c r="J254" i="1"/>
  <c r="AZ252" i="1"/>
  <c r="U252" i="1"/>
  <c r="J252" i="1"/>
  <c r="AZ250" i="1"/>
  <c r="U250" i="1"/>
  <c r="J250" i="1"/>
  <c r="AZ248" i="1"/>
  <c r="U248" i="1"/>
  <c r="J248" i="1"/>
  <c r="AZ246" i="1"/>
  <c r="U246" i="1"/>
  <c r="J246" i="1"/>
  <c r="AZ244" i="1"/>
  <c r="U244" i="1"/>
  <c r="J244" i="1"/>
  <c r="AZ242" i="1"/>
  <c r="U242" i="1"/>
  <c r="J242" i="1"/>
  <c r="AZ240" i="1"/>
  <c r="U240" i="1"/>
  <c r="J240" i="1"/>
  <c r="AZ238" i="1"/>
  <c r="U238" i="1"/>
  <c r="J238" i="1"/>
  <c r="AZ236" i="1"/>
  <c r="U236" i="1"/>
  <c r="J236" i="1"/>
  <c r="AZ234" i="1"/>
  <c r="U234" i="1"/>
  <c r="J234" i="1"/>
  <c r="AZ232" i="1"/>
  <c r="U232" i="1"/>
  <c r="J232" i="1"/>
  <c r="AZ230" i="1"/>
  <c r="U230" i="1"/>
  <c r="J230" i="1"/>
  <c r="AZ228" i="1"/>
  <c r="U228" i="1"/>
  <c r="J228" i="1"/>
  <c r="AZ226" i="1"/>
  <c r="U226" i="1"/>
  <c r="J226" i="1"/>
  <c r="AZ224" i="1"/>
  <c r="U224" i="1"/>
  <c r="J224" i="1"/>
  <c r="AZ222" i="1"/>
  <c r="U222" i="1"/>
  <c r="J222" i="1"/>
  <c r="AZ220" i="1"/>
  <c r="U220" i="1"/>
  <c r="J220" i="1"/>
  <c r="AZ218" i="1"/>
  <c r="U218" i="1"/>
  <c r="J218" i="1"/>
  <c r="AZ216" i="1"/>
  <c r="U216" i="1"/>
  <c r="J216" i="1"/>
  <c r="AZ214" i="1"/>
  <c r="U214" i="1"/>
  <c r="J214" i="1"/>
  <c r="AZ212" i="1"/>
  <c r="U212" i="1"/>
  <c r="J212" i="1"/>
  <c r="AZ210" i="1"/>
  <c r="U210" i="1"/>
  <c r="J210" i="1"/>
  <c r="AZ208" i="1"/>
  <c r="U208" i="1"/>
  <c r="J208" i="1"/>
  <c r="AZ206" i="1"/>
  <c r="U206" i="1"/>
  <c r="J206" i="1"/>
  <c r="AZ204" i="1"/>
  <c r="U204" i="1"/>
  <c r="J204" i="1"/>
  <c r="AZ202" i="1"/>
  <c r="U202" i="1"/>
  <c r="J202" i="1"/>
  <c r="AZ200" i="1"/>
  <c r="U200" i="1"/>
  <c r="J200" i="1"/>
  <c r="AZ198" i="1"/>
  <c r="U198" i="1"/>
  <c r="J198" i="1"/>
  <c r="AZ196" i="1"/>
  <c r="U196" i="1"/>
  <c r="J196" i="1"/>
  <c r="AZ194" i="1"/>
  <c r="U194" i="1"/>
  <c r="J194" i="1"/>
  <c r="AZ192" i="1"/>
  <c r="U192" i="1"/>
  <c r="J192" i="1"/>
  <c r="AZ190" i="1"/>
  <c r="U190" i="1"/>
  <c r="J190" i="1"/>
  <c r="AZ188" i="1"/>
  <c r="U188" i="1"/>
  <c r="J188" i="1"/>
  <c r="AZ186" i="1"/>
  <c r="U186" i="1"/>
  <c r="J186" i="1"/>
  <c r="AZ184" i="1"/>
  <c r="U184" i="1"/>
  <c r="J184" i="1"/>
  <c r="AZ182" i="1"/>
  <c r="U182" i="1"/>
  <c r="J182" i="1"/>
  <c r="AZ180" i="1"/>
  <c r="U180" i="1"/>
  <c r="J180" i="1"/>
  <c r="AZ178" i="1"/>
  <c r="U178" i="1"/>
  <c r="J178" i="1"/>
  <c r="AZ176" i="1"/>
  <c r="U176" i="1"/>
  <c r="J176" i="1"/>
  <c r="AZ174" i="1"/>
  <c r="U174" i="1"/>
  <c r="J174" i="1"/>
  <c r="AZ172" i="1"/>
  <c r="U172" i="1"/>
  <c r="J172" i="1"/>
  <c r="AZ170" i="1"/>
  <c r="U170" i="1"/>
  <c r="J170" i="1"/>
  <c r="AZ168" i="1"/>
  <c r="U168" i="1"/>
  <c r="J168" i="1"/>
  <c r="AZ166" i="1"/>
  <c r="U166" i="1"/>
  <c r="J166" i="1"/>
  <c r="AZ164" i="1"/>
  <c r="U164" i="1"/>
  <c r="J164" i="1"/>
  <c r="AZ162" i="1"/>
  <c r="U162" i="1"/>
  <c r="J162" i="1"/>
  <c r="AZ160" i="1"/>
  <c r="U160" i="1"/>
  <c r="J160" i="1"/>
  <c r="AZ158" i="1"/>
  <c r="U158" i="1"/>
  <c r="J158" i="1"/>
  <c r="AZ156" i="1"/>
  <c r="U156" i="1"/>
  <c r="J156" i="1"/>
  <c r="AZ154" i="1"/>
  <c r="U154" i="1"/>
  <c r="J154" i="1"/>
  <c r="AZ152" i="1"/>
  <c r="U152" i="1"/>
  <c r="J152" i="1"/>
  <c r="AZ150" i="1"/>
  <c r="U150" i="1"/>
  <c r="J150" i="1"/>
  <c r="AZ148" i="1"/>
  <c r="U148" i="1"/>
  <c r="J148" i="1"/>
  <c r="AZ146" i="1"/>
  <c r="U146" i="1"/>
  <c r="J146" i="1"/>
  <c r="AZ144" i="1"/>
  <c r="U144" i="1"/>
  <c r="J144" i="1"/>
  <c r="AZ142" i="1"/>
  <c r="U142" i="1"/>
  <c r="J142" i="1"/>
  <c r="AZ140" i="1"/>
  <c r="U140" i="1"/>
  <c r="J140" i="1"/>
  <c r="AZ138" i="1"/>
  <c r="U138" i="1"/>
  <c r="J138" i="1"/>
  <c r="AZ136" i="1"/>
  <c r="U136" i="1"/>
  <c r="J136" i="1"/>
  <c r="AZ134" i="1"/>
  <c r="U134" i="1"/>
  <c r="J134" i="1"/>
  <c r="AZ132" i="1"/>
  <c r="U132" i="1"/>
  <c r="J132" i="1"/>
  <c r="AZ130" i="1"/>
  <c r="U130" i="1"/>
  <c r="J130" i="1"/>
  <c r="AZ128" i="1"/>
  <c r="U128" i="1"/>
  <c r="J128" i="1"/>
  <c r="AZ126" i="1"/>
  <c r="U126" i="1"/>
  <c r="J126" i="1"/>
  <c r="AZ124" i="1"/>
  <c r="U124" i="1"/>
  <c r="J124" i="1"/>
  <c r="AZ122" i="1"/>
  <c r="U122" i="1"/>
  <c r="J122" i="1"/>
  <c r="AZ120" i="1"/>
  <c r="U120" i="1"/>
  <c r="J120" i="1"/>
  <c r="AZ118" i="1"/>
  <c r="U118" i="1"/>
  <c r="J118" i="1"/>
  <c r="AZ116" i="1"/>
  <c r="U116" i="1"/>
  <c r="J116" i="1"/>
  <c r="AZ114" i="1"/>
  <c r="U114" i="1"/>
  <c r="J114" i="1"/>
  <c r="AZ112" i="1"/>
  <c r="U112" i="1"/>
  <c r="J112" i="1"/>
  <c r="AZ110" i="1"/>
  <c r="U110" i="1"/>
  <c r="J110" i="1"/>
  <c r="AZ108" i="1"/>
  <c r="U108" i="1"/>
  <c r="J108" i="1"/>
  <c r="AZ106" i="1"/>
  <c r="U106" i="1"/>
  <c r="J106" i="1"/>
  <c r="AZ104" i="1"/>
  <c r="U104" i="1"/>
  <c r="J104" i="1"/>
  <c r="AZ102" i="1"/>
  <c r="U102" i="1"/>
  <c r="J102" i="1"/>
  <c r="AZ100" i="1"/>
  <c r="U100" i="1"/>
  <c r="J100" i="1"/>
  <c r="AZ98" i="1"/>
  <c r="U98" i="1"/>
  <c r="J98" i="1"/>
  <c r="AZ96" i="1"/>
  <c r="U96" i="1"/>
  <c r="J96" i="1"/>
  <c r="AZ94" i="1"/>
  <c r="U94" i="1"/>
  <c r="J94" i="1"/>
  <c r="AZ92" i="1"/>
  <c r="U92" i="1"/>
  <c r="J92" i="1"/>
  <c r="AZ90" i="1"/>
  <c r="U90" i="1"/>
  <c r="J90" i="1"/>
  <c r="AZ88" i="1"/>
  <c r="U88" i="1"/>
  <c r="J88" i="1"/>
  <c r="AZ86" i="1"/>
  <c r="U86" i="1"/>
  <c r="J86" i="1"/>
  <c r="AZ84" i="1"/>
  <c r="U84" i="1"/>
  <c r="J84" i="1"/>
  <c r="AZ82" i="1"/>
  <c r="U82" i="1"/>
  <c r="J82" i="1"/>
  <c r="AZ80" i="1"/>
  <c r="U80" i="1"/>
  <c r="J80" i="1"/>
  <c r="AZ78" i="1"/>
  <c r="U78" i="1"/>
  <c r="J78" i="1"/>
  <c r="AZ76" i="1"/>
  <c r="U76" i="1"/>
  <c r="J76" i="1"/>
  <c r="AZ74" i="1"/>
  <c r="U74" i="1"/>
  <c r="J74" i="1"/>
  <c r="AZ72" i="1"/>
  <c r="U72" i="1"/>
  <c r="J72" i="1"/>
  <c r="AZ70" i="1"/>
  <c r="U70" i="1"/>
  <c r="J70" i="1"/>
  <c r="AZ68" i="1"/>
  <c r="U68" i="1"/>
  <c r="J68" i="1"/>
  <c r="AZ66" i="1"/>
  <c r="U66" i="1"/>
  <c r="J66" i="1"/>
  <c r="AZ64" i="1"/>
  <c r="U64" i="1"/>
  <c r="J64" i="1"/>
  <c r="AZ62" i="1"/>
  <c r="U62" i="1"/>
  <c r="J62" i="1"/>
  <c r="AZ60" i="1"/>
  <c r="U60" i="1"/>
  <c r="J60" i="1"/>
  <c r="AZ58" i="1"/>
  <c r="U58" i="1"/>
  <c r="J58" i="1"/>
  <c r="AZ56" i="1"/>
  <c r="U56" i="1"/>
  <c r="J56" i="1"/>
  <c r="AZ54" i="1"/>
  <c r="U54" i="1"/>
  <c r="J54" i="1"/>
  <c r="AZ52" i="1"/>
  <c r="U52" i="1"/>
  <c r="J52" i="1"/>
  <c r="AZ50" i="1"/>
  <c r="U50" i="1"/>
  <c r="J50" i="1"/>
  <c r="AZ48" i="1"/>
  <c r="U48" i="1"/>
  <c r="J48" i="1"/>
  <c r="AZ46" i="1"/>
  <c r="U46" i="1"/>
  <c r="J46" i="1"/>
  <c r="AZ44" i="1"/>
  <c r="U44" i="1"/>
  <c r="J44" i="1"/>
  <c r="AZ42" i="1"/>
  <c r="U42" i="1"/>
  <c r="J42" i="1"/>
  <c r="AZ40" i="1"/>
  <c r="U40" i="1"/>
  <c r="J40" i="1"/>
  <c r="AZ38" i="1"/>
  <c r="U38" i="1"/>
  <c r="J38" i="1"/>
  <c r="AZ36" i="1"/>
  <c r="U36" i="1"/>
  <c r="J36" i="1"/>
  <c r="AZ34" i="1"/>
  <c r="U34" i="1"/>
  <c r="J34" i="1"/>
  <c r="AZ32" i="1"/>
  <c r="U32" i="1"/>
  <c r="J32" i="1"/>
  <c r="AZ30" i="1"/>
  <c r="U30" i="1"/>
  <c r="J30" i="1"/>
  <c r="AZ28" i="1"/>
  <c r="U28" i="1"/>
  <c r="J28" i="1"/>
  <c r="AZ26" i="1"/>
  <c r="U26" i="1"/>
  <c r="J26" i="1"/>
  <c r="AZ24" i="1"/>
  <c r="U24" i="1"/>
  <c r="J24" i="1"/>
  <c r="AZ22" i="1"/>
  <c r="U22" i="1"/>
  <c r="J22" i="1"/>
  <c r="AZ20" i="1"/>
  <c r="U20" i="1"/>
  <c r="J20" i="1"/>
  <c r="AZ18" i="1"/>
  <c r="U18" i="1"/>
  <c r="J18" i="1"/>
  <c r="AZ16" i="1"/>
  <c r="U16" i="1"/>
  <c r="J16" i="1"/>
  <c r="AZ14" i="1"/>
  <c r="U14" i="1"/>
  <c r="J14" i="1"/>
  <c r="AZ12" i="1"/>
  <c r="U12" i="1"/>
  <c r="J12" i="1"/>
  <c r="AZ10" i="1"/>
  <c r="U10" i="1"/>
  <c r="J10" i="1"/>
  <c r="E264" i="1"/>
  <c r="E262" i="1"/>
  <c r="E260" i="1"/>
  <c r="E258" i="1"/>
  <c r="E256" i="1"/>
  <c r="E254" i="1"/>
  <c r="E252" i="1"/>
  <c r="E250" i="1"/>
  <c r="E248" i="1"/>
  <c r="E246" i="1"/>
  <c r="E244" i="1"/>
  <c r="E242" i="1"/>
  <c r="E240" i="1"/>
  <c r="E238" i="1"/>
  <c r="E236" i="1"/>
  <c r="E234" i="1"/>
  <c r="E232" i="1"/>
  <c r="E230" i="1"/>
  <c r="E228" i="1"/>
  <c r="E226" i="1"/>
  <c r="E224" i="1"/>
  <c r="E222" i="1"/>
  <c r="E220" i="1"/>
  <c r="E218" i="1"/>
  <c r="E216" i="1"/>
  <c r="E214" i="1"/>
  <c r="E212" i="1"/>
  <c r="E210" i="1"/>
  <c r="E208" i="1"/>
  <c r="E206" i="1"/>
  <c r="E204" i="1"/>
  <c r="E202" i="1"/>
  <c r="E200" i="1"/>
  <c r="E198" i="1"/>
  <c r="E196" i="1"/>
  <c r="E194" i="1"/>
  <c r="E192" i="1"/>
  <c r="E190" i="1"/>
  <c r="E188" i="1"/>
  <c r="E186" i="1"/>
  <c r="E184" i="1"/>
  <c r="E182" i="1"/>
  <c r="E180" i="1"/>
  <c r="E178" i="1"/>
  <c r="E176" i="1"/>
  <c r="E174" i="1"/>
  <c r="E172" i="1"/>
  <c r="E170" i="1"/>
  <c r="E168" i="1"/>
  <c r="E166" i="1"/>
  <c r="E164" i="1"/>
  <c r="E162" i="1"/>
  <c r="E160" i="1"/>
  <c r="E158" i="1"/>
  <c r="E156" i="1"/>
  <c r="E154" i="1"/>
  <c r="E152" i="1"/>
  <c r="E150" i="1"/>
  <c r="E148" i="1"/>
  <c r="E146" i="1"/>
  <c r="E144" i="1"/>
  <c r="E142" i="1"/>
  <c r="E140" i="1"/>
  <c r="E138" i="1"/>
  <c r="E136" i="1"/>
  <c r="E134" i="1"/>
  <c r="E132" i="1"/>
  <c r="E130" i="1"/>
  <c r="E128" i="1"/>
  <c r="E126" i="1"/>
  <c r="E124" i="1"/>
  <c r="E122" i="1"/>
  <c r="E120" i="1"/>
  <c r="E118" i="1"/>
  <c r="E116" i="1"/>
  <c r="E114" i="1"/>
  <c r="E112" i="1"/>
  <c r="E110" i="1"/>
  <c r="E108" i="1"/>
  <c r="E106" i="1"/>
  <c r="E104" i="1"/>
  <c r="E102" i="1"/>
  <c r="E100" i="1"/>
  <c r="E98" i="1"/>
  <c r="E96" i="1"/>
  <c r="E94" i="1"/>
  <c r="E92" i="1"/>
  <c r="E90" i="1"/>
  <c r="E88" i="1"/>
  <c r="E86" i="1"/>
  <c r="E84" i="1"/>
  <c r="E82" i="1"/>
  <c r="E80" i="1"/>
  <c r="E78" i="1"/>
  <c r="E76" i="1"/>
  <c r="E74" i="1"/>
  <c r="E72" i="1"/>
  <c r="E70" i="1"/>
  <c r="E68" i="1"/>
  <c r="E66" i="1"/>
  <c r="E64" i="1"/>
  <c r="E62" i="1"/>
  <c r="E60" i="1"/>
  <c r="E58" i="1"/>
  <c r="E56" i="1"/>
  <c r="E54" i="1"/>
  <c r="E52" i="1"/>
  <c r="E50" i="1"/>
  <c r="E48" i="1"/>
  <c r="E46" i="1"/>
  <c r="E44" i="1"/>
  <c r="E42" i="1"/>
  <c r="E40" i="1"/>
  <c r="E38" i="1"/>
  <c r="E36" i="1"/>
  <c r="E34" i="1"/>
  <c r="E32" i="1"/>
  <c r="E30" i="1"/>
  <c r="E28" i="1"/>
  <c r="E26" i="1"/>
  <c r="E24" i="1"/>
  <c r="E22" i="1"/>
  <c r="E20" i="1"/>
  <c r="E18" i="1"/>
  <c r="E16" i="1"/>
  <c r="E14" i="1"/>
  <c r="E12" i="1"/>
  <c r="E10" i="1"/>
  <c r="M89" i="2" l="1"/>
  <c r="B98" i="2"/>
  <c r="B94" i="2"/>
  <c r="BF89" i="2"/>
  <c r="AN89" i="2"/>
  <c r="BU6" i="2"/>
  <c r="BU2" i="2"/>
  <c r="E180" i="2"/>
  <c r="O179" i="2"/>
  <c r="E178" i="2"/>
  <c r="DJ176" i="2"/>
  <c r="O173" i="2"/>
  <c r="E172" i="2"/>
  <c r="DJ171" i="2"/>
  <c r="Y171" i="2"/>
  <c r="E170" i="2"/>
  <c r="BD169" i="2"/>
  <c r="O169" i="2"/>
  <c r="DJ166" i="2"/>
  <c r="DJ161" i="2"/>
  <c r="DJ156" i="2"/>
  <c r="O155" i="2"/>
  <c r="AT170" i="2" s="1"/>
  <c r="DJ151" i="2"/>
  <c r="O151" i="2"/>
  <c r="AT168" i="2" s="1"/>
  <c r="BP264" i="1" l="1"/>
  <c r="BP262" i="1"/>
  <c r="BP260" i="1"/>
  <c r="BP258" i="1"/>
  <c r="BP256" i="1"/>
  <c r="BP254" i="1"/>
  <c r="BP252" i="1"/>
  <c r="BP250" i="1"/>
  <c r="BP248" i="1"/>
  <c r="BP246" i="1"/>
  <c r="BP244" i="1"/>
  <c r="BP242" i="1"/>
  <c r="BP240" i="1"/>
  <c r="BP238" i="1"/>
  <c r="BP236" i="1"/>
  <c r="BP234" i="1"/>
  <c r="BP232" i="1"/>
  <c r="BP230" i="1"/>
  <c r="BP228" i="1"/>
  <c r="BP226" i="1"/>
  <c r="BP224" i="1"/>
  <c r="BP222" i="1"/>
  <c r="BP220" i="1"/>
  <c r="BP218" i="1"/>
  <c r="BP216" i="1"/>
  <c r="BP214" i="1"/>
  <c r="BP212" i="1"/>
  <c r="BP210" i="1"/>
  <c r="BP208" i="1"/>
  <c r="BP206" i="1"/>
  <c r="BP204" i="1"/>
  <c r="BP202" i="1"/>
  <c r="BP200" i="1"/>
  <c r="BP198" i="1"/>
  <c r="BP196" i="1"/>
  <c r="BP194" i="1"/>
  <c r="BP192" i="1"/>
  <c r="BP190" i="1"/>
  <c r="BP188" i="1"/>
  <c r="BP186" i="1"/>
  <c r="BP184" i="1"/>
  <c r="BP182" i="1"/>
  <c r="BP180" i="1"/>
  <c r="BP178" i="1"/>
  <c r="BP176" i="1"/>
  <c r="BP174" i="1"/>
  <c r="BP172" i="1"/>
  <c r="BP170" i="1"/>
  <c r="BP168" i="1"/>
  <c r="BP166" i="1"/>
  <c r="BP164" i="1"/>
  <c r="BP162" i="1"/>
  <c r="BP160" i="1"/>
  <c r="BP158" i="1"/>
  <c r="BP156" i="1"/>
  <c r="BP154" i="1"/>
  <c r="BP152" i="1"/>
  <c r="BP150" i="1"/>
  <c r="BP148" i="1"/>
  <c r="BP146" i="1"/>
  <c r="BP144" i="1"/>
  <c r="BP142" i="1"/>
  <c r="BP140" i="1"/>
  <c r="BP138" i="1"/>
  <c r="BP136" i="1"/>
  <c r="BP134" i="1"/>
  <c r="BP132" i="1"/>
  <c r="BP130" i="1"/>
  <c r="BP128" i="1"/>
  <c r="BP126" i="1"/>
  <c r="BP124" i="1"/>
  <c r="BP122" i="1"/>
  <c r="BP120" i="1"/>
  <c r="BP118" i="1"/>
  <c r="BP116" i="1"/>
  <c r="BP114" i="1"/>
  <c r="BP112" i="1"/>
  <c r="BP110" i="1"/>
  <c r="BP108" i="1"/>
  <c r="BP106" i="1"/>
  <c r="BP104" i="1"/>
  <c r="BP102" i="1"/>
  <c r="BP100" i="1"/>
  <c r="BP98" i="1"/>
  <c r="BP96" i="1"/>
  <c r="BP94" i="1"/>
  <c r="BP92" i="1"/>
  <c r="BP90" i="1"/>
  <c r="BP88" i="1"/>
  <c r="BP86" i="1"/>
  <c r="BP84" i="1"/>
  <c r="BP82" i="1"/>
  <c r="BP80" i="1"/>
  <c r="BP78" i="1"/>
  <c r="BP76" i="1"/>
  <c r="BP74" i="1"/>
  <c r="BP72" i="1"/>
  <c r="BP70" i="1"/>
  <c r="BP68" i="1"/>
  <c r="BP66" i="1"/>
  <c r="BP64" i="1"/>
  <c r="BP62" i="1"/>
  <c r="BP60" i="1"/>
  <c r="BP58" i="1"/>
  <c r="BP56" i="1"/>
  <c r="BP54" i="1"/>
  <c r="BP52" i="1"/>
  <c r="BP50" i="1"/>
  <c r="BP48" i="1"/>
  <c r="BP46" i="1"/>
  <c r="BP44" i="1"/>
  <c r="BP42" i="1"/>
  <c r="BP40" i="1"/>
  <c r="BP38" i="1"/>
  <c r="BP36" i="1"/>
  <c r="BP34" i="1"/>
  <c r="BP32" i="1"/>
  <c r="BP30" i="1"/>
  <c r="BP28" i="1"/>
  <c r="BP26" i="1"/>
  <c r="BP24" i="1"/>
  <c r="BP22" i="1"/>
  <c r="BP20" i="1"/>
  <c r="BP18" i="1"/>
  <c r="BP16" i="1"/>
  <c r="BP14" i="1"/>
  <c r="BP12" i="1"/>
  <c r="BP10" i="1"/>
  <c r="S264" i="1" l="1"/>
  <c r="Q264" i="1"/>
  <c r="O264" i="1"/>
  <c r="K264" i="1"/>
  <c r="S262" i="1"/>
  <c r="Q262" i="1"/>
  <c r="O262" i="1"/>
  <c r="K262" i="1"/>
  <c r="S260" i="1"/>
  <c r="Q260" i="1"/>
  <c r="O260" i="1"/>
  <c r="K260" i="1"/>
  <c r="S258" i="1"/>
  <c r="Q258" i="1"/>
  <c r="O258" i="1"/>
  <c r="K258" i="1"/>
  <c r="S256" i="1"/>
  <c r="Q256" i="1"/>
  <c r="O256" i="1"/>
  <c r="K256" i="1"/>
  <c r="S254" i="1"/>
  <c r="Q254" i="1"/>
  <c r="O254" i="1"/>
  <c r="K254" i="1"/>
  <c r="S252" i="1"/>
  <c r="Q252" i="1"/>
  <c r="O252" i="1"/>
  <c r="K252" i="1"/>
  <c r="S250" i="1"/>
  <c r="Q250" i="1"/>
  <c r="O250" i="1"/>
  <c r="K250" i="1"/>
  <c r="S248" i="1"/>
  <c r="Q248" i="1"/>
  <c r="O248" i="1"/>
  <c r="K248" i="1"/>
  <c r="S246" i="1"/>
  <c r="Q246" i="1"/>
  <c r="O246" i="1"/>
  <c r="K246" i="1"/>
  <c r="S244" i="1"/>
  <c r="Q244" i="1"/>
  <c r="O244" i="1"/>
  <c r="K244" i="1"/>
  <c r="S242" i="1"/>
  <c r="Q242" i="1"/>
  <c r="O242" i="1"/>
  <c r="K242" i="1"/>
  <c r="S240" i="1"/>
  <c r="Q240" i="1"/>
  <c r="O240" i="1"/>
  <c r="K240" i="1"/>
  <c r="S238" i="1"/>
  <c r="Q238" i="1"/>
  <c r="O238" i="1"/>
  <c r="K238" i="1"/>
  <c r="S236" i="1"/>
  <c r="Q236" i="1"/>
  <c r="O236" i="1"/>
  <c r="K236" i="1"/>
  <c r="S234" i="1"/>
  <c r="Q234" i="1"/>
  <c r="O234" i="1"/>
  <c r="K234" i="1"/>
  <c r="S232" i="1"/>
  <c r="Q232" i="1"/>
  <c r="O232" i="1"/>
  <c r="K232" i="1"/>
  <c r="S230" i="1"/>
  <c r="Q230" i="1"/>
  <c r="O230" i="1"/>
  <c r="K230" i="1"/>
  <c r="S228" i="1"/>
  <c r="Q228" i="1"/>
  <c r="O228" i="1"/>
  <c r="K228" i="1"/>
  <c r="S226" i="1"/>
  <c r="Q226" i="1"/>
  <c r="O226" i="1"/>
  <c r="K226" i="1"/>
  <c r="S224" i="1"/>
  <c r="Q224" i="1"/>
  <c r="O224" i="1"/>
  <c r="K224" i="1"/>
  <c r="S222" i="1"/>
  <c r="Q222" i="1"/>
  <c r="O222" i="1"/>
  <c r="K222" i="1"/>
  <c r="S220" i="1"/>
  <c r="Q220" i="1"/>
  <c r="O220" i="1"/>
  <c r="K220" i="1"/>
  <c r="S218" i="1"/>
  <c r="Q218" i="1"/>
  <c r="O218" i="1"/>
  <c r="K218" i="1"/>
  <c r="S216" i="1"/>
  <c r="Q216" i="1"/>
  <c r="O216" i="1"/>
  <c r="K216" i="1"/>
  <c r="S214" i="1"/>
  <c r="Q214" i="1"/>
  <c r="O214" i="1"/>
  <c r="K214" i="1"/>
  <c r="S212" i="1"/>
  <c r="Q212" i="1"/>
  <c r="O212" i="1"/>
  <c r="K212" i="1"/>
  <c r="S210" i="1"/>
  <c r="Q210" i="1"/>
  <c r="O210" i="1"/>
  <c r="K210" i="1"/>
  <c r="S208" i="1"/>
  <c r="Q208" i="1"/>
  <c r="O208" i="1"/>
  <c r="K208" i="1"/>
  <c r="S206" i="1"/>
  <c r="Q206" i="1"/>
  <c r="O206" i="1"/>
  <c r="K206" i="1"/>
  <c r="S204" i="1"/>
  <c r="Q204" i="1"/>
  <c r="O204" i="1"/>
  <c r="K204" i="1"/>
  <c r="S202" i="1"/>
  <c r="Q202" i="1"/>
  <c r="O202" i="1"/>
  <c r="K202" i="1"/>
  <c r="S200" i="1"/>
  <c r="Q200" i="1"/>
  <c r="O200" i="1"/>
  <c r="K200" i="1"/>
  <c r="S198" i="1"/>
  <c r="Q198" i="1"/>
  <c r="O198" i="1"/>
  <c r="K198" i="1"/>
  <c r="S196" i="1"/>
  <c r="Q196" i="1"/>
  <c r="O196" i="1"/>
  <c r="K196" i="1"/>
  <c r="S194" i="1"/>
  <c r="Q194" i="1"/>
  <c r="O194" i="1"/>
  <c r="K194" i="1"/>
  <c r="S192" i="1"/>
  <c r="Q192" i="1"/>
  <c r="O192" i="1"/>
  <c r="K192" i="1"/>
  <c r="S190" i="1"/>
  <c r="Q190" i="1"/>
  <c r="O190" i="1"/>
  <c r="K190" i="1"/>
  <c r="S188" i="1"/>
  <c r="Q188" i="1"/>
  <c r="O188" i="1"/>
  <c r="K188" i="1"/>
  <c r="S186" i="1"/>
  <c r="Q186" i="1"/>
  <c r="O186" i="1"/>
  <c r="K186" i="1"/>
  <c r="S184" i="1"/>
  <c r="Q184" i="1"/>
  <c r="O184" i="1"/>
  <c r="K184" i="1"/>
  <c r="S182" i="1"/>
  <c r="Q182" i="1"/>
  <c r="O182" i="1"/>
  <c r="K182" i="1"/>
  <c r="S180" i="1"/>
  <c r="Q180" i="1"/>
  <c r="O180" i="1"/>
  <c r="K180" i="1"/>
  <c r="S178" i="1"/>
  <c r="Q178" i="1"/>
  <c r="O178" i="1"/>
  <c r="K178" i="1"/>
  <c r="S176" i="1"/>
  <c r="Q176" i="1"/>
  <c r="O176" i="1"/>
  <c r="K176" i="1"/>
  <c r="S174" i="1"/>
  <c r="Q174" i="1"/>
  <c r="O174" i="1"/>
  <c r="K174" i="1"/>
  <c r="S172" i="1"/>
  <c r="Q172" i="1"/>
  <c r="O172" i="1"/>
  <c r="K172" i="1"/>
  <c r="S170" i="1"/>
  <c r="Q170" i="1"/>
  <c r="O170" i="1"/>
  <c r="K170" i="1"/>
  <c r="S168" i="1"/>
  <c r="Q168" i="1"/>
  <c r="O168" i="1"/>
  <c r="K168" i="1"/>
  <c r="S166" i="1"/>
  <c r="Q166" i="1"/>
  <c r="O166" i="1"/>
  <c r="K166" i="1"/>
  <c r="S164" i="1"/>
  <c r="Q164" i="1"/>
  <c r="O164" i="1"/>
  <c r="K164" i="1"/>
  <c r="S162" i="1"/>
  <c r="Q162" i="1"/>
  <c r="O162" i="1"/>
  <c r="K162" i="1"/>
  <c r="S160" i="1"/>
  <c r="Q160" i="1"/>
  <c r="O160" i="1"/>
  <c r="K160" i="1"/>
  <c r="S158" i="1"/>
  <c r="Q158" i="1"/>
  <c r="O158" i="1"/>
  <c r="K158" i="1"/>
  <c r="S156" i="1"/>
  <c r="Q156" i="1"/>
  <c r="O156" i="1"/>
  <c r="K156" i="1"/>
  <c r="S154" i="1"/>
  <c r="Q154" i="1"/>
  <c r="O154" i="1"/>
  <c r="K154" i="1"/>
  <c r="S152" i="1"/>
  <c r="Q152" i="1"/>
  <c r="O152" i="1"/>
  <c r="K152" i="1"/>
  <c r="S150" i="1"/>
  <c r="Q150" i="1"/>
  <c r="O150" i="1"/>
  <c r="K150" i="1"/>
  <c r="S148" i="1"/>
  <c r="Q148" i="1"/>
  <c r="O148" i="1"/>
  <c r="K148" i="1"/>
  <c r="S146" i="1"/>
  <c r="Q146" i="1"/>
  <c r="O146" i="1"/>
  <c r="K146" i="1"/>
  <c r="S144" i="1"/>
  <c r="Q144" i="1"/>
  <c r="O144" i="1"/>
  <c r="K144" i="1"/>
  <c r="S142" i="1"/>
  <c r="Q142" i="1"/>
  <c r="O142" i="1"/>
  <c r="K142" i="1"/>
  <c r="S140" i="1"/>
  <c r="Q140" i="1"/>
  <c r="O140" i="1"/>
  <c r="K140" i="1"/>
  <c r="S138" i="1"/>
  <c r="Q138" i="1"/>
  <c r="O138" i="1"/>
  <c r="K138" i="1"/>
  <c r="S136" i="1"/>
  <c r="Q136" i="1"/>
  <c r="O136" i="1"/>
  <c r="K136" i="1"/>
  <c r="S134" i="1"/>
  <c r="Q134" i="1"/>
  <c r="O134" i="1"/>
  <c r="K134" i="1"/>
  <c r="S132" i="1"/>
  <c r="Q132" i="1"/>
  <c r="O132" i="1"/>
  <c r="K132" i="1"/>
  <c r="S130" i="1"/>
  <c r="Q130" i="1"/>
  <c r="O130" i="1"/>
  <c r="K130" i="1"/>
  <c r="S128" i="1"/>
  <c r="Q128" i="1"/>
  <c r="O128" i="1"/>
  <c r="K128" i="1"/>
  <c r="S126" i="1"/>
  <c r="Q126" i="1"/>
  <c r="O126" i="1"/>
  <c r="K126" i="1"/>
  <c r="S124" i="1"/>
  <c r="Q124" i="1"/>
  <c r="O124" i="1"/>
  <c r="K124" i="1"/>
  <c r="S122" i="1"/>
  <c r="Q122" i="1"/>
  <c r="O122" i="1"/>
  <c r="K122" i="1"/>
  <c r="S120" i="1"/>
  <c r="Q120" i="1"/>
  <c r="O120" i="1"/>
  <c r="K120" i="1"/>
  <c r="S118" i="1"/>
  <c r="Q118" i="1"/>
  <c r="O118" i="1"/>
  <c r="K118" i="1"/>
  <c r="S116" i="1"/>
  <c r="Q116" i="1"/>
  <c r="O116" i="1"/>
  <c r="K116" i="1"/>
  <c r="S114" i="1"/>
  <c r="Q114" i="1"/>
  <c r="O114" i="1"/>
  <c r="K114" i="1"/>
  <c r="S112" i="1"/>
  <c r="Q112" i="1"/>
  <c r="O112" i="1"/>
  <c r="K112" i="1"/>
  <c r="S110" i="1"/>
  <c r="Q110" i="1"/>
  <c r="O110" i="1"/>
  <c r="K110" i="1"/>
  <c r="S108" i="1"/>
  <c r="Q108" i="1"/>
  <c r="O108" i="1"/>
  <c r="K108" i="1"/>
  <c r="S106" i="1"/>
  <c r="Q106" i="1"/>
  <c r="O106" i="1"/>
  <c r="K106" i="1"/>
  <c r="S104" i="1"/>
  <c r="Q104" i="1"/>
  <c r="O104" i="1"/>
  <c r="K104" i="1"/>
  <c r="S102" i="1"/>
  <c r="Q102" i="1"/>
  <c r="O102" i="1"/>
  <c r="K102" i="1"/>
  <c r="S100" i="1"/>
  <c r="Q100" i="1"/>
  <c r="O100" i="1"/>
  <c r="K100" i="1"/>
  <c r="S98" i="1"/>
  <c r="Q98" i="1"/>
  <c r="O98" i="1"/>
  <c r="K98" i="1"/>
  <c r="S96" i="1"/>
  <c r="Q96" i="1"/>
  <c r="O96" i="1"/>
  <c r="K96" i="1"/>
  <c r="S94" i="1"/>
  <c r="Q94" i="1"/>
  <c r="O94" i="1"/>
  <c r="K94" i="1"/>
  <c r="S92" i="1"/>
  <c r="Q92" i="1"/>
  <c r="O92" i="1"/>
  <c r="K92" i="1"/>
  <c r="S90" i="1"/>
  <c r="Q90" i="1"/>
  <c r="O90" i="1"/>
  <c r="K90" i="1"/>
  <c r="S88" i="1"/>
  <c r="Q88" i="1"/>
  <c r="O88" i="1"/>
  <c r="K88" i="1"/>
  <c r="S86" i="1"/>
  <c r="Q86" i="1"/>
  <c r="O86" i="1"/>
  <c r="K86" i="1"/>
  <c r="S84" i="1"/>
  <c r="Q84" i="1"/>
  <c r="O84" i="1"/>
  <c r="K84" i="1"/>
  <c r="S82" i="1"/>
  <c r="Q82" i="1"/>
  <c r="O82" i="1"/>
  <c r="K82" i="1"/>
  <c r="S80" i="1"/>
  <c r="Q80" i="1"/>
  <c r="O80" i="1"/>
  <c r="K80" i="1"/>
  <c r="S78" i="1"/>
  <c r="Q78" i="1"/>
  <c r="O78" i="1"/>
  <c r="K78" i="1"/>
  <c r="S76" i="1"/>
  <c r="Q76" i="1"/>
  <c r="O76" i="1"/>
  <c r="K76" i="1"/>
  <c r="S74" i="1"/>
  <c r="Q74" i="1"/>
  <c r="O74" i="1"/>
  <c r="K74" i="1"/>
  <c r="S72" i="1"/>
  <c r="Q72" i="1"/>
  <c r="O72" i="1"/>
  <c r="K72" i="1"/>
  <c r="S70" i="1"/>
  <c r="Q70" i="1"/>
  <c r="O70" i="1"/>
  <c r="K70" i="1"/>
  <c r="S68" i="1"/>
  <c r="Q68" i="1"/>
  <c r="O68" i="1"/>
  <c r="K68" i="1"/>
  <c r="S66" i="1"/>
  <c r="Q66" i="1"/>
  <c r="O66" i="1"/>
  <c r="K66" i="1"/>
  <c r="S64" i="1"/>
  <c r="Q64" i="1"/>
  <c r="O64" i="1"/>
  <c r="K64" i="1"/>
  <c r="S62" i="1"/>
  <c r="Q62" i="1"/>
  <c r="O62" i="1"/>
  <c r="K62" i="1"/>
  <c r="S60" i="1"/>
  <c r="Q60" i="1"/>
  <c r="O60" i="1"/>
  <c r="K60" i="1"/>
  <c r="S58" i="1"/>
  <c r="Q58" i="1"/>
  <c r="O58" i="1"/>
  <c r="K58" i="1"/>
  <c r="S56" i="1"/>
  <c r="Q56" i="1"/>
  <c r="O56" i="1"/>
  <c r="K56" i="1"/>
  <c r="S54" i="1"/>
  <c r="Q54" i="1"/>
  <c r="O54" i="1"/>
  <c r="K54" i="1"/>
  <c r="S52" i="1"/>
  <c r="Q52" i="1"/>
  <c r="O52" i="1"/>
  <c r="K52" i="1"/>
  <c r="S50" i="1"/>
  <c r="Q50" i="1"/>
  <c r="O50" i="1"/>
  <c r="K50" i="1"/>
  <c r="S48" i="1"/>
  <c r="Q48" i="1"/>
  <c r="O48" i="1"/>
  <c r="K48" i="1"/>
  <c r="S46" i="1"/>
  <c r="Q46" i="1"/>
  <c r="O46" i="1"/>
  <c r="K46" i="1"/>
  <c r="S44" i="1"/>
  <c r="Q44" i="1"/>
  <c r="O44" i="1"/>
  <c r="K44" i="1"/>
  <c r="S42" i="1"/>
  <c r="Q42" i="1"/>
  <c r="O42" i="1"/>
  <c r="K42" i="1"/>
  <c r="S40" i="1"/>
  <c r="Q40" i="1"/>
  <c r="O40" i="1"/>
  <c r="K40" i="1"/>
  <c r="S38" i="1"/>
  <c r="Q38" i="1"/>
  <c r="O38" i="1"/>
  <c r="K38" i="1"/>
  <c r="S36" i="1"/>
  <c r="Q36" i="1"/>
  <c r="O36" i="1"/>
  <c r="K36" i="1"/>
  <c r="K34" i="1"/>
  <c r="S34" i="1"/>
  <c r="Q34" i="1"/>
  <c r="O34" i="1"/>
  <c r="S32" i="1"/>
  <c r="Q32" i="1"/>
  <c r="O32" i="1"/>
  <c r="K32" i="1"/>
  <c r="K30" i="1"/>
  <c r="S30" i="1"/>
  <c r="Q30" i="1"/>
  <c r="O30" i="1"/>
  <c r="S28" i="1"/>
  <c r="Q28" i="1"/>
  <c r="O28" i="1"/>
  <c r="K28" i="1"/>
  <c r="S26" i="1"/>
  <c r="Q26" i="1"/>
  <c r="O26" i="1"/>
  <c r="K26" i="1"/>
  <c r="S24" i="1"/>
  <c r="Q24" i="1"/>
  <c r="O24" i="1"/>
  <c r="K24" i="1"/>
  <c r="S22" i="1"/>
  <c r="Q22" i="1"/>
  <c r="O22" i="1"/>
  <c r="K22" i="1"/>
  <c r="S20" i="1"/>
  <c r="Q20" i="1"/>
  <c r="O20" i="1"/>
  <c r="K20" i="1"/>
  <c r="S18" i="1"/>
  <c r="Q18" i="1"/>
  <c r="O18" i="1"/>
  <c r="K18" i="1"/>
  <c r="S16" i="1"/>
  <c r="Q16" i="1"/>
  <c r="O16" i="1"/>
  <c r="K16" i="1"/>
  <c r="S14" i="1"/>
  <c r="Q14" i="1"/>
  <c r="O14" i="1"/>
  <c r="K14" i="1"/>
  <c r="S12" i="1"/>
  <c r="Q12" i="1"/>
  <c r="O12" i="1"/>
  <c r="K12" i="1"/>
  <c r="S10" i="1"/>
  <c r="Q10" i="1"/>
  <c r="O10" i="1"/>
  <c r="K10" i="1"/>
  <c r="CH246" i="1" l="1"/>
  <c r="CU246" i="1" s="1"/>
  <c r="CH160" i="1"/>
  <c r="CU160" i="1" s="1"/>
  <c r="CH240" i="1"/>
  <c r="CU240" i="1" s="1"/>
  <c r="CH262" i="1"/>
  <c r="CU262" i="1" s="1"/>
  <c r="CH100" i="1"/>
  <c r="CU100" i="1" s="1"/>
  <c r="CH76" i="1"/>
  <c r="CU76" i="1" s="1"/>
  <c r="CH170" i="1"/>
  <c r="CU170" i="1" s="1"/>
  <c r="CH238" i="1"/>
  <c r="CU238" i="1" s="1"/>
  <c r="CH154" i="1"/>
  <c r="CU154" i="1" s="1"/>
  <c r="CH232" i="1"/>
  <c r="CU232" i="1" s="1"/>
  <c r="CH54" i="1"/>
  <c r="CU54" i="1" s="1"/>
  <c r="C64" i="2" s="1"/>
  <c r="F64" i="2" s="1"/>
  <c r="E134" i="2" s="1"/>
  <c r="E158" i="2" s="1"/>
  <c r="O159" i="2" s="1"/>
  <c r="Y157" i="2" s="1"/>
  <c r="DJ146" i="2" s="1"/>
  <c r="CH156" i="1"/>
  <c r="CU156" i="1" s="1"/>
  <c r="CH118" i="1"/>
  <c r="CU118" i="1" s="1"/>
  <c r="CH138" i="1"/>
  <c r="CU138" i="1" s="1"/>
  <c r="CH144" i="1"/>
  <c r="CU144" i="1" s="1"/>
  <c r="CH224" i="1"/>
  <c r="CU224" i="1" s="1"/>
  <c r="CH20" i="1"/>
  <c r="CU20" i="1" s="1"/>
  <c r="C58" i="2" s="1"/>
  <c r="F58" i="2" s="1"/>
  <c r="Q57" i="2" s="1"/>
  <c r="AA55" i="2" s="1"/>
  <c r="BX64" i="2" s="1"/>
  <c r="CI65" i="2" s="1"/>
  <c r="BZ126" i="2" s="1"/>
  <c r="CH222" i="1"/>
  <c r="CU222" i="1" s="1"/>
  <c r="CH198" i="1"/>
  <c r="CU198" i="1" s="1"/>
  <c r="CH46" i="1"/>
  <c r="CU46" i="1" s="1"/>
  <c r="C48" i="2" s="1"/>
  <c r="F48" i="2" s="1"/>
  <c r="Q49" i="2" s="1"/>
  <c r="BX24" i="2" s="1"/>
  <c r="BX50" i="2" s="1"/>
  <c r="CI51" i="2" s="1"/>
  <c r="BZ166" i="2" s="1"/>
  <c r="CH114" i="1"/>
  <c r="CU114" i="1" s="1"/>
  <c r="CH242" i="1"/>
  <c r="CU242" i="1" s="1"/>
  <c r="CH148" i="1"/>
  <c r="CU148" i="1" s="1"/>
  <c r="CH212" i="1"/>
  <c r="CU212" i="1" s="1"/>
  <c r="CH12" i="1"/>
  <c r="CU12" i="1" s="1"/>
  <c r="C74" i="2" s="1"/>
  <c r="F74" i="2" s="1"/>
  <c r="Q73" i="2" s="1"/>
  <c r="AA71" i="2" s="1"/>
  <c r="AK67" i="2" s="1"/>
  <c r="AQ81" i="2" s="1"/>
  <c r="BZ116" i="2" s="1"/>
  <c r="CH64" i="1"/>
  <c r="CU64" i="1" s="1"/>
  <c r="C30" i="2" s="1"/>
  <c r="F30" i="2" s="1"/>
  <c r="E116" i="2" s="1"/>
  <c r="E150" i="2" s="1"/>
  <c r="CH106" i="1"/>
  <c r="CU106" i="1" s="1"/>
  <c r="CH28" i="1"/>
  <c r="CU28" i="1" s="1"/>
  <c r="C66" i="2" s="1"/>
  <c r="F66" i="2" s="1"/>
  <c r="Q65" i="2" s="1"/>
  <c r="BX28" i="2" s="1"/>
  <c r="CI29" i="2" s="1"/>
  <c r="CS27" i="2" s="1"/>
  <c r="CH174" i="1"/>
  <c r="CU174" i="1" s="1"/>
  <c r="CH80" i="1"/>
  <c r="CU80" i="1" s="1"/>
  <c r="CH34" i="1"/>
  <c r="CU34" i="1" s="1"/>
  <c r="C36" i="2" s="1"/>
  <c r="F36" i="2" s="1"/>
  <c r="Q37" i="2" s="1"/>
  <c r="BX22" i="2" s="1"/>
  <c r="BX48" i="2" s="1"/>
  <c r="DM46" i="2" s="1"/>
  <c r="CH122" i="1"/>
  <c r="CU122" i="1" s="1"/>
  <c r="CH250" i="1"/>
  <c r="CU250" i="1" s="1"/>
  <c r="CH152" i="1"/>
  <c r="CU152" i="1" s="1"/>
  <c r="CH216" i="1"/>
  <c r="CU216" i="1" s="1"/>
  <c r="CH44" i="1"/>
  <c r="CU44" i="1" s="1"/>
  <c r="C70" i="2" s="1"/>
  <c r="F70" i="2" s="1"/>
  <c r="E136" i="2" s="1"/>
  <c r="P137" i="2" s="1"/>
  <c r="Z135" i="2" s="1"/>
  <c r="BX90" i="2" s="1"/>
  <c r="CH36" i="1"/>
  <c r="CU36" i="1" s="1"/>
  <c r="C50" i="2" s="1"/>
  <c r="F50" i="2" s="1"/>
  <c r="E126" i="2" s="1"/>
  <c r="P125" i="2" s="1"/>
  <c r="Z127" i="2" s="1"/>
  <c r="AJ131" i="2" s="1"/>
  <c r="DJ106" i="2" s="1"/>
  <c r="CH254" i="1"/>
  <c r="CU254" i="1" s="1"/>
  <c r="CH102" i="1"/>
  <c r="CU102" i="1" s="1"/>
  <c r="CH38" i="1"/>
  <c r="CU38" i="1" s="1"/>
  <c r="C68" i="2" s="1"/>
  <c r="F68" i="2" s="1"/>
  <c r="Q69" i="2" s="1"/>
  <c r="BX30" i="2" s="1"/>
  <c r="BX52" i="2" s="1"/>
  <c r="DM48" i="2" s="1"/>
  <c r="BZ176" i="2" s="1"/>
  <c r="CH98" i="1"/>
  <c r="CU98" i="1" s="1"/>
  <c r="CH226" i="1"/>
  <c r="CU226" i="1" s="1"/>
  <c r="CH140" i="1"/>
  <c r="CU140" i="1" s="1"/>
  <c r="CH204" i="1"/>
  <c r="CU204" i="1" s="1"/>
  <c r="CH202" i="1"/>
  <c r="CU202" i="1" s="1"/>
  <c r="CH40" i="1"/>
  <c r="CU40" i="1" s="1"/>
  <c r="C18" i="2" s="1"/>
  <c r="F18" i="2" s="1"/>
  <c r="E110" i="2" s="1"/>
  <c r="P109" i="2" s="1"/>
  <c r="Z111" i="2" s="1"/>
  <c r="BX88" i="2" s="1"/>
  <c r="DJ116" i="2" s="1"/>
  <c r="CH146" i="1"/>
  <c r="CU146" i="1" s="1"/>
  <c r="CH228" i="1"/>
  <c r="CU228" i="1" s="1"/>
  <c r="CH50" i="1"/>
  <c r="CU50" i="1" s="1"/>
  <c r="C32" i="2" s="1"/>
  <c r="F32" i="2" s="1"/>
  <c r="E118" i="2" s="1"/>
  <c r="P117" i="2" s="1"/>
  <c r="BX76" i="2" s="1"/>
  <c r="CH75" i="2" s="1"/>
  <c r="CH168" i="1"/>
  <c r="CU168" i="1" s="1"/>
  <c r="CH24" i="1"/>
  <c r="CU24" i="1" s="1"/>
  <c r="C26" i="2" s="1"/>
  <c r="F26" i="2" s="1"/>
  <c r="Q25" i="2" s="1"/>
  <c r="AA23" i="2" s="1"/>
  <c r="BX60" i="2" s="1"/>
  <c r="CI61" i="2" s="1"/>
  <c r="CH130" i="1"/>
  <c r="CU130" i="1" s="1"/>
  <c r="CH220" i="1"/>
  <c r="CU220" i="1" s="1"/>
  <c r="CH58" i="1"/>
  <c r="CU58" i="1" s="1"/>
  <c r="C24" i="2" s="1"/>
  <c r="F24" i="2" s="1"/>
  <c r="E114" i="2" s="1"/>
  <c r="E148" i="2" s="1"/>
  <c r="O147" i="2" s="1"/>
  <c r="Y149" i="2" s="1"/>
  <c r="CH128" i="1"/>
  <c r="CU128" i="1" s="1"/>
  <c r="CH208" i="1"/>
  <c r="CU208" i="1" s="1"/>
  <c r="CH158" i="1"/>
  <c r="CU158" i="1" s="1"/>
  <c r="CH134" i="1"/>
  <c r="CU134" i="1" s="1"/>
  <c r="CH30" i="1"/>
  <c r="CU30" i="1" s="1"/>
  <c r="C52" i="2" s="1"/>
  <c r="F52" i="2" s="1"/>
  <c r="Q53" i="2" s="1"/>
  <c r="BX26" i="2" s="1"/>
  <c r="CI25" i="2" s="1"/>
  <c r="DJ35" i="2" s="1"/>
  <c r="CH94" i="1"/>
  <c r="CU94" i="1" s="1"/>
  <c r="CH210" i="1"/>
  <c r="CU210" i="1" s="1"/>
  <c r="CH132" i="1"/>
  <c r="CU132" i="1" s="1"/>
  <c r="CH196" i="1"/>
  <c r="CU196" i="1" s="1"/>
  <c r="CH260" i="1"/>
  <c r="CU260" i="1" s="1"/>
  <c r="CH32" i="1"/>
  <c r="CU32" i="1" s="1"/>
  <c r="C34" i="2" s="1"/>
  <c r="F34" i="2" s="1"/>
  <c r="Q33" i="2" s="1"/>
  <c r="BX20" i="2" s="1"/>
  <c r="CI21" i="2" s="1"/>
  <c r="CS19" i="2" s="1"/>
  <c r="BZ146" i="2" s="1"/>
  <c r="CH74" i="1"/>
  <c r="CU74" i="1" s="1"/>
  <c r="CH192" i="1"/>
  <c r="CU192" i="1" s="1"/>
  <c r="CH110" i="1"/>
  <c r="CU110" i="1" s="1"/>
  <c r="CH48" i="1"/>
  <c r="CU48" i="1" s="1"/>
  <c r="C38" i="2" s="1"/>
  <c r="F38" i="2" s="1"/>
  <c r="E120" i="2" s="1"/>
  <c r="P121" i="2" s="1"/>
  <c r="Z119" i="2" s="1"/>
  <c r="AJ115" i="2" s="1"/>
  <c r="CH18" i="1"/>
  <c r="CU18" i="1" s="1"/>
  <c r="C28" i="2" s="1"/>
  <c r="F28" i="2" s="1"/>
  <c r="Q29" i="2" s="1"/>
  <c r="AA31" i="2" s="1"/>
  <c r="BX62" i="2" s="1"/>
  <c r="DM60" i="2" s="1"/>
  <c r="CH82" i="1"/>
  <c r="CU82" i="1" s="1"/>
  <c r="CH218" i="1"/>
  <c r="CU218" i="1" s="1"/>
  <c r="CH136" i="1"/>
  <c r="CU136" i="1" s="1"/>
  <c r="CH200" i="1"/>
  <c r="CU200" i="1" s="1"/>
  <c r="CH264" i="1"/>
  <c r="CU264" i="1" s="1"/>
  <c r="CH96" i="1"/>
  <c r="CU96" i="1" s="1"/>
  <c r="CH190" i="1"/>
  <c r="CU190" i="1" s="1"/>
  <c r="CH88" i="1"/>
  <c r="CU88" i="1" s="1"/>
  <c r="CH22" i="1"/>
  <c r="CU22" i="1" s="1"/>
  <c r="C60" i="2" s="1"/>
  <c r="F60" i="2" s="1"/>
  <c r="Q61" i="2" s="1"/>
  <c r="AA63" i="2" s="1"/>
  <c r="BX66" i="2" s="1"/>
  <c r="DM62" i="2" s="1"/>
  <c r="BZ136" i="2" s="1"/>
  <c r="CH86" i="1"/>
  <c r="CU86" i="1" s="1"/>
  <c r="CH194" i="1"/>
  <c r="CU194" i="1" s="1"/>
  <c r="CH124" i="1"/>
  <c r="CU124" i="1" s="1"/>
  <c r="CH188" i="1"/>
  <c r="CU188" i="1" s="1"/>
  <c r="CH252" i="1"/>
  <c r="CU252" i="1" s="1"/>
  <c r="CH52" i="1"/>
  <c r="CU52" i="1" s="1"/>
  <c r="C54" i="2" s="1"/>
  <c r="F54" i="2" s="1"/>
  <c r="E128" i="2" s="1"/>
  <c r="P129" i="2" s="1"/>
  <c r="BX78" i="2" s="1"/>
  <c r="CH79" i="2" s="1"/>
  <c r="DJ126" i="2" s="1"/>
  <c r="CH62" i="1"/>
  <c r="CU62" i="1" s="1"/>
  <c r="C56" i="2" s="1"/>
  <c r="F56" i="2" s="1"/>
  <c r="E130" i="2" s="1"/>
  <c r="E156" i="2" s="1"/>
  <c r="CH164" i="1"/>
  <c r="CU164" i="1" s="1"/>
  <c r="CH10" i="1"/>
  <c r="CU10" i="1" s="1"/>
  <c r="C12" i="2" s="1"/>
  <c r="F12" i="2" s="1"/>
  <c r="Q13" i="2" s="1"/>
  <c r="AA15" i="2" s="1"/>
  <c r="AK19" i="2" s="1"/>
  <c r="AU27" i="2" s="1"/>
  <c r="CH60" i="1"/>
  <c r="CU60" i="1" s="1"/>
  <c r="C62" i="2" s="1"/>
  <c r="F62" i="2" s="1"/>
  <c r="E132" i="2" s="1"/>
  <c r="P133" i="2" s="1"/>
  <c r="BX80" i="2" s="1"/>
  <c r="DN76" i="2" s="1"/>
  <c r="CH150" i="1"/>
  <c r="CU150" i="1" s="1"/>
  <c r="CH104" i="1"/>
  <c r="CU104" i="1" s="1"/>
  <c r="CH182" i="1"/>
  <c r="CU182" i="1" s="1"/>
  <c r="CH68" i="1"/>
  <c r="CU68" i="1" s="1"/>
  <c r="C46" i="2" s="1"/>
  <c r="F46" i="2" s="1"/>
  <c r="E124" i="2" s="1"/>
  <c r="E154" i="2" s="1"/>
  <c r="CH166" i="1"/>
  <c r="CU166" i="1" s="1"/>
  <c r="CH258" i="1"/>
  <c r="CU258" i="1" s="1"/>
  <c r="CH142" i="1"/>
  <c r="CU142" i="1" s="1"/>
  <c r="CH26" i="1"/>
  <c r="CU26" i="1" s="1"/>
  <c r="C20" i="2" s="1"/>
  <c r="F20" i="2" s="1"/>
  <c r="Q21" i="2" s="1"/>
  <c r="BX18" i="2" s="1"/>
  <c r="BX46" i="2" s="1"/>
  <c r="CI47" i="2" s="1"/>
  <c r="CH112" i="1"/>
  <c r="CU112" i="1" s="1"/>
  <c r="CH176" i="1"/>
  <c r="CU176" i="1" s="1"/>
  <c r="CH256" i="1"/>
  <c r="CU256" i="1" s="1"/>
  <c r="CH84" i="1"/>
  <c r="CU84" i="1" s="1"/>
  <c r="CH72" i="1"/>
  <c r="CU72" i="1" s="1"/>
  <c r="C14" i="2" s="1"/>
  <c r="F14" i="2" s="1"/>
  <c r="E108" i="2" s="1"/>
  <c r="E146" i="2" s="1"/>
  <c r="E168" i="2" s="1"/>
  <c r="CH14" i="1"/>
  <c r="CU14" i="1" s="1"/>
  <c r="C44" i="2" s="1"/>
  <c r="F44" i="2" s="1"/>
  <c r="Q45" i="2" s="1"/>
  <c r="AA47" i="2" s="1"/>
  <c r="AK51" i="2" s="1"/>
  <c r="AU59" i="2" s="1"/>
  <c r="BZ106" i="2" s="1"/>
  <c r="CH78" i="1"/>
  <c r="CU78" i="1" s="1"/>
  <c r="CH178" i="1"/>
  <c r="CU178" i="1" s="1"/>
  <c r="CH116" i="1"/>
  <c r="CU116" i="1" s="1"/>
  <c r="CH180" i="1"/>
  <c r="CU180" i="1" s="1"/>
  <c r="CH244" i="1"/>
  <c r="CU244" i="1" s="1"/>
  <c r="CH206" i="1"/>
  <c r="CU206" i="1" s="1"/>
  <c r="CH42" i="1"/>
  <c r="CU42" i="1" s="1"/>
  <c r="C16" i="2" s="1"/>
  <c r="F16" i="2" s="1"/>
  <c r="Q17" i="2" s="1"/>
  <c r="BX16" i="2" s="1"/>
  <c r="CI17" i="2" s="1"/>
  <c r="DJ33" i="2" s="1"/>
  <c r="BZ156" i="2" s="1"/>
  <c r="CH234" i="1"/>
  <c r="CU234" i="1" s="1"/>
  <c r="CH92" i="1"/>
  <c r="CU92" i="1" s="1"/>
  <c r="CH16" i="1"/>
  <c r="CU16" i="1" s="1"/>
  <c r="C42" i="2" s="1"/>
  <c r="F42" i="2" s="1"/>
  <c r="Q41" i="2" s="1"/>
  <c r="AA39" i="2" s="1"/>
  <c r="AK35" i="2" s="1"/>
  <c r="AQ79" i="2" s="1"/>
  <c r="CH214" i="1"/>
  <c r="CU214" i="1" s="1"/>
  <c r="CH66" i="1"/>
  <c r="CU66" i="1" s="1"/>
  <c r="C40" i="2" s="1"/>
  <c r="F40" i="2" s="1"/>
  <c r="E122" i="2" s="1"/>
  <c r="E152" i="2" s="1"/>
  <c r="CH186" i="1"/>
  <c r="CU186" i="1" s="1"/>
  <c r="CH120" i="1"/>
  <c r="CU120" i="1" s="1"/>
  <c r="CH184" i="1"/>
  <c r="CU184" i="1" s="1"/>
  <c r="CH248" i="1"/>
  <c r="CU248" i="1" s="1"/>
  <c r="CH90" i="1"/>
  <c r="CU90" i="1" s="1"/>
  <c r="CH126" i="1"/>
  <c r="CU126" i="1" s="1"/>
  <c r="CH56" i="1"/>
  <c r="CU56" i="1" s="1"/>
  <c r="C22" i="2" s="1"/>
  <c r="F22" i="2" s="1"/>
  <c r="E112" i="2" s="1"/>
  <c r="P113" i="2" s="1"/>
  <c r="BX74" i="2" s="1"/>
  <c r="DN74" i="2" s="1"/>
  <c r="DX75" i="2" s="1"/>
  <c r="CH230" i="1"/>
  <c r="CU230" i="1" s="1"/>
  <c r="CH70" i="1"/>
  <c r="CU70" i="1" s="1"/>
  <c r="C72" i="2" s="1"/>
  <c r="F72" i="2" s="1"/>
  <c r="E138" i="2" s="1"/>
  <c r="E160" i="2" s="1"/>
  <c r="E174" i="2" s="1"/>
  <c r="CH162" i="1"/>
  <c r="CU162" i="1" s="1"/>
  <c r="CH108" i="1"/>
  <c r="CU108" i="1" s="1"/>
  <c r="CH172" i="1"/>
  <c r="CU172" i="1" s="1"/>
  <c r="CH236" i="1"/>
  <c r="CU236" i="1" s="1"/>
  <c r="BZ111" i="2" l="1"/>
  <c r="BA80" i="2"/>
  <c r="BZ101" i="2"/>
  <c r="BE44" i="2"/>
  <c r="AT123" i="2"/>
  <c r="DJ101" i="2"/>
  <c r="BZ151" i="2"/>
  <c r="DU34" i="2"/>
  <c r="AI153" i="2"/>
  <c r="DJ141" i="2"/>
  <c r="BZ171" i="2"/>
  <c r="DX47" i="2"/>
  <c r="DC23" i="2"/>
  <c r="BZ141" i="2"/>
  <c r="CS49" i="2"/>
  <c r="BZ161" i="2"/>
  <c r="DJ131" i="2"/>
  <c r="DJ136" i="2"/>
  <c r="BZ131" i="2"/>
  <c r="DX61" i="2"/>
  <c r="BZ121" i="2"/>
  <c r="CS63" i="2"/>
  <c r="CR77" i="2"/>
  <c r="DJ121" i="2"/>
  <c r="CH89" i="2"/>
  <c r="DJ111" i="2"/>
</calcChain>
</file>

<file path=xl/comments1.xml><?xml version="1.0" encoding="utf-8"?>
<comments xmlns="http://schemas.openxmlformats.org/spreadsheetml/2006/main">
  <authors>
    <author>Maxime BEL</author>
  </authors>
  <commentList>
    <comment ref="CC2" authorId="0" shapeId="0">
      <text>
        <r>
          <rPr>
            <b/>
            <sz val="9"/>
            <color indexed="81"/>
            <rFont val="Tahoma"/>
            <family val="2"/>
          </rPr>
          <t>Maxime BEL: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<sst xmlns="http://schemas.openxmlformats.org/spreadsheetml/2006/main" count="553" uniqueCount="170">
  <si>
    <t>Remplacer les lettres suivantes par le nombre de participants :</t>
  </si>
  <si>
    <t>T</t>
  </si>
  <si>
    <t>R</t>
  </si>
  <si>
    <t>P</t>
  </si>
  <si>
    <t>I</t>
  </si>
  <si>
    <t>Y</t>
  </si>
  <si>
    <t>K</t>
  </si>
  <si>
    <t>E</t>
  </si>
  <si>
    <t xml:space="preserve">Exemple : </t>
  </si>
  <si>
    <t>$T$136 = 64 joueurs</t>
  </si>
  <si>
    <t>$T$72 = 32 joueurs</t>
  </si>
  <si>
    <t>$T$40 = 16 joueurs</t>
  </si>
  <si>
    <t>Cl</t>
  </si>
  <si>
    <t>Nom / Prénom</t>
  </si>
  <si>
    <t>N°</t>
  </si>
  <si>
    <t>Points</t>
  </si>
  <si>
    <t>Sets</t>
  </si>
  <si>
    <t>Match</t>
  </si>
  <si>
    <t>Rang</t>
  </si>
  <si>
    <t>:</t>
  </si>
  <si>
    <t>Participant 1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</si>
  <si>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</si>
  <si>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</si>
  <si>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</si>
  <si>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</si>
  <si>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</si>
  <si>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</si>
  <si>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</si>
  <si>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</si>
  <si>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</si>
  <si>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</si>
  <si>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</si>
  <si>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</si>
  <si>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</si>
  <si>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</si>
  <si>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Participant 16</t>
  </si>
  <si>
    <t>Participant 17</t>
  </si>
  <si>
    <t>Participant 18</t>
  </si>
  <si>
    <t>Participant 19</t>
  </si>
  <si>
    <t>Participant 20</t>
  </si>
  <si>
    <t>Participant 21</t>
  </si>
  <si>
    <t>Participant 22</t>
  </si>
  <si>
    <t>Participant 23</t>
  </si>
  <si>
    <t>Participant 24</t>
  </si>
  <si>
    <t>Participant 25</t>
  </si>
  <si>
    <t>Participant 26</t>
  </si>
  <si>
    <t>Participant 27</t>
  </si>
  <si>
    <t>Participant 28</t>
  </si>
  <si>
    <t>Participant 29</t>
  </si>
  <si>
    <t>Participant 30</t>
  </si>
  <si>
    <t>Participant 31</t>
  </si>
  <si>
    <t>Participant 32</t>
  </si>
  <si>
    <t>Participant 33</t>
  </si>
  <si>
    <t>Participant 34</t>
  </si>
  <si>
    <t>Participant 35</t>
  </si>
  <si>
    <t>Participant 36</t>
  </si>
  <si>
    <t>Participant 37</t>
  </si>
  <si>
    <t>Participant 38</t>
  </si>
  <si>
    <t>Participant 39</t>
  </si>
  <si>
    <t>Participant 40</t>
  </si>
  <si>
    <t>Participant 41</t>
  </si>
  <si>
    <t>Participant 42</t>
  </si>
  <si>
    <t>Participant 43</t>
  </si>
  <si>
    <t>Participant 44</t>
  </si>
  <si>
    <t>Participant 45</t>
  </si>
  <si>
    <t>Participant 46</t>
  </si>
  <si>
    <t>Participant 47</t>
  </si>
  <si>
    <t>Participant 48</t>
  </si>
  <si>
    <t>Participant 49</t>
  </si>
  <si>
    <t>Participant 50</t>
  </si>
  <si>
    <t>Participant 51</t>
  </si>
  <si>
    <t>Participant 52</t>
  </si>
  <si>
    <t>Participant 53</t>
  </si>
  <si>
    <t>Participant 54</t>
  </si>
  <si>
    <t>Participant 55</t>
  </si>
  <si>
    <t>Participant 56</t>
  </si>
  <si>
    <t>Participant 57</t>
  </si>
  <si>
    <t>Participant 58</t>
  </si>
  <si>
    <t>Participant 59</t>
  </si>
  <si>
    <t>Participant 60</t>
  </si>
  <si>
    <t>Participant 61</t>
  </si>
  <si>
    <t>Participant 62</t>
  </si>
  <si>
    <t>Participant 63</t>
  </si>
  <si>
    <t>Participant 64</t>
  </si>
  <si>
    <t>Participant 65</t>
  </si>
  <si>
    <t>Participant 66</t>
  </si>
  <si>
    <t>Participant 67</t>
  </si>
  <si>
    <t>Participant 68</t>
  </si>
  <si>
    <t>Participant 69</t>
  </si>
  <si>
    <t>Participant 70</t>
  </si>
  <si>
    <t>Participant 71</t>
  </si>
  <si>
    <t>Participant 72</t>
  </si>
  <si>
    <t>Participant 73</t>
  </si>
  <si>
    <t>Participant 74</t>
  </si>
  <si>
    <t>Participant 75</t>
  </si>
  <si>
    <t>Participant 76</t>
  </si>
  <si>
    <t>Participant 77</t>
  </si>
  <si>
    <t>Participant 78</t>
  </si>
  <si>
    <t>Participant 79</t>
  </si>
  <si>
    <t>Participant 80</t>
  </si>
  <si>
    <t>Participant 81</t>
  </si>
  <si>
    <t>Participant 82</t>
  </si>
  <si>
    <t>Participant 83</t>
  </si>
  <si>
    <t>Participant 84</t>
  </si>
  <si>
    <t>Participant 85</t>
  </si>
  <si>
    <t>Participant 86</t>
  </si>
  <si>
    <t>Participant 87</t>
  </si>
  <si>
    <t>Participant 88</t>
  </si>
  <si>
    <t>Participant 89</t>
  </si>
  <si>
    <t>Participant 90</t>
  </si>
  <si>
    <t>Participant 91</t>
  </si>
  <si>
    <t>Participant 92</t>
  </si>
  <si>
    <t>Participant 93</t>
  </si>
  <si>
    <t>Participant 94</t>
  </si>
  <si>
    <t>Participant 95</t>
  </si>
  <si>
    <t>Participant 96</t>
  </si>
  <si>
    <t>Participant 97</t>
  </si>
  <si>
    <t>Participant 98</t>
  </si>
  <si>
    <t>Participant 99</t>
  </si>
  <si>
    <t>Participant 100</t>
  </si>
  <si>
    <t>Participant 101</t>
  </si>
  <si>
    <t>Participant 102</t>
  </si>
  <si>
    <t>Participant 103</t>
  </si>
  <si>
    <t>Participant 104</t>
  </si>
  <si>
    <t>Participant 105</t>
  </si>
  <si>
    <t>Participant 106</t>
  </si>
  <si>
    <t>Participant 107</t>
  </si>
  <si>
    <t>Participant 108</t>
  </si>
  <si>
    <t>Participant 109</t>
  </si>
  <si>
    <t>Participant 110</t>
  </si>
  <si>
    <t>Participant 111</t>
  </si>
  <si>
    <t>Participant 112</t>
  </si>
  <si>
    <t>Participant 113</t>
  </si>
  <si>
    <t>Participant 114</t>
  </si>
  <si>
    <t>Participant 115</t>
  </si>
  <si>
    <t>Participant 116</t>
  </si>
  <si>
    <t>Participant 117</t>
  </si>
  <si>
    <t>Participant 118</t>
  </si>
  <si>
    <t>Participant 119</t>
  </si>
  <si>
    <t>Participant 120</t>
  </si>
  <si>
    <t>Participant 121</t>
  </si>
  <si>
    <t>Participant 122</t>
  </si>
  <si>
    <t>Participant 123</t>
  </si>
  <si>
    <t>Participant 124</t>
  </si>
  <si>
    <t>Participant 125</t>
  </si>
  <si>
    <t>Participant 126</t>
  </si>
  <si>
    <t>Participant 127</t>
  </si>
  <si>
    <t>Participant 128</t>
  </si>
  <si>
    <t>$T$264 = 128 joueurs</t>
  </si>
  <si>
    <t>Place 9 à 16</t>
  </si>
  <si>
    <t>Place 11 et 12</t>
  </si>
  <si>
    <t>Place 13 à 16</t>
  </si>
  <si>
    <t>Place 15 et 16</t>
  </si>
  <si>
    <t>Place 5 à 8</t>
  </si>
  <si>
    <t>Place 7 et 8</t>
  </si>
  <si>
    <t>Place 21 à 24</t>
  </si>
  <si>
    <t>Place 23 et 24</t>
  </si>
  <si>
    <t>Place 3 et 4</t>
  </si>
  <si>
    <t>Place 19 et 20</t>
  </si>
  <si>
    <t>Participants :</t>
  </si>
  <si>
    <t>Début</t>
  </si>
  <si>
    <t>Fin</t>
  </si>
  <si>
    <t>Classement final :</t>
  </si>
  <si>
    <t>Place 17 à 32</t>
  </si>
  <si>
    <t>Place 25 à 32</t>
  </si>
  <si>
    <t>Place 29 à 32</t>
  </si>
  <si>
    <t>Place 27 et 28</t>
  </si>
  <si>
    <t>Place 31 et 32</t>
  </si>
  <si>
    <t>Inscription des joueurs</t>
  </si>
  <si>
    <t>Classement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</si>
</sst>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;@"/>
    <numFmt numFmtId="165" formatCode="dd/mm/yy;@"/>
    <numFmt numFmtId="166" formatCode="h:mm&quot;h&quot;"/>
  </numFmts>
  <fonts count="20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Times New Roman"/>
      <family val="1"/>
    </font>
    <font>
      <sz val="8"/>
      <color rgb="FFFF0000"/>
      <name val="Times New Roman"/>
      <family val="1"/>
    </font>
    <font>
      <sz val="8"/>
      <color indexed="8"/>
      <name val="Times New Roman"/>
      <family val="1"/>
    </font>
    <font>
      <sz val="8"/>
      <color theme="0"/>
      <name val="Times New Roman"/>
      <family val="1"/>
    </font>
    <font>
      <b/>
      <sz val="8"/>
      <color indexed="8"/>
      <name val="Times New Roman"/>
      <family val="1"/>
    </font>
    <font>
      <sz val="6"/>
      <name val="Calibri"/>
      <family val="2"/>
      <scheme val="minor"/>
    </font>
    <font>
      <b/>
      <i/>
      <u/>
      <sz val="26"/>
      <name val="Calibri"/>
      <family val="2"/>
      <scheme val="minor"/>
    </font>
    <font>
      <b/>
      <i/>
      <u/>
      <sz val="20"/>
      <name val="Calibri"/>
      <family val="2"/>
      <scheme val="minor"/>
    </font>
    <font>
      <i/>
      <sz val="14"/>
      <name val="Calibri"/>
      <family val="2"/>
      <scheme val="minor"/>
    </font>
    <font>
      <sz val="10"/>
      <name val="Calibri"/>
      <family val="2"/>
      <scheme val="minor"/>
    </font>
    <font>
      <u/>
      <sz val="26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i/>
      <u/>
      <sz val="24"/>
      <name val="Calibri"/>
      <family val="2"/>
      <scheme val="minor"/>
    </font>
    <font>
      <sz val="16"/>
      <color theme="0"/>
      <name val="Times New Roman"/>
      <family val="1"/>
    </font>
    <font>
      <sz val="1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A0FEB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3" fillId="0" borderId="0" xfId="1" applyFont="1" applyAlignment="1">
      <alignment vertical="center"/>
    </xf>
    <xf numFmtId="0" fontId="2" fillId="0" borderId="0" xfId="1" applyFont="1"/>
    <xf numFmtId="0" fontId="2" fillId="0" borderId="0" xfId="1" applyFont="1" applyProtection="1"/>
    <xf numFmtId="0" fontId="6" fillId="0" borderId="0" xfId="1" applyFont="1" applyFill="1" applyBorder="1" applyAlignment="1">
      <alignment horizontal="left" vertical="center"/>
    </xf>
    <xf numFmtId="0" fontId="2" fillId="0" borderId="0" xfId="1" applyFont="1" applyBorder="1" applyAlignment="1">
      <alignment vertical="center"/>
    </xf>
    <xf numFmtId="1" fontId="7" fillId="0" borderId="0" xfId="0" applyNumberFormat="1" applyFont="1" applyFill="1" applyBorder="1" applyAlignment="1" applyProtection="1">
      <alignment horizontal="left" vertical="center"/>
    </xf>
    <xf numFmtId="1" fontId="7" fillId="0" borderId="0" xfId="0" applyNumberFormat="1" applyFont="1" applyFill="1" applyBorder="1" applyAlignment="1" applyProtection="1">
      <alignment horizontal="center" vertical="center"/>
    </xf>
    <xf numFmtId="1" fontId="7" fillId="0" borderId="0" xfId="0" applyNumberFormat="1" applyFont="1" applyFill="1" applyAlignment="1" applyProtection="1">
      <alignment horizontal="left" vertical="center"/>
    </xf>
    <xf numFmtId="1" fontId="8" fillId="0" borderId="0" xfId="0" applyNumberFormat="1" applyFont="1" applyFill="1" applyAlignment="1" applyProtection="1">
      <alignment vertical="center"/>
    </xf>
    <xf numFmtId="1" fontId="7" fillId="0" borderId="0" xfId="0" applyNumberFormat="1" applyFont="1" applyFill="1" applyAlignment="1" applyProtection="1">
      <alignment horizontal="center" vertical="center"/>
    </xf>
    <xf numFmtId="1" fontId="9" fillId="0" borderId="0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vertical="center"/>
    </xf>
    <xf numFmtId="165" fontId="10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1" fontId="7" fillId="2" borderId="1" xfId="0" applyNumberFormat="1" applyFont="1" applyFill="1" applyBorder="1" applyAlignment="1" applyProtection="1">
      <alignment horizontal="center" vertical="center"/>
      <protection locked="0"/>
    </xf>
    <xf numFmtId="1" fontId="7" fillId="0" borderId="16" xfId="0" applyNumberFormat="1" applyFont="1" applyFill="1" applyBorder="1" applyAlignment="1" applyProtection="1">
      <alignment horizontal="center" vertical="center"/>
    </xf>
    <xf numFmtId="1" fontId="7" fillId="0" borderId="0" xfId="0" applyNumberFormat="1" applyFont="1" applyFill="1" applyBorder="1" applyAlignment="1" applyProtection="1">
      <alignment horizontal="left"/>
    </xf>
    <xf numFmtId="1" fontId="11" fillId="0" borderId="0" xfId="0" applyNumberFormat="1" applyFont="1" applyFill="1" applyBorder="1" applyAlignment="1" applyProtection="1">
      <alignment vertical="center"/>
    </xf>
    <xf numFmtId="1" fontId="12" fillId="0" borderId="0" xfId="0" applyNumberFormat="1" applyFont="1" applyFill="1" applyAlignment="1" applyProtection="1">
      <alignment vertical="center"/>
    </xf>
    <xf numFmtId="164" fontId="12" fillId="0" borderId="0" xfId="0" applyNumberFormat="1" applyFont="1" applyFill="1" applyAlignment="1" applyProtection="1">
      <alignment vertical="center"/>
    </xf>
    <xf numFmtId="1" fontId="7" fillId="0" borderId="0" xfId="0" applyNumberFormat="1" applyFont="1" applyFill="1" applyBorder="1" applyAlignment="1" applyProtection="1">
      <alignment vertical="center"/>
    </xf>
    <xf numFmtId="0" fontId="7" fillId="0" borderId="13" xfId="0" applyNumberFormat="1" applyFont="1" applyFill="1" applyBorder="1" applyAlignment="1" applyProtection="1">
      <alignment horizontal="left"/>
    </xf>
    <xf numFmtId="0" fontId="16" fillId="3" borderId="0" xfId="1" applyFont="1" applyFill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0" borderId="7" xfId="1" applyFont="1" applyFill="1" applyBorder="1" applyAlignment="1">
      <alignment horizontal="left" vertical="center"/>
    </xf>
    <xf numFmtId="0" fontId="2" fillId="0" borderId="9" xfId="1" applyFont="1" applyFill="1" applyBorder="1" applyAlignment="1">
      <alignment horizontal="left" vertical="center"/>
    </xf>
    <xf numFmtId="0" fontId="2" fillId="0" borderId="12" xfId="1" applyFont="1" applyFill="1" applyBorder="1" applyAlignment="1">
      <alignment horizontal="left" vertical="center"/>
    </xf>
    <xf numFmtId="0" fontId="2" fillId="0" borderId="14" xfId="1" applyFont="1" applyFill="1" applyBorder="1" applyAlignment="1">
      <alignment horizontal="left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0" fontId="2" fillId="0" borderId="8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 applyProtection="1">
      <alignment horizontal="center" vertical="center"/>
      <protection locked="0"/>
    </xf>
    <xf numFmtId="0" fontId="5" fillId="3" borderId="7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/>
    </xf>
    <xf numFmtId="0" fontId="5" fillId="3" borderId="1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left"/>
    </xf>
    <xf numFmtId="0" fontId="4" fillId="0" borderId="6" xfId="1" applyFont="1" applyFill="1" applyBorder="1" applyAlignment="1">
      <alignment horizontal="left"/>
    </xf>
    <xf numFmtId="0" fontId="2" fillId="0" borderId="3" xfId="1" applyFont="1" applyBorder="1" applyAlignment="1">
      <alignment horizontal="center" vertical="center"/>
    </xf>
    <xf numFmtId="0" fontId="4" fillId="0" borderId="11" xfId="1" applyFont="1" applyFill="1" applyBorder="1" applyAlignment="1">
      <alignment horizontal="left"/>
    </xf>
    <xf numFmtId="0" fontId="2" fillId="0" borderId="8" xfId="1" applyFont="1" applyFill="1" applyBorder="1" applyAlignment="1">
      <alignment horizontal="left" vertical="center"/>
    </xf>
    <xf numFmtId="0" fontId="2" fillId="0" borderId="13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horizontal="left" vertical="center"/>
    </xf>
    <xf numFmtId="0" fontId="2" fillId="0" borderId="15" xfId="1" applyFont="1" applyFill="1" applyBorder="1" applyAlignment="1">
      <alignment horizontal="left" vertical="center"/>
    </xf>
    <xf numFmtId="0" fontId="7" fillId="0" borderId="13" xfId="0" applyNumberFormat="1" applyFont="1" applyFill="1" applyBorder="1" applyAlignment="1" applyProtection="1">
      <alignment horizontal="left"/>
    </xf>
    <xf numFmtId="1" fontId="7" fillId="0" borderId="0" xfId="0" applyNumberFormat="1" applyFont="1" applyFill="1" applyBorder="1" applyAlignment="1" applyProtection="1">
      <alignment horizontal="center" vertical="center"/>
    </xf>
    <xf numFmtId="1" fontId="7" fillId="0" borderId="17" xfId="0" applyNumberFormat="1" applyFont="1" applyFill="1" applyBorder="1" applyAlignment="1" applyProtection="1">
      <alignment horizontal="center" vertical="center"/>
    </xf>
    <xf numFmtId="1" fontId="7" fillId="0" borderId="12" xfId="0" applyNumberFormat="1" applyFont="1" applyFill="1" applyBorder="1" applyAlignment="1" applyProtection="1">
      <alignment horizontal="left" vertical="center" indent="1"/>
    </xf>
    <xf numFmtId="1" fontId="7" fillId="0" borderId="13" xfId="0" applyNumberFormat="1" applyFont="1" applyFill="1" applyBorder="1" applyAlignment="1" applyProtection="1">
      <alignment horizontal="left" vertical="center" indent="1"/>
    </xf>
    <xf numFmtId="1" fontId="7" fillId="4" borderId="0" xfId="0" applyNumberFormat="1" applyFont="1" applyFill="1" applyAlignment="1" applyProtection="1">
      <alignment horizontal="center" vertical="center"/>
    </xf>
    <xf numFmtId="1" fontId="7" fillId="2" borderId="0" xfId="0" applyNumberFormat="1" applyFont="1" applyFill="1" applyBorder="1" applyAlignment="1" applyProtection="1">
      <alignment horizontal="center" vertical="center"/>
    </xf>
    <xf numFmtId="1" fontId="15" fillId="0" borderId="0" xfId="0" applyNumberFormat="1" applyFont="1" applyFill="1" applyAlignment="1" applyProtection="1">
      <alignment horizontal="center" vertical="center"/>
    </xf>
    <xf numFmtId="164" fontId="15" fillId="0" borderId="0" xfId="0" applyNumberFormat="1" applyFont="1" applyFill="1" applyAlignment="1" applyProtection="1">
      <alignment horizontal="center" vertical="center"/>
    </xf>
    <xf numFmtId="1" fontId="10" fillId="0" borderId="0" xfId="0" applyNumberFormat="1" applyFont="1" applyFill="1" applyBorder="1" applyAlignment="1" applyProtection="1">
      <alignment horizontal="center" vertical="center"/>
    </xf>
    <xf numFmtId="1" fontId="7" fillId="0" borderId="8" xfId="0" applyNumberFormat="1" applyFont="1" applyFill="1" applyBorder="1" applyAlignment="1" applyProtection="1">
      <alignment horizontal="center" vertical="center"/>
    </xf>
    <xf numFmtId="1" fontId="7" fillId="0" borderId="9" xfId="0" applyNumberFormat="1" applyFont="1" applyFill="1" applyBorder="1" applyAlignment="1" applyProtection="1">
      <alignment horizontal="center" vertical="center"/>
    </xf>
    <xf numFmtId="1" fontId="7" fillId="0" borderId="13" xfId="0" applyNumberFormat="1" applyFont="1" applyFill="1" applyBorder="1" applyAlignment="1" applyProtection="1">
      <alignment horizontal="center" vertical="center"/>
    </xf>
    <xf numFmtId="1" fontId="7" fillId="0" borderId="14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left" indent="1"/>
    </xf>
    <xf numFmtId="0" fontId="7" fillId="0" borderId="13" xfId="0" applyNumberFormat="1" applyFont="1" applyFill="1" applyBorder="1" applyAlignment="1" applyProtection="1">
      <alignment horizontal="left" indent="1"/>
    </xf>
    <xf numFmtId="1" fontId="7" fillId="0" borderId="0" xfId="0" applyNumberFormat="1" applyFont="1" applyFill="1" applyAlignment="1" applyProtection="1">
      <alignment horizontal="center" vertical="center"/>
    </xf>
    <xf numFmtId="0" fontId="7" fillId="0" borderId="14" xfId="0" applyNumberFormat="1" applyFont="1" applyFill="1" applyBorder="1" applyAlignment="1" applyProtection="1">
      <alignment horizontal="left" indent="1"/>
    </xf>
    <xf numFmtId="1" fontId="7" fillId="0" borderId="14" xfId="0" applyNumberFormat="1" applyFont="1" applyFill="1" applyBorder="1" applyAlignment="1" applyProtection="1">
      <alignment horizontal="left" vertical="center" indent="1"/>
    </xf>
    <xf numFmtId="1" fontId="11" fillId="0" borderId="0" xfId="0" applyNumberFormat="1" applyFont="1" applyFill="1" applyBorder="1" applyAlignment="1" applyProtection="1">
      <alignment horizontal="center" vertical="center"/>
    </xf>
    <xf numFmtId="1" fontId="11" fillId="0" borderId="0" xfId="0" applyNumberFormat="1" applyFont="1" applyFill="1" applyBorder="1" applyAlignment="1" applyProtection="1">
      <alignment horizontal="left" vertical="center"/>
    </xf>
    <xf numFmtId="166" fontId="11" fillId="0" borderId="0" xfId="0" applyNumberFormat="1" applyFont="1" applyFill="1" applyBorder="1" applyAlignment="1" applyProtection="1">
      <alignment horizontal="center" vertical="center"/>
    </xf>
    <xf numFmtId="1" fontId="14" fillId="0" borderId="0" xfId="0" applyNumberFormat="1" applyFont="1" applyFill="1" applyBorder="1" applyAlignment="1" applyProtection="1">
      <alignment horizontal="left" vertical="center"/>
    </xf>
    <xf numFmtId="1" fontId="14" fillId="0" borderId="13" xfId="0" applyNumberFormat="1" applyFont="1" applyFill="1" applyBorder="1" applyAlignment="1" applyProtection="1">
      <alignment horizontal="left" vertical="center"/>
    </xf>
    <xf numFmtId="1" fontId="13" fillId="0" borderId="0" xfId="0" applyNumberFormat="1" applyFont="1" applyFill="1" applyBorder="1" applyAlignment="1" applyProtection="1">
      <alignment horizontal="center" vertical="center"/>
    </xf>
    <xf numFmtId="1" fontId="9" fillId="0" borderId="0" xfId="0" applyNumberFormat="1" applyFont="1" applyFill="1" applyBorder="1" applyAlignment="1" applyProtection="1">
      <alignment horizontal="center" vertical="center"/>
    </xf>
    <xf numFmtId="0" fontId="17" fillId="5" borderId="0" xfId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56</xdr:col>
      <xdr:colOff>16565</xdr:colOff>
      <xdr:row>0</xdr:row>
      <xdr:rowOff>0</xdr:rowOff>
    </xdr:from>
    <xdr:to>
      <xdr:col>63</xdr:col>
      <xdr:colOff>26682</xdr:colOff>
      <xdr:row>7</xdr:row>
      <xdr:rowOff>91719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2090" y="0"/>
          <a:ext cx="743542" cy="825144"/>
        </a:xfrm>
        <a:prstGeom prst="rect">
          <a:avLst/>
        </a:prstGeom>
      </xdr:spPr>
    </xdr:pic>
    <xdr:clientData/>
  </xdr:twoCellAnchor>
  <xdr:twoCellAnchor editAs="oneCell">
    <xdr:from>
      <xdr:col>125</xdr:col>
      <xdr:colOff>70339</xdr:colOff>
      <xdr:row>0</xdr:row>
      <xdr:rowOff>0</xdr:rowOff>
    </xdr:from>
    <xdr:to>
      <xdr:col>137</xdr:col>
      <xdr:colOff>95554</xdr:colOff>
      <xdr:row>13</xdr:row>
      <xdr:rowOff>95250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38689" y="0"/>
          <a:ext cx="1320615" cy="1457325"/>
        </a:xfrm>
        <a:prstGeom prst="rect">
          <a:avLst/>
        </a:prstGeom>
      </xdr:spPr>
    </xdr:pic>
    <xdr:clientData/>
  </xdr:twoCellAnchor>
  <xdr:twoCellAnchor editAs="oneCell">
    <xdr:from>
      <xdr:col>54</xdr:col>
      <xdr:colOff>87191</xdr:colOff>
      <xdr:row>92</xdr:row>
      <xdr:rowOff>95250</xdr:rowOff>
    </xdr:from>
    <xdr:to>
      <xdr:col>67</xdr:col>
      <xdr:colOff>7631</xdr:colOff>
      <xdr:row>106</xdr:row>
      <xdr:rowOff>85725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66" y="9734550"/>
          <a:ext cx="1320615" cy="1457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homas\Tabelle_Sortiere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homas\Excel\Tabelle_Sortiere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TT\Tournoi%20ETT\2017-2018\3&#232;me%20Tour%20Collombey-Muraz\Infos%20Joueur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TT\Tournoi%20ETT\2017-2018\3&#232;me%20Tour%20Collombey-Muraz\Infos%20g&#233;n&#233;ra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  <sheetName val="Resultate"/>
      <sheetName val="4er Gruppe"/>
      <sheetName val="Tabelle1"/>
      <sheetName val="Spielplan"/>
      <sheetName val="Tabellenstand"/>
    </sheetNames>
    <sheetDataSet>
      <sheetData sheetId="0">
        <row r="4">
          <cell r="A4">
            <v>13.061304000000002</v>
          </cell>
          <cell r="B4" t="str">
            <v>Thomas</v>
          </cell>
          <cell r="C4">
            <v>50</v>
          </cell>
          <cell r="D4">
            <v>18</v>
          </cell>
          <cell r="E4">
            <v>0</v>
          </cell>
        </row>
        <row r="5">
          <cell r="A5">
            <v>1.1206050000000001</v>
          </cell>
          <cell r="B5" t="str">
            <v>ganz</v>
          </cell>
          <cell r="C5">
            <v>350</v>
          </cell>
          <cell r="D5">
            <v>9</v>
          </cell>
          <cell r="E5">
            <v>5</v>
          </cell>
        </row>
        <row r="6">
          <cell r="A6">
            <v>2.0112059999999996</v>
          </cell>
          <cell r="B6" t="str">
            <v>D</v>
          </cell>
          <cell r="C6">
            <v>150</v>
          </cell>
          <cell r="D6">
            <v>30</v>
          </cell>
          <cell r="E6">
            <v>4</v>
          </cell>
        </row>
        <row r="7">
          <cell r="A7">
            <v>2.0304069999999999</v>
          </cell>
          <cell r="B7" t="str">
            <v>E</v>
          </cell>
          <cell r="C7">
            <v>400</v>
          </cell>
          <cell r="D7">
            <v>24</v>
          </cell>
          <cell r="E7">
            <v>4</v>
          </cell>
        </row>
        <row r="8">
          <cell r="A8">
            <v>2.0601080000000001</v>
          </cell>
          <cell r="B8" t="str">
            <v>F</v>
          </cell>
          <cell r="C8">
            <v>500</v>
          </cell>
          <cell r="D8">
            <v>18</v>
          </cell>
          <cell r="E8">
            <v>4</v>
          </cell>
        </row>
        <row r="9">
          <cell r="A9">
            <v>2.0610089999999999</v>
          </cell>
          <cell r="B9" t="str">
            <v>L</v>
          </cell>
          <cell r="C9">
            <v>200</v>
          </cell>
          <cell r="D9">
            <v>18</v>
          </cell>
          <cell r="E9">
            <v>4</v>
          </cell>
        </row>
        <row r="10">
          <cell r="A10">
            <v>2.0906099999999999</v>
          </cell>
          <cell r="B10" t="str">
            <v>J</v>
          </cell>
          <cell r="C10">
            <v>350</v>
          </cell>
          <cell r="D10">
            <v>15</v>
          </cell>
          <cell r="E10">
            <v>4</v>
          </cell>
        </row>
        <row r="11">
          <cell r="A11">
            <v>2.1203110000000005</v>
          </cell>
          <cell r="B11" t="str">
            <v>B</v>
          </cell>
          <cell r="C11">
            <v>450</v>
          </cell>
          <cell r="D11">
            <v>9</v>
          </cell>
          <cell r="E11">
            <v>4</v>
          </cell>
        </row>
        <row r="12">
          <cell r="A12">
            <v>8.0510120000000001</v>
          </cell>
          <cell r="B12" t="str">
            <v>I</v>
          </cell>
          <cell r="C12">
            <v>200</v>
          </cell>
          <cell r="D12">
            <v>21</v>
          </cell>
          <cell r="E12">
            <v>3</v>
          </cell>
        </row>
        <row r="13">
          <cell r="A13">
            <v>8.0909129999999987</v>
          </cell>
          <cell r="B13" t="str">
            <v>A</v>
          </cell>
          <cell r="C13">
            <v>250</v>
          </cell>
          <cell r="D13">
            <v>15</v>
          </cell>
          <cell r="E13">
            <v>3</v>
          </cell>
        </row>
        <row r="14">
          <cell r="A14">
            <v>10.110113999999999</v>
          </cell>
          <cell r="B14" t="str">
            <v>H</v>
          </cell>
          <cell r="C14">
            <v>500</v>
          </cell>
          <cell r="D14">
            <v>12</v>
          </cell>
          <cell r="E14">
            <v>2</v>
          </cell>
        </row>
        <row r="15">
          <cell r="A15">
            <v>11.020814999999999</v>
          </cell>
          <cell r="B15" t="str">
            <v>G</v>
          </cell>
          <cell r="C15">
            <v>300</v>
          </cell>
          <cell r="D15">
            <v>27</v>
          </cell>
          <cell r="E15">
            <v>1</v>
          </cell>
        </row>
        <row r="16">
          <cell r="A16">
            <v>11.030416000000001</v>
          </cell>
          <cell r="B16" t="str">
            <v>N</v>
          </cell>
          <cell r="C16">
            <v>400</v>
          </cell>
          <cell r="D16">
            <v>24</v>
          </cell>
          <cell r="E16">
            <v>1</v>
          </cell>
        </row>
        <row r="17">
          <cell r="A17" t="str">
            <v>-</v>
          </cell>
          <cell r="C17">
            <v>0</v>
          </cell>
          <cell r="D17">
            <v>0</v>
          </cell>
          <cell r="E17">
            <v>0</v>
          </cell>
        </row>
        <row r="18">
          <cell r="A18" t="str">
            <v>-</v>
          </cell>
        </row>
        <row r="19">
          <cell r="A19" t="str">
            <v>-</v>
          </cell>
        </row>
        <row r="20">
          <cell r="A20" t="str">
            <v>-</v>
          </cell>
        </row>
        <row r="21">
          <cell r="A21" t="str">
            <v>-</v>
          </cell>
        </row>
        <row r="22">
          <cell r="A22" t="str">
            <v>-</v>
          </cell>
        </row>
        <row r="23">
          <cell r="A23" t="str">
            <v>-</v>
          </cell>
        </row>
        <row r="24">
          <cell r="A24" t="str">
            <v>-</v>
          </cell>
        </row>
        <row r="25">
          <cell r="A25" t="str">
            <v>-</v>
          </cell>
        </row>
        <row r="26">
          <cell r="A26" t="str">
            <v>-</v>
          </cell>
        </row>
        <row r="27">
          <cell r="A27" t="str">
            <v>-</v>
          </cell>
        </row>
        <row r="28">
          <cell r="A28" t="str">
            <v>-</v>
          </cell>
        </row>
        <row r="29">
          <cell r="A29" t="str">
            <v>-</v>
          </cell>
        </row>
        <row r="30">
          <cell r="A30" t="str">
            <v>-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 joueurs"/>
    </sheetNames>
    <sheetDataSet>
      <sheetData sheetId="0">
        <row r="1"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>
            <v>0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  <cell r="BF1">
            <v>0</v>
          </cell>
          <cell r="BG1">
            <v>0</v>
          </cell>
          <cell r="BH1">
            <v>0</v>
          </cell>
          <cell r="BI1">
            <v>0</v>
          </cell>
          <cell r="BJ1">
            <v>0</v>
          </cell>
          <cell r="BK1">
            <v>0</v>
          </cell>
        </row>
        <row r="2"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0</v>
          </cell>
          <cell r="BF2">
            <v>0</v>
          </cell>
          <cell r="BG2">
            <v>0</v>
          </cell>
          <cell r="BH2">
            <v>0</v>
          </cell>
          <cell r="BI2">
            <v>0</v>
          </cell>
          <cell r="BJ2">
            <v>0</v>
          </cell>
          <cell r="BK2">
            <v>0</v>
          </cell>
        </row>
        <row r="3"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</row>
        <row r="4"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</row>
        <row r="5"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</row>
        <row r="6"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</row>
        <row r="7"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X7">
            <v>0</v>
          </cell>
        </row>
        <row r="8"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</row>
        <row r="9"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</row>
        <row r="10"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</row>
        <row r="11"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</row>
        <row r="16">
          <cell r="B16" t="str">
            <v>Tournoi non-licienciés AVVT 2017 / 2018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</row>
        <row r="23">
          <cell r="B23">
            <v>43134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</row>
        <row r="31">
          <cell r="B31" t="str">
            <v>N°</v>
          </cell>
          <cell r="C31">
            <v>0</v>
          </cell>
          <cell r="D31">
            <v>0</v>
          </cell>
          <cell r="E31" t="str">
            <v>Né le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>Nom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 t="str">
            <v>Prénom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 t="str">
            <v>Clubs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 t="str">
            <v>Points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 t="str">
            <v>Catégories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</row>
        <row r="33">
          <cell r="B33">
            <v>1</v>
          </cell>
          <cell r="C33">
            <v>0</v>
          </cell>
          <cell r="D33">
            <v>0</v>
          </cell>
          <cell r="E33">
            <v>38925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>Bottagisio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 t="str">
            <v>Leticia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 t="str">
            <v>Grône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23</v>
          </cell>
          <cell r="BD33">
            <v>0</v>
          </cell>
          <cell r="BE33">
            <v>0</v>
          </cell>
          <cell r="BF33" t="str">
            <v xml:space="preserve"> 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</row>
        <row r="35">
          <cell r="B35">
            <v>2</v>
          </cell>
          <cell r="C35">
            <v>0</v>
          </cell>
          <cell r="D35">
            <v>0</v>
          </cell>
          <cell r="E35">
            <v>38810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 t="str">
            <v>Leite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 t="str">
            <v>Matilde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 t="str">
            <v>Grône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22</v>
          </cell>
          <cell r="BD35">
            <v>0</v>
          </cell>
          <cell r="BE35">
            <v>0</v>
          </cell>
          <cell r="BF35" t="str">
            <v xml:space="preserve"> 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</row>
        <row r="37">
          <cell r="B37">
            <v>3</v>
          </cell>
          <cell r="C37">
            <v>0</v>
          </cell>
          <cell r="D37">
            <v>0</v>
          </cell>
          <cell r="E37">
            <v>38655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>Salamin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 t="str">
            <v>Elona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 t="str">
            <v>Grône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37</v>
          </cell>
          <cell r="BD37">
            <v>0</v>
          </cell>
          <cell r="BE37">
            <v>0</v>
          </cell>
          <cell r="BF37" t="str">
            <v xml:space="preserve"> 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</row>
        <row r="39">
          <cell r="B39">
            <v>4</v>
          </cell>
          <cell r="C39">
            <v>0</v>
          </cell>
          <cell r="D39">
            <v>0</v>
          </cell>
          <cell r="E39">
            <v>38059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>Clausix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 t="str">
            <v>Adam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 t="str">
            <v>Sion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40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</row>
        <row r="41">
          <cell r="B41">
            <v>5</v>
          </cell>
          <cell r="C41">
            <v>0</v>
          </cell>
          <cell r="D41">
            <v>0</v>
          </cell>
          <cell r="E41">
            <v>37944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 t="str">
            <v>Debons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 t="str">
            <v>Elie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 t="str">
            <v>Sion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40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</row>
        <row r="43">
          <cell r="B43">
            <v>6</v>
          </cell>
          <cell r="C43">
            <v>0</v>
          </cell>
          <cell r="D43">
            <v>0</v>
          </cell>
          <cell r="E43">
            <v>37292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>Emboye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 t="str">
            <v>Tomas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 t="str">
            <v>Sion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28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</row>
        <row r="45">
          <cell r="B45">
            <v>7</v>
          </cell>
          <cell r="C45">
            <v>0</v>
          </cell>
          <cell r="D45">
            <v>0</v>
          </cell>
          <cell r="E45">
            <v>36892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>Frezghi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 t="str">
            <v>Tarik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 t="str">
            <v>Sion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23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 t="str">
            <v>permis F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</row>
        <row r="47">
          <cell r="B47">
            <v>8</v>
          </cell>
          <cell r="C47">
            <v>0</v>
          </cell>
          <cell r="D47">
            <v>0</v>
          </cell>
          <cell r="E47">
            <v>37861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 t="str">
            <v>Germanier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 t="str">
            <v>Enzo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 t="str">
            <v>Sion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21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</row>
        <row r="49">
          <cell r="B49">
            <v>9</v>
          </cell>
          <cell r="C49">
            <v>0</v>
          </cell>
          <cell r="D49">
            <v>0</v>
          </cell>
          <cell r="E49">
            <v>38194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>Jacquod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 t="str">
            <v>Thibaud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 t="str">
            <v>Sion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22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</row>
        <row r="51">
          <cell r="B51">
            <v>10</v>
          </cell>
          <cell r="C51">
            <v>0</v>
          </cell>
          <cell r="D51">
            <v>0</v>
          </cell>
          <cell r="E51">
            <v>38042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>Nanez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 t="str">
            <v>Diego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 t="str">
            <v>Sion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9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</row>
        <row r="53">
          <cell r="B53">
            <v>11</v>
          </cell>
          <cell r="C53">
            <v>0</v>
          </cell>
          <cell r="D53">
            <v>0</v>
          </cell>
          <cell r="E53">
            <v>39655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 t="str">
            <v>Blazques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>Esteban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 t="str">
            <v>Collombey-Muraz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40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</row>
        <row r="55">
          <cell r="B55">
            <v>12</v>
          </cell>
          <cell r="C55">
            <v>0</v>
          </cell>
          <cell r="D55">
            <v>0</v>
          </cell>
          <cell r="E55">
            <v>39639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>Derivaz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 t="str">
            <v>Valentin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 t="str">
            <v>Collombey-Muraz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40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</row>
        <row r="57">
          <cell r="B57">
            <v>13</v>
          </cell>
          <cell r="C57">
            <v>0</v>
          </cell>
          <cell r="D57">
            <v>0</v>
          </cell>
          <cell r="E57">
            <v>38546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>Gay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 t="str">
            <v>Valentin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 t="str">
            <v>Collombey-Muraz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40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</row>
        <row r="59">
          <cell r="B59">
            <v>14</v>
          </cell>
          <cell r="C59">
            <v>0</v>
          </cell>
          <cell r="D59">
            <v>0</v>
          </cell>
          <cell r="E59">
            <v>38217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 t="str">
            <v>Marjay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 t="str">
            <v>David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 t="str">
            <v>Collombey-Muraz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40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</row>
        <row r="61">
          <cell r="B61">
            <v>15</v>
          </cell>
          <cell r="C61">
            <v>0</v>
          </cell>
          <cell r="D61">
            <v>0</v>
          </cell>
          <cell r="E61">
            <v>38911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>Mercier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 t="str">
            <v>Maël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 t="str">
            <v>Collombey-Muraz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39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</row>
        <row r="63">
          <cell r="B63">
            <v>16</v>
          </cell>
          <cell r="C63">
            <v>0</v>
          </cell>
          <cell r="D63">
            <v>0</v>
          </cell>
          <cell r="E63">
            <v>39422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>Pellaton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 t="str">
            <v>Robin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 t="str">
            <v>Collombey-Muraz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40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</row>
        <row r="65">
          <cell r="B65">
            <v>17</v>
          </cell>
          <cell r="C65">
            <v>0</v>
          </cell>
          <cell r="D65">
            <v>0</v>
          </cell>
          <cell r="E65">
            <v>39771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 t="str">
            <v>Rouiller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 t="str">
            <v>Rémi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 t="str">
            <v>Collombey-Muraz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40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</row>
        <row r="67">
          <cell r="B67">
            <v>18</v>
          </cell>
          <cell r="C67">
            <v>0</v>
          </cell>
          <cell r="D67">
            <v>0</v>
          </cell>
          <cell r="E67">
            <v>37537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>Ruchet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 t="str">
            <v>Jérémy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 t="str">
            <v>Collombey-Muraz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40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</row>
        <row r="69">
          <cell r="B69">
            <v>19</v>
          </cell>
          <cell r="C69">
            <v>0</v>
          </cell>
          <cell r="D69">
            <v>0</v>
          </cell>
          <cell r="E69">
            <v>36590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>Bellon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 t="str">
            <v>Antoine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 t="str">
            <v>Sierre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5</v>
          </cell>
          <cell r="BD69">
            <v>0</v>
          </cell>
          <cell r="BE69">
            <v>0</v>
          </cell>
          <cell r="BF69" t="str">
            <v xml:space="preserve"> 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</row>
        <row r="71">
          <cell r="B71">
            <v>20</v>
          </cell>
          <cell r="C71">
            <v>0</v>
          </cell>
          <cell r="D71">
            <v>0</v>
          </cell>
          <cell r="E71">
            <v>38728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 t="str">
            <v>Berisha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 t="str">
            <v>Fatlum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 t="str">
            <v>Sierre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27</v>
          </cell>
          <cell r="BD71">
            <v>0</v>
          </cell>
          <cell r="BE71">
            <v>0</v>
          </cell>
          <cell r="BF71" t="str">
            <v xml:space="preserve"> 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</row>
        <row r="73">
          <cell r="B73">
            <v>21</v>
          </cell>
          <cell r="C73">
            <v>0</v>
          </cell>
          <cell r="D73">
            <v>0</v>
          </cell>
          <cell r="E73">
            <v>38068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 t="str">
            <v>Massy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 t="str">
            <v>Kenny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 t="str">
            <v>Sierre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25</v>
          </cell>
          <cell r="BD73">
            <v>0</v>
          </cell>
          <cell r="BE73">
            <v>0</v>
          </cell>
          <cell r="BF73" t="str">
            <v xml:space="preserve"> 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</row>
        <row r="75">
          <cell r="B75">
            <v>22</v>
          </cell>
          <cell r="C75">
            <v>0</v>
          </cell>
          <cell r="D75">
            <v>0</v>
          </cell>
          <cell r="E75">
            <v>39330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 t="str">
            <v>Riard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 t="str">
            <v>Noa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 t="str">
            <v>Sierre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22</v>
          </cell>
          <cell r="BD75">
            <v>0</v>
          </cell>
          <cell r="BE75">
            <v>0</v>
          </cell>
          <cell r="BF75" t="str">
            <v xml:space="preserve"> 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</row>
        <row r="77">
          <cell r="B77">
            <v>23</v>
          </cell>
          <cell r="C77">
            <v>0</v>
          </cell>
          <cell r="D77">
            <v>0</v>
          </cell>
          <cell r="E77">
            <v>38706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 t="str">
            <v>Spano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 t="str">
            <v>Emilien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 t="str">
            <v>Sierre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19</v>
          </cell>
          <cell r="BD77">
            <v>0</v>
          </cell>
          <cell r="BE77">
            <v>0</v>
          </cell>
          <cell r="BF77" t="str">
            <v xml:space="preserve"> 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</row>
        <row r="79">
          <cell r="B79">
            <v>24</v>
          </cell>
          <cell r="C79">
            <v>0</v>
          </cell>
          <cell r="D79">
            <v>0</v>
          </cell>
          <cell r="E79">
            <v>39395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 t="str">
            <v>Clerc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>Manon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 t="str">
            <v>Collombey-Muraz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34</v>
          </cell>
          <cell r="BD79">
            <v>0</v>
          </cell>
          <cell r="BE79">
            <v>0</v>
          </cell>
          <cell r="BF79" t="str">
            <v xml:space="preserve"> 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</row>
        <row r="81">
          <cell r="B81">
            <v>25</v>
          </cell>
          <cell r="C81">
            <v>0</v>
          </cell>
          <cell r="D81">
            <v>0</v>
          </cell>
          <cell r="E81">
            <v>38884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 t="str">
            <v>Weissbrodt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 t="str">
            <v>Elda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 t="str">
            <v>Collombey-Muraz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40</v>
          </cell>
          <cell r="BD81">
            <v>0</v>
          </cell>
          <cell r="BE81">
            <v>0</v>
          </cell>
          <cell r="BF81" t="str">
            <v xml:space="preserve"> 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</row>
        <row r="83">
          <cell r="B83">
            <v>26</v>
          </cell>
          <cell r="C83">
            <v>0</v>
          </cell>
          <cell r="D83">
            <v>0</v>
          </cell>
          <cell r="E83">
            <v>37725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 t="str">
            <v>Savoy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 t="str">
            <v>David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 t="str">
            <v>Grône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36</v>
          </cell>
          <cell r="BD83">
            <v>0</v>
          </cell>
          <cell r="BE83">
            <v>0</v>
          </cell>
          <cell r="BF83" t="str">
            <v xml:space="preserve"> 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</row>
        <row r="85">
          <cell r="B85">
            <v>27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 t="str">
            <v xml:space="preserve"> 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 t="str">
            <v xml:space="preserve"> 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 t="str">
            <v xml:space="preserve"> 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 t="str">
            <v xml:space="preserve"> </v>
          </cell>
          <cell r="BD85">
            <v>0</v>
          </cell>
          <cell r="BE85">
            <v>0</v>
          </cell>
          <cell r="BF85" t="str">
            <v xml:space="preserve"> 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</row>
        <row r="87">
          <cell r="B87">
            <v>28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 t="str">
            <v xml:space="preserve"> 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 t="str">
            <v xml:space="preserve"> 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 t="str">
            <v xml:space="preserve"> 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 t="str">
            <v xml:space="preserve"> </v>
          </cell>
          <cell r="BD87">
            <v>0</v>
          </cell>
          <cell r="BE87">
            <v>0</v>
          </cell>
          <cell r="BF87" t="str">
            <v xml:space="preserve"> 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</row>
        <row r="89">
          <cell r="B89">
            <v>29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 t="str">
            <v xml:space="preserve"> 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 t="str">
            <v xml:space="preserve"> 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 t="str">
            <v xml:space="preserve"> 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 t="str">
            <v xml:space="preserve"> </v>
          </cell>
          <cell r="BD89">
            <v>0</v>
          </cell>
          <cell r="BE89">
            <v>0</v>
          </cell>
          <cell r="BF89" t="str">
            <v xml:space="preserve"> 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</row>
        <row r="91">
          <cell r="B91">
            <v>30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 xml:space="preserve"> 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 t="str">
            <v xml:space="preserve"> 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 t="str">
            <v xml:space="preserve"> 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 t="str">
            <v xml:space="preserve"> </v>
          </cell>
          <cell r="BD91">
            <v>0</v>
          </cell>
          <cell r="BE91">
            <v>0</v>
          </cell>
          <cell r="BF91" t="str">
            <v xml:space="preserve"> 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</row>
        <row r="92"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</row>
        <row r="93">
          <cell r="B93">
            <v>31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 t="str">
            <v xml:space="preserve"> 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 t="str">
            <v xml:space="preserve"> 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 t="str">
            <v xml:space="preserve"> 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 t="str">
            <v xml:space="preserve"> </v>
          </cell>
          <cell r="BD93">
            <v>0</v>
          </cell>
          <cell r="BE93">
            <v>0</v>
          </cell>
          <cell r="BF93" t="str">
            <v xml:space="preserve"> 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</row>
        <row r="94"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</row>
        <row r="95">
          <cell r="B95">
            <v>32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 t="str">
            <v xml:space="preserve"> 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 t="str">
            <v xml:space="preserve"> 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 t="str">
            <v xml:space="preserve"> 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 t="str">
            <v xml:space="preserve"> </v>
          </cell>
          <cell r="BD95">
            <v>0</v>
          </cell>
          <cell r="BE95">
            <v>0</v>
          </cell>
          <cell r="BF95" t="str">
            <v xml:space="preserve"> 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</row>
        <row r="96"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</row>
        <row r="98">
          <cell r="B98" t="str">
            <v>Participants :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26</v>
          </cell>
          <cell r="R98">
            <v>0</v>
          </cell>
          <cell r="S98">
            <v>0</v>
          </cell>
          <cell r="V98" t="str">
            <v>Genre de tournoi :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G98" t="str">
            <v>Tournoi de Classement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</row>
        <row r="103">
          <cell r="B103">
            <v>33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 xml:space="preserve"> 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 t="str">
            <v xml:space="preserve"> 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 t="str">
            <v xml:space="preserve"> 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</row>
        <row r="104"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</row>
        <row r="105">
          <cell r="B105">
            <v>34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 t="str">
            <v xml:space="preserve"> 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 t="str">
            <v xml:space="preserve"> 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 t="str">
            <v xml:space="preserve"> 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</row>
        <row r="106"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</row>
        <row r="107">
          <cell r="B107">
            <v>35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 t="str">
            <v xml:space="preserve"> 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 t="str">
            <v xml:space="preserve"> 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 t="str">
            <v xml:space="preserve"> 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</row>
        <row r="108"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</row>
        <row r="109">
          <cell r="B109">
            <v>36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 t="str">
            <v xml:space="preserve"> 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 t="str">
            <v xml:space="preserve"> 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 t="str">
            <v xml:space="preserve"> 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</row>
        <row r="111">
          <cell r="B111">
            <v>37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 t="str">
            <v xml:space="preserve"> 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 t="str">
            <v xml:space="preserve"> 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 t="str">
            <v xml:space="preserve"> 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</row>
        <row r="112"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</row>
        <row r="113">
          <cell r="B113">
            <v>38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 t="str">
            <v xml:space="preserve"> 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 t="str">
            <v xml:space="preserve"> 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 t="str">
            <v xml:space="preserve"> 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</row>
        <row r="114"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</row>
        <row r="115">
          <cell r="B115">
            <v>39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 t="str">
            <v xml:space="preserve"> 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 t="str">
            <v xml:space="preserve"> 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</row>
        <row r="116"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</row>
        <row r="117">
          <cell r="B117">
            <v>40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 t="str">
            <v xml:space="preserve"> 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 t="str">
            <v xml:space="preserve"> 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 t="str">
            <v xml:space="preserve"> 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</row>
        <row r="118"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</row>
        <row r="119">
          <cell r="B119">
            <v>41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 t="str">
            <v xml:space="preserve"> 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 t="str">
            <v xml:space="preserve"> 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</row>
        <row r="120"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</row>
        <row r="121">
          <cell r="B121">
            <v>42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 t="str">
            <v xml:space="preserve"> 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 t="str">
            <v xml:space="preserve"> 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</row>
        <row r="122"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</row>
        <row r="123">
          <cell r="B123">
            <v>43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 t="str">
            <v xml:space="preserve"> 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 t="str">
            <v xml:space="preserve"> 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 t="str">
            <v xml:space="preserve"> 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</row>
        <row r="124"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</row>
        <row r="125">
          <cell r="B125">
            <v>44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 t="str">
            <v xml:space="preserve"> 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 t="str">
            <v xml:space="preserve"> 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 t="str">
            <v xml:space="preserve"> 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</row>
        <row r="126"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</row>
        <row r="127">
          <cell r="B127">
            <v>45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 t="str">
            <v xml:space="preserve"> 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 t="str">
            <v xml:space="preserve"> 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 t="str">
            <v xml:space="preserve"> 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</row>
        <row r="128"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</row>
        <row r="129">
          <cell r="B129">
            <v>46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 t="str">
            <v xml:space="preserve"> 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 t="str">
            <v xml:space="preserve"> 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 t="str">
            <v xml:space="preserve"> 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</row>
        <row r="130"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</row>
        <row r="131">
          <cell r="B131">
            <v>47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 t="str">
            <v xml:space="preserve"> 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 t="str">
            <v xml:space="preserve"> 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 t="str">
            <v xml:space="preserve"> 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</row>
        <row r="132"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</row>
        <row r="133">
          <cell r="B133">
            <v>48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 t="str">
            <v xml:space="preserve"> 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 t="str">
            <v xml:space="preserve"> 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 t="str">
            <v xml:space="preserve"> 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</row>
        <row r="135">
          <cell r="B135">
            <v>49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 t="str">
            <v xml:space="preserve"> 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 t="str">
            <v xml:space="preserve"> 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 t="str">
            <v xml:space="preserve"> 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</row>
        <row r="137">
          <cell r="B137">
            <v>50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 t="str">
            <v xml:space="preserve"> 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 t="str">
            <v xml:space="preserve"> 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 t="str">
            <v xml:space="preserve"> 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</row>
        <row r="138"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</row>
        <row r="139">
          <cell r="B139">
            <v>51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 t="str">
            <v xml:space="preserve"> 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 t="str">
            <v xml:space="preserve"> 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 t="str">
            <v xml:space="preserve"> 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</row>
        <row r="140"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</row>
        <row r="141">
          <cell r="B141">
            <v>52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 t="str">
            <v xml:space="preserve"> 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 t="str">
            <v xml:space="preserve"> 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 t="str">
            <v xml:space="preserve"> 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</row>
        <row r="142"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</row>
        <row r="143">
          <cell r="B143">
            <v>53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 t="str">
            <v xml:space="preserve"> 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 t="str">
            <v xml:space="preserve"> 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 t="str">
            <v xml:space="preserve"> 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</row>
        <row r="144"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</row>
        <row r="145">
          <cell r="B145">
            <v>54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 t="str">
            <v xml:space="preserve"> 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 t="str">
            <v xml:space="preserve"> 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 t="str">
            <v xml:space="preserve"> 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</row>
        <row r="146"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</row>
        <row r="147">
          <cell r="B147">
            <v>55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 t="str">
            <v xml:space="preserve"> 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 t="str">
            <v xml:space="preserve"> 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 t="str">
            <v xml:space="preserve"> 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</row>
        <row r="148"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</row>
        <row r="149">
          <cell r="B149">
            <v>56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 t="str">
            <v xml:space="preserve"> 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 t="str">
            <v xml:space="preserve"> 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 t="str">
            <v xml:space="preserve"> 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</row>
        <row r="150"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</row>
        <row r="151">
          <cell r="B151">
            <v>57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 t="str">
            <v xml:space="preserve"> 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 t="str">
            <v xml:space="preserve"> 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 t="str">
            <v xml:space="preserve"> 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</row>
        <row r="152"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</row>
        <row r="153">
          <cell r="B153">
            <v>58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 t="str">
            <v xml:space="preserve"> 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 t="str">
            <v xml:space="preserve"> 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 t="str">
            <v xml:space="preserve"> 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</row>
        <row r="154"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</row>
        <row r="155">
          <cell r="B155">
            <v>59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 t="str">
            <v xml:space="preserve"> 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 t="str">
            <v xml:space="preserve"> 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 t="str">
            <v xml:space="preserve"> 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</row>
        <row r="156"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</row>
        <row r="157">
          <cell r="B157">
            <v>60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 t="str">
            <v xml:space="preserve"> 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 t="str">
            <v xml:space="preserve"> 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 t="str">
            <v xml:space="preserve"> 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</row>
        <row r="158"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</row>
        <row r="159">
          <cell r="B159">
            <v>61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 t="str">
            <v xml:space="preserve"> 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 t="str">
            <v xml:space="preserve"> 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 t="str">
            <v xml:space="preserve"> 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</row>
        <row r="160"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</row>
        <row r="161">
          <cell r="B161">
            <v>62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 t="str">
            <v xml:space="preserve"> 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 t="str">
            <v xml:space="preserve"> 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 t="str">
            <v xml:space="preserve"> 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</row>
        <row r="162"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</row>
        <row r="163">
          <cell r="B163">
            <v>63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 t="str">
            <v xml:space="preserve"> 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 t="str">
            <v xml:space="preserve"> 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 t="str">
            <v xml:space="preserve"> 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</row>
        <row r="164"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</row>
        <row r="165">
          <cell r="B165">
            <v>64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 t="str">
            <v xml:space="preserve"> 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 t="str">
            <v xml:space="preserve"> 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 t="str">
            <v xml:space="preserve"> 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</row>
        <row r="166"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</row>
        <row r="167">
          <cell r="B167">
            <v>65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 t="str">
            <v xml:space="preserve"> 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 t="str">
            <v xml:space="preserve"> 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 t="str">
            <v xml:space="preserve"> 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</row>
        <row r="168"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</row>
        <row r="169">
          <cell r="B169">
            <v>66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 t="str">
            <v xml:space="preserve"> 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 t="str">
            <v xml:space="preserve"> 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 t="str">
            <v xml:space="preserve"> 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</row>
        <row r="170"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</row>
        <row r="171">
          <cell r="B171">
            <v>67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 t="str">
            <v xml:space="preserve"> 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 t="str">
            <v xml:space="preserve"> 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 t="str">
            <v xml:space="preserve"> 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</row>
        <row r="172"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</row>
        <row r="173">
          <cell r="B173">
            <v>68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 t="str">
            <v xml:space="preserve"> 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 t="str">
            <v xml:space="preserve"> 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 t="str">
            <v xml:space="preserve"> 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</row>
        <row r="174"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</row>
        <row r="175">
          <cell r="B175">
            <v>69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 t="str">
            <v xml:space="preserve"> 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 t="str">
            <v xml:space="preserve"> 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 t="str">
            <v xml:space="preserve"> 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</row>
        <row r="176"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</row>
        <row r="177">
          <cell r="B177">
            <v>70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 t="str">
            <v xml:space="preserve"> 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 t="str">
            <v xml:space="preserve"> 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 t="str">
            <v xml:space="preserve"> 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</row>
        <row r="178"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</row>
        <row r="179">
          <cell r="B179">
            <v>71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 t="str">
            <v xml:space="preserve"> 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 t="str">
            <v xml:space="preserve"> 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 t="str">
            <v xml:space="preserve"> 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</row>
        <row r="180"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</row>
        <row r="181">
          <cell r="B181">
            <v>72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 t="str">
            <v xml:space="preserve"> 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 t="str">
            <v xml:space="preserve"> 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 t="str">
            <v xml:space="preserve"> 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</row>
        <row r="182"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</row>
        <row r="183">
          <cell r="B183">
            <v>73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 t="str">
            <v xml:space="preserve"> 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 t="str">
            <v xml:space="preserve"> 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 t="str">
            <v xml:space="preserve"> 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</row>
        <row r="184"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</row>
        <row r="185">
          <cell r="B185">
            <v>74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 t="str">
            <v xml:space="preserve"> 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 t="str">
            <v xml:space="preserve"> 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 t="str">
            <v xml:space="preserve"> 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</row>
        <row r="186"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I186">
            <v>0</v>
          </cell>
          <cell r="BJ186">
            <v>0</v>
          </cell>
          <cell r="BK186">
            <v>0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</row>
        <row r="187">
          <cell r="B187">
            <v>75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 t="str">
            <v xml:space="preserve"> 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 t="str">
            <v xml:space="preserve"> 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 t="str">
            <v xml:space="preserve"> 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</row>
        <row r="188"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</row>
        <row r="189">
          <cell r="B189">
            <v>76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 t="str">
            <v xml:space="preserve"> 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 t="str">
            <v xml:space="preserve"> 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 t="str">
            <v xml:space="preserve"> 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</row>
        <row r="190"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>
            <v>0</v>
          </cell>
          <cell r="BH190">
            <v>0</v>
          </cell>
          <cell r="BI190">
            <v>0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0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0</v>
          </cell>
          <cell r="BT190">
            <v>0</v>
          </cell>
        </row>
        <row r="191">
          <cell r="B191">
            <v>77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 t="str">
            <v xml:space="preserve"> 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 t="str">
            <v xml:space="preserve"> 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 t="str">
            <v xml:space="preserve"> </v>
          </cell>
          <cell r="AS191">
            <v>0</v>
          </cell>
          <cell r="AT191">
            <v>0</v>
          </cell>
          <cell r="AU191">
            <v>0</v>
          </cell>
          <cell r="AV191">
            <v>0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F191">
            <v>0</v>
          </cell>
          <cell r="BG191">
            <v>0</v>
          </cell>
          <cell r="BH191">
            <v>0</v>
          </cell>
          <cell r="BI191">
            <v>0</v>
          </cell>
          <cell r="BJ191">
            <v>0</v>
          </cell>
          <cell r="BK191">
            <v>0</v>
          </cell>
          <cell r="BL191">
            <v>0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</row>
        <row r="192"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0</v>
          </cell>
          <cell r="BG192">
            <v>0</v>
          </cell>
          <cell r="BH192">
            <v>0</v>
          </cell>
          <cell r="BI192">
            <v>0</v>
          </cell>
          <cell r="BJ192">
            <v>0</v>
          </cell>
          <cell r="BK192">
            <v>0</v>
          </cell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0</v>
          </cell>
          <cell r="BT192">
            <v>0</v>
          </cell>
        </row>
        <row r="193">
          <cell r="B193">
            <v>78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 t="str">
            <v xml:space="preserve"> 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 t="str">
            <v xml:space="preserve"> 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 t="str">
            <v xml:space="preserve"> 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I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</row>
        <row r="194"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</row>
        <row r="195">
          <cell r="B195">
            <v>79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 t="str">
            <v xml:space="preserve"> 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 t="str">
            <v xml:space="preserve"> 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 t="str">
            <v xml:space="preserve"> 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</row>
        <row r="196"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</row>
        <row r="197">
          <cell r="B197">
            <v>80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 t="str">
            <v xml:space="preserve"> 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 t="str">
            <v xml:space="preserve"> 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 t="str">
            <v xml:space="preserve"> 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</row>
        <row r="198"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I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0</v>
          </cell>
          <cell r="BT198">
            <v>0</v>
          </cell>
        </row>
        <row r="199">
          <cell r="B199">
            <v>81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 t="str">
            <v xml:space="preserve"> 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 t="str">
            <v xml:space="preserve"> 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 t="str">
            <v xml:space="preserve"> 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I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</row>
        <row r="200"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</row>
        <row r="201"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</row>
        <row r="202"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</row>
        <row r="203"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</row>
        <row r="204">
          <cell r="B204">
            <v>82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 t="str">
            <v xml:space="preserve"> 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 t="str">
            <v xml:space="preserve"> 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 t="str">
            <v xml:space="preserve"> 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  <cell r="BH204">
            <v>0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</row>
        <row r="205"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>
            <v>0</v>
          </cell>
          <cell r="BH205">
            <v>0</v>
          </cell>
          <cell r="BI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</row>
        <row r="206">
          <cell r="B206">
            <v>83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 t="str">
            <v xml:space="preserve"> 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 t="str">
            <v xml:space="preserve"> 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 t="str">
            <v xml:space="preserve"> 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  <cell r="BH206">
            <v>0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</row>
        <row r="207"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</row>
        <row r="208">
          <cell r="B208">
            <v>84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 t="str">
            <v xml:space="preserve"> 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 t="str">
            <v xml:space="preserve"> 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 t="str">
            <v xml:space="preserve"> 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</row>
        <row r="209"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</row>
        <row r="210">
          <cell r="B210">
            <v>85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 t="str">
            <v xml:space="preserve"> 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 t="str">
            <v xml:space="preserve"> 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 t="str">
            <v xml:space="preserve"> 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</row>
        <row r="211"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</row>
        <row r="212">
          <cell r="B212">
            <v>86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 t="str">
            <v xml:space="preserve"> 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 t="str">
            <v xml:space="preserve"> 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 t="str">
            <v xml:space="preserve"> 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</row>
        <row r="213"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</v>
          </cell>
          <cell r="BK213">
            <v>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</row>
        <row r="214">
          <cell r="B214">
            <v>87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 t="str">
            <v xml:space="preserve"> 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 t="str">
            <v xml:space="preserve"> 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 t="str">
            <v xml:space="preserve"> 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</v>
          </cell>
          <cell r="BG214">
            <v>0</v>
          </cell>
          <cell r="BH214">
            <v>0</v>
          </cell>
          <cell r="BI214">
            <v>0</v>
          </cell>
          <cell r="BJ214">
            <v>0</v>
          </cell>
          <cell r="BK214">
            <v>0</v>
          </cell>
          <cell r="BL214">
            <v>0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</row>
        <row r="215"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0</v>
          </cell>
          <cell r="BG215">
            <v>0</v>
          </cell>
          <cell r="BH215">
            <v>0</v>
          </cell>
          <cell r="BI215">
            <v>0</v>
          </cell>
          <cell r="BJ215">
            <v>0</v>
          </cell>
          <cell r="BK215">
            <v>0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</row>
        <row r="216">
          <cell r="B216">
            <v>88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 t="str">
            <v xml:space="preserve"> 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 t="str">
            <v xml:space="preserve"> 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 t="str">
            <v xml:space="preserve"> 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</row>
        <row r="217"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</row>
        <row r="218">
          <cell r="B218">
            <v>89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 t="str">
            <v xml:space="preserve"> 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 t="str">
            <v xml:space="preserve"> 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 t="str">
            <v xml:space="preserve"> 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</row>
        <row r="219"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</row>
        <row r="220">
          <cell r="B220">
            <v>90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 t="str">
            <v xml:space="preserve"> 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 t="str">
            <v xml:space="preserve"> 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 t="str">
            <v xml:space="preserve"> 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</row>
        <row r="221"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</row>
        <row r="222">
          <cell r="B222">
            <v>91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 t="str">
            <v xml:space="preserve"> 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 t="str">
            <v xml:space="preserve"> 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 t="str">
            <v xml:space="preserve"> 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</row>
        <row r="223"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</row>
        <row r="224">
          <cell r="B224">
            <v>92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 t="str">
            <v xml:space="preserve"> 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 xml:space="preserve"> 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 t="str">
            <v xml:space="preserve"> 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</row>
        <row r="225"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</row>
        <row r="226">
          <cell r="B226">
            <v>93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 t="str">
            <v xml:space="preserve"> 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 t="str">
            <v xml:space="preserve"> 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 t="str">
            <v xml:space="preserve"> </v>
          </cell>
          <cell r="AS226">
            <v>0</v>
          </cell>
          <cell r="AT226">
            <v>0</v>
          </cell>
          <cell r="AU226">
            <v>0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>
            <v>0</v>
          </cell>
          <cell r="BH226">
            <v>0</v>
          </cell>
          <cell r="BI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</row>
        <row r="227"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  <cell r="BH227">
            <v>0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</row>
        <row r="228">
          <cell r="B228">
            <v>94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 t="str">
            <v xml:space="preserve"> 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 xml:space="preserve"> 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 t="str">
            <v xml:space="preserve"> 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  <cell r="BH228">
            <v>0</v>
          </cell>
          <cell r="BI228">
            <v>0</v>
          </cell>
          <cell r="BJ228">
            <v>0</v>
          </cell>
          <cell r="BK228">
            <v>0</v>
          </cell>
          <cell r="BL228">
            <v>0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</row>
        <row r="229"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  <cell r="BF229">
            <v>0</v>
          </cell>
          <cell r="BG229">
            <v>0</v>
          </cell>
          <cell r="BH229">
            <v>0</v>
          </cell>
          <cell r="BI229">
            <v>0</v>
          </cell>
          <cell r="BJ229">
            <v>0</v>
          </cell>
          <cell r="BK229">
            <v>0</v>
          </cell>
          <cell r="BL229">
            <v>0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</row>
        <row r="230">
          <cell r="B230">
            <v>95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 t="str">
            <v xml:space="preserve"> 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 xml:space="preserve"> 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 t="str">
            <v xml:space="preserve"> 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  <cell r="BH230">
            <v>0</v>
          </cell>
          <cell r="BI230">
            <v>0</v>
          </cell>
          <cell r="BJ230">
            <v>0</v>
          </cell>
          <cell r="BK230">
            <v>0</v>
          </cell>
          <cell r="BL230">
            <v>0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</row>
        <row r="231"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>
            <v>0</v>
          </cell>
          <cell r="BH231">
            <v>0</v>
          </cell>
          <cell r="BI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</row>
        <row r="232">
          <cell r="B232">
            <v>96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 t="str">
            <v xml:space="preserve"> 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 t="str">
            <v xml:space="preserve"> 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 t="str">
            <v xml:space="preserve"> 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  <cell r="BF232">
            <v>0</v>
          </cell>
          <cell r="BG232">
            <v>0</v>
          </cell>
          <cell r="BH232">
            <v>0</v>
          </cell>
          <cell r="BI232">
            <v>0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0</v>
          </cell>
          <cell r="BO232">
            <v>0</v>
          </cell>
          <cell r="BP232">
            <v>0</v>
          </cell>
          <cell r="BQ232">
            <v>0</v>
          </cell>
          <cell r="BR232">
            <v>0</v>
          </cell>
          <cell r="BS232">
            <v>0</v>
          </cell>
          <cell r="BT232">
            <v>0</v>
          </cell>
        </row>
        <row r="233"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  <cell r="BF233">
            <v>0</v>
          </cell>
          <cell r="BG233">
            <v>0</v>
          </cell>
          <cell r="BH233">
            <v>0</v>
          </cell>
          <cell r="BI233">
            <v>0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0</v>
          </cell>
          <cell r="BO233">
            <v>0</v>
          </cell>
          <cell r="BP233">
            <v>0</v>
          </cell>
          <cell r="BQ233">
            <v>0</v>
          </cell>
          <cell r="BR233">
            <v>0</v>
          </cell>
          <cell r="BS233">
            <v>0</v>
          </cell>
          <cell r="BT233">
            <v>0</v>
          </cell>
        </row>
        <row r="234">
          <cell r="B234">
            <v>97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 t="str">
            <v xml:space="preserve"> 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 xml:space="preserve"> 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 t="str">
            <v xml:space="preserve"> 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  <cell r="BF234">
            <v>0</v>
          </cell>
          <cell r="BG234">
            <v>0</v>
          </cell>
          <cell r="BH234">
            <v>0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</row>
        <row r="235"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  <cell r="BF235">
            <v>0</v>
          </cell>
          <cell r="BG235">
            <v>0</v>
          </cell>
          <cell r="BH235">
            <v>0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0</v>
          </cell>
          <cell r="BT235">
            <v>0</v>
          </cell>
        </row>
        <row r="236">
          <cell r="B236">
            <v>98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 t="str">
            <v xml:space="preserve"> 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 t="str">
            <v xml:space="preserve"> 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 t="str">
            <v xml:space="preserve"> 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  <cell r="BF236">
            <v>0</v>
          </cell>
          <cell r="BG236">
            <v>0</v>
          </cell>
          <cell r="BH236">
            <v>0</v>
          </cell>
          <cell r="BI236">
            <v>0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0</v>
          </cell>
          <cell r="BT236">
            <v>0</v>
          </cell>
        </row>
        <row r="237"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  <cell r="BF237">
            <v>0</v>
          </cell>
          <cell r="BG237">
            <v>0</v>
          </cell>
          <cell r="BH237">
            <v>0</v>
          </cell>
          <cell r="BI237">
            <v>0</v>
          </cell>
          <cell r="BJ237">
            <v>0</v>
          </cell>
          <cell r="BK237">
            <v>0</v>
          </cell>
          <cell r="BL237">
            <v>0</v>
          </cell>
          <cell r="BM237">
            <v>0</v>
          </cell>
          <cell r="BN237">
            <v>0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0</v>
          </cell>
          <cell r="BT237">
            <v>0</v>
          </cell>
        </row>
        <row r="238">
          <cell r="B238">
            <v>99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 t="str">
            <v xml:space="preserve"> 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 xml:space="preserve"> 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 t="str">
            <v xml:space="preserve"> 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  <cell r="BF238">
            <v>0</v>
          </cell>
          <cell r="BG238">
            <v>0</v>
          </cell>
          <cell r="BH238">
            <v>0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0</v>
          </cell>
          <cell r="BT238">
            <v>0</v>
          </cell>
        </row>
        <row r="239"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  <cell r="BF239">
            <v>0</v>
          </cell>
          <cell r="BG239">
            <v>0</v>
          </cell>
          <cell r="BH239">
            <v>0</v>
          </cell>
          <cell r="BI239">
            <v>0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</row>
        <row r="240">
          <cell r="B240">
            <v>100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 t="str">
            <v xml:space="preserve"> 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 t="str">
            <v xml:space="preserve"> 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 t="str">
            <v xml:space="preserve"> 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  <cell r="BH240">
            <v>0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</row>
        <row r="241"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  <cell r="BF241">
            <v>0</v>
          </cell>
          <cell r="BG241">
            <v>0</v>
          </cell>
          <cell r="BH241">
            <v>0</v>
          </cell>
          <cell r="BI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0</v>
          </cell>
          <cell r="BT241">
            <v>0</v>
          </cell>
        </row>
        <row r="242">
          <cell r="B242">
            <v>101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 t="str">
            <v xml:space="preserve"> 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 xml:space="preserve"> 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 t="str">
            <v xml:space="preserve"> 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  <cell r="BH242">
            <v>0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</row>
        <row r="243"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0</v>
          </cell>
          <cell r="BE243">
            <v>0</v>
          </cell>
          <cell r="BF243">
            <v>0</v>
          </cell>
          <cell r="BG243">
            <v>0</v>
          </cell>
          <cell r="BH243">
            <v>0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</row>
        <row r="244">
          <cell r="B244">
            <v>102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 t="str">
            <v xml:space="preserve"> 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 t="str">
            <v xml:space="preserve"> 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 xml:space="preserve"> 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  <cell r="BF244">
            <v>0</v>
          </cell>
          <cell r="BG244">
            <v>0</v>
          </cell>
          <cell r="BH244">
            <v>0</v>
          </cell>
          <cell r="BI244">
            <v>0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0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0</v>
          </cell>
          <cell r="BT244">
            <v>0</v>
          </cell>
        </row>
        <row r="245"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>
            <v>0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F245">
            <v>0</v>
          </cell>
          <cell r="BG245">
            <v>0</v>
          </cell>
          <cell r="BH245">
            <v>0</v>
          </cell>
          <cell r="BI245">
            <v>0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0</v>
          </cell>
          <cell r="BT245">
            <v>0</v>
          </cell>
        </row>
        <row r="246">
          <cell r="B246">
            <v>103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 t="str">
            <v xml:space="preserve"> 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 t="str">
            <v xml:space="preserve"> 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 t="str">
            <v xml:space="preserve"> 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F246">
            <v>0</v>
          </cell>
          <cell r="BG246">
            <v>0</v>
          </cell>
          <cell r="BH246">
            <v>0</v>
          </cell>
          <cell r="BI246">
            <v>0</v>
          </cell>
          <cell r="BJ246">
            <v>0</v>
          </cell>
          <cell r="BK246">
            <v>0</v>
          </cell>
          <cell r="BL246">
            <v>0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0</v>
          </cell>
          <cell r="BT246">
            <v>0</v>
          </cell>
        </row>
        <row r="247"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  <cell r="BH247">
            <v>0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0</v>
          </cell>
          <cell r="BT247">
            <v>0</v>
          </cell>
        </row>
        <row r="248">
          <cell r="B248">
            <v>104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 t="str">
            <v xml:space="preserve"> 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 xml:space="preserve"> 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 t="str">
            <v xml:space="preserve"> 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0</v>
          </cell>
          <cell r="BG248">
            <v>0</v>
          </cell>
          <cell r="BH248">
            <v>0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</row>
        <row r="249"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0</v>
          </cell>
          <cell r="BG249">
            <v>0</v>
          </cell>
          <cell r="BH249">
            <v>0</v>
          </cell>
          <cell r="BI249">
            <v>0</v>
          </cell>
          <cell r="BJ249">
            <v>0</v>
          </cell>
          <cell r="BK249">
            <v>0</v>
          </cell>
          <cell r="BL249">
            <v>0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</row>
        <row r="250">
          <cell r="B250">
            <v>105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 t="str">
            <v xml:space="preserve"> 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 xml:space="preserve"> 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 t="str">
            <v xml:space="preserve"> </v>
          </cell>
          <cell r="AS250">
            <v>0</v>
          </cell>
          <cell r="AT250">
            <v>0</v>
          </cell>
          <cell r="AU250">
            <v>0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0</v>
          </cell>
          <cell r="BG250">
            <v>0</v>
          </cell>
          <cell r="BH250">
            <v>0</v>
          </cell>
          <cell r="BI250">
            <v>0</v>
          </cell>
          <cell r="BJ250">
            <v>0</v>
          </cell>
          <cell r="BK250">
            <v>0</v>
          </cell>
          <cell r="BL250">
            <v>0</v>
          </cell>
          <cell r="BM250">
            <v>0</v>
          </cell>
          <cell r="BN250">
            <v>0</v>
          </cell>
          <cell r="BO250">
            <v>0</v>
          </cell>
          <cell r="BP250">
            <v>0</v>
          </cell>
          <cell r="BQ250">
            <v>0</v>
          </cell>
          <cell r="BR250">
            <v>0</v>
          </cell>
          <cell r="BS250">
            <v>0</v>
          </cell>
          <cell r="BT250">
            <v>0</v>
          </cell>
        </row>
        <row r="251"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0</v>
          </cell>
          <cell r="BG251">
            <v>0</v>
          </cell>
          <cell r="BH251">
            <v>0</v>
          </cell>
          <cell r="BI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</row>
        <row r="252">
          <cell r="B252">
            <v>106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 t="str">
            <v xml:space="preserve"> 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 xml:space="preserve"> 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 t="str">
            <v xml:space="preserve"> </v>
          </cell>
          <cell r="AS252">
            <v>0</v>
          </cell>
          <cell r="AT252">
            <v>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0</v>
          </cell>
          <cell r="BG252">
            <v>0</v>
          </cell>
          <cell r="BH252">
            <v>0</v>
          </cell>
          <cell r="BI252">
            <v>0</v>
          </cell>
          <cell r="BJ252">
            <v>0</v>
          </cell>
          <cell r="BK252">
            <v>0</v>
          </cell>
          <cell r="BL252">
            <v>0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</row>
        <row r="253"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0</v>
          </cell>
          <cell r="BG253">
            <v>0</v>
          </cell>
          <cell r="BH253">
            <v>0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</row>
        <row r="254">
          <cell r="B254">
            <v>107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 t="str">
            <v xml:space="preserve"> 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 t="str">
            <v xml:space="preserve"> 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 t="str">
            <v xml:space="preserve"> 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0</v>
          </cell>
          <cell r="BG254">
            <v>0</v>
          </cell>
          <cell r="BH254">
            <v>0</v>
          </cell>
          <cell r="BI254">
            <v>0</v>
          </cell>
          <cell r="BJ254">
            <v>0</v>
          </cell>
          <cell r="BK254">
            <v>0</v>
          </cell>
          <cell r="BL254">
            <v>0</v>
          </cell>
          <cell r="BM254">
            <v>0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</row>
        <row r="255"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0</v>
          </cell>
          <cell r="BG255">
            <v>0</v>
          </cell>
          <cell r="BH255">
            <v>0</v>
          </cell>
          <cell r="BI255">
            <v>0</v>
          </cell>
          <cell r="BJ255">
            <v>0</v>
          </cell>
          <cell r="BK255">
            <v>0</v>
          </cell>
          <cell r="BL255">
            <v>0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</row>
        <row r="256">
          <cell r="B256">
            <v>108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 t="str">
            <v xml:space="preserve"> 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 t="str">
            <v xml:space="preserve"> 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 t="str">
            <v xml:space="preserve"> 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  <cell r="BH256">
            <v>0</v>
          </cell>
          <cell r="BI256">
            <v>0</v>
          </cell>
          <cell r="BJ256">
            <v>0</v>
          </cell>
          <cell r="BK256">
            <v>0</v>
          </cell>
          <cell r="BL256">
            <v>0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</row>
        <row r="257"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0</v>
          </cell>
          <cell r="BG257">
            <v>0</v>
          </cell>
          <cell r="BH257">
            <v>0</v>
          </cell>
          <cell r="BI257">
            <v>0</v>
          </cell>
          <cell r="BJ257">
            <v>0</v>
          </cell>
          <cell r="BK257">
            <v>0</v>
          </cell>
          <cell r="BL257">
            <v>0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</row>
        <row r="258">
          <cell r="B258">
            <v>109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 t="str">
            <v xml:space="preserve"> 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 t="str">
            <v xml:space="preserve"> 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 t="str">
            <v xml:space="preserve"> 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  <cell r="BH258">
            <v>0</v>
          </cell>
          <cell r="BI258">
            <v>0</v>
          </cell>
          <cell r="BJ258">
            <v>0</v>
          </cell>
          <cell r="BK258">
            <v>0</v>
          </cell>
          <cell r="BL258">
            <v>0</v>
          </cell>
          <cell r="BM258">
            <v>0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0</v>
          </cell>
          <cell r="BS258">
            <v>0</v>
          </cell>
          <cell r="BT258">
            <v>0</v>
          </cell>
        </row>
        <row r="259"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>
            <v>0</v>
          </cell>
          <cell r="BH259">
            <v>0</v>
          </cell>
          <cell r="BI259">
            <v>0</v>
          </cell>
          <cell r="BJ259">
            <v>0</v>
          </cell>
          <cell r="BK259">
            <v>0</v>
          </cell>
          <cell r="BL259">
            <v>0</v>
          </cell>
          <cell r="BM259">
            <v>0</v>
          </cell>
          <cell r="BN259">
            <v>0</v>
          </cell>
          <cell r="BO259">
            <v>0</v>
          </cell>
          <cell r="BP259">
            <v>0</v>
          </cell>
          <cell r="BQ259">
            <v>0</v>
          </cell>
          <cell r="BR259">
            <v>0</v>
          </cell>
          <cell r="BS259">
            <v>0</v>
          </cell>
          <cell r="BT259">
            <v>0</v>
          </cell>
        </row>
        <row r="260">
          <cell r="B260">
            <v>110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 t="str">
            <v xml:space="preserve"> 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 t="str">
            <v xml:space="preserve"> 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 t="str">
            <v xml:space="preserve"> 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0</v>
          </cell>
          <cell r="BG260">
            <v>0</v>
          </cell>
          <cell r="BH260">
            <v>0</v>
          </cell>
          <cell r="BI260">
            <v>0</v>
          </cell>
          <cell r="BJ260">
            <v>0</v>
          </cell>
          <cell r="BK260">
            <v>0</v>
          </cell>
          <cell r="BL260">
            <v>0</v>
          </cell>
          <cell r="BM260">
            <v>0</v>
          </cell>
          <cell r="BN260">
            <v>0</v>
          </cell>
          <cell r="BO260">
            <v>0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</row>
        <row r="261"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F261">
            <v>0</v>
          </cell>
          <cell r="BG261">
            <v>0</v>
          </cell>
          <cell r="BH261">
            <v>0</v>
          </cell>
          <cell r="BI261">
            <v>0</v>
          </cell>
          <cell r="BJ261">
            <v>0</v>
          </cell>
          <cell r="BK261">
            <v>0</v>
          </cell>
          <cell r="BL261">
            <v>0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</row>
        <row r="262">
          <cell r="B262">
            <v>111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 t="str">
            <v xml:space="preserve"> 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 t="str">
            <v xml:space="preserve"> 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 t="str">
            <v xml:space="preserve"> 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0</v>
          </cell>
          <cell r="BG262">
            <v>0</v>
          </cell>
          <cell r="BH262">
            <v>0</v>
          </cell>
          <cell r="BI262">
            <v>0</v>
          </cell>
          <cell r="BJ262">
            <v>0</v>
          </cell>
          <cell r="BK262">
            <v>0</v>
          </cell>
          <cell r="BL262">
            <v>0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</row>
        <row r="263"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</row>
        <row r="264">
          <cell r="B264">
            <v>112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 t="str">
            <v xml:space="preserve"> 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 t="str">
            <v xml:space="preserve"> 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 t="str">
            <v xml:space="preserve"> 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</v>
          </cell>
          <cell r="BM264">
            <v>0</v>
          </cell>
          <cell r="BN264">
            <v>0</v>
          </cell>
          <cell r="BO264">
            <v>0</v>
          </cell>
          <cell r="BP264">
            <v>0</v>
          </cell>
          <cell r="BQ264">
            <v>0</v>
          </cell>
          <cell r="BR264">
            <v>0</v>
          </cell>
          <cell r="BS264">
            <v>0</v>
          </cell>
          <cell r="BT264">
            <v>0</v>
          </cell>
        </row>
        <row r="265"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F265">
            <v>0</v>
          </cell>
          <cell r="BG265">
            <v>0</v>
          </cell>
          <cell r="BH265">
            <v>0</v>
          </cell>
          <cell r="BI265">
            <v>0</v>
          </cell>
          <cell r="BJ265">
            <v>0</v>
          </cell>
          <cell r="BK265">
            <v>0</v>
          </cell>
          <cell r="BL265">
            <v>0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</row>
        <row r="266">
          <cell r="B266">
            <v>113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 t="str">
            <v xml:space="preserve"> 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 t="str">
            <v xml:space="preserve"> 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 t="str">
            <v xml:space="preserve"> 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0</v>
          </cell>
          <cell r="BT267">
            <v>0</v>
          </cell>
        </row>
        <row r="268">
          <cell r="B268">
            <v>114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 t="str">
            <v xml:space="preserve"> 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 t="str">
            <v xml:space="preserve"> 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 t="str">
            <v xml:space="preserve"> 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  <cell r="BF268">
            <v>0</v>
          </cell>
          <cell r="BG268">
            <v>0</v>
          </cell>
          <cell r="BH268">
            <v>0</v>
          </cell>
          <cell r="BI268">
            <v>0</v>
          </cell>
          <cell r="BJ268">
            <v>0</v>
          </cell>
          <cell r="BK268">
            <v>0</v>
          </cell>
          <cell r="BL268">
            <v>0</v>
          </cell>
          <cell r="BM268">
            <v>0</v>
          </cell>
          <cell r="BN268">
            <v>0</v>
          </cell>
          <cell r="BO268">
            <v>0</v>
          </cell>
          <cell r="BP268">
            <v>0</v>
          </cell>
          <cell r="BQ268">
            <v>0</v>
          </cell>
          <cell r="BR268">
            <v>0</v>
          </cell>
          <cell r="BS268">
            <v>0</v>
          </cell>
          <cell r="BT268">
            <v>0</v>
          </cell>
        </row>
        <row r="269"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  <cell r="BF269">
            <v>0</v>
          </cell>
          <cell r="BG269">
            <v>0</v>
          </cell>
          <cell r="BH269">
            <v>0</v>
          </cell>
          <cell r="BI269">
            <v>0</v>
          </cell>
          <cell r="BJ269">
            <v>0</v>
          </cell>
          <cell r="BK269">
            <v>0</v>
          </cell>
          <cell r="BL269">
            <v>0</v>
          </cell>
          <cell r="BM269">
            <v>0</v>
          </cell>
          <cell r="BN269">
            <v>0</v>
          </cell>
          <cell r="BO269">
            <v>0</v>
          </cell>
          <cell r="BP269">
            <v>0</v>
          </cell>
          <cell r="BQ269">
            <v>0</v>
          </cell>
          <cell r="BR269">
            <v>0</v>
          </cell>
          <cell r="BS269">
            <v>0</v>
          </cell>
          <cell r="BT269">
            <v>0</v>
          </cell>
        </row>
        <row r="270">
          <cell r="B270">
            <v>115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 t="str">
            <v xml:space="preserve"> 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 t="str">
            <v xml:space="preserve"> 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 t="str">
            <v xml:space="preserve"> 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</v>
          </cell>
          <cell r="BQ270">
            <v>0</v>
          </cell>
          <cell r="BR270">
            <v>0</v>
          </cell>
          <cell r="BS270">
            <v>0</v>
          </cell>
          <cell r="BT270">
            <v>0</v>
          </cell>
        </row>
        <row r="271"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  <cell r="BF271">
            <v>0</v>
          </cell>
          <cell r="BG271">
            <v>0</v>
          </cell>
          <cell r="BH271">
            <v>0</v>
          </cell>
          <cell r="BI271">
            <v>0</v>
          </cell>
          <cell r="BJ271">
            <v>0</v>
          </cell>
          <cell r="BK271">
            <v>0</v>
          </cell>
          <cell r="BL271">
            <v>0</v>
          </cell>
          <cell r="BM271">
            <v>0</v>
          </cell>
          <cell r="BN271">
            <v>0</v>
          </cell>
          <cell r="BO271">
            <v>0</v>
          </cell>
          <cell r="BP271">
            <v>0</v>
          </cell>
          <cell r="BQ271">
            <v>0</v>
          </cell>
          <cell r="BR271">
            <v>0</v>
          </cell>
          <cell r="BS271">
            <v>0</v>
          </cell>
          <cell r="BT271">
            <v>0</v>
          </cell>
        </row>
        <row r="272">
          <cell r="B272">
            <v>116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 t="str">
            <v xml:space="preserve"> 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 t="str">
            <v xml:space="preserve"> 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 t="str">
            <v xml:space="preserve"> 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</v>
          </cell>
          <cell r="BP272">
            <v>0</v>
          </cell>
          <cell r="BQ272">
            <v>0</v>
          </cell>
          <cell r="BR272">
            <v>0</v>
          </cell>
          <cell r="BS272">
            <v>0</v>
          </cell>
          <cell r="BT272">
            <v>0</v>
          </cell>
        </row>
        <row r="273"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</v>
          </cell>
          <cell r="BJ273">
            <v>0</v>
          </cell>
          <cell r="BK273">
            <v>0</v>
          </cell>
          <cell r="BL273">
            <v>0</v>
          </cell>
          <cell r="BM273">
            <v>0</v>
          </cell>
          <cell r="BN273">
            <v>0</v>
          </cell>
          <cell r="BO273">
            <v>0</v>
          </cell>
          <cell r="BP273">
            <v>0</v>
          </cell>
          <cell r="BQ273">
            <v>0</v>
          </cell>
          <cell r="BR273">
            <v>0</v>
          </cell>
          <cell r="BS273">
            <v>0</v>
          </cell>
          <cell r="BT273">
            <v>0</v>
          </cell>
        </row>
        <row r="274">
          <cell r="B274">
            <v>117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 t="str">
            <v xml:space="preserve"> 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 t="str">
            <v xml:space="preserve"> 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 t="str">
            <v xml:space="preserve"> 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  <cell r="BF274">
            <v>0</v>
          </cell>
          <cell r="BG274">
            <v>0</v>
          </cell>
          <cell r="BH274">
            <v>0</v>
          </cell>
          <cell r="BI274">
            <v>0</v>
          </cell>
          <cell r="BJ274">
            <v>0</v>
          </cell>
          <cell r="BK274">
            <v>0</v>
          </cell>
          <cell r="BL274">
            <v>0</v>
          </cell>
          <cell r="BM274">
            <v>0</v>
          </cell>
          <cell r="BN274">
            <v>0</v>
          </cell>
          <cell r="BO274">
            <v>0</v>
          </cell>
          <cell r="BP274">
            <v>0</v>
          </cell>
          <cell r="BQ274">
            <v>0</v>
          </cell>
          <cell r="BR274">
            <v>0</v>
          </cell>
          <cell r="BS274">
            <v>0</v>
          </cell>
          <cell r="BT274">
            <v>0</v>
          </cell>
        </row>
        <row r="275"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</v>
          </cell>
          <cell r="BI275">
            <v>0</v>
          </cell>
          <cell r="BJ275">
            <v>0</v>
          </cell>
          <cell r="BK275">
            <v>0</v>
          </cell>
          <cell r="BL275">
            <v>0</v>
          </cell>
          <cell r="BM275">
            <v>0</v>
          </cell>
          <cell r="BN275">
            <v>0</v>
          </cell>
          <cell r="BO275">
            <v>0</v>
          </cell>
          <cell r="BP275">
            <v>0</v>
          </cell>
          <cell r="BQ275">
            <v>0</v>
          </cell>
          <cell r="BR275">
            <v>0</v>
          </cell>
          <cell r="BS275">
            <v>0</v>
          </cell>
          <cell r="BT275">
            <v>0</v>
          </cell>
        </row>
        <row r="276">
          <cell r="B276">
            <v>118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 t="str">
            <v xml:space="preserve"> 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 t="str">
            <v xml:space="preserve"> 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 t="str">
            <v xml:space="preserve"> 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0</v>
          </cell>
          <cell r="BQ276">
            <v>0</v>
          </cell>
          <cell r="BR276">
            <v>0</v>
          </cell>
          <cell r="BS276">
            <v>0</v>
          </cell>
          <cell r="BT276">
            <v>0</v>
          </cell>
        </row>
        <row r="277"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</row>
        <row r="278">
          <cell r="B278">
            <v>119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 t="str">
            <v xml:space="preserve"> 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 t="str">
            <v xml:space="preserve"> 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 t="str">
            <v xml:space="preserve"> 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</row>
        <row r="279"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0</v>
          </cell>
          <cell r="BT279">
            <v>0</v>
          </cell>
        </row>
        <row r="280">
          <cell r="B280">
            <v>120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 t="str">
            <v xml:space="preserve"> 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 t="str">
            <v xml:space="preserve"> 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 t="str">
            <v xml:space="preserve"> 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  <cell r="BF280">
            <v>0</v>
          </cell>
          <cell r="BG280">
            <v>0</v>
          </cell>
          <cell r="BH280">
            <v>0</v>
          </cell>
          <cell r="BI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0</v>
          </cell>
          <cell r="BT280">
            <v>0</v>
          </cell>
        </row>
        <row r="281"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I281">
            <v>0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0</v>
          </cell>
          <cell r="BT281">
            <v>0</v>
          </cell>
        </row>
        <row r="282">
          <cell r="B282">
            <v>121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 t="str">
            <v xml:space="preserve"> 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 t="str">
            <v xml:space="preserve"> 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 t="str">
            <v xml:space="preserve"> 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</v>
          </cell>
          <cell r="BK282">
            <v>0</v>
          </cell>
          <cell r="BL282">
            <v>0</v>
          </cell>
          <cell r="BM282">
            <v>0</v>
          </cell>
          <cell r="BN282">
            <v>0</v>
          </cell>
          <cell r="BO282">
            <v>0</v>
          </cell>
          <cell r="BP282">
            <v>0</v>
          </cell>
          <cell r="BQ282">
            <v>0</v>
          </cell>
          <cell r="BR282">
            <v>0</v>
          </cell>
          <cell r="BS282">
            <v>0</v>
          </cell>
          <cell r="BT282">
            <v>0</v>
          </cell>
        </row>
        <row r="283"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  <cell r="BH283">
            <v>0</v>
          </cell>
          <cell r="BI283">
            <v>0</v>
          </cell>
          <cell r="BJ283">
            <v>0</v>
          </cell>
          <cell r="BK283">
            <v>0</v>
          </cell>
          <cell r="BL283">
            <v>0</v>
          </cell>
          <cell r="BM283">
            <v>0</v>
          </cell>
          <cell r="BN283">
            <v>0</v>
          </cell>
          <cell r="BO283">
            <v>0</v>
          </cell>
          <cell r="BP283">
            <v>0</v>
          </cell>
          <cell r="BQ283">
            <v>0</v>
          </cell>
          <cell r="BR283">
            <v>0</v>
          </cell>
          <cell r="BS283">
            <v>0</v>
          </cell>
          <cell r="BT283">
            <v>0</v>
          </cell>
        </row>
        <row r="284">
          <cell r="B284">
            <v>122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 t="str">
            <v xml:space="preserve"> 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 t="str">
            <v xml:space="preserve"> 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 t="str">
            <v xml:space="preserve"> 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  <cell r="BF284">
            <v>0</v>
          </cell>
          <cell r="BG284">
            <v>0</v>
          </cell>
          <cell r="BH284">
            <v>0</v>
          </cell>
          <cell r="BI284">
            <v>0</v>
          </cell>
          <cell r="BJ284">
            <v>0</v>
          </cell>
          <cell r="BK284">
            <v>0</v>
          </cell>
          <cell r="BL284">
            <v>0</v>
          </cell>
          <cell r="BM284">
            <v>0</v>
          </cell>
          <cell r="BN284">
            <v>0</v>
          </cell>
          <cell r="BO284">
            <v>0</v>
          </cell>
          <cell r="BP284">
            <v>0</v>
          </cell>
          <cell r="BQ284">
            <v>0</v>
          </cell>
          <cell r="BR284">
            <v>0</v>
          </cell>
          <cell r="BS284">
            <v>0</v>
          </cell>
          <cell r="BT284">
            <v>0</v>
          </cell>
        </row>
        <row r="285"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</v>
          </cell>
          <cell r="BK285">
            <v>0</v>
          </cell>
          <cell r="BL285">
            <v>0</v>
          </cell>
          <cell r="BM285">
            <v>0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R285">
            <v>0</v>
          </cell>
          <cell r="BS285">
            <v>0</v>
          </cell>
          <cell r="BT285">
            <v>0</v>
          </cell>
        </row>
        <row r="286">
          <cell r="B286">
            <v>123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 t="str">
            <v xml:space="preserve"> 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 t="str">
            <v xml:space="preserve"> 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 t="str">
            <v xml:space="preserve"> 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0</v>
          </cell>
          <cell r="BE286">
            <v>0</v>
          </cell>
          <cell r="BF286">
            <v>0</v>
          </cell>
          <cell r="BG286">
            <v>0</v>
          </cell>
          <cell r="BH286">
            <v>0</v>
          </cell>
          <cell r="BI286">
            <v>0</v>
          </cell>
          <cell r="BJ286">
            <v>0</v>
          </cell>
          <cell r="BK286">
            <v>0</v>
          </cell>
          <cell r="BL286">
            <v>0</v>
          </cell>
          <cell r="BM286">
            <v>0</v>
          </cell>
          <cell r="BN286">
            <v>0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0</v>
          </cell>
          <cell r="BT286">
            <v>0</v>
          </cell>
        </row>
        <row r="287"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</row>
        <row r="288">
          <cell r="B288">
            <v>124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 t="str">
            <v xml:space="preserve"> 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 t="str">
            <v xml:space="preserve"> 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 t="str">
            <v xml:space="preserve"> 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</row>
        <row r="289"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F289">
            <v>0</v>
          </cell>
          <cell r="BG289">
            <v>0</v>
          </cell>
          <cell r="BH289">
            <v>0</v>
          </cell>
          <cell r="BI289">
            <v>0</v>
          </cell>
          <cell r="BJ289">
            <v>0</v>
          </cell>
          <cell r="BK289">
            <v>0</v>
          </cell>
          <cell r="BL289">
            <v>0</v>
          </cell>
          <cell r="BM289">
            <v>0</v>
          </cell>
          <cell r="BN289">
            <v>0</v>
          </cell>
          <cell r="BO289">
            <v>0</v>
          </cell>
          <cell r="BP289">
            <v>0</v>
          </cell>
          <cell r="BQ289">
            <v>0</v>
          </cell>
          <cell r="BR289">
            <v>0</v>
          </cell>
          <cell r="BS289">
            <v>0</v>
          </cell>
          <cell r="BT289">
            <v>0</v>
          </cell>
        </row>
        <row r="290">
          <cell r="B290">
            <v>125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 t="str">
            <v xml:space="preserve"> 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 t="str">
            <v xml:space="preserve"> 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 t="str">
            <v xml:space="preserve"> 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F290">
            <v>0</v>
          </cell>
          <cell r="BG290">
            <v>0</v>
          </cell>
          <cell r="BH290">
            <v>0</v>
          </cell>
          <cell r="BI290">
            <v>0</v>
          </cell>
          <cell r="BJ290">
            <v>0</v>
          </cell>
          <cell r="BK290">
            <v>0</v>
          </cell>
          <cell r="BL290">
            <v>0</v>
          </cell>
          <cell r="BM290">
            <v>0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0</v>
          </cell>
          <cell r="BT290">
            <v>0</v>
          </cell>
        </row>
        <row r="291"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  <cell r="BF291">
            <v>0</v>
          </cell>
          <cell r="BG291">
            <v>0</v>
          </cell>
          <cell r="BH291">
            <v>0</v>
          </cell>
          <cell r="BI291">
            <v>0</v>
          </cell>
          <cell r="BJ291">
            <v>0</v>
          </cell>
          <cell r="BK291">
            <v>0</v>
          </cell>
          <cell r="BL291">
            <v>0</v>
          </cell>
          <cell r="BM291">
            <v>0</v>
          </cell>
          <cell r="BN291">
            <v>0</v>
          </cell>
          <cell r="BO291">
            <v>0</v>
          </cell>
          <cell r="BP291">
            <v>0</v>
          </cell>
          <cell r="BQ291">
            <v>0</v>
          </cell>
          <cell r="BR291">
            <v>0</v>
          </cell>
          <cell r="BS291">
            <v>0</v>
          </cell>
          <cell r="BT291">
            <v>0</v>
          </cell>
        </row>
        <row r="292">
          <cell r="B292">
            <v>126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 t="str">
            <v xml:space="preserve"> 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 t="str">
            <v xml:space="preserve"> 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 t="str">
            <v xml:space="preserve"> 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  <cell r="BF292">
            <v>0</v>
          </cell>
          <cell r="BG292">
            <v>0</v>
          </cell>
          <cell r="BH292">
            <v>0</v>
          </cell>
          <cell r="BI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0</v>
          </cell>
          <cell r="BN292">
            <v>0</v>
          </cell>
          <cell r="BO292">
            <v>0</v>
          </cell>
          <cell r="BP292">
            <v>0</v>
          </cell>
          <cell r="BQ292">
            <v>0</v>
          </cell>
          <cell r="BR292">
            <v>0</v>
          </cell>
          <cell r="BS292">
            <v>0</v>
          </cell>
          <cell r="BT292">
            <v>0</v>
          </cell>
        </row>
        <row r="293"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I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0</v>
          </cell>
          <cell r="BT293">
            <v>0</v>
          </cell>
        </row>
        <row r="294">
          <cell r="B294">
            <v>127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 t="str">
            <v xml:space="preserve"> 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 t="str">
            <v xml:space="preserve"> 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 t="str">
            <v xml:space="preserve"> 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  <cell r="BF294">
            <v>0</v>
          </cell>
          <cell r="BG294">
            <v>0</v>
          </cell>
          <cell r="BH294">
            <v>0</v>
          </cell>
          <cell r="BI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0</v>
          </cell>
          <cell r="BO294">
            <v>0</v>
          </cell>
          <cell r="BP294">
            <v>0</v>
          </cell>
          <cell r="BQ294">
            <v>0</v>
          </cell>
          <cell r="BR294">
            <v>0</v>
          </cell>
          <cell r="BS294">
            <v>0</v>
          </cell>
          <cell r="BT294">
            <v>0</v>
          </cell>
        </row>
        <row r="295"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  <cell r="BF295">
            <v>0</v>
          </cell>
          <cell r="BG295">
            <v>0</v>
          </cell>
          <cell r="BH295">
            <v>0</v>
          </cell>
          <cell r="BI295">
            <v>0</v>
          </cell>
          <cell r="BJ295">
            <v>0</v>
          </cell>
          <cell r="BK295">
            <v>0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</row>
        <row r="296">
          <cell r="B296">
            <v>128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 t="str">
            <v xml:space="preserve"> 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 xml:space="preserve"> 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 t="str">
            <v xml:space="preserve"> 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</row>
        <row r="297"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énérale"/>
      <sheetName val="Infos générales"/>
    </sheetNames>
    <sheetDataSet>
      <sheetData sheetId="0">
        <row r="1">
          <cell r="B1" t="str">
            <v>Tournoi non-licienciés AVVT 2017 / 2018</v>
          </cell>
        </row>
        <row r="4">
          <cell r="B4">
            <v>43134</v>
          </cell>
        </row>
        <row r="5">
          <cell r="B5">
            <v>0.5625</v>
          </cell>
        </row>
        <row r="6">
          <cell r="B6">
            <v>0.75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W265"/>
  <sheetViews>
    <sheetView tabSelected="1" zoomScaleNormal="100" workbookViewId="0">
      <selection activeCell="CC2" sqref="CC2:CW4"/>
    </sheetView>
  </sheetViews>
  <sheetFormatPr baseColWidth="10" defaultColWidth="1.42578125" defaultRowHeight="7.5" customHeight="1" outlineLevelCol="1" x14ac:dyDescent="0.2"/>
  <cols>
    <col min="1" max="80" width="1.42578125" style="2" customWidth="1" outlineLevel="1"/>
    <col min="81" max="16384" width="1.42578125" style="2"/>
  </cols>
  <sheetData>
    <row r="1" spans="1:101" ht="7.5" customHeight="1" x14ac:dyDescent="0.2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1"/>
      <c r="AF1" s="1"/>
      <c r="AG1" s="1"/>
      <c r="AH1" s="1"/>
    </row>
    <row r="2" spans="1:101" ht="7.5" customHeight="1" x14ac:dyDescent="0.2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1"/>
      <c r="AF2" s="1"/>
      <c r="AG2" s="1"/>
      <c r="AH2" s="1"/>
      <c r="CC2" s="23" t="s">
        <v>169</v>
      </c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</row>
    <row r="3" spans="1:101" ht="7.5" customHeight="1" x14ac:dyDescent="0.2">
      <c r="A3" s="27" t="s">
        <v>1</v>
      </c>
      <c r="B3" s="27"/>
      <c r="C3" s="27" t="s">
        <v>2</v>
      </c>
      <c r="D3" s="27"/>
      <c r="E3" s="27" t="s">
        <v>3</v>
      </c>
      <c r="F3" s="27"/>
      <c r="G3" s="27" t="s">
        <v>4</v>
      </c>
      <c r="H3" s="27"/>
      <c r="I3" s="27" t="s">
        <v>5</v>
      </c>
      <c r="J3" s="27"/>
      <c r="K3" s="27" t="s">
        <v>6</v>
      </c>
      <c r="L3" s="27"/>
      <c r="M3" s="27" t="s">
        <v>7</v>
      </c>
      <c r="N3" s="27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</row>
    <row r="4" spans="1:101" ht="7.5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</row>
    <row r="5" spans="1:101" ht="7.5" customHeight="1" x14ac:dyDescent="0.2">
      <c r="A5" s="26" t="s">
        <v>8</v>
      </c>
      <c r="B5" s="26"/>
      <c r="C5" s="26"/>
      <c r="D5" s="26"/>
      <c r="E5" s="26"/>
      <c r="F5" s="26"/>
      <c r="G5" s="26" t="s">
        <v>148</v>
      </c>
      <c r="H5" s="26"/>
      <c r="I5" s="26"/>
      <c r="J5" s="26"/>
      <c r="K5" s="26"/>
      <c r="L5" s="26"/>
      <c r="M5" s="26"/>
      <c r="N5" s="26"/>
      <c r="O5" s="26"/>
      <c r="P5" s="26"/>
      <c r="Q5" s="26"/>
      <c r="S5" s="26" t="s">
        <v>9</v>
      </c>
      <c r="T5" s="26"/>
      <c r="U5" s="26"/>
      <c r="V5" s="26"/>
      <c r="W5" s="26"/>
      <c r="X5" s="26"/>
      <c r="Y5" s="26"/>
      <c r="Z5" s="26"/>
      <c r="AA5" s="26"/>
      <c r="AB5" s="26"/>
      <c r="AC5" s="26"/>
      <c r="AE5" s="26" t="s">
        <v>10</v>
      </c>
      <c r="AF5" s="26"/>
      <c r="AG5" s="26"/>
      <c r="AH5" s="26"/>
      <c r="AI5" s="26"/>
      <c r="AJ5" s="26"/>
      <c r="AK5" s="26"/>
      <c r="AL5" s="26"/>
      <c r="AM5" s="26"/>
      <c r="AN5" s="26"/>
      <c r="AO5" s="26"/>
      <c r="AQ5" s="26" t="s">
        <v>11</v>
      </c>
      <c r="AR5" s="26"/>
      <c r="AS5" s="26"/>
      <c r="AT5" s="26"/>
      <c r="AU5" s="26"/>
      <c r="AV5" s="26"/>
      <c r="AW5" s="26"/>
      <c r="AX5" s="26"/>
      <c r="AY5" s="26"/>
      <c r="AZ5" s="26"/>
      <c r="BA5" s="26"/>
      <c r="BE5" s="90" t="s">
        <v>168</v>
      </c>
      <c r="BF5" s="90"/>
      <c r="BG5" s="90"/>
      <c r="BH5" s="90"/>
      <c r="BI5" s="90"/>
      <c r="BJ5" s="90"/>
      <c r="BK5" s="90"/>
      <c r="BL5" s="90"/>
      <c r="BM5" s="90"/>
      <c r="BN5" s="90"/>
      <c r="BO5" s="90"/>
      <c r="BP5" s="90"/>
      <c r="BQ5" s="90"/>
      <c r="BR5" s="90"/>
      <c r="BS5" s="90"/>
      <c r="BT5" s="90"/>
      <c r="BU5" s="90"/>
      <c r="BV5" s="90"/>
      <c r="BW5" s="90"/>
      <c r="BX5" s="90"/>
      <c r="BY5" s="90"/>
      <c r="BZ5" s="90"/>
      <c r="CA5" s="90"/>
    </row>
    <row r="6" spans="1:101" ht="7.5" customHeight="1" x14ac:dyDescent="0.2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  <c r="BV6" s="90"/>
      <c r="BW6" s="90"/>
      <c r="BX6" s="90"/>
      <c r="BY6" s="90"/>
      <c r="BZ6" s="90"/>
      <c r="CA6" s="90"/>
      <c r="CD6" s="36" t="s">
        <v>12</v>
      </c>
      <c r="CE6" s="36"/>
      <c r="CF6" s="36"/>
      <c r="CH6" s="31" t="s">
        <v>13</v>
      </c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U6" s="32" t="s">
        <v>14</v>
      </c>
      <c r="CV6" s="32"/>
      <c r="CW6" s="32"/>
    </row>
    <row r="7" spans="1:101" ht="7.5" customHeight="1" x14ac:dyDescent="0.2"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90"/>
      <c r="BY7" s="90"/>
      <c r="BZ7" s="90"/>
      <c r="CA7" s="90"/>
      <c r="CD7" s="36"/>
      <c r="CE7" s="36"/>
      <c r="CF7" s="36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U7" s="32"/>
      <c r="CV7" s="32"/>
      <c r="CW7" s="32"/>
    </row>
    <row r="8" spans="1:101" ht="7.5" customHeight="1" x14ac:dyDescent="0.2">
      <c r="AE8" s="33" t="s">
        <v>15</v>
      </c>
      <c r="AF8" s="33"/>
      <c r="AG8" s="33"/>
      <c r="AH8" s="33"/>
      <c r="AI8" s="33"/>
      <c r="AJ8" s="33"/>
      <c r="AK8" s="33"/>
      <c r="AL8" s="34" t="s">
        <v>16</v>
      </c>
      <c r="AM8" s="34"/>
      <c r="AN8" s="34"/>
      <c r="AO8" s="34"/>
      <c r="AP8" s="34"/>
      <c r="AQ8" s="34"/>
      <c r="AR8" s="34"/>
      <c r="AS8" s="35" t="s">
        <v>17</v>
      </c>
      <c r="AT8" s="35"/>
      <c r="AU8" s="35"/>
      <c r="AV8" s="35"/>
      <c r="AW8" s="35"/>
      <c r="AX8" s="35"/>
      <c r="AY8" s="35"/>
      <c r="AZ8" s="34" t="s">
        <v>18</v>
      </c>
      <c r="BA8" s="34"/>
      <c r="BB8" s="34"/>
      <c r="BC8" s="34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D8" s="36"/>
      <c r="CE8" s="36"/>
      <c r="CF8" s="36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U8" s="32"/>
      <c r="CV8" s="32"/>
      <c r="CW8" s="32"/>
    </row>
    <row r="9" spans="1:101" ht="7.5" customHeight="1" x14ac:dyDescent="0.2">
      <c r="AE9" s="33"/>
      <c r="AF9" s="33"/>
      <c r="AG9" s="33"/>
      <c r="AH9" s="33"/>
      <c r="AI9" s="33"/>
      <c r="AJ9" s="33"/>
      <c r="AK9" s="33"/>
      <c r="AL9" s="34"/>
      <c r="AM9" s="34"/>
      <c r="AN9" s="34"/>
      <c r="AO9" s="34"/>
      <c r="AP9" s="34"/>
      <c r="AQ9" s="34"/>
      <c r="AR9" s="34"/>
      <c r="AS9" s="35"/>
      <c r="AT9" s="35"/>
      <c r="AU9" s="35"/>
      <c r="AV9" s="35"/>
      <c r="AW9" s="35"/>
      <c r="AX9" s="35"/>
      <c r="AY9" s="35"/>
      <c r="AZ9" s="34"/>
      <c r="BA9" s="34"/>
      <c r="BB9" s="34"/>
      <c r="BC9" s="34"/>
    </row>
    <row r="10" spans="1:101" ht="7.5" customHeight="1" x14ac:dyDescent="0.2">
      <c r="E10" s="29">
        <f>IFERROR(IF(BP10="","-",RANK(S10,$S$10:$T$264,0)+RANK(Q10,$Q$10:$R$264,0)%+RANK(O10,$O$10:$P$264,0)%%+ROW()%%%),"-")</f>
        <v>5.0507099999999996</v>
      </c>
      <c r="F10" s="29"/>
      <c r="G10" s="29"/>
      <c r="H10" s="29"/>
      <c r="I10" s="29"/>
      <c r="J10" s="29">
        <f>IFERROR(IF(E10="","",RANK(E10,$E$10:$I$264,1)),"-")</f>
        <v>6</v>
      </c>
      <c r="K10" s="29" t="str">
        <f>BP10</f>
        <v>Bellon Antoine</v>
      </c>
      <c r="L10" s="29"/>
      <c r="M10" s="29"/>
      <c r="N10" s="29"/>
      <c r="O10" s="29">
        <f>SUM(AE10-AI10)</f>
        <v>33</v>
      </c>
      <c r="P10" s="29"/>
      <c r="Q10" s="29">
        <f>SUM(AL10-AP10)</f>
        <v>5</v>
      </c>
      <c r="R10" s="29"/>
      <c r="S10" s="29">
        <f>SUM(AS10-AW10)</f>
        <v>2</v>
      </c>
      <c r="T10" s="29"/>
      <c r="U10" s="29">
        <f>IFERROR(SMALL($E$10:$I$264,1),0)</f>
        <v>1.0101579999999999</v>
      </c>
      <c r="V10" s="29"/>
      <c r="W10" s="29"/>
      <c r="X10" s="29"/>
      <c r="Y10" s="29"/>
      <c r="Z10" s="29">
        <f>IFERROR(IF(U10="","",RANK(U10,$U$10:$Y$264,1)),0)</f>
        <v>1</v>
      </c>
      <c r="AA10" s="29" t="str">
        <f>IFERROR(INDEX($K$10:$K$264,MATCH(U10,$E$10:$E$264,0),1),0)</f>
        <v>Clausix Adam</v>
      </c>
      <c r="AB10" s="29"/>
      <c r="AC10" s="29"/>
      <c r="AD10" s="29"/>
      <c r="AE10" s="43">
        <v>97</v>
      </c>
      <c r="AF10" s="43"/>
      <c r="AG10" s="44"/>
      <c r="AH10" s="58" t="s">
        <v>19</v>
      </c>
      <c r="AI10" s="47">
        <v>64</v>
      </c>
      <c r="AJ10" s="43"/>
      <c r="AK10" s="43"/>
      <c r="AL10" s="43">
        <v>7</v>
      </c>
      <c r="AM10" s="43"/>
      <c r="AN10" s="44"/>
      <c r="AO10" s="58" t="s">
        <v>19</v>
      </c>
      <c r="AP10" s="47">
        <v>2</v>
      </c>
      <c r="AQ10" s="43"/>
      <c r="AR10" s="43"/>
      <c r="AS10" s="43">
        <v>3</v>
      </c>
      <c r="AT10" s="43"/>
      <c r="AU10" s="44"/>
      <c r="AV10" s="58" t="s">
        <v>19</v>
      </c>
      <c r="AW10" s="47">
        <v>1</v>
      </c>
      <c r="AX10" s="43"/>
      <c r="AY10" s="43"/>
      <c r="AZ10" s="37">
        <f>IFERROR(IF(E10="","",RANK(E10,$E$10:$I$264,1)),0)</f>
        <v>6</v>
      </c>
      <c r="BA10" s="37"/>
      <c r="BB10" s="37"/>
      <c r="BC10" s="37"/>
      <c r="BE10" s="38">
        <v>19</v>
      </c>
      <c r="BF10" s="38"/>
      <c r="BG10" s="3"/>
      <c r="BH10" s="30" t="s">
        <v>20</v>
      </c>
      <c r="BI10" s="30"/>
      <c r="BJ10" s="30"/>
      <c r="BK10" s="30"/>
      <c r="BL10" s="30"/>
      <c r="BM10" s="30"/>
      <c r="BN10" s="30"/>
      <c r="BO10" s="30"/>
      <c r="BP10" s="30" t="str">
        <f>IF(BE10&gt;0,VLOOKUP(BE10,'[3]Infos joueurs'!$B:$BT,11,FALSE)," ")&amp;" "&amp;IF(BE10&gt;0,VLOOKUP(BE10,'[3]Infos joueurs'!$B:$BT,27,FALSE)," ")</f>
        <v>Bellon Antoine</v>
      </c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4"/>
      <c r="CC10" s="4"/>
      <c r="CD10" s="54">
        <v>1</v>
      </c>
      <c r="CE10" s="54"/>
      <c r="CF10" s="54"/>
      <c r="CG10" s="4"/>
      <c r="CH10" s="56" t="str">
        <f>AA10</f>
        <v>Clausix Adam</v>
      </c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U10" s="25">
        <f>IFERROR(INDEX($BE$10:$BE$269,MATCH(CH10,$BP$10:$BP$269,0)),0)</f>
        <v>4</v>
      </c>
      <c r="CV10" s="25"/>
      <c r="CW10" s="25"/>
    </row>
    <row r="11" spans="1:101" ht="7.5" customHeight="1" x14ac:dyDescent="0.2"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43"/>
      <c r="AF11" s="43"/>
      <c r="AG11" s="44"/>
      <c r="AH11" s="58"/>
      <c r="AI11" s="47"/>
      <c r="AJ11" s="43"/>
      <c r="AK11" s="43"/>
      <c r="AL11" s="43"/>
      <c r="AM11" s="43"/>
      <c r="AN11" s="44"/>
      <c r="AO11" s="58"/>
      <c r="AP11" s="47"/>
      <c r="AQ11" s="43"/>
      <c r="AR11" s="43"/>
      <c r="AS11" s="43"/>
      <c r="AT11" s="43"/>
      <c r="AU11" s="44"/>
      <c r="AV11" s="58"/>
      <c r="AW11" s="47"/>
      <c r="AX11" s="43"/>
      <c r="AY11" s="43"/>
      <c r="AZ11" s="37"/>
      <c r="BA11" s="37"/>
      <c r="BB11" s="37"/>
      <c r="BC11" s="37"/>
      <c r="BE11" s="38"/>
      <c r="BF11" s="38"/>
      <c r="BG11" s="3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4"/>
      <c r="CC11" s="4"/>
      <c r="CD11" s="55"/>
      <c r="CE11" s="55"/>
      <c r="CF11" s="55"/>
      <c r="CG11" s="4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U11" s="28"/>
      <c r="CV11" s="28"/>
      <c r="CW11" s="28"/>
    </row>
    <row r="12" spans="1:101" ht="7.5" customHeight="1" x14ac:dyDescent="0.2">
      <c r="E12" s="39">
        <f>IFERROR(IF(BP12="","-",RANK(S12,$S$10:$T$264,0)+RANK(Q12,$Q$10:$R$264,0)%+RANK(O12,$O$10:$P$264,0)%%+ROW()%%%),"-")</f>
        <v>5.1111120000000003</v>
      </c>
      <c r="F12" s="60"/>
      <c r="G12" s="60"/>
      <c r="H12" s="60"/>
      <c r="I12" s="40"/>
      <c r="J12" s="62">
        <f>IFERROR(IF(E12="","",RANK(E12,$E$10:$I$264,1)),"-")</f>
        <v>11</v>
      </c>
      <c r="K12" s="39" t="str">
        <f t="shared" ref="K12" si="0">BP12</f>
        <v>Leite Matilde</v>
      </c>
      <c r="L12" s="60"/>
      <c r="M12" s="60"/>
      <c r="N12" s="40"/>
      <c r="O12" s="39">
        <f t="shared" ref="O12" si="1">SUM(AE12-AI12)</f>
        <v>23</v>
      </c>
      <c r="P12" s="40"/>
      <c r="Q12" s="39">
        <f t="shared" ref="Q12" si="2">SUM(AL12-AP12)</f>
        <v>3</v>
      </c>
      <c r="R12" s="40"/>
      <c r="S12" s="39">
        <f t="shared" ref="S12" si="3">SUM(AS12-AW12)</f>
        <v>2</v>
      </c>
      <c r="T12" s="40"/>
      <c r="U12" s="39">
        <f>IFERROR(SMALL($E$10:$I$264,2),0)</f>
        <v>1.0203199999999999</v>
      </c>
      <c r="V12" s="60"/>
      <c r="W12" s="60"/>
      <c r="X12" s="60"/>
      <c r="Y12" s="40"/>
      <c r="Z12" s="29">
        <f>IFERROR(IF(U12="","",RANK(U12,$U$10:$Y$264,1)),0)</f>
        <v>2</v>
      </c>
      <c r="AA12" s="29" t="str">
        <f>IFERROR(INDEX($K$10:$K$264,MATCH(U12,$E$10:$E$264,0),1),0)</f>
        <v>Nanez Diego</v>
      </c>
      <c r="AB12" s="29"/>
      <c r="AC12" s="29"/>
      <c r="AD12" s="29"/>
      <c r="AE12" s="43">
        <v>84</v>
      </c>
      <c r="AF12" s="43"/>
      <c r="AG12" s="44"/>
      <c r="AH12" s="45" t="s">
        <v>19</v>
      </c>
      <c r="AI12" s="47">
        <v>61</v>
      </c>
      <c r="AJ12" s="43"/>
      <c r="AK12" s="43"/>
      <c r="AL12" s="43">
        <v>6</v>
      </c>
      <c r="AM12" s="43"/>
      <c r="AN12" s="44"/>
      <c r="AO12" s="45" t="s">
        <v>19</v>
      </c>
      <c r="AP12" s="47">
        <v>3</v>
      </c>
      <c r="AQ12" s="43"/>
      <c r="AR12" s="43"/>
      <c r="AS12" s="43">
        <v>3</v>
      </c>
      <c r="AT12" s="43"/>
      <c r="AU12" s="44"/>
      <c r="AV12" s="45" t="s">
        <v>19</v>
      </c>
      <c r="AW12" s="47">
        <v>1</v>
      </c>
      <c r="AX12" s="43"/>
      <c r="AY12" s="43"/>
      <c r="AZ12" s="48">
        <f>IFERROR(IF(E12="","",RANK(E12,$E$10:$I$264,1)),0)</f>
        <v>11</v>
      </c>
      <c r="BA12" s="49"/>
      <c r="BB12" s="49"/>
      <c r="BC12" s="50"/>
      <c r="BE12" s="38">
        <v>2</v>
      </c>
      <c r="BF12" s="38"/>
      <c r="BG12" s="3"/>
      <c r="BH12" s="30" t="s">
        <v>21</v>
      </c>
      <c r="BI12" s="30"/>
      <c r="BJ12" s="30"/>
      <c r="BK12" s="30"/>
      <c r="BL12" s="30"/>
      <c r="BM12" s="30"/>
      <c r="BN12" s="30"/>
      <c r="BO12" s="30"/>
      <c r="BP12" s="30" t="str">
        <f>IF(BE12&gt;0,VLOOKUP(BE12,'[3]Infos joueurs'!$B:$BT,11,FALSE)," ")&amp;" "&amp;IF(BE12&gt;0,VLOOKUP(BE12,'[3]Infos joueurs'!$B:$BT,27,FALSE)," ")</f>
        <v>Leite Matilde</v>
      </c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4"/>
      <c r="CC12" s="4"/>
      <c r="CD12" s="54">
        <v>2</v>
      </c>
      <c r="CE12" s="54"/>
      <c r="CF12" s="54"/>
      <c r="CG12" s="4"/>
      <c r="CH12" s="59" t="str">
        <f t="shared" ref="CH12" si="4">AA12</f>
        <v>Nanez Diego</v>
      </c>
      <c r="CI12" s="59"/>
      <c r="CJ12" s="59"/>
      <c r="CK12" s="59"/>
      <c r="CL12" s="59"/>
      <c r="CM12" s="59"/>
      <c r="CN12" s="59"/>
      <c r="CO12" s="59"/>
      <c r="CP12" s="59"/>
      <c r="CQ12" s="59"/>
      <c r="CR12" s="59"/>
      <c r="CS12" s="59"/>
      <c r="CU12" s="24">
        <f t="shared" ref="CU12" si="5">IFERROR(INDEX($BE$10:$BE$269,MATCH(CH12,$BP$10:$BP$269,0)),0)</f>
        <v>10</v>
      </c>
      <c r="CV12" s="24"/>
      <c r="CW12" s="24"/>
    </row>
    <row r="13" spans="1:101" ht="7.5" customHeight="1" x14ac:dyDescent="0.2">
      <c r="E13" s="41"/>
      <c r="F13" s="61"/>
      <c r="G13" s="61"/>
      <c r="H13" s="61"/>
      <c r="I13" s="42"/>
      <c r="J13" s="63"/>
      <c r="K13" s="41"/>
      <c r="L13" s="61"/>
      <c r="M13" s="61"/>
      <c r="N13" s="42"/>
      <c r="O13" s="41"/>
      <c r="P13" s="42"/>
      <c r="Q13" s="41"/>
      <c r="R13" s="42"/>
      <c r="S13" s="41"/>
      <c r="T13" s="42"/>
      <c r="U13" s="41"/>
      <c r="V13" s="61"/>
      <c r="W13" s="61"/>
      <c r="X13" s="61"/>
      <c r="Y13" s="42"/>
      <c r="Z13" s="29"/>
      <c r="AA13" s="29"/>
      <c r="AB13" s="29"/>
      <c r="AC13" s="29"/>
      <c r="AD13" s="29"/>
      <c r="AE13" s="43"/>
      <c r="AF13" s="43"/>
      <c r="AG13" s="44"/>
      <c r="AH13" s="46"/>
      <c r="AI13" s="47"/>
      <c r="AJ13" s="43"/>
      <c r="AK13" s="43"/>
      <c r="AL13" s="43"/>
      <c r="AM13" s="43"/>
      <c r="AN13" s="44"/>
      <c r="AO13" s="46"/>
      <c r="AP13" s="47"/>
      <c r="AQ13" s="43"/>
      <c r="AR13" s="43"/>
      <c r="AS13" s="43"/>
      <c r="AT13" s="43"/>
      <c r="AU13" s="44"/>
      <c r="AV13" s="46"/>
      <c r="AW13" s="47"/>
      <c r="AX13" s="43"/>
      <c r="AY13" s="43"/>
      <c r="AZ13" s="51"/>
      <c r="BA13" s="52"/>
      <c r="BB13" s="52"/>
      <c r="BC13" s="53"/>
      <c r="BE13" s="38"/>
      <c r="BF13" s="38"/>
      <c r="BG13" s="3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5"/>
      <c r="CC13" s="5"/>
      <c r="CD13" s="55"/>
      <c r="CE13" s="55"/>
      <c r="CF13" s="55"/>
      <c r="CG13" s="5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U13" s="25"/>
      <c r="CV13" s="25"/>
      <c r="CW13" s="25"/>
    </row>
    <row r="14" spans="1:101" ht="7.5" customHeight="1" x14ac:dyDescent="0.2">
      <c r="E14" s="39">
        <f>IFERROR(IF(BP14="","-",RANK(S14,$S$10:$T$264,0)+RANK(Q14,$Q$10:$R$264,0)%+RANK(O14,$O$10:$P$264,0)%%+ROW()%%%),"-")</f>
        <v>119.19161399999999</v>
      </c>
      <c r="F14" s="60"/>
      <c r="G14" s="60"/>
      <c r="H14" s="60"/>
      <c r="I14" s="40"/>
      <c r="J14" s="62">
        <f>IFERROR(IF(E14="","",RANK(E14,$E$10:$I$264,1)),"-")</f>
        <v>118</v>
      </c>
      <c r="K14" s="39" t="str">
        <f t="shared" ref="K14" si="6">BP14</f>
        <v>Gay Valentin</v>
      </c>
      <c r="L14" s="60"/>
      <c r="M14" s="60"/>
      <c r="N14" s="40"/>
      <c r="O14" s="39">
        <f t="shared" ref="O14" si="7">SUM(AE14-AI14)</f>
        <v>1</v>
      </c>
      <c r="P14" s="40"/>
      <c r="Q14" s="39">
        <f t="shared" ref="Q14" si="8">SUM(AL14-AP14)</f>
        <v>-4</v>
      </c>
      <c r="R14" s="40"/>
      <c r="S14" s="39">
        <f t="shared" ref="S14" si="9">SUM(AS14-AW14)</f>
        <v>-2</v>
      </c>
      <c r="T14" s="40"/>
      <c r="U14" s="39">
        <f>IFERROR(SMALL($E$10:$I$264,3),0)</f>
        <v>1.0204340000000001</v>
      </c>
      <c r="V14" s="60"/>
      <c r="W14" s="60"/>
      <c r="X14" s="60"/>
      <c r="Y14" s="40"/>
      <c r="Z14" s="29">
        <f>IFERROR(IF(U14="","",RANK(U14,$U$10:$Y$264,1)),0)</f>
        <v>3</v>
      </c>
      <c r="AA14" s="29" t="str">
        <f>IFERROR(INDEX($K$10:$K$264,MATCH(U14,$E$10:$E$264,0),1),0)</f>
        <v>Emboye Tomas</v>
      </c>
      <c r="AB14" s="29"/>
      <c r="AC14" s="29"/>
      <c r="AD14" s="29"/>
      <c r="AE14" s="43">
        <v>67</v>
      </c>
      <c r="AF14" s="43"/>
      <c r="AG14" s="44"/>
      <c r="AH14" s="45" t="s">
        <v>19</v>
      </c>
      <c r="AI14" s="47">
        <v>66</v>
      </c>
      <c r="AJ14" s="43"/>
      <c r="AK14" s="43"/>
      <c r="AL14" s="43">
        <v>2</v>
      </c>
      <c r="AM14" s="43"/>
      <c r="AN14" s="44"/>
      <c r="AO14" s="45" t="s">
        <v>19</v>
      </c>
      <c r="AP14" s="47">
        <v>6</v>
      </c>
      <c r="AQ14" s="43"/>
      <c r="AR14" s="43"/>
      <c r="AS14" s="43">
        <v>1</v>
      </c>
      <c r="AT14" s="43"/>
      <c r="AU14" s="44"/>
      <c r="AV14" s="45" t="s">
        <v>19</v>
      </c>
      <c r="AW14" s="47">
        <v>3</v>
      </c>
      <c r="AX14" s="43"/>
      <c r="AY14" s="43"/>
      <c r="AZ14" s="48">
        <f>IFERROR(IF(E14="","",RANK(E14,$E$10:$I$264,1)),0)</f>
        <v>118</v>
      </c>
      <c r="BA14" s="49"/>
      <c r="BB14" s="49"/>
      <c r="BC14" s="50"/>
      <c r="BE14" s="38">
        <v>13</v>
      </c>
      <c r="BF14" s="38"/>
      <c r="BG14" s="3"/>
      <c r="BH14" s="30" t="s">
        <v>22</v>
      </c>
      <c r="BI14" s="30"/>
      <c r="BJ14" s="30"/>
      <c r="BK14" s="30"/>
      <c r="BL14" s="30"/>
      <c r="BM14" s="30"/>
      <c r="BN14" s="30"/>
      <c r="BO14" s="30"/>
      <c r="BP14" s="30" t="str">
        <f>IF(BE14&gt;0,VLOOKUP(BE14,'[3]Infos joueurs'!$B:$BT,11,FALSE)," ")&amp;" "&amp;IF(BE14&gt;0,VLOOKUP(BE14,'[3]Infos joueurs'!$B:$BT,27,FALSE)," ")</f>
        <v>Gay Valentin</v>
      </c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4"/>
      <c r="CC14" s="4"/>
      <c r="CD14" s="54">
        <v>3</v>
      </c>
      <c r="CE14" s="54"/>
      <c r="CF14" s="54"/>
      <c r="CG14" s="4"/>
      <c r="CH14" s="59" t="str">
        <f t="shared" ref="CH14" si="10">AA14</f>
        <v>Emboye Tomas</v>
      </c>
      <c r="CI14" s="59"/>
      <c r="CJ14" s="59"/>
      <c r="CK14" s="59"/>
      <c r="CL14" s="59"/>
      <c r="CM14" s="59"/>
      <c r="CN14" s="59"/>
      <c r="CO14" s="59"/>
      <c r="CP14" s="59"/>
      <c r="CQ14" s="59"/>
      <c r="CR14" s="59"/>
      <c r="CS14" s="59"/>
      <c r="CU14" s="24">
        <f t="shared" ref="CU14" si="11">IFERROR(INDEX($BE$10:$BE$269,MATCH(CH14,$BP$10:$BP$269,0)),0)</f>
        <v>6</v>
      </c>
      <c r="CV14" s="24"/>
      <c r="CW14" s="24"/>
    </row>
    <row r="15" spans="1:101" ht="7.5" customHeight="1" x14ac:dyDescent="0.2">
      <c r="E15" s="41"/>
      <c r="F15" s="61"/>
      <c r="G15" s="61"/>
      <c r="H15" s="61"/>
      <c r="I15" s="42"/>
      <c r="J15" s="63"/>
      <c r="K15" s="41"/>
      <c r="L15" s="61"/>
      <c r="M15" s="61"/>
      <c r="N15" s="42"/>
      <c r="O15" s="41"/>
      <c r="P15" s="42"/>
      <c r="Q15" s="41"/>
      <c r="R15" s="42"/>
      <c r="S15" s="41"/>
      <c r="T15" s="42"/>
      <c r="U15" s="41"/>
      <c r="V15" s="61"/>
      <c r="W15" s="61"/>
      <c r="X15" s="61"/>
      <c r="Y15" s="42"/>
      <c r="Z15" s="29"/>
      <c r="AA15" s="29"/>
      <c r="AB15" s="29"/>
      <c r="AC15" s="29"/>
      <c r="AD15" s="29"/>
      <c r="AE15" s="43"/>
      <c r="AF15" s="43"/>
      <c r="AG15" s="44"/>
      <c r="AH15" s="46"/>
      <c r="AI15" s="47"/>
      <c r="AJ15" s="43"/>
      <c r="AK15" s="43"/>
      <c r="AL15" s="43"/>
      <c r="AM15" s="43"/>
      <c r="AN15" s="44"/>
      <c r="AO15" s="46"/>
      <c r="AP15" s="47"/>
      <c r="AQ15" s="43"/>
      <c r="AR15" s="43"/>
      <c r="AS15" s="43"/>
      <c r="AT15" s="43"/>
      <c r="AU15" s="44"/>
      <c r="AV15" s="46"/>
      <c r="AW15" s="47"/>
      <c r="AX15" s="43"/>
      <c r="AY15" s="43"/>
      <c r="AZ15" s="51"/>
      <c r="BA15" s="52"/>
      <c r="BB15" s="52"/>
      <c r="BC15" s="53"/>
      <c r="BE15" s="38"/>
      <c r="BF15" s="38"/>
      <c r="BG15" s="3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4"/>
      <c r="CC15" s="4"/>
      <c r="CD15" s="55"/>
      <c r="CE15" s="55"/>
      <c r="CF15" s="55"/>
      <c r="CG15" s="4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U15" s="25"/>
      <c r="CV15" s="25"/>
      <c r="CW15" s="25"/>
    </row>
    <row r="16" spans="1:101" ht="7.5" customHeight="1" x14ac:dyDescent="0.2">
      <c r="E16" s="39">
        <f>IFERROR(IF(BP16="","-",RANK(S16,$S$10:$T$264,0)+RANK(Q16,$Q$10:$R$264,0)%+RANK(O16,$O$10:$P$264,0)%%+ROW()%%%),"-")</f>
        <v>5.0608159999999991</v>
      </c>
      <c r="F16" s="60"/>
      <c r="G16" s="60"/>
      <c r="H16" s="60"/>
      <c r="I16" s="40"/>
      <c r="J16" s="62">
        <f>IFERROR(IF(E16="","",RANK(E16,$E$10:$I$264,1)),"-")</f>
        <v>8</v>
      </c>
      <c r="K16" s="39" t="str">
        <f t="shared" ref="K16" si="12">BP16</f>
        <v>Frezghi Tarik</v>
      </c>
      <c r="L16" s="60"/>
      <c r="M16" s="60"/>
      <c r="N16" s="40"/>
      <c r="O16" s="39">
        <f t="shared" ref="O16" si="13">SUM(AE16-AI16)</f>
        <v>31</v>
      </c>
      <c r="P16" s="40"/>
      <c r="Q16" s="39">
        <f t="shared" ref="Q16" si="14">SUM(AL16-AP16)</f>
        <v>4</v>
      </c>
      <c r="R16" s="40"/>
      <c r="S16" s="39">
        <f t="shared" ref="S16" si="15">SUM(AS16-AW16)</f>
        <v>2</v>
      </c>
      <c r="T16" s="40"/>
      <c r="U16" s="39">
        <f>IFERROR(SMALL($E$10:$I$264,4),0)</f>
        <v>1.0602400000000001</v>
      </c>
      <c r="V16" s="60"/>
      <c r="W16" s="60"/>
      <c r="X16" s="60"/>
      <c r="Y16" s="40"/>
      <c r="Z16" s="29">
        <f>IFERROR(IF(U16="","",RANK(U16,$U$10:$Y$264,1)),0)</f>
        <v>4</v>
      </c>
      <c r="AA16" s="29" t="str">
        <f>IFERROR(INDEX($K$10:$K$264,MATCH(U16,$E$10:$E$264,0),1),0)</f>
        <v>Germanier Enzo</v>
      </c>
      <c r="AB16" s="29"/>
      <c r="AC16" s="29"/>
      <c r="AD16" s="29"/>
      <c r="AE16" s="43">
        <v>84</v>
      </c>
      <c r="AF16" s="43"/>
      <c r="AG16" s="44"/>
      <c r="AH16" s="45" t="s">
        <v>19</v>
      </c>
      <c r="AI16" s="47">
        <v>53</v>
      </c>
      <c r="AJ16" s="43"/>
      <c r="AK16" s="43"/>
      <c r="AL16" s="43">
        <v>6</v>
      </c>
      <c r="AM16" s="43"/>
      <c r="AN16" s="44"/>
      <c r="AO16" s="45" t="s">
        <v>19</v>
      </c>
      <c r="AP16" s="47">
        <v>2</v>
      </c>
      <c r="AQ16" s="43"/>
      <c r="AR16" s="43"/>
      <c r="AS16" s="43">
        <v>3</v>
      </c>
      <c r="AT16" s="43"/>
      <c r="AU16" s="44"/>
      <c r="AV16" s="45" t="s">
        <v>19</v>
      </c>
      <c r="AW16" s="47">
        <v>1</v>
      </c>
      <c r="AX16" s="43"/>
      <c r="AY16" s="43"/>
      <c r="AZ16" s="48">
        <f>IFERROR(IF(E16="","",RANK(E16,$E$10:$I$264,1)),0)</f>
        <v>8</v>
      </c>
      <c r="BA16" s="49"/>
      <c r="BB16" s="49"/>
      <c r="BC16" s="50"/>
      <c r="BE16" s="38">
        <v>7</v>
      </c>
      <c r="BF16" s="38"/>
      <c r="BG16" s="3"/>
      <c r="BH16" s="30" t="s">
        <v>23</v>
      </c>
      <c r="BI16" s="30"/>
      <c r="BJ16" s="30"/>
      <c r="BK16" s="30"/>
      <c r="BL16" s="30"/>
      <c r="BM16" s="30"/>
      <c r="BN16" s="30"/>
      <c r="BO16" s="30"/>
      <c r="BP16" s="30" t="str">
        <f>IF(BE16&gt;0,VLOOKUP(BE16,'[3]Infos joueurs'!$B:$BT,11,FALSE)," ")&amp;" "&amp;IF(BE16&gt;0,VLOOKUP(BE16,'[3]Infos joueurs'!$B:$BT,27,FALSE)," ")</f>
        <v>Frezghi Tarik</v>
      </c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4"/>
      <c r="CC16" s="4"/>
      <c r="CD16" s="54">
        <v>4</v>
      </c>
      <c r="CE16" s="54"/>
      <c r="CF16" s="54"/>
      <c r="CG16" s="4"/>
      <c r="CH16" s="59" t="str">
        <f t="shared" ref="CH16" si="16">AA16</f>
        <v>Germanier Enzo</v>
      </c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U16" s="24">
        <f t="shared" ref="CU16" si="17">IFERROR(INDEX($BE$10:$BE$269,MATCH(CH16,$BP$10:$BP$269,0)),0)</f>
        <v>8</v>
      </c>
      <c r="CV16" s="24"/>
      <c r="CW16" s="24"/>
    </row>
    <row r="17" spans="5:101" ht="7.5" customHeight="1" x14ac:dyDescent="0.2">
      <c r="E17" s="41"/>
      <c r="F17" s="61"/>
      <c r="G17" s="61"/>
      <c r="H17" s="61"/>
      <c r="I17" s="42"/>
      <c r="J17" s="63"/>
      <c r="K17" s="41"/>
      <c r="L17" s="61"/>
      <c r="M17" s="61"/>
      <c r="N17" s="42"/>
      <c r="O17" s="41"/>
      <c r="P17" s="42"/>
      <c r="Q17" s="41"/>
      <c r="R17" s="42"/>
      <c r="S17" s="41"/>
      <c r="T17" s="42"/>
      <c r="U17" s="41"/>
      <c r="V17" s="61"/>
      <c r="W17" s="61"/>
      <c r="X17" s="61"/>
      <c r="Y17" s="42"/>
      <c r="Z17" s="29"/>
      <c r="AA17" s="29"/>
      <c r="AB17" s="29"/>
      <c r="AC17" s="29"/>
      <c r="AD17" s="29"/>
      <c r="AE17" s="43"/>
      <c r="AF17" s="43"/>
      <c r="AG17" s="44"/>
      <c r="AH17" s="46"/>
      <c r="AI17" s="47"/>
      <c r="AJ17" s="43"/>
      <c r="AK17" s="43"/>
      <c r="AL17" s="43"/>
      <c r="AM17" s="43"/>
      <c r="AN17" s="44"/>
      <c r="AO17" s="46"/>
      <c r="AP17" s="47"/>
      <c r="AQ17" s="43"/>
      <c r="AR17" s="43"/>
      <c r="AS17" s="43"/>
      <c r="AT17" s="43"/>
      <c r="AU17" s="44"/>
      <c r="AV17" s="46"/>
      <c r="AW17" s="47"/>
      <c r="AX17" s="43"/>
      <c r="AY17" s="43"/>
      <c r="AZ17" s="51"/>
      <c r="BA17" s="52"/>
      <c r="BB17" s="52"/>
      <c r="BC17" s="53"/>
      <c r="BE17" s="38"/>
      <c r="BF17" s="38"/>
      <c r="BG17" s="3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D17" s="55"/>
      <c r="CE17" s="55"/>
      <c r="CF17" s="55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U17" s="25"/>
      <c r="CV17" s="25"/>
      <c r="CW17" s="25"/>
    </row>
    <row r="18" spans="5:101" ht="7.5" customHeight="1" x14ac:dyDescent="0.2">
      <c r="E18" s="39">
        <f>IFERROR(IF(BP18="","-",RANK(S18,$S$10:$T$264,0)+RANK(Q18,$Q$10:$R$264,0)%+RANK(O18,$O$10:$P$264,0)%%+ROW()%%%),"-")</f>
        <v>124.25251799999999</v>
      </c>
      <c r="F18" s="60"/>
      <c r="G18" s="60"/>
      <c r="H18" s="60"/>
      <c r="I18" s="40"/>
      <c r="J18" s="62">
        <f>IFERROR(IF(E18="","",RANK(E18,$E$10:$I$264,1)),"-")</f>
        <v>125</v>
      </c>
      <c r="K18" s="39" t="str">
        <f t="shared" ref="K18" si="18">BP18</f>
        <v>Blazques Esteban</v>
      </c>
      <c r="L18" s="60"/>
      <c r="M18" s="60"/>
      <c r="N18" s="40"/>
      <c r="O18" s="39">
        <f t="shared" ref="O18" si="19">SUM(AE18-AI18)</f>
        <v>-88</v>
      </c>
      <c r="P18" s="40"/>
      <c r="Q18" s="39">
        <f t="shared" ref="Q18" si="20">SUM(AL18-AP18)</f>
        <v>-8</v>
      </c>
      <c r="R18" s="40"/>
      <c r="S18" s="39">
        <f t="shared" ref="S18" si="21">SUM(AS18-AW18)</f>
        <v>-4</v>
      </c>
      <c r="T18" s="40"/>
      <c r="U18" s="39">
        <f>IFERROR(SMALL($E$10:$I$264,5),0)</f>
        <v>5.0406500000000003</v>
      </c>
      <c r="V18" s="60"/>
      <c r="W18" s="60"/>
      <c r="X18" s="60"/>
      <c r="Y18" s="40"/>
      <c r="Z18" s="29">
        <f>IFERROR(IF(U18="","",RANK(U18,$U$10:$Y$264,1)),0)</f>
        <v>5</v>
      </c>
      <c r="AA18" s="29" t="str">
        <f>IFERROR(INDEX($K$10:$K$264,MATCH(U18,$E$10:$E$264,0),1),0)</f>
        <v>Jacquod Thibaud</v>
      </c>
      <c r="AB18" s="29"/>
      <c r="AC18" s="29"/>
      <c r="AD18" s="29"/>
      <c r="AE18" s="43">
        <v>0</v>
      </c>
      <c r="AF18" s="43"/>
      <c r="AG18" s="44"/>
      <c r="AH18" s="45" t="s">
        <v>19</v>
      </c>
      <c r="AI18" s="47">
        <v>88</v>
      </c>
      <c r="AJ18" s="43"/>
      <c r="AK18" s="43"/>
      <c r="AL18" s="43">
        <v>0</v>
      </c>
      <c r="AM18" s="43"/>
      <c r="AN18" s="44"/>
      <c r="AO18" s="45" t="s">
        <v>19</v>
      </c>
      <c r="AP18" s="47">
        <v>8</v>
      </c>
      <c r="AQ18" s="43"/>
      <c r="AR18" s="43"/>
      <c r="AS18" s="43">
        <v>0</v>
      </c>
      <c r="AT18" s="43"/>
      <c r="AU18" s="44"/>
      <c r="AV18" s="45" t="s">
        <v>19</v>
      </c>
      <c r="AW18" s="47">
        <v>4</v>
      </c>
      <c r="AX18" s="43"/>
      <c r="AY18" s="43"/>
      <c r="AZ18" s="48">
        <f>IFERROR(IF(E18="","",RANK(E18,$E$10:$I$264,1)),0)</f>
        <v>125</v>
      </c>
      <c r="BA18" s="49"/>
      <c r="BB18" s="49"/>
      <c r="BC18" s="50"/>
      <c r="BE18" s="38">
        <v>11</v>
      </c>
      <c r="BF18" s="38"/>
      <c r="BG18" s="3"/>
      <c r="BH18" s="30" t="s">
        <v>24</v>
      </c>
      <c r="BI18" s="30"/>
      <c r="BJ18" s="30"/>
      <c r="BK18" s="30"/>
      <c r="BL18" s="30"/>
      <c r="BM18" s="30"/>
      <c r="BN18" s="30"/>
      <c r="BO18" s="30"/>
      <c r="BP18" s="30" t="str">
        <f>IF(BE18&gt;0,VLOOKUP(BE18,'[3]Infos joueurs'!$B:$BT,11,FALSE)," ")&amp;" "&amp;IF(BE18&gt;0,VLOOKUP(BE18,'[3]Infos joueurs'!$B:$BT,27,FALSE)," ")</f>
        <v>Blazques Esteban</v>
      </c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4"/>
      <c r="CC18" s="4"/>
      <c r="CD18" s="54">
        <v>5</v>
      </c>
      <c r="CE18" s="54"/>
      <c r="CF18" s="54"/>
      <c r="CG18" s="4"/>
      <c r="CH18" s="59" t="str">
        <f t="shared" ref="CH18" si="22">AA18</f>
        <v>Jacquod Thibaud</v>
      </c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U18" s="24">
        <f t="shared" ref="CU18" si="23">IFERROR(INDEX($BE$10:$BE$269,MATCH(CH18,$BP$10:$BP$269,0)),0)</f>
        <v>9</v>
      </c>
      <c r="CV18" s="24"/>
      <c r="CW18" s="24"/>
    </row>
    <row r="19" spans="5:101" ht="7.5" customHeight="1" x14ac:dyDescent="0.2">
      <c r="E19" s="41"/>
      <c r="F19" s="61"/>
      <c r="G19" s="61"/>
      <c r="H19" s="61"/>
      <c r="I19" s="42"/>
      <c r="J19" s="63"/>
      <c r="K19" s="41"/>
      <c r="L19" s="61"/>
      <c r="M19" s="61"/>
      <c r="N19" s="42"/>
      <c r="O19" s="41"/>
      <c r="P19" s="42"/>
      <c r="Q19" s="41"/>
      <c r="R19" s="42"/>
      <c r="S19" s="41"/>
      <c r="T19" s="42"/>
      <c r="U19" s="41"/>
      <c r="V19" s="61"/>
      <c r="W19" s="61"/>
      <c r="X19" s="61"/>
      <c r="Y19" s="42"/>
      <c r="Z19" s="29"/>
      <c r="AA19" s="29"/>
      <c r="AB19" s="29"/>
      <c r="AC19" s="29"/>
      <c r="AD19" s="29"/>
      <c r="AE19" s="43"/>
      <c r="AF19" s="43"/>
      <c r="AG19" s="44"/>
      <c r="AH19" s="46"/>
      <c r="AI19" s="47"/>
      <c r="AJ19" s="43"/>
      <c r="AK19" s="43"/>
      <c r="AL19" s="43"/>
      <c r="AM19" s="43"/>
      <c r="AN19" s="44"/>
      <c r="AO19" s="46"/>
      <c r="AP19" s="47"/>
      <c r="AQ19" s="43"/>
      <c r="AR19" s="43"/>
      <c r="AS19" s="43"/>
      <c r="AT19" s="43"/>
      <c r="AU19" s="44"/>
      <c r="AV19" s="46"/>
      <c r="AW19" s="47"/>
      <c r="AX19" s="43"/>
      <c r="AY19" s="43"/>
      <c r="AZ19" s="51"/>
      <c r="BA19" s="52"/>
      <c r="BB19" s="52"/>
      <c r="BC19" s="53"/>
      <c r="BE19" s="38"/>
      <c r="BF19" s="38"/>
      <c r="BG19" s="3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4"/>
      <c r="CC19" s="4"/>
      <c r="CD19" s="55"/>
      <c r="CE19" s="55"/>
      <c r="CF19" s="55"/>
      <c r="CG19" s="4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U19" s="25"/>
      <c r="CV19" s="25"/>
      <c r="CW19" s="25"/>
    </row>
    <row r="20" spans="5:101" ht="7.5" customHeight="1" x14ac:dyDescent="0.2">
      <c r="E20" s="39">
        <f>IFERROR(IF(BP20="","-",RANK(S20,$S$10:$T$264,0)+RANK(Q20,$Q$10:$R$264,0)%+RANK(O20,$O$10:$P$264,0)%%+ROW()%%%),"-")</f>
        <v>1.0203199999999999</v>
      </c>
      <c r="F20" s="60"/>
      <c r="G20" s="60"/>
      <c r="H20" s="60"/>
      <c r="I20" s="40"/>
      <c r="J20" s="62">
        <f>IFERROR(IF(E20="","",RANK(E20,$E$10:$I$264,1)),"-")</f>
        <v>2</v>
      </c>
      <c r="K20" s="39" t="str">
        <f t="shared" ref="K20" si="24">BP20</f>
        <v>Nanez Diego</v>
      </c>
      <c r="L20" s="60"/>
      <c r="M20" s="60"/>
      <c r="N20" s="40"/>
      <c r="O20" s="39">
        <f t="shared" ref="O20" si="25">SUM(AE20-AI20)</f>
        <v>58</v>
      </c>
      <c r="P20" s="40"/>
      <c r="Q20" s="39">
        <f t="shared" ref="Q20" si="26">SUM(AL20-AP20)</f>
        <v>8</v>
      </c>
      <c r="R20" s="40"/>
      <c r="S20" s="39">
        <f t="shared" ref="S20" si="27">SUM(AS20-AW20)</f>
        <v>4</v>
      </c>
      <c r="T20" s="40"/>
      <c r="U20" s="39">
        <f>IFERROR(SMALL($E$10:$I$264,6),0)</f>
        <v>5.0507099999999996</v>
      </c>
      <c r="V20" s="60"/>
      <c r="W20" s="60"/>
      <c r="X20" s="60"/>
      <c r="Y20" s="40"/>
      <c r="Z20" s="29">
        <f>IFERROR(IF(U20="","",RANK(U20,$U$10:$Y$264,1)),0)</f>
        <v>6</v>
      </c>
      <c r="AA20" s="29" t="str">
        <f>IFERROR(INDEX($K$10:$K$264,MATCH(U20,$E$10:$E$264,0),1),0)</f>
        <v>Bellon Antoine</v>
      </c>
      <c r="AB20" s="29"/>
      <c r="AC20" s="29"/>
      <c r="AD20" s="29"/>
      <c r="AE20" s="43">
        <v>90</v>
      </c>
      <c r="AF20" s="43"/>
      <c r="AG20" s="44"/>
      <c r="AH20" s="45" t="s">
        <v>19</v>
      </c>
      <c r="AI20" s="47">
        <v>32</v>
      </c>
      <c r="AJ20" s="43"/>
      <c r="AK20" s="43"/>
      <c r="AL20" s="43">
        <v>8</v>
      </c>
      <c r="AM20" s="43"/>
      <c r="AN20" s="44"/>
      <c r="AO20" s="45" t="s">
        <v>19</v>
      </c>
      <c r="AP20" s="47">
        <v>0</v>
      </c>
      <c r="AQ20" s="43"/>
      <c r="AR20" s="43"/>
      <c r="AS20" s="43">
        <v>4</v>
      </c>
      <c r="AT20" s="43"/>
      <c r="AU20" s="44"/>
      <c r="AV20" s="45" t="s">
        <v>19</v>
      </c>
      <c r="AW20" s="47">
        <v>0</v>
      </c>
      <c r="AX20" s="43"/>
      <c r="AY20" s="43"/>
      <c r="AZ20" s="48">
        <f>IFERROR(IF(E20="","",RANK(E20,$E$10:$I$264,1)),0)</f>
        <v>2</v>
      </c>
      <c r="BA20" s="49"/>
      <c r="BB20" s="49"/>
      <c r="BC20" s="50"/>
      <c r="BE20" s="38">
        <v>10</v>
      </c>
      <c r="BF20" s="38"/>
      <c r="BG20" s="3"/>
      <c r="BH20" s="30" t="s">
        <v>25</v>
      </c>
      <c r="BI20" s="30"/>
      <c r="BJ20" s="30"/>
      <c r="BK20" s="30"/>
      <c r="BL20" s="30"/>
      <c r="BM20" s="30"/>
      <c r="BN20" s="30"/>
      <c r="BO20" s="30"/>
      <c r="BP20" s="30" t="str">
        <f>IF(BE20&gt;0,VLOOKUP(BE20,'[3]Infos joueurs'!$B:$BT,11,FALSE)," ")&amp;" "&amp;IF(BE20&gt;0,VLOOKUP(BE20,'[3]Infos joueurs'!$B:$BT,27,FALSE)," ")</f>
        <v>Nanez Diego</v>
      </c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4"/>
      <c r="CC20" s="4"/>
      <c r="CD20" s="54">
        <v>6</v>
      </c>
      <c r="CE20" s="54"/>
      <c r="CF20" s="54"/>
      <c r="CG20" s="4"/>
      <c r="CH20" s="59" t="str">
        <f t="shared" ref="CH20" si="28">AA20</f>
        <v>Bellon Antoine</v>
      </c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U20" s="24">
        <f t="shared" ref="CU20" si="29">IFERROR(INDEX($BE$10:$BE$269,MATCH(CH20,$BP$10:$BP$269,0)),0)</f>
        <v>19</v>
      </c>
      <c r="CV20" s="24"/>
      <c r="CW20" s="24"/>
    </row>
    <row r="21" spans="5:101" ht="7.5" customHeight="1" x14ac:dyDescent="0.2">
      <c r="E21" s="41"/>
      <c r="F21" s="61"/>
      <c r="G21" s="61"/>
      <c r="H21" s="61"/>
      <c r="I21" s="42"/>
      <c r="J21" s="63"/>
      <c r="K21" s="41"/>
      <c r="L21" s="61"/>
      <c r="M21" s="61"/>
      <c r="N21" s="42"/>
      <c r="O21" s="41"/>
      <c r="P21" s="42"/>
      <c r="Q21" s="41"/>
      <c r="R21" s="42"/>
      <c r="S21" s="41"/>
      <c r="T21" s="42"/>
      <c r="U21" s="41"/>
      <c r="V21" s="61"/>
      <c r="W21" s="61"/>
      <c r="X21" s="61"/>
      <c r="Y21" s="42"/>
      <c r="Z21" s="29"/>
      <c r="AA21" s="29"/>
      <c r="AB21" s="29"/>
      <c r="AC21" s="29"/>
      <c r="AD21" s="29"/>
      <c r="AE21" s="43"/>
      <c r="AF21" s="43"/>
      <c r="AG21" s="44"/>
      <c r="AH21" s="46"/>
      <c r="AI21" s="47"/>
      <c r="AJ21" s="43"/>
      <c r="AK21" s="43"/>
      <c r="AL21" s="43"/>
      <c r="AM21" s="43"/>
      <c r="AN21" s="44"/>
      <c r="AO21" s="46"/>
      <c r="AP21" s="47"/>
      <c r="AQ21" s="43"/>
      <c r="AR21" s="43"/>
      <c r="AS21" s="43"/>
      <c r="AT21" s="43"/>
      <c r="AU21" s="44"/>
      <c r="AV21" s="46"/>
      <c r="AW21" s="47"/>
      <c r="AX21" s="43"/>
      <c r="AY21" s="43"/>
      <c r="AZ21" s="51"/>
      <c r="BA21" s="52"/>
      <c r="BB21" s="52"/>
      <c r="BC21" s="53"/>
      <c r="BE21" s="38"/>
      <c r="BF21" s="38"/>
      <c r="BG21" s="3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D21" s="55"/>
      <c r="CE21" s="55"/>
      <c r="CF21" s="55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U21" s="25"/>
      <c r="CV21" s="25"/>
      <c r="CW21" s="25"/>
    </row>
    <row r="22" spans="5:101" ht="7.5" customHeight="1" x14ac:dyDescent="0.2">
      <c r="E22" s="39">
        <f>IFERROR(IF(BP22="","-",RANK(S22,$S$10:$T$264,0)+RANK(Q22,$Q$10:$R$264,0)%+RANK(O22,$O$10:$P$264,0)%%+ROW()%%%),"-")</f>
        <v>5.0605219999999997</v>
      </c>
      <c r="F22" s="60"/>
      <c r="G22" s="60"/>
      <c r="H22" s="60"/>
      <c r="I22" s="40"/>
      <c r="J22" s="62">
        <f>IFERROR(IF(E22="","",RANK(E22,$E$10:$I$264,1)),"-")</f>
        <v>7</v>
      </c>
      <c r="K22" s="39" t="str">
        <f t="shared" ref="K22" si="30">BP22</f>
        <v>Marjay David</v>
      </c>
      <c r="L22" s="60"/>
      <c r="M22" s="60"/>
      <c r="N22" s="40"/>
      <c r="O22" s="39">
        <f t="shared" ref="O22" si="31">SUM(AE22-AI22)</f>
        <v>44</v>
      </c>
      <c r="P22" s="40"/>
      <c r="Q22" s="39">
        <f t="shared" ref="Q22" si="32">SUM(AL22-AP22)</f>
        <v>4</v>
      </c>
      <c r="R22" s="40"/>
      <c r="S22" s="39">
        <f t="shared" ref="S22" si="33">SUM(AS22-AW22)</f>
        <v>2</v>
      </c>
      <c r="T22" s="40"/>
      <c r="U22" s="39">
        <f>IFERROR(SMALL($E$10:$I$264,7),0)</f>
        <v>5.0605219999999997</v>
      </c>
      <c r="V22" s="60"/>
      <c r="W22" s="60"/>
      <c r="X22" s="60"/>
      <c r="Y22" s="40"/>
      <c r="Z22" s="29">
        <f>IFERROR(IF(U22="","",RANK(U22,$U$10:$Y$264,1)),0)</f>
        <v>7</v>
      </c>
      <c r="AA22" s="29" t="str">
        <f>IFERROR(INDEX($K$10:$K$264,MATCH(U22,$E$10:$E$264,0),1),0)</f>
        <v>Marjay David</v>
      </c>
      <c r="AB22" s="29"/>
      <c r="AC22" s="29"/>
      <c r="AD22" s="29"/>
      <c r="AE22" s="43">
        <v>84</v>
      </c>
      <c r="AF22" s="43"/>
      <c r="AG22" s="44"/>
      <c r="AH22" s="45" t="s">
        <v>19</v>
      </c>
      <c r="AI22" s="47">
        <v>40</v>
      </c>
      <c r="AJ22" s="43"/>
      <c r="AK22" s="43"/>
      <c r="AL22" s="43">
        <v>6</v>
      </c>
      <c r="AM22" s="43"/>
      <c r="AN22" s="44"/>
      <c r="AO22" s="45" t="s">
        <v>19</v>
      </c>
      <c r="AP22" s="47">
        <v>2</v>
      </c>
      <c r="AQ22" s="43"/>
      <c r="AR22" s="43"/>
      <c r="AS22" s="43">
        <v>3</v>
      </c>
      <c r="AT22" s="43"/>
      <c r="AU22" s="44"/>
      <c r="AV22" s="45" t="s">
        <v>19</v>
      </c>
      <c r="AW22" s="47">
        <v>1</v>
      </c>
      <c r="AX22" s="43"/>
      <c r="AY22" s="43"/>
      <c r="AZ22" s="48">
        <f>IFERROR(IF(E22="","",RANK(E22,$E$10:$I$264,1)),0)</f>
        <v>7</v>
      </c>
      <c r="BA22" s="49"/>
      <c r="BB22" s="49"/>
      <c r="BC22" s="50"/>
      <c r="BE22" s="38">
        <v>14</v>
      </c>
      <c r="BF22" s="38"/>
      <c r="BG22" s="3"/>
      <c r="BH22" s="30" t="s">
        <v>26</v>
      </c>
      <c r="BI22" s="30"/>
      <c r="BJ22" s="30"/>
      <c r="BK22" s="30"/>
      <c r="BL22" s="30"/>
      <c r="BM22" s="30"/>
      <c r="BN22" s="30"/>
      <c r="BO22" s="30"/>
      <c r="BP22" s="30" t="str">
        <f>IF(BE22&gt;0,VLOOKUP(BE22,'[3]Infos joueurs'!$B:$BT,11,FALSE)," ")&amp;" "&amp;IF(BE22&gt;0,VLOOKUP(BE22,'[3]Infos joueurs'!$B:$BT,27,FALSE)," ")</f>
        <v>Marjay David</v>
      </c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D22" s="54">
        <v>7</v>
      </c>
      <c r="CE22" s="54"/>
      <c r="CF22" s="54"/>
      <c r="CH22" s="59" t="str">
        <f t="shared" ref="CH22" si="34">AA22</f>
        <v>Marjay David</v>
      </c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U22" s="24">
        <f t="shared" ref="CU22" si="35">IFERROR(INDEX($BE$10:$BE$269,MATCH(CH22,$BP$10:$BP$269,0)),0)</f>
        <v>14</v>
      </c>
      <c r="CV22" s="24"/>
      <c r="CW22" s="24"/>
    </row>
    <row r="23" spans="5:101" ht="7.5" customHeight="1" x14ac:dyDescent="0.2">
      <c r="E23" s="41"/>
      <c r="F23" s="61"/>
      <c r="G23" s="61"/>
      <c r="H23" s="61"/>
      <c r="I23" s="42"/>
      <c r="J23" s="63"/>
      <c r="K23" s="41"/>
      <c r="L23" s="61"/>
      <c r="M23" s="61"/>
      <c r="N23" s="42"/>
      <c r="O23" s="41"/>
      <c r="P23" s="42"/>
      <c r="Q23" s="41"/>
      <c r="R23" s="42"/>
      <c r="S23" s="41"/>
      <c r="T23" s="42"/>
      <c r="U23" s="41"/>
      <c r="V23" s="61"/>
      <c r="W23" s="61"/>
      <c r="X23" s="61"/>
      <c r="Y23" s="42"/>
      <c r="Z23" s="29"/>
      <c r="AA23" s="29"/>
      <c r="AB23" s="29"/>
      <c r="AC23" s="29"/>
      <c r="AD23" s="29"/>
      <c r="AE23" s="43"/>
      <c r="AF23" s="43"/>
      <c r="AG23" s="44"/>
      <c r="AH23" s="46"/>
      <c r="AI23" s="47"/>
      <c r="AJ23" s="43"/>
      <c r="AK23" s="43"/>
      <c r="AL23" s="43"/>
      <c r="AM23" s="43"/>
      <c r="AN23" s="44"/>
      <c r="AO23" s="46"/>
      <c r="AP23" s="47"/>
      <c r="AQ23" s="43"/>
      <c r="AR23" s="43"/>
      <c r="AS23" s="43"/>
      <c r="AT23" s="43"/>
      <c r="AU23" s="44"/>
      <c r="AV23" s="46"/>
      <c r="AW23" s="47"/>
      <c r="AX23" s="43"/>
      <c r="AY23" s="43"/>
      <c r="AZ23" s="51"/>
      <c r="BA23" s="52"/>
      <c r="BB23" s="52"/>
      <c r="BC23" s="53"/>
      <c r="BE23" s="38"/>
      <c r="BF23" s="38"/>
      <c r="BG23" s="3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D23" s="55"/>
      <c r="CE23" s="55"/>
      <c r="CF23" s="55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U23" s="25"/>
      <c r="CV23" s="25"/>
      <c r="CW23" s="25"/>
    </row>
    <row r="24" spans="5:101" ht="7.5" customHeight="1" x14ac:dyDescent="0.2">
      <c r="E24" s="39">
        <f>IFERROR(IF(BP24="","-",RANK(S24,$S$10:$T$264,0)+RANK(Q24,$Q$10:$R$264,0)%+RANK(O24,$O$10:$P$264,0)%%+ROW()%%%),"-")</f>
        <v>12.131524000000001</v>
      </c>
      <c r="F24" s="60"/>
      <c r="G24" s="60"/>
      <c r="H24" s="60"/>
      <c r="I24" s="40"/>
      <c r="J24" s="62">
        <f>IFERROR(IF(E24="","",RANK(E24,$E$10:$I$264,1)),"-")</f>
        <v>14</v>
      </c>
      <c r="K24" s="39" t="str">
        <f t="shared" ref="K24" si="36">BP24</f>
        <v>Salamin Elona</v>
      </c>
      <c r="L24" s="60"/>
      <c r="M24" s="60"/>
      <c r="N24" s="40"/>
      <c r="O24" s="39">
        <f t="shared" ref="O24" si="37">SUM(AE24-AI24)</f>
        <v>3</v>
      </c>
      <c r="P24" s="40"/>
      <c r="Q24" s="39">
        <f t="shared" ref="Q24" si="38">SUM(AL24-AP24)</f>
        <v>0</v>
      </c>
      <c r="R24" s="40"/>
      <c r="S24" s="39">
        <f t="shared" ref="S24" si="39">SUM(AS24-AW24)</f>
        <v>0</v>
      </c>
      <c r="T24" s="40"/>
      <c r="U24" s="39">
        <f>IFERROR(SMALL($E$10:$I$264,8),0)</f>
        <v>5.0608159999999991</v>
      </c>
      <c r="V24" s="60"/>
      <c r="W24" s="60"/>
      <c r="X24" s="60"/>
      <c r="Y24" s="40"/>
      <c r="Z24" s="29">
        <f>IFERROR(IF(U24="","",RANK(U24,$U$10:$Y$264,1)),0)</f>
        <v>8</v>
      </c>
      <c r="AA24" s="29" t="str">
        <f>IFERROR(INDEX($K$10:$K$264,MATCH(U24,$E$10:$E$264,0),1),0)</f>
        <v>Frezghi Tarik</v>
      </c>
      <c r="AB24" s="29"/>
      <c r="AC24" s="29"/>
      <c r="AD24" s="29"/>
      <c r="AE24" s="43">
        <v>57</v>
      </c>
      <c r="AF24" s="43"/>
      <c r="AG24" s="44"/>
      <c r="AH24" s="45" t="s">
        <v>19</v>
      </c>
      <c r="AI24" s="47">
        <v>54</v>
      </c>
      <c r="AJ24" s="43"/>
      <c r="AK24" s="43"/>
      <c r="AL24" s="43">
        <v>4</v>
      </c>
      <c r="AM24" s="43"/>
      <c r="AN24" s="44"/>
      <c r="AO24" s="45" t="s">
        <v>19</v>
      </c>
      <c r="AP24" s="47">
        <v>4</v>
      </c>
      <c r="AQ24" s="43"/>
      <c r="AR24" s="43"/>
      <c r="AS24" s="43">
        <v>2</v>
      </c>
      <c r="AT24" s="43"/>
      <c r="AU24" s="44"/>
      <c r="AV24" s="45" t="s">
        <v>19</v>
      </c>
      <c r="AW24" s="47">
        <v>2</v>
      </c>
      <c r="AX24" s="43"/>
      <c r="AY24" s="43"/>
      <c r="AZ24" s="48">
        <f>IFERROR(IF(E24="","",RANK(E24,$E$10:$I$264,1)),0)</f>
        <v>14</v>
      </c>
      <c r="BA24" s="49"/>
      <c r="BB24" s="49"/>
      <c r="BC24" s="50"/>
      <c r="BE24" s="38">
        <v>3</v>
      </c>
      <c r="BF24" s="38"/>
      <c r="BG24" s="3"/>
      <c r="BH24" s="30" t="s">
        <v>27</v>
      </c>
      <c r="BI24" s="30"/>
      <c r="BJ24" s="30"/>
      <c r="BK24" s="30"/>
      <c r="BL24" s="30"/>
      <c r="BM24" s="30"/>
      <c r="BN24" s="30"/>
      <c r="BO24" s="30"/>
      <c r="BP24" s="30" t="str">
        <f>IF(BE24&gt;0,VLOOKUP(BE24,'[3]Infos joueurs'!$B:$BT,11,FALSE)," ")&amp;" "&amp;IF(BE24&gt;0,VLOOKUP(BE24,'[3]Infos joueurs'!$B:$BT,27,FALSE)," ")</f>
        <v>Salamin Elona</v>
      </c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D24" s="54">
        <v>8</v>
      </c>
      <c r="CE24" s="54"/>
      <c r="CF24" s="54"/>
      <c r="CH24" s="59" t="str">
        <f t="shared" ref="CH24" si="40">AA24</f>
        <v>Frezghi Tarik</v>
      </c>
      <c r="CI24" s="59"/>
      <c r="CJ24" s="59"/>
      <c r="CK24" s="59"/>
      <c r="CL24" s="59"/>
      <c r="CM24" s="59"/>
      <c r="CN24" s="59"/>
      <c r="CO24" s="59"/>
      <c r="CP24" s="59"/>
      <c r="CQ24" s="59"/>
      <c r="CR24" s="59"/>
      <c r="CS24" s="59"/>
      <c r="CU24" s="24">
        <f t="shared" ref="CU24" si="41">IFERROR(INDEX($BE$10:$BE$269,MATCH(CH24,$BP$10:$BP$269,0)),0)</f>
        <v>7</v>
      </c>
      <c r="CV24" s="24"/>
      <c r="CW24" s="24"/>
    </row>
    <row r="25" spans="5:101" ht="7.5" customHeight="1" x14ac:dyDescent="0.2">
      <c r="E25" s="41"/>
      <c r="F25" s="61"/>
      <c r="G25" s="61"/>
      <c r="H25" s="61"/>
      <c r="I25" s="42"/>
      <c r="J25" s="63"/>
      <c r="K25" s="41"/>
      <c r="L25" s="61"/>
      <c r="M25" s="61"/>
      <c r="N25" s="42"/>
      <c r="O25" s="41"/>
      <c r="P25" s="42"/>
      <c r="Q25" s="41"/>
      <c r="R25" s="42"/>
      <c r="S25" s="41"/>
      <c r="T25" s="42"/>
      <c r="U25" s="41"/>
      <c r="V25" s="61"/>
      <c r="W25" s="61"/>
      <c r="X25" s="61"/>
      <c r="Y25" s="42"/>
      <c r="Z25" s="29"/>
      <c r="AA25" s="29"/>
      <c r="AB25" s="29"/>
      <c r="AC25" s="29"/>
      <c r="AD25" s="29"/>
      <c r="AE25" s="43"/>
      <c r="AF25" s="43"/>
      <c r="AG25" s="44"/>
      <c r="AH25" s="46"/>
      <c r="AI25" s="47"/>
      <c r="AJ25" s="43"/>
      <c r="AK25" s="43"/>
      <c r="AL25" s="43"/>
      <c r="AM25" s="43"/>
      <c r="AN25" s="44"/>
      <c r="AO25" s="46"/>
      <c r="AP25" s="47"/>
      <c r="AQ25" s="43"/>
      <c r="AR25" s="43"/>
      <c r="AS25" s="43"/>
      <c r="AT25" s="43"/>
      <c r="AU25" s="44"/>
      <c r="AV25" s="46"/>
      <c r="AW25" s="47"/>
      <c r="AX25" s="43"/>
      <c r="AY25" s="43"/>
      <c r="AZ25" s="51"/>
      <c r="BA25" s="52"/>
      <c r="BB25" s="52"/>
      <c r="BC25" s="53"/>
      <c r="BE25" s="38"/>
      <c r="BF25" s="38"/>
      <c r="BG25" s="3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D25" s="55"/>
      <c r="CE25" s="55"/>
      <c r="CF25" s="55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U25" s="25"/>
      <c r="CV25" s="25"/>
      <c r="CW25" s="25"/>
    </row>
    <row r="26" spans="5:101" ht="7.5" customHeight="1" x14ac:dyDescent="0.2">
      <c r="E26" s="39">
        <f>IFERROR(IF(BP26="","-",RANK(S26,$S$10:$T$264,0)+RANK(Q26,$Q$10:$R$264,0)%+RANK(O26,$O$10:$P$264,0)%%+ROW()%%%),"-")</f>
        <v>124.252526</v>
      </c>
      <c r="F26" s="60"/>
      <c r="G26" s="60"/>
      <c r="H26" s="60"/>
      <c r="I26" s="40"/>
      <c r="J26" s="62">
        <f>IFERROR(IF(E26="","",RANK(E26,$E$10:$I$264,1)),"-")</f>
        <v>126</v>
      </c>
      <c r="K26" s="39" t="str">
        <f t="shared" ref="K26" si="42">BP26</f>
        <v>Riard Noa</v>
      </c>
      <c r="L26" s="60"/>
      <c r="M26" s="60"/>
      <c r="N26" s="40"/>
      <c r="O26" s="39">
        <f t="shared" ref="O26" si="43">SUM(AE26-AI26)</f>
        <v>-88</v>
      </c>
      <c r="P26" s="40"/>
      <c r="Q26" s="39">
        <f t="shared" ref="Q26" si="44">SUM(AL26-AP26)</f>
        <v>-8</v>
      </c>
      <c r="R26" s="40"/>
      <c r="S26" s="39">
        <f t="shared" ref="S26" si="45">SUM(AS26-AW26)</f>
        <v>-4</v>
      </c>
      <c r="T26" s="40"/>
      <c r="U26" s="39">
        <f>IFERROR(SMALL($E$10:$I$264,9),0)</f>
        <v>5.060929999999999</v>
      </c>
      <c r="V26" s="60"/>
      <c r="W26" s="60"/>
      <c r="X26" s="60"/>
      <c r="Y26" s="40"/>
      <c r="Z26" s="29">
        <f>IFERROR(IF(U26="","",RANK(U26,$U$10:$Y$264,1)),0)</f>
        <v>9</v>
      </c>
      <c r="AA26" s="29" t="str">
        <f>IFERROR(INDEX($K$10:$K$264,MATCH(U26,$E$10:$E$264,0),1),0)</f>
        <v>Spano Emilien</v>
      </c>
      <c r="AB26" s="29"/>
      <c r="AC26" s="29"/>
      <c r="AD26" s="29"/>
      <c r="AE26" s="43">
        <v>0</v>
      </c>
      <c r="AF26" s="43"/>
      <c r="AG26" s="44"/>
      <c r="AH26" s="45" t="s">
        <v>19</v>
      </c>
      <c r="AI26" s="47">
        <v>88</v>
      </c>
      <c r="AJ26" s="43"/>
      <c r="AK26" s="43"/>
      <c r="AL26" s="43">
        <v>0</v>
      </c>
      <c r="AM26" s="43"/>
      <c r="AN26" s="44"/>
      <c r="AO26" s="45" t="s">
        <v>19</v>
      </c>
      <c r="AP26" s="47">
        <v>8</v>
      </c>
      <c r="AQ26" s="43"/>
      <c r="AR26" s="43"/>
      <c r="AS26" s="43">
        <v>0</v>
      </c>
      <c r="AT26" s="43"/>
      <c r="AU26" s="44"/>
      <c r="AV26" s="45" t="s">
        <v>19</v>
      </c>
      <c r="AW26" s="47">
        <v>4</v>
      </c>
      <c r="AX26" s="43"/>
      <c r="AY26" s="43"/>
      <c r="AZ26" s="48">
        <f>IFERROR(IF(E26="","",RANK(E26,$E$10:$I$264,1)),0)</f>
        <v>126</v>
      </c>
      <c r="BA26" s="49"/>
      <c r="BB26" s="49"/>
      <c r="BC26" s="50"/>
      <c r="BE26" s="38">
        <v>22</v>
      </c>
      <c r="BF26" s="38"/>
      <c r="BG26" s="3"/>
      <c r="BH26" s="30" t="s">
        <v>28</v>
      </c>
      <c r="BI26" s="30"/>
      <c r="BJ26" s="30"/>
      <c r="BK26" s="30"/>
      <c r="BL26" s="30"/>
      <c r="BM26" s="30"/>
      <c r="BN26" s="30"/>
      <c r="BO26" s="30"/>
      <c r="BP26" s="30" t="str">
        <f>IF(BE26&gt;0,VLOOKUP(BE26,'[3]Infos joueurs'!$B:$BT,11,FALSE)," ")&amp;" "&amp;IF(BE26&gt;0,VLOOKUP(BE26,'[3]Infos joueurs'!$B:$BT,27,FALSE)," ")</f>
        <v>Riard Noa</v>
      </c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D26" s="54">
        <v>9</v>
      </c>
      <c r="CE26" s="54"/>
      <c r="CF26" s="54"/>
      <c r="CH26" s="59" t="str">
        <f t="shared" ref="CH26" si="46">AA26</f>
        <v>Spano Emilien</v>
      </c>
      <c r="CI26" s="59"/>
      <c r="CJ26" s="59"/>
      <c r="CK26" s="59"/>
      <c r="CL26" s="59"/>
      <c r="CM26" s="59"/>
      <c r="CN26" s="59"/>
      <c r="CO26" s="59"/>
      <c r="CP26" s="59"/>
      <c r="CQ26" s="59"/>
      <c r="CR26" s="59"/>
      <c r="CS26" s="59"/>
      <c r="CU26" s="24">
        <f t="shared" ref="CU26" si="47">IFERROR(INDEX($BE$10:$BE$269,MATCH(CH26,$BP$10:$BP$269,0)),0)</f>
        <v>23</v>
      </c>
      <c r="CV26" s="24"/>
      <c r="CW26" s="24"/>
    </row>
    <row r="27" spans="5:101" ht="7.5" customHeight="1" x14ac:dyDescent="0.2">
      <c r="E27" s="41"/>
      <c r="F27" s="61"/>
      <c r="G27" s="61"/>
      <c r="H27" s="61"/>
      <c r="I27" s="42"/>
      <c r="J27" s="63"/>
      <c r="K27" s="41"/>
      <c r="L27" s="61"/>
      <c r="M27" s="61"/>
      <c r="N27" s="42"/>
      <c r="O27" s="41"/>
      <c r="P27" s="42"/>
      <c r="Q27" s="41"/>
      <c r="R27" s="42"/>
      <c r="S27" s="41"/>
      <c r="T27" s="42"/>
      <c r="U27" s="41"/>
      <c r="V27" s="61"/>
      <c r="W27" s="61"/>
      <c r="X27" s="61"/>
      <c r="Y27" s="42"/>
      <c r="Z27" s="29"/>
      <c r="AA27" s="29"/>
      <c r="AB27" s="29"/>
      <c r="AC27" s="29"/>
      <c r="AD27" s="29"/>
      <c r="AE27" s="43"/>
      <c r="AF27" s="43"/>
      <c r="AG27" s="44"/>
      <c r="AH27" s="46"/>
      <c r="AI27" s="47"/>
      <c r="AJ27" s="43"/>
      <c r="AK27" s="43"/>
      <c r="AL27" s="43"/>
      <c r="AM27" s="43"/>
      <c r="AN27" s="44"/>
      <c r="AO27" s="46"/>
      <c r="AP27" s="47"/>
      <c r="AQ27" s="43"/>
      <c r="AR27" s="43"/>
      <c r="AS27" s="43"/>
      <c r="AT27" s="43"/>
      <c r="AU27" s="44"/>
      <c r="AV27" s="46"/>
      <c r="AW27" s="47"/>
      <c r="AX27" s="43"/>
      <c r="AY27" s="43"/>
      <c r="AZ27" s="51"/>
      <c r="BA27" s="52"/>
      <c r="BB27" s="52"/>
      <c r="BC27" s="53"/>
      <c r="BE27" s="38"/>
      <c r="BF27" s="38"/>
      <c r="BG27" s="3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D27" s="55"/>
      <c r="CE27" s="55"/>
      <c r="CF27" s="55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U27" s="25"/>
      <c r="CV27" s="25"/>
      <c r="CW27" s="25"/>
    </row>
    <row r="28" spans="5:101" ht="7.5" customHeight="1" x14ac:dyDescent="0.2">
      <c r="E28" s="39">
        <f>IFERROR(IF(BP28="","-",RANK(S28,$S$10:$T$264,0)+RANK(Q28,$Q$10:$R$264,0)%+RANK(O28,$O$10:$P$264,0)%%+ROW()%%%),"-")</f>
        <v>119.202128</v>
      </c>
      <c r="F28" s="60"/>
      <c r="G28" s="60"/>
      <c r="H28" s="60"/>
      <c r="I28" s="40"/>
      <c r="J28" s="62">
        <f>IFERROR(IF(E28="","",RANK(E28,$E$10:$I$264,1)),"-")</f>
        <v>121</v>
      </c>
      <c r="K28" s="39" t="str">
        <f t="shared" ref="K28" si="48">BP28</f>
        <v>Derivaz Valentin</v>
      </c>
      <c r="L28" s="60"/>
      <c r="M28" s="60"/>
      <c r="N28" s="40"/>
      <c r="O28" s="39">
        <f t="shared" ref="O28" si="49">SUM(AE28-AI28)</f>
        <v>-17</v>
      </c>
      <c r="P28" s="40"/>
      <c r="Q28" s="39">
        <f t="shared" ref="Q28" si="50">SUM(AL28-AP28)</f>
        <v>-4</v>
      </c>
      <c r="R28" s="40"/>
      <c r="S28" s="39">
        <f t="shared" ref="S28" si="51">SUM(AS28-AW28)</f>
        <v>-2</v>
      </c>
      <c r="T28" s="40"/>
      <c r="U28" s="39">
        <f>IFERROR(SMALL($E$10:$I$264,10),0)</f>
        <v>5.0609439999999992</v>
      </c>
      <c r="V28" s="60"/>
      <c r="W28" s="60"/>
      <c r="X28" s="60"/>
      <c r="Y28" s="40"/>
      <c r="Z28" s="29">
        <f>IFERROR(IF(U28="","",RANK(U28,$U$10:$Y$264,1)),0)</f>
        <v>10</v>
      </c>
      <c r="AA28" s="29" t="str">
        <f>IFERROR(INDEX($K$10:$K$264,MATCH(U28,$E$10:$E$264,0),1),0)</f>
        <v>Savoy David</v>
      </c>
      <c r="AB28" s="29"/>
      <c r="AC28" s="29"/>
      <c r="AD28" s="29"/>
      <c r="AE28" s="43">
        <v>49</v>
      </c>
      <c r="AF28" s="43"/>
      <c r="AG28" s="44"/>
      <c r="AH28" s="45" t="s">
        <v>19</v>
      </c>
      <c r="AI28" s="47">
        <v>66</v>
      </c>
      <c r="AJ28" s="43"/>
      <c r="AK28" s="43"/>
      <c r="AL28" s="43">
        <v>2</v>
      </c>
      <c r="AM28" s="43"/>
      <c r="AN28" s="44"/>
      <c r="AO28" s="45" t="s">
        <v>19</v>
      </c>
      <c r="AP28" s="47">
        <v>6</v>
      </c>
      <c r="AQ28" s="43"/>
      <c r="AR28" s="43"/>
      <c r="AS28" s="43">
        <v>1</v>
      </c>
      <c r="AT28" s="43"/>
      <c r="AU28" s="44"/>
      <c r="AV28" s="45" t="s">
        <v>19</v>
      </c>
      <c r="AW28" s="47">
        <v>3</v>
      </c>
      <c r="AX28" s="43"/>
      <c r="AY28" s="43"/>
      <c r="AZ28" s="48">
        <f>IFERROR(IF(E28="","",RANK(E28,$E$10:$I$264,1)),0)</f>
        <v>121</v>
      </c>
      <c r="BA28" s="49"/>
      <c r="BB28" s="49"/>
      <c r="BC28" s="50"/>
      <c r="BE28" s="38">
        <v>12</v>
      </c>
      <c r="BF28" s="38"/>
      <c r="BG28" s="3"/>
      <c r="BH28" s="30" t="s">
        <v>29</v>
      </c>
      <c r="BI28" s="30"/>
      <c r="BJ28" s="30"/>
      <c r="BK28" s="30"/>
      <c r="BL28" s="30"/>
      <c r="BM28" s="30"/>
      <c r="BN28" s="30"/>
      <c r="BO28" s="30"/>
      <c r="BP28" s="30" t="str">
        <f>IF(BE28&gt;0,VLOOKUP(BE28,'[3]Infos joueurs'!$B:$BT,11,FALSE)," ")&amp;" "&amp;IF(BE28&gt;0,VLOOKUP(BE28,'[3]Infos joueurs'!$B:$BT,27,FALSE)," ")</f>
        <v>Derivaz Valentin</v>
      </c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D28" s="54">
        <v>10</v>
      </c>
      <c r="CE28" s="54"/>
      <c r="CF28" s="54"/>
      <c r="CH28" s="59" t="str">
        <f t="shared" ref="CH28" si="52">AA28</f>
        <v>Savoy David</v>
      </c>
      <c r="CI28" s="59"/>
      <c r="CJ28" s="59"/>
      <c r="CK28" s="59"/>
      <c r="CL28" s="59"/>
      <c r="CM28" s="59"/>
      <c r="CN28" s="59"/>
      <c r="CO28" s="59"/>
      <c r="CP28" s="59"/>
      <c r="CQ28" s="59"/>
      <c r="CR28" s="59"/>
      <c r="CS28" s="59"/>
      <c r="CU28" s="24">
        <f t="shared" ref="CU28" si="53">IFERROR(INDEX($BE$10:$BE$269,MATCH(CH28,$BP$10:$BP$269,0)),0)</f>
        <v>26</v>
      </c>
      <c r="CV28" s="24"/>
      <c r="CW28" s="24"/>
    </row>
    <row r="29" spans="5:101" ht="7.5" customHeight="1" x14ac:dyDescent="0.2">
      <c r="E29" s="41"/>
      <c r="F29" s="61"/>
      <c r="G29" s="61"/>
      <c r="H29" s="61"/>
      <c r="I29" s="42"/>
      <c r="J29" s="63"/>
      <c r="K29" s="41"/>
      <c r="L29" s="61"/>
      <c r="M29" s="61"/>
      <c r="N29" s="42"/>
      <c r="O29" s="41"/>
      <c r="P29" s="42"/>
      <c r="Q29" s="41"/>
      <c r="R29" s="42"/>
      <c r="S29" s="41"/>
      <c r="T29" s="42"/>
      <c r="U29" s="41"/>
      <c r="V29" s="61"/>
      <c r="W29" s="61"/>
      <c r="X29" s="61"/>
      <c r="Y29" s="42"/>
      <c r="Z29" s="29"/>
      <c r="AA29" s="29"/>
      <c r="AB29" s="29"/>
      <c r="AC29" s="29"/>
      <c r="AD29" s="29"/>
      <c r="AE29" s="43"/>
      <c r="AF29" s="43"/>
      <c r="AG29" s="44"/>
      <c r="AH29" s="46"/>
      <c r="AI29" s="47"/>
      <c r="AJ29" s="43"/>
      <c r="AK29" s="43"/>
      <c r="AL29" s="43"/>
      <c r="AM29" s="43"/>
      <c r="AN29" s="44"/>
      <c r="AO29" s="46"/>
      <c r="AP29" s="47"/>
      <c r="AQ29" s="43"/>
      <c r="AR29" s="43"/>
      <c r="AS29" s="43"/>
      <c r="AT29" s="43"/>
      <c r="AU29" s="44"/>
      <c r="AV29" s="46"/>
      <c r="AW29" s="47"/>
      <c r="AX29" s="43"/>
      <c r="AY29" s="43"/>
      <c r="AZ29" s="51"/>
      <c r="BA29" s="52"/>
      <c r="BB29" s="52"/>
      <c r="BC29" s="53"/>
      <c r="BE29" s="38"/>
      <c r="BF29" s="38"/>
      <c r="BG29" s="3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D29" s="55"/>
      <c r="CE29" s="55"/>
      <c r="CF29" s="55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U29" s="25"/>
      <c r="CV29" s="25"/>
      <c r="CW29" s="25"/>
    </row>
    <row r="30" spans="5:101" ht="7.5" customHeight="1" x14ac:dyDescent="0.2">
      <c r="E30" s="39">
        <f>IFERROR(IF(BP30="","-",RANK(S30,$S$10:$T$264,0)+RANK(Q30,$Q$10:$R$264,0)%+RANK(O30,$O$10:$P$264,0)%%+ROW()%%%),"-")</f>
        <v>5.060929999999999</v>
      </c>
      <c r="F30" s="60"/>
      <c r="G30" s="60"/>
      <c r="H30" s="60"/>
      <c r="I30" s="40"/>
      <c r="J30" s="62">
        <f>IFERROR(IF(E30="","",RANK(E30,$E$10:$I$264,1)),"-")</f>
        <v>9</v>
      </c>
      <c r="K30" s="39" t="str">
        <f t="shared" ref="K30" si="54">BP30</f>
        <v>Spano Emilien</v>
      </c>
      <c r="L30" s="60"/>
      <c r="M30" s="60"/>
      <c r="N30" s="40"/>
      <c r="O30" s="39">
        <f t="shared" ref="O30" si="55">SUM(AE30-AI30)</f>
        <v>27</v>
      </c>
      <c r="P30" s="40"/>
      <c r="Q30" s="39">
        <f t="shared" ref="Q30" si="56">SUM(AL30-AP30)</f>
        <v>4</v>
      </c>
      <c r="R30" s="40"/>
      <c r="S30" s="39">
        <f t="shared" ref="S30" si="57">SUM(AS30-AW30)</f>
        <v>2</v>
      </c>
      <c r="T30" s="40"/>
      <c r="U30" s="39">
        <f>IFERROR(SMALL($E$10:$I$264,11),0)</f>
        <v>5.1111120000000003</v>
      </c>
      <c r="V30" s="60"/>
      <c r="W30" s="60"/>
      <c r="X30" s="60"/>
      <c r="Y30" s="40"/>
      <c r="Z30" s="29">
        <f>IFERROR(IF(U30="","",RANK(U30,$U$10:$Y$264,1)),0)</f>
        <v>11</v>
      </c>
      <c r="AA30" s="29" t="str">
        <f>IFERROR(INDEX($K$10:$K$264,MATCH(U30,$E$10:$E$264,0),1),0)</f>
        <v>Leite Matilde</v>
      </c>
      <c r="AB30" s="29"/>
      <c r="AC30" s="29"/>
      <c r="AD30" s="29"/>
      <c r="AE30" s="43">
        <v>79</v>
      </c>
      <c r="AF30" s="43"/>
      <c r="AG30" s="44"/>
      <c r="AH30" s="45" t="s">
        <v>19</v>
      </c>
      <c r="AI30" s="47">
        <v>52</v>
      </c>
      <c r="AJ30" s="43"/>
      <c r="AK30" s="43"/>
      <c r="AL30" s="43">
        <v>6</v>
      </c>
      <c r="AM30" s="43"/>
      <c r="AN30" s="44"/>
      <c r="AO30" s="45" t="s">
        <v>19</v>
      </c>
      <c r="AP30" s="47">
        <v>2</v>
      </c>
      <c r="AQ30" s="43"/>
      <c r="AR30" s="43"/>
      <c r="AS30" s="43">
        <v>3</v>
      </c>
      <c r="AT30" s="43"/>
      <c r="AU30" s="44"/>
      <c r="AV30" s="45" t="s">
        <v>19</v>
      </c>
      <c r="AW30" s="47">
        <v>1</v>
      </c>
      <c r="AX30" s="43"/>
      <c r="AY30" s="43"/>
      <c r="AZ30" s="48">
        <f>IFERROR(IF(E30="","",RANK(E30,$E$10:$I$264,1)),0)</f>
        <v>9</v>
      </c>
      <c r="BA30" s="49"/>
      <c r="BB30" s="49"/>
      <c r="BC30" s="50"/>
      <c r="BE30" s="38">
        <v>23</v>
      </c>
      <c r="BF30" s="38"/>
      <c r="BG30" s="3"/>
      <c r="BH30" s="30" t="s">
        <v>30</v>
      </c>
      <c r="BI30" s="30"/>
      <c r="BJ30" s="30"/>
      <c r="BK30" s="30"/>
      <c r="BL30" s="30"/>
      <c r="BM30" s="30"/>
      <c r="BN30" s="30"/>
      <c r="BO30" s="30"/>
      <c r="BP30" s="30" t="str">
        <f>IF(BE30&gt;0,VLOOKUP(BE30,'[3]Infos joueurs'!$B:$BT,11,FALSE)," ")&amp;" "&amp;IF(BE30&gt;0,VLOOKUP(BE30,'[3]Infos joueurs'!$B:$BT,27,FALSE)," ")</f>
        <v>Spano Emilien</v>
      </c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D30" s="54">
        <v>11</v>
      </c>
      <c r="CE30" s="54"/>
      <c r="CF30" s="54"/>
      <c r="CH30" s="59" t="str">
        <f t="shared" ref="CH30" si="58">AA30</f>
        <v>Leite Matilde</v>
      </c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U30" s="24">
        <f t="shared" ref="CU30" si="59">IFERROR(INDEX($BE$10:$BE$269,MATCH(CH30,$BP$10:$BP$269,0)),0)</f>
        <v>2</v>
      </c>
      <c r="CV30" s="24"/>
      <c r="CW30" s="24"/>
    </row>
    <row r="31" spans="5:101" ht="7.5" customHeight="1" x14ac:dyDescent="0.2">
      <c r="E31" s="41"/>
      <c r="F31" s="61"/>
      <c r="G31" s="61"/>
      <c r="H31" s="61"/>
      <c r="I31" s="42"/>
      <c r="J31" s="63"/>
      <c r="K31" s="41"/>
      <c r="L31" s="61"/>
      <c r="M31" s="61"/>
      <c r="N31" s="42"/>
      <c r="O31" s="41"/>
      <c r="P31" s="42"/>
      <c r="Q31" s="41"/>
      <c r="R31" s="42"/>
      <c r="S31" s="41"/>
      <c r="T31" s="42"/>
      <c r="U31" s="41"/>
      <c r="V31" s="61"/>
      <c r="W31" s="61"/>
      <c r="X31" s="61"/>
      <c r="Y31" s="42"/>
      <c r="Z31" s="29"/>
      <c r="AA31" s="29"/>
      <c r="AB31" s="29"/>
      <c r="AC31" s="29"/>
      <c r="AD31" s="29"/>
      <c r="AE31" s="43"/>
      <c r="AF31" s="43"/>
      <c r="AG31" s="44"/>
      <c r="AH31" s="46"/>
      <c r="AI31" s="47"/>
      <c r="AJ31" s="43"/>
      <c r="AK31" s="43"/>
      <c r="AL31" s="43"/>
      <c r="AM31" s="43"/>
      <c r="AN31" s="44"/>
      <c r="AO31" s="46"/>
      <c r="AP31" s="47"/>
      <c r="AQ31" s="43"/>
      <c r="AR31" s="43"/>
      <c r="AS31" s="43"/>
      <c r="AT31" s="43"/>
      <c r="AU31" s="44"/>
      <c r="AV31" s="46"/>
      <c r="AW31" s="47"/>
      <c r="AX31" s="43"/>
      <c r="AY31" s="43"/>
      <c r="AZ31" s="51"/>
      <c r="BA31" s="52"/>
      <c r="BB31" s="52"/>
      <c r="BC31" s="53"/>
      <c r="BE31" s="38"/>
      <c r="BF31" s="38"/>
      <c r="BG31" s="3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D31" s="55"/>
      <c r="CE31" s="55"/>
      <c r="CF31" s="55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  <c r="CS31" s="56"/>
      <c r="CU31" s="25"/>
      <c r="CV31" s="25"/>
      <c r="CW31" s="25"/>
    </row>
    <row r="32" spans="5:101" ht="7.5" customHeight="1" x14ac:dyDescent="0.2">
      <c r="E32" s="39">
        <f>IFERROR(IF(BP32="","-",RANK(S32,$S$10:$T$264,0)+RANK(Q32,$Q$10:$R$264,0)%+RANK(O32,$O$10:$P$264,0)%%+ROW()%%%),"-")</f>
        <v>119.19193200000001</v>
      </c>
      <c r="F32" s="60"/>
      <c r="G32" s="60"/>
      <c r="H32" s="60"/>
      <c r="I32" s="40"/>
      <c r="J32" s="62">
        <f>IFERROR(IF(E32="","",RANK(E32,$E$10:$I$264,1)),"-")</f>
        <v>119</v>
      </c>
      <c r="K32" s="39" t="str">
        <f t="shared" ref="K32" si="60">BP32</f>
        <v>Rouiller Rémi</v>
      </c>
      <c r="L32" s="60"/>
      <c r="M32" s="60"/>
      <c r="N32" s="40"/>
      <c r="O32" s="39">
        <f t="shared" ref="O32" si="61">SUM(AE32-AI32)</f>
        <v>-1</v>
      </c>
      <c r="P32" s="40"/>
      <c r="Q32" s="39">
        <f t="shared" ref="Q32" si="62">SUM(AL32-AP32)</f>
        <v>-3</v>
      </c>
      <c r="R32" s="40"/>
      <c r="S32" s="39">
        <f t="shared" ref="S32" si="63">SUM(AS32-AW32)</f>
        <v>-2</v>
      </c>
      <c r="T32" s="40"/>
      <c r="U32" s="39">
        <f>IFERROR(SMALL($E$10:$I$264,12),0)</f>
        <v>12.121356</v>
      </c>
      <c r="V32" s="60"/>
      <c r="W32" s="60"/>
      <c r="X32" s="60"/>
      <c r="Y32" s="40"/>
      <c r="Z32" s="29">
        <f>IFERROR(IF(U32="","",RANK(U32,$U$10:$Y$264,1)),0)</f>
        <v>12</v>
      </c>
      <c r="AA32" s="29" t="str">
        <f>IFERROR(INDEX($K$10:$K$264,MATCH(U32,$E$10:$E$264,0),1),0)</f>
        <v>Massy Kenny</v>
      </c>
      <c r="AB32" s="29"/>
      <c r="AC32" s="29"/>
      <c r="AD32" s="29"/>
      <c r="AE32" s="43">
        <v>71</v>
      </c>
      <c r="AF32" s="43"/>
      <c r="AG32" s="44"/>
      <c r="AH32" s="45" t="s">
        <v>19</v>
      </c>
      <c r="AI32" s="47">
        <v>72</v>
      </c>
      <c r="AJ32" s="43"/>
      <c r="AK32" s="43"/>
      <c r="AL32" s="43">
        <v>3</v>
      </c>
      <c r="AM32" s="43"/>
      <c r="AN32" s="44"/>
      <c r="AO32" s="45" t="s">
        <v>19</v>
      </c>
      <c r="AP32" s="47">
        <v>6</v>
      </c>
      <c r="AQ32" s="43"/>
      <c r="AR32" s="43"/>
      <c r="AS32" s="43">
        <v>1</v>
      </c>
      <c r="AT32" s="43"/>
      <c r="AU32" s="44"/>
      <c r="AV32" s="45" t="s">
        <v>19</v>
      </c>
      <c r="AW32" s="47">
        <v>3</v>
      </c>
      <c r="AX32" s="43"/>
      <c r="AY32" s="43"/>
      <c r="AZ32" s="48">
        <f>IFERROR(IF(E32="","",RANK(E32,$E$10:$I$264,1)),0)</f>
        <v>119</v>
      </c>
      <c r="BA32" s="49"/>
      <c r="BB32" s="49"/>
      <c r="BC32" s="50"/>
      <c r="BE32" s="38">
        <v>17</v>
      </c>
      <c r="BF32" s="38"/>
      <c r="BG32" s="3"/>
      <c r="BH32" s="30" t="s">
        <v>31</v>
      </c>
      <c r="BI32" s="30"/>
      <c r="BJ32" s="30"/>
      <c r="BK32" s="30"/>
      <c r="BL32" s="30"/>
      <c r="BM32" s="30"/>
      <c r="BN32" s="30"/>
      <c r="BO32" s="30"/>
      <c r="BP32" s="30" t="str">
        <f>IF(BE32&gt;0,VLOOKUP(BE32,'[3]Infos joueurs'!$B:$BT,11,FALSE)," ")&amp;" "&amp;IF(BE32&gt;0,VLOOKUP(BE32,'[3]Infos joueurs'!$B:$BT,27,FALSE)," ")</f>
        <v>Rouiller Rémi</v>
      </c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D32" s="54">
        <v>12</v>
      </c>
      <c r="CE32" s="54"/>
      <c r="CF32" s="54"/>
      <c r="CH32" s="59" t="str">
        <f t="shared" ref="CH32" si="64">AA32</f>
        <v>Massy Kenny</v>
      </c>
      <c r="CI32" s="59"/>
      <c r="CJ32" s="59"/>
      <c r="CK32" s="59"/>
      <c r="CL32" s="59"/>
      <c r="CM32" s="59"/>
      <c r="CN32" s="59"/>
      <c r="CO32" s="59"/>
      <c r="CP32" s="59"/>
      <c r="CQ32" s="59"/>
      <c r="CR32" s="59"/>
      <c r="CS32" s="59"/>
      <c r="CU32" s="24">
        <f t="shared" ref="CU32" si="65">IFERROR(INDEX($BE$10:$BE$269,MATCH(CH32,$BP$10:$BP$269,0)),0)</f>
        <v>21</v>
      </c>
      <c r="CV32" s="24"/>
      <c r="CW32" s="24"/>
    </row>
    <row r="33" spans="5:101" ht="7.5" customHeight="1" x14ac:dyDescent="0.2">
      <c r="E33" s="41"/>
      <c r="F33" s="61"/>
      <c r="G33" s="61"/>
      <c r="H33" s="61"/>
      <c r="I33" s="42"/>
      <c r="J33" s="63"/>
      <c r="K33" s="41"/>
      <c r="L33" s="61"/>
      <c r="M33" s="61"/>
      <c r="N33" s="42"/>
      <c r="O33" s="41"/>
      <c r="P33" s="42"/>
      <c r="Q33" s="41"/>
      <c r="R33" s="42"/>
      <c r="S33" s="41"/>
      <c r="T33" s="42"/>
      <c r="U33" s="41"/>
      <c r="V33" s="61"/>
      <c r="W33" s="61"/>
      <c r="X33" s="61"/>
      <c r="Y33" s="42"/>
      <c r="Z33" s="29"/>
      <c r="AA33" s="29"/>
      <c r="AB33" s="29"/>
      <c r="AC33" s="29"/>
      <c r="AD33" s="29"/>
      <c r="AE33" s="43"/>
      <c r="AF33" s="43"/>
      <c r="AG33" s="44"/>
      <c r="AH33" s="46"/>
      <c r="AI33" s="47"/>
      <c r="AJ33" s="43"/>
      <c r="AK33" s="43"/>
      <c r="AL33" s="43"/>
      <c r="AM33" s="43"/>
      <c r="AN33" s="44"/>
      <c r="AO33" s="46"/>
      <c r="AP33" s="47"/>
      <c r="AQ33" s="43"/>
      <c r="AR33" s="43"/>
      <c r="AS33" s="43"/>
      <c r="AT33" s="43"/>
      <c r="AU33" s="44"/>
      <c r="AV33" s="46"/>
      <c r="AW33" s="47"/>
      <c r="AX33" s="43"/>
      <c r="AY33" s="43"/>
      <c r="AZ33" s="51"/>
      <c r="BA33" s="52"/>
      <c r="BB33" s="52"/>
      <c r="BC33" s="53"/>
      <c r="BE33" s="38"/>
      <c r="BF33" s="38"/>
      <c r="BG33" s="3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D33" s="55"/>
      <c r="CE33" s="55"/>
      <c r="CF33" s="55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U33" s="25"/>
      <c r="CV33" s="25"/>
      <c r="CW33" s="25"/>
    </row>
    <row r="34" spans="5:101" ht="7.5" customHeight="1" x14ac:dyDescent="0.2">
      <c r="E34" s="39">
        <f>IFERROR(IF(BP34="","-",RANK(S34,$S$10:$T$264,0)+RANK(Q34,$Q$10:$R$264,0)%+RANK(O34,$O$10:$P$264,0)%%+ROW()%%%),"-")</f>
        <v>1.0204340000000001</v>
      </c>
      <c r="F34" s="60"/>
      <c r="G34" s="60"/>
      <c r="H34" s="60"/>
      <c r="I34" s="40"/>
      <c r="J34" s="62">
        <f>IFERROR(IF(E34="","",RANK(E34,$E$10:$I$264,1)),"-")</f>
        <v>3</v>
      </c>
      <c r="K34" s="39" t="str">
        <f t="shared" ref="K34" si="66">BP34</f>
        <v>Emboye Tomas</v>
      </c>
      <c r="L34" s="60"/>
      <c r="M34" s="60"/>
      <c r="N34" s="40"/>
      <c r="O34" s="39">
        <f t="shared" ref="O34" si="67">SUM(AE34-AI34)</f>
        <v>56</v>
      </c>
      <c r="P34" s="40"/>
      <c r="Q34" s="39">
        <f t="shared" ref="Q34" si="68">SUM(AL34-AP34)</f>
        <v>8</v>
      </c>
      <c r="R34" s="40"/>
      <c r="S34" s="39">
        <f t="shared" ref="S34" si="69">SUM(AS34-AW34)</f>
        <v>4</v>
      </c>
      <c r="T34" s="40"/>
      <c r="U34" s="39">
        <f>IFERROR(SMALL($E$10:$I$264,13),0)</f>
        <v>12.131246000000001</v>
      </c>
      <c r="V34" s="60"/>
      <c r="W34" s="60"/>
      <c r="X34" s="60"/>
      <c r="Y34" s="40"/>
      <c r="Z34" s="29">
        <f>IFERROR(IF(U34="","",RANK(U34,$U$10:$Y$264,1)),0)</f>
        <v>13</v>
      </c>
      <c r="AA34" s="29" t="str">
        <f>IFERROR(INDEX($K$10:$K$264,MATCH(U34,$E$10:$E$264,0),1),0)</f>
        <v>Berisha Fatlum</v>
      </c>
      <c r="AB34" s="29"/>
      <c r="AC34" s="29"/>
      <c r="AD34" s="29"/>
      <c r="AE34" s="43">
        <v>88</v>
      </c>
      <c r="AF34" s="43"/>
      <c r="AG34" s="44"/>
      <c r="AH34" s="45" t="s">
        <v>19</v>
      </c>
      <c r="AI34" s="47">
        <v>32</v>
      </c>
      <c r="AJ34" s="43"/>
      <c r="AK34" s="43"/>
      <c r="AL34" s="43">
        <v>8</v>
      </c>
      <c r="AM34" s="43"/>
      <c r="AN34" s="44"/>
      <c r="AO34" s="45" t="s">
        <v>19</v>
      </c>
      <c r="AP34" s="47">
        <v>0</v>
      </c>
      <c r="AQ34" s="43"/>
      <c r="AR34" s="43"/>
      <c r="AS34" s="43">
        <v>4</v>
      </c>
      <c r="AT34" s="43"/>
      <c r="AU34" s="44"/>
      <c r="AV34" s="45" t="s">
        <v>19</v>
      </c>
      <c r="AW34" s="47">
        <v>0</v>
      </c>
      <c r="AX34" s="43"/>
      <c r="AY34" s="43"/>
      <c r="AZ34" s="48">
        <f>IFERROR(IF(E34="","",RANK(E34,$E$10:$I$264,1)),0)</f>
        <v>3</v>
      </c>
      <c r="BA34" s="49"/>
      <c r="BB34" s="49"/>
      <c r="BC34" s="50"/>
      <c r="BE34" s="38">
        <v>6</v>
      </c>
      <c r="BF34" s="38"/>
      <c r="BG34" s="3"/>
      <c r="BH34" s="30" t="s">
        <v>32</v>
      </c>
      <c r="BI34" s="30"/>
      <c r="BJ34" s="30"/>
      <c r="BK34" s="30"/>
      <c r="BL34" s="30"/>
      <c r="BM34" s="30"/>
      <c r="BN34" s="30"/>
      <c r="BO34" s="30"/>
      <c r="BP34" s="30" t="str">
        <f>IF(BE34&gt;0,VLOOKUP(BE34,'[3]Infos joueurs'!$B:$BT,11,FALSE)," ")&amp;" "&amp;IF(BE34&gt;0,VLOOKUP(BE34,'[3]Infos joueurs'!$B:$BT,27,FALSE)," ")</f>
        <v>Emboye Tomas</v>
      </c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D34" s="54">
        <v>13</v>
      </c>
      <c r="CE34" s="54"/>
      <c r="CF34" s="54"/>
      <c r="CH34" s="59" t="str">
        <f t="shared" ref="CH34" si="70">AA34</f>
        <v>Berisha Fatlum</v>
      </c>
      <c r="CI34" s="59"/>
      <c r="CJ34" s="59"/>
      <c r="CK34" s="59"/>
      <c r="CL34" s="59"/>
      <c r="CM34" s="59"/>
      <c r="CN34" s="59"/>
      <c r="CO34" s="59"/>
      <c r="CP34" s="59"/>
      <c r="CQ34" s="59"/>
      <c r="CR34" s="59"/>
      <c r="CS34" s="59"/>
      <c r="CU34" s="24">
        <f t="shared" ref="CU34" si="71">IFERROR(INDEX($BE$10:$BE$269,MATCH(CH34,$BP$10:$BP$269,0)),0)</f>
        <v>20</v>
      </c>
      <c r="CV34" s="24"/>
      <c r="CW34" s="24"/>
    </row>
    <row r="35" spans="5:101" ht="7.5" customHeight="1" x14ac:dyDescent="0.2">
      <c r="E35" s="41"/>
      <c r="F35" s="61"/>
      <c r="G35" s="61"/>
      <c r="H35" s="61"/>
      <c r="I35" s="42"/>
      <c r="J35" s="63"/>
      <c r="K35" s="41"/>
      <c r="L35" s="61"/>
      <c r="M35" s="61"/>
      <c r="N35" s="42"/>
      <c r="O35" s="41"/>
      <c r="P35" s="42"/>
      <c r="Q35" s="41"/>
      <c r="R35" s="42"/>
      <c r="S35" s="41"/>
      <c r="T35" s="42"/>
      <c r="U35" s="41"/>
      <c r="V35" s="61"/>
      <c r="W35" s="61"/>
      <c r="X35" s="61"/>
      <c r="Y35" s="42"/>
      <c r="Z35" s="29"/>
      <c r="AA35" s="29"/>
      <c r="AB35" s="29"/>
      <c r="AC35" s="29"/>
      <c r="AD35" s="29"/>
      <c r="AE35" s="43"/>
      <c r="AF35" s="43"/>
      <c r="AG35" s="44"/>
      <c r="AH35" s="46"/>
      <c r="AI35" s="47"/>
      <c r="AJ35" s="43"/>
      <c r="AK35" s="43"/>
      <c r="AL35" s="43"/>
      <c r="AM35" s="43"/>
      <c r="AN35" s="44"/>
      <c r="AO35" s="46"/>
      <c r="AP35" s="47"/>
      <c r="AQ35" s="43"/>
      <c r="AR35" s="43"/>
      <c r="AS35" s="43"/>
      <c r="AT35" s="43"/>
      <c r="AU35" s="44"/>
      <c r="AV35" s="46"/>
      <c r="AW35" s="47"/>
      <c r="AX35" s="43"/>
      <c r="AY35" s="43"/>
      <c r="AZ35" s="51"/>
      <c r="BA35" s="52"/>
      <c r="BB35" s="52"/>
      <c r="BC35" s="53"/>
      <c r="BE35" s="38"/>
      <c r="BF35" s="38"/>
      <c r="BG35" s="3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D35" s="55"/>
      <c r="CE35" s="55"/>
      <c r="CF35" s="55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U35" s="25"/>
      <c r="CV35" s="25"/>
      <c r="CW35" s="25"/>
    </row>
    <row r="36" spans="5:101" ht="7.5" customHeight="1" x14ac:dyDescent="0.2">
      <c r="E36" s="39">
        <f>IFERROR(IF(BP36="","-",RANK(S36,$S$10:$T$264,0)+RANK(Q36,$Q$10:$R$264,0)%+RANK(O36,$O$10:$P$264,0)%%+ROW()%%%),"-")</f>
        <v>124.25253599999999</v>
      </c>
      <c r="F36" s="60"/>
      <c r="G36" s="60"/>
      <c r="H36" s="60"/>
      <c r="I36" s="40"/>
      <c r="J36" s="62">
        <f>IFERROR(IF(E36="","",RANK(E36,$E$10:$I$264,1)),"-")</f>
        <v>127</v>
      </c>
      <c r="K36" s="39" t="str">
        <f t="shared" ref="K36" si="72">BP36</f>
        <v>Debons Elie</v>
      </c>
      <c r="L36" s="60"/>
      <c r="M36" s="60"/>
      <c r="N36" s="40"/>
      <c r="O36" s="39">
        <f t="shared" ref="O36" si="73">SUM(AE36-AI36)</f>
        <v>-88</v>
      </c>
      <c r="P36" s="40"/>
      <c r="Q36" s="39">
        <f t="shared" ref="Q36" si="74">SUM(AL36-AP36)</f>
        <v>-8</v>
      </c>
      <c r="R36" s="40"/>
      <c r="S36" s="39">
        <f t="shared" ref="S36" si="75">SUM(AS36-AW36)</f>
        <v>-4</v>
      </c>
      <c r="T36" s="40"/>
      <c r="U36" s="39">
        <f>IFERROR(SMALL($E$10:$I$264,14),0)</f>
        <v>12.131524000000001</v>
      </c>
      <c r="V36" s="60"/>
      <c r="W36" s="60"/>
      <c r="X36" s="60"/>
      <c r="Y36" s="40"/>
      <c r="Z36" s="29">
        <f>IFERROR(IF(U36="","",RANK(U36,$U$10:$Y$264,1)),0)</f>
        <v>14</v>
      </c>
      <c r="AA36" s="29" t="str">
        <f>IFERROR(INDEX($K$10:$K$264,MATCH(U36,$E$10:$E$264,0),1),0)</f>
        <v>Salamin Elona</v>
      </c>
      <c r="AB36" s="29"/>
      <c r="AC36" s="29"/>
      <c r="AD36" s="29"/>
      <c r="AE36" s="43">
        <v>0</v>
      </c>
      <c r="AF36" s="43"/>
      <c r="AG36" s="44"/>
      <c r="AH36" s="45" t="s">
        <v>19</v>
      </c>
      <c r="AI36" s="47">
        <v>88</v>
      </c>
      <c r="AJ36" s="43"/>
      <c r="AK36" s="43"/>
      <c r="AL36" s="43">
        <v>0</v>
      </c>
      <c r="AM36" s="43"/>
      <c r="AN36" s="44"/>
      <c r="AO36" s="45" t="s">
        <v>19</v>
      </c>
      <c r="AP36" s="47">
        <v>8</v>
      </c>
      <c r="AQ36" s="43"/>
      <c r="AR36" s="43"/>
      <c r="AS36" s="43">
        <v>0</v>
      </c>
      <c r="AT36" s="43"/>
      <c r="AU36" s="44"/>
      <c r="AV36" s="45" t="s">
        <v>19</v>
      </c>
      <c r="AW36" s="47">
        <v>4</v>
      </c>
      <c r="AX36" s="43"/>
      <c r="AY36" s="43"/>
      <c r="AZ36" s="48">
        <f>IFERROR(IF(E36="","",RANK(E36,$E$10:$I$264,1)),0)</f>
        <v>127</v>
      </c>
      <c r="BA36" s="49"/>
      <c r="BB36" s="49"/>
      <c r="BC36" s="50"/>
      <c r="BE36" s="38">
        <v>5</v>
      </c>
      <c r="BF36" s="38"/>
      <c r="BG36" s="3"/>
      <c r="BH36" s="30" t="s">
        <v>33</v>
      </c>
      <c r="BI36" s="30"/>
      <c r="BJ36" s="30"/>
      <c r="BK36" s="30"/>
      <c r="BL36" s="30"/>
      <c r="BM36" s="30"/>
      <c r="BN36" s="30"/>
      <c r="BO36" s="30"/>
      <c r="BP36" s="30" t="str">
        <f>IF(BE36&gt;0,VLOOKUP(BE36,'[3]Infos joueurs'!$B:$BT,11,FALSE)," ")&amp;" "&amp;IF(BE36&gt;0,VLOOKUP(BE36,'[3]Infos joueurs'!$B:$BT,27,FALSE)," ")</f>
        <v>Debons Elie</v>
      </c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D36" s="54">
        <v>14</v>
      </c>
      <c r="CE36" s="54"/>
      <c r="CF36" s="54"/>
      <c r="CH36" s="59" t="str">
        <f t="shared" ref="CH36" si="76">AA36</f>
        <v>Salamin Elona</v>
      </c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U36" s="24">
        <f t="shared" ref="CU36" si="77">IFERROR(INDEX($BE$10:$BE$269,MATCH(CH36,$BP$10:$BP$269,0)),0)</f>
        <v>3</v>
      </c>
      <c r="CV36" s="24"/>
      <c r="CW36" s="24"/>
    </row>
    <row r="37" spans="5:101" ht="7.5" customHeight="1" x14ac:dyDescent="0.2">
      <c r="E37" s="41"/>
      <c r="F37" s="61"/>
      <c r="G37" s="61"/>
      <c r="H37" s="61"/>
      <c r="I37" s="42"/>
      <c r="J37" s="63"/>
      <c r="K37" s="41"/>
      <c r="L37" s="61"/>
      <c r="M37" s="61"/>
      <c r="N37" s="42"/>
      <c r="O37" s="41"/>
      <c r="P37" s="42"/>
      <c r="Q37" s="41"/>
      <c r="R37" s="42"/>
      <c r="S37" s="41"/>
      <c r="T37" s="42"/>
      <c r="U37" s="41"/>
      <c r="V37" s="61"/>
      <c r="W37" s="61"/>
      <c r="X37" s="61"/>
      <c r="Y37" s="42"/>
      <c r="Z37" s="29"/>
      <c r="AA37" s="29"/>
      <c r="AB37" s="29"/>
      <c r="AC37" s="29"/>
      <c r="AD37" s="29"/>
      <c r="AE37" s="43"/>
      <c r="AF37" s="43"/>
      <c r="AG37" s="44"/>
      <c r="AH37" s="46"/>
      <c r="AI37" s="47"/>
      <c r="AJ37" s="43"/>
      <c r="AK37" s="43"/>
      <c r="AL37" s="43"/>
      <c r="AM37" s="43"/>
      <c r="AN37" s="44"/>
      <c r="AO37" s="46"/>
      <c r="AP37" s="47"/>
      <c r="AQ37" s="43"/>
      <c r="AR37" s="43"/>
      <c r="AS37" s="43"/>
      <c r="AT37" s="43"/>
      <c r="AU37" s="44"/>
      <c r="AV37" s="46"/>
      <c r="AW37" s="47"/>
      <c r="AX37" s="43"/>
      <c r="AY37" s="43"/>
      <c r="AZ37" s="51"/>
      <c r="BA37" s="52"/>
      <c r="BB37" s="52"/>
      <c r="BC37" s="53"/>
      <c r="BE37" s="38"/>
      <c r="BF37" s="38"/>
      <c r="BG37" s="3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D37" s="55"/>
      <c r="CE37" s="55"/>
      <c r="CF37" s="55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U37" s="25"/>
      <c r="CV37" s="25"/>
      <c r="CW37" s="25"/>
    </row>
    <row r="38" spans="5:101" ht="7.5" customHeight="1" x14ac:dyDescent="0.2">
      <c r="E38" s="39">
        <f>IFERROR(IF(BP38="","-",RANK(S38,$S$10:$T$264,0)+RANK(Q38,$Q$10:$R$264,0)%+RANK(O38,$O$10:$P$264,0)%%+ROW()%%%),"-")</f>
        <v>13.171438</v>
      </c>
      <c r="F38" s="60"/>
      <c r="G38" s="60"/>
      <c r="H38" s="60"/>
      <c r="I38" s="40"/>
      <c r="J38" s="62">
        <f>IFERROR(IF(E38="","",RANK(E38,$E$10:$I$264,1)),"-")</f>
        <v>117</v>
      </c>
      <c r="K38" s="39" t="str">
        <f t="shared" ref="K38" si="78">BP38</f>
        <v>Mercier Maël</v>
      </c>
      <c r="L38" s="60"/>
      <c r="M38" s="60"/>
      <c r="N38" s="40"/>
      <c r="O38" s="39">
        <f t="shared" ref="O38" si="79">SUM(AE38-AI38)</f>
        <v>6</v>
      </c>
      <c r="P38" s="40"/>
      <c r="Q38" s="39">
        <f t="shared" ref="Q38" si="80">SUM(AL38-AP38)</f>
        <v>-1</v>
      </c>
      <c r="R38" s="40"/>
      <c r="S38" s="39">
        <f t="shared" ref="S38" si="81">SUM(AS38-AW38)</f>
        <v>0</v>
      </c>
      <c r="T38" s="40"/>
      <c r="U38" s="39">
        <f>IFERROR(SMALL($E$10:$I$264,15),0)</f>
        <v>12.131762</v>
      </c>
      <c r="V38" s="60"/>
      <c r="W38" s="60"/>
      <c r="X38" s="60"/>
      <c r="Y38" s="40"/>
      <c r="Z38" s="29">
        <f>IFERROR(IF(U38="","",RANK(U38,$U$10:$Y$264,1)),0)</f>
        <v>15</v>
      </c>
      <c r="AA38" s="29" t="str">
        <f>IFERROR(INDEX($K$10:$K$264,MATCH(U38,$E$10:$E$264,0),1),0)</f>
        <v xml:space="preserve">   </v>
      </c>
      <c r="AB38" s="29"/>
      <c r="AC38" s="29"/>
      <c r="AD38" s="29"/>
      <c r="AE38" s="43">
        <v>81</v>
      </c>
      <c r="AF38" s="43"/>
      <c r="AG38" s="44"/>
      <c r="AH38" s="45" t="s">
        <v>19</v>
      </c>
      <c r="AI38" s="47">
        <v>75</v>
      </c>
      <c r="AJ38" s="43"/>
      <c r="AK38" s="43"/>
      <c r="AL38" s="43">
        <v>4</v>
      </c>
      <c r="AM38" s="43"/>
      <c r="AN38" s="44"/>
      <c r="AO38" s="45" t="s">
        <v>19</v>
      </c>
      <c r="AP38" s="47">
        <v>5</v>
      </c>
      <c r="AQ38" s="43"/>
      <c r="AR38" s="43"/>
      <c r="AS38" s="43">
        <v>2</v>
      </c>
      <c r="AT38" s="43"/>
      <c r="AU38" s="44"/>
      <c r="AV38" s="45" t="s">
        <v>19</v>
      </c>
      <c r="AW38" s="47">
        <v>2</v>
      </c>
      <c r="AX38" s="43"/>
      <c r="AY38" s="43"/>
      <c r="AZ38" s="48">
        <f>IFERROR(IF(E38="","",RANK(E38,$E$10:$I$264,1)),0)</f>
        <v>117</v>
      </c>
      <c r="BA38" s="49"/>
      <c r="BB38" s="49"/>
      <c r="BC38" s="50"/>
      <c r="BE38" s="38">
        <v>15</v>
      </c>
      <c r="BF38" s="38"/>
      <c r="BG38" s="3"/>
      <c r="BH38" s="30" t="s">
        <v>34</v>
      </c>
      <c r="BI38" s="30"/>
      <c r="BJ38" s="30"/>
      <c r="BK38" s="30"/>
      <c r="BL38" s="30"/>
      <c r="BM38" s="30"/>
      <c r="BN38" s="30"/>
      <c r="BO38" s="30"/>
      <c r="BP38" s="30" t="str">
        <f>IF(BE38&gt;0,VLOOKUP(BE38,'[3]Infos joueurs'!$B:$BT,11,FALSE)," ")&amp;" "&amp;IF(BE38&gt;0,VLOOKUP(BE38,'[3]Infos joueurs'!$B:$BT,27,FALSE)," ")</f>
        <v>Mercier Maël</v>
      </c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D38" s="54">
        <v>15</v>
      </c>
      <c r="CE38" s="54"/>
      <c r="CF38" s="54"/>
      <c r="CH38" s="59" t="str">
        <f t="shared" ref="CH38" si="82">AA38</f>
        <v xml:space="preserve">   </v>
      </c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U38" s="24">
        <f t="shared" ref="CU38" si="83">IFERROR(INDEX($BE$10:$BE$269,MATCH(CH38,$BP$10:$BP$269,0)),0)</f>
        <v>0</v>
      </c>
      <c r="CV38" s="24"/>
      <c r="CW38" s="24"/>
    </row>
    <row r="39" spans="5:101" ht="7.5" customHeight="1" x14ac:dyDescent="0.2">
      <c r="E39" s="41"/>
      <c r="F39" s="61"/>
      <c r="G39" s="61"/>
      <c r="H39" s="61"/>
      <c r="I39" s="42"/>
      <c r="J39" s="63"/>
      <c r="K39" s="41"/>
      <c r="L39" s="61"/>
      <c r="M39" s="61"/>
      <c r="N39" s="42"/>
      <c r="O39" s="41"/>
      <c r="P39" s="42"/>
      <c r="Q39" s="41"/>
      <c r="R39" s="42"/>
      <c r="S39" s="41"/>
      <c r="T39" s="42"/>
      <c r="U39" s="41"/>
      <c r="V39" s="61"/>
      <c r="W39" s="61"/>
      <c r="X39" s="61"/>
      <c r="Y39" s="42"/>
      <c r="Z39" s="29"/>
      <c r="AA39" s="29"/>
      <c r="AB39" s="29"/>
      <c r="AC39" s="29"/>
      <c r="AD39" s="29"/>
      <c r="AE39" s="43"/>
      <c r="AF39" s="43"/>
      <c r="AG39" s="44"/>
      <c r="AH39" s="46"/>
      <c r="AI39" s="47"/>
      <c r="AJ39" s="43"/>
      <c r="AK39" s="43"/>
      <c r="AL39" s="43"/>
      <c r="AM39" s="43"/>
      <c r="AN39" s="44"/>
      <c r="AO39" s="46"/>
      <c r="AP39" s="47"/>
      <c r="AQ39" s="43"/>
      <c r="AR39" s="43"/>
      <c r="AS39" s="43"/>
      <c r="AT39" s="43"/>
      <c r="AU39" s="44"/>
      <c r="AV39" s="46"/>
      <c r="AW39" s="47"/>
      <c r="AX39" s="43"/>
      <c r="AY39" s="43"/>
      <c r="AZ39" s="51"/>
      <c r="BA39" s="52"/>
      <c r="BB39" s="52"/>
      <c r="BC39" s="53"/>
      <c r="BE39" s="38"/>
      <c r="BF39" s="38"/>
      <c r="BG39" s="3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D39" s="55"/>
      <c r="CE39" s="55"/>
      <c r="CF39" s="55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U39" s="25"/>
      <c r="CV39" s="25"/>
      <c r="CW39" s="25"/>
    </row>
    <row r="40" spans="5:101" ht="7.5" customHeight="1" x14ac:dyDescent="0.2">
      <c r="E40" s="39">
        <f>IFERROR(IF(BP40="","-",RANK(S40,$S$10:$T$264,0)+RANK(Q40,$Q$10:$R$264,0)%+RANK(O40,$O$10:$P$264,0)%%+ROW()%%%),"-")</f>
        <v>1.0602400000000001</v>
      </c>
      <c r="F40" s="60"/>
      <c r="G40" s="60"/>
      <c r="H40" s="60"/>
      <c r="I40" s="40"/>
      <c r="J40" s="62">
        <f>IFERROR(IF(E40="","",RANK(E40,$E$10:$I$264,1)),"-")</f>
        <v>4</v>
      </c>
      <c r="K40" s="39" t="str">
        <f t="shared" ref="K40" si="84">BP40</f>
        <v>Germanier Enzo</v>
      </c>
      <c r="L40" s="60"/>
      <c r="M40" s="60"/>
      <c r="N40" s="40"/>
      <c r="O40" s="39">
        <f t="shared" ref="O40" si="85">SUM(AE40-AI40)</f>
        <v>64</v>
      </c>
      <c r="P40" s="40"/>
      <c r="Q40" s="39">
        <f t="shared" ref="Q40" si="86">SUM(AL40-AP40)</f>
        <v>4</v>
      </c>
      <c r="R40" s="40"/>
      <c r="S40" s="39">
        <f t="shared" ref="S40" si="87">SUM(AS40-AW40)</f>
        <v>4</v>
      </c>
      <c r="T40" s="40"/>
      <c r="U40" s="39">
        <f>IFERROR(SMALL($E$10:$I$264,16),0)</f>
        <v>12.131764</v>
      </c>
      <c r="V40" s="60"/>
      <c r="W40" s="60"/>
      <c r="X40" s="60"/>
      <c r="Y40" s="40"/>
      <c r="Z40" s="29">
        <f>IFERROR(IF(U40="","",RANK(U40,$U$10:$Y$264,1)),0)</f>
        <v>16</v>
      </c>
      <c r="AA40" s="29" t="str">
        <f>IFERROR(INDEX($K$10:$K$264,MATCH(U40,$E$10:$E$264,0),1),0)</f>
        <v xml:space="preserve">   </v>
      </c>
      <c r="AB40" s="29"/>
      <c r="AC40" s="29"/>
      <c r="AD40" s="29"/>
      <c r="AE40" s="43">
        <v>91</v>
      </c>
      <c r="AF40" s="43"/>
      <c r="AG40" s="44"/>
      <c r="AH40" s="45" t="s">
        <v>19</v>
      </c>
      <c r="AI40" s="47">
        <v>27</v>
      </c>
      <c r="AJ40" s="43"/>
      <c r="AK40" s="43"/>
      <c r="AL40" s="43">
        <v>8</v>
      </c>
      <c r="AM40" s="43"/>
      <c r="AN40" s="44"/>
      <c r="AO40" s="45" t="s">
        <v>19</v>
      </c>
      <c r="AP40" s="47">
        <v>4</v>
      </c>
      <c r="AQ40" s="43"/>
      <c r="AR40" s="43"/>
      <c r="AS40" s="43">
        <v>4</v>
      </c>
      <c r="AT40" s="43"/>
      <c r="AU40" s="44"/>
      <c r="AV40" s="45" t="s">
        <v>19</v>
      </c>
      <c r="AW40" s="47">
        <v>0</v>
      </c>
      <c r="AX40" s="43"/>
      <c r="AY40" s="43"/>
      <c r="AZ40" s="48">
        <f>IFERROR(IF(E40="","",RANK(E40,$E$10:$I$264,1)),0)</f>
        <v>4</v>
      </c>
      <c r="BA40" s="49"/>
      <c r="BB40" s="49"/>
      <c r="BC40" s="50"/>
      <c r="BE40" s="38">
        <v>8</v>
      </c>
      <c r="BF40" s="38"/>
      <c r="BG40" s="3"/>
      <c r="BH40" s="30" t="s">
        <v>35</v>
      </c>
      <c r="BI40" s="30"/>
      <c r="BJ40" s="30"/>
      <c r="BK40" s="30"/>
      <c r="BL40" s="30"/>
      <c r="BM40" s="30"/>
      <c r="BN40" s="30"/>
      <c r="BO40" s="30"/>
      <c r="BP40" s="30" t="str">
        <f>IF(BE40&gt;0,VLOOKUP(BE40,'[3]Infos joueurs'!$B:$BT,11,FALSE)," ")&amp;" "&amp;IF(BE40&gt;0,VLOOKUP(BE40,'[3]Infos joueurs'!$B:$BT,27,FALSE)," ")</f>
        <v>Germanier Enzo</v>
      </c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D40" s="54">
        <v>16</v>
      </c>
      <c r="CE40" s="54"/>
      <c r="CF40" s="54"/>
      <c r="CH40" s="59" t="str">
        <f t="shared" ref="CH40" si="88">AA40</f>
        <v xml:space="preserve">   </v>
      </c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  <c r="CU40" s="24">
        <f t="shared" ref="CU40" si="89">IFERROR(INDEX($BE$10:$BE$269,MATCH(CH40,$BP$10:$BP$269,0)),0)</f>
        <v>0</v>
      </c>
      <c r="CV40" s="24"/>
      <c r="CW40" s="24"/>
    </row>
    <row r="41" spans="5:101" ht="7.5" customHeight="1" x14ac:dyDescent="0.2">
      <c r="E41" s="41"/>
      <c r="F41" s="61"/>
      <c r="G41" s="61"/>
      <c r="H41" s="61"/>
      <c r="I41" s="42"/>
      <c r="J41" s="63"/>
      <c r="K41" s="41"/>
      <c r="L41" s="61"/>
      <c r="M41" s="61"/>
      <c r="N41" s="42"/>
      <c r="O41" s="41"/>
      <c r="P41" s="42"/>
      <c r="Q41" s="41"/>
      <c r="R41" s="42"/>
      <c r="S41" s="41"/>
      <c r="T41" s="42"/>
      <c r="U41" s="41"/>
      <c r="V41" s="61"/>
      <c r="W41" s="61"/>
      <c r="X41" s="61"/>
      <c r="Y41" s="42"/>
      <c r="Z41" s="29"/>
      <c r="AA41" s="29"/>
      <c r="AB41" s="29"/>
      <c r="AC41" s="29"/>
      <c r="AD41" s="29"/>
      <c r="AE41" s="43"/>
      <c r="AF41" s="43"/>
      <c r="AG41" s="44"/>
      <c r="AH41" s="46"/>
      <c r="AI41" s="47"/>
      <c r="AJ41" s="43"/>
      <c r="AK41" s="43"/>
      <c r="AL41" s="43"/>
      <c r="AM41" s="43"/>
      <c r="AN41" s="44"/>
      <c r="AO41" s="46"/>
      <c r="AP41" s="47"/>
      <c r="AQ41" s="43"/>
      <c r="AR41" s="43"/>
      <c r="AS41" s="43"/>
      <c r="AT41" s="43"/>
      <c r="AU41" s="44"/>
      <c r="AV41" s="46"/>
      <c r="AW41" s="47"/>
      <c r="AX41" s="43"/>
      <c r="AY41" s="43"/>
      <c r="AZ41" s="51"/>
      <c r="BA41" s="52"/>
      <c r="BB41" s="52"/>
      <c r="BC41" s="53"/>
      <c r="BE41" s="38"/>
      <c r="BF41" s="38"/>
      <c r="BG41" s="3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D41" s="55"/>
      <c r="CE41" s="55"/>
      <c r="CF41" s="55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U41" s="25"/>
      <c r="CV41" s="25"/>
      <c r="CW41" s="25"/>
    </row>
    <row r="42" spans="5:101" ht="7.5" customHeight="1" x14ac:dyDescent="0.2">
      <c r="E42" s="39">
        <f>IFERROR(IF(BP42="","-",RANK(S42,$S$10:$T$264,0)+RANK(Q42,$Q$10:$R$264,0)%+RANK(O42,$O$10:$P$264,0)%%+ROW()%%%),"-")</f>
        <v>124.25254199999999</v>
      </c>
      <c r="F42" s="60"/>
      <c r="G42" s="60"/>
      <c r="H42" s="60"/>
      <c r="I42" s="40"/>
      <c r="J42" s="62">
        <f>IFERROR(IF(E42="","",RANK(E42,$E$10:$I$264,1)),"-")</f>
        <v>128</v>
      </c>
      <c r="K42" s="39" t="str">
        <f t="shared" ref="K42" si="90">BP42</f>
        <v>Ruchet Jérémy</v>
      </c>
      <c r="L42" s="60"/>
      <c r="M42" s="60"/>
      <c r="N42" s="40"/>
      <c r="O42" s="39">
        <f t="shared" ref="O42" si="91">SUM(AE42-AI42)</f>
        <v>-88</v>
      </c>
      <c r="P42" s="40"/>
      <c r="Q42" s="39">
        <f t="shared" ref="Q42" si="92">SUM(AL42-AP42)</f>
        <v>-8</v>
      </c>
      <c r="R42" s="40"/>
      <c r="S42" s="39">
        <f t="shared" ref="S42" si="93">SUM(AS42-AW42)</f>
        <v>-4</v>
      </c>
      <c r="T42" s="40"/>
      <c r="U42" s="39">
        <f>IFERROR(SMALL($E$10:$I$264,17),0)</f>
        <v>12.131766000000001</v>
      </c>
      <c r="V42" s="60"/>
      <c r="W42" s="60"/>
      <c r="X42" s="60"/>
      <c r="Y42" s="40"/>
      <c r="Z42" s="29">
        <f>IFERROR(IF(U42="","",RANK(U42,$U$10:$Y$264,1)),0)</f>
        <v>17</v>
      </c>
      <c r="AA42" s="29" t="str">
        <f>IFERROR(INDEX($K$10:$K$264,MATCH(U42,$E$10:$E$264,0),1),0)</f>
        <v xml:space="preserve">   </v>
      </c>
      <c r="AB42" s="29"/>
      <c r="AC42" s="29"/>
      <c r="AD42" s="29"/>
      <c r="AE42" s="43">
        <v>0</v>
      </c>
      <c r="AF42" s="43"/>
      <c r="AG42" s="44"/>
      <c r="AH42" s="45" t="s">
        <v>19</v>
      </c>
      <c r="AI42" s="47">
        <v>88</v>
      </c>
      <c r="AJ42" s="43"/>
      <c r="AK42" s="43"/>
      <c r="AL42" s="43">
        <v>0</v>
      </c>
      <c r="AM42" s="43"/>
      <c r="AN42" s="44"/>
      <c r="AO42" s="45" t="s">
        <v>19</v>
      </c>
      <c r="AP42" s="47">
        <v>8</v>
      </c>
      <c r="AQ42" s="43"/>
      <c r="AR42" s="43"/>
      <c r="AS42" s="43">
        <v>0</v>
      </c>
      <c r="AT42" s="43"/>
      <c r="AU42" s="44"/>
      <c r="AV42" s="45" t="s">
        <v>19</v>
      </c>
      <c r="AW42" s="47">
        <v>4</v>
      </c>
      <c r="AX42" s="43"/>
      <c r="AY42" s="43"/>
      <c r="AZ42" s="48">
        <f>IFERROR(IF(E42="","",RANK(E42,$E$10:$I$264,1)),0)</f>
        <v>128</v>
      </c>
      <c r="BA42" s="49"/>
      <c r="BB42" s="49"/>
      <c r="BC42" s="50"/>
      <c r="BE42" s="38">
        <v>18</v>
      </c>
      <c r="BF42" s="38"/>
      <c r="BG42" s="3"/>
      <c r="BH42" s="30" t="s">
        <v>36</v>
      </c>
      <c r="BI42" s="30"/>
      <c r="BJ42" s="30"/>
      <c r="BK42" s="30"/>
      <c r="BL42" s="30"/>
      <c r="BM42" s="30"/>
      <c r="BN42" s="30"/>
      <c r="BO42" s="30"/>
      <c r="BP42" s="30" t="str">
        <f>IF(BE42&gt;0,VLOOKUP(BE42,'[3]Infos joueurs'!$B:$BT,11,FALSE)," ")&amp;" "&amp;IF(BE42&gt;0,VLOOKUP(BE42,'[3]Infos joueurs'!$B:$BT,27,FALSE)," ")</f>
        <v>Ruchet Jérémy</v>
      </c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D42" s="54">
        <v>17</v>
      </c>
      <c r="CE42" s="54"/>
      <c r="CF42" s="54"/>
      <c r="CH42" s="59" t="str">
        <f t="shared" ref="CH42" si="94">AA42</f>
        <v xml:space="preserve">   </v>
      </c>
      <c r="CI42" s="59"/>
      <c r="CJ42" s="59"/>
      <c r="CK42" s="59"/>
      <c r="CL42" s="59"/>
      <c r="CM42" s="59"/>
      <c r="CN42" s="59"/>
      <c r="CO42" s="59"/>
      <c r="CP42" s="59"/>
      <c r="CQ42" s="59"/>
      <c r="CR42" s="59"/>
      <c r="CS42" s="59"/>
      <c r="CU42" s="24">
        <f t="shared" ref="CU42" si="95">IFERROR(INDEX($BE$10:$BE$269,MATCH(CH42,$BP$10:$BP$269,0)),0)</f>
        <v>0</v>
      </c>
      <c r="CV42" s="24"/>
      <c r="CW42" s="24"/>
    </row>
    <row r="43" spans="5:101" ht="7.5" customHeight="1" x14ac:dyDescent="0.2">
      <c r="E43" s="41"/>
      <c r="F43" s="61"/>
      <c r="G43" s="61"/>
      <c r="H43" s="61"/>
      <c r="I43" s="42"/>
      <c r="J43" s="63"/>
      <c r="K43" s="41"/>
      <c r="L43" s="61"/>
      <c r="M43" s="61"/>
      <c r="N43" s="42"/>
      <c r="O43" s="41"/>
      <c r="P43" s="42"/>
      <c r="Q43" s="41"/>
      <c r="R43" s="42"/>
      <c r="S43" s="41"/>
      <c r="T43" s="42"/>
      <c r="U43" s="41"/>
      <c r="V43" s="61"/>
      <c r="W43" s="61"/>
      <c r="X43" s="61"/>
      <c r="Y43" s="42"/>
      <c r="Z43" s="29"/>
      <c r="AA43" s="29"/>
      <c r="AB43" s="29"/>
      <c r="AC43" s="29"/>
      <c r="AD43" s="29"/>
      <c r="AE43" s="43"/>
      <c r="AF43" s="43"/>
      <c r="AG43" s="44"/>
      <c r="AH43" s="46"/>
      <c r="AI43" s="47"/>
      <c r="AJ43" s="43"/>
      <c r="AK43" s="43"/>
      <c r="AL43" s="43"/>
      <c r="AM43" s="43"/>
      <c r="AN43" s="44"/>
      <c r="AO43" s="46"/>
      <c r="AP43" s="47"/>
      <c r="AQ43" s="43"/>
      <c r="AR43" s="43"/>
      <c r="AS43" s="43"/>
      <c r="AT43" s="43"/>
      <c r="AU43" s="44"/>
      <c r="AV43" s="46"/>
      <c r="AW43" s="47"/>
      <c r="AX43" s="43"/>
      <c r="AY43" s="43"/>
      <c r="AZ43" s="51"/>
      <c r="BA43" s="52"/>
      <c r="BB43" s="52"/>
      <c r="BC43" s="53"/>
      <c r="BE43" s="38"/>
      <c r="BF43" s="38"/>
      <c r="BG43" s="3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D43" s="55"/>
      <c r="CE43" s="55"/>
      <c r="CF43" s="55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U43" s="25"/>
      <c r="CV43" s="25"/>
      <c r="CW43" s="25"/>
    </row>
    <row r="44" spans="5:101" ht="7.5" customHeight="1" x14ac:dyDescent="0.2">
      <c r="E44" s="39">
        <f>IFERROR(IF(BP44="","-",RANK(S44,$S$10:$T$264,0)+RANK(Q44,$Q$10:$R$264,0)%+RANK(O44,$O$10:$P$264,0)%%+ROW()%%%),"-")</f>
        <v>5.0609439999999992</v>
      </c>
      <c r="F44" s="60"/>
      <c r="G44" s="60"/>
      <c r="H44" s="60"/>
      <c r="I44" s="40"/>
      <c r="J44" s="62">
        <f>IFERROR(IF(E44="","",RANK(E44,$E$10:$I$264,1)),"-")</f>
        <v>10</v>
      </c>
      <c r="K44" s="39" t="str">
        <f t="shared" ref="K44" si="96">BP44</f>
        <v>Savoy David</v>
      </c>
      <c r="L44" s="60"/>
      <c r="M44" s="60"/>
      <c r="N44" s="40"/>
      <c r="O44" s="39">
        <f t="shared" ref="O44" si="97">SUM(AE44-AI44)</f>
        <v>27</v>
      </c>
      <c r="P44" s="40"/>
      <c r="Q44" s="39">
        <f t="shared" ref="Q44" si="98">SUM(AL44-AP44)</f>
        <v>4</v>
      </c>
      <c r="R44" s="40"/>
      <c r="S44" s="39">
        <f t="shared" ref="S44" si="99">SUM(AS44-AW44)</f>
        <v>2</v>
      </c>
      <c r="T44" s="40"/>
      <c r="U44" s="39">
        <f>IFERROR(SMALL($E$10:$I$264,18),0)</f>
        <v>12.131768000000001</v>
      </c>
      <c r="V44" s="60"/>
      <c r="W44" s="60"/>
      <c r="X44" s="60"/>
      <c r="Y44" s="40"/>
      <c r="Z44" s="29">
        <f>IFERROR(IF(U44="","",RANK(U44,$U$10:$Y$264,1)),0)</f>
        <v>18</v>
      </c>
      <c r="AA44" s="29" t="str">
        <f>IFERROR(INDEX($K$10:$K$264,MATCH(U44,$E$10:$E$264,0),1),0)</f>
        <v xml:space="preserve">   </v>
      </c>
      <c r="AB44" s="29"/>
      <c r="AC44" s="29"/>
      <c r="AD44" s="29"/>
      <c r="AE44" s="43">
        <v>72</v>
      </c>
      <c r="AF44" s="43"/>
      <c r="AG44" s="44"/>
      <c r="AH44" s="45" t="s">
        <v>19</v>
      </c>
      <c r="AI44" s="47">
        <v>45</v>
      </c>
      <c r="AJ44" s="43"/>
      <c r="AK44" s="43"/>
      <c r="AL44" s="43">
        <v>6</v>
      </c>
      <c r="AM44" s="43"/>
      <c r="AN44" s="44"/>
      <c r="AO44" s="45" t="s">
        <v>19</v>
      </c>
      <c r="AP44" s="47">
        <v>2</v>
      </c>
      <c r="AQ44" s="43"/>
      <c r="AR44" s="43"/>
      <c r="AS44" s="43">
        <v>3</v>
      </c>
      <c r="AT44" s="43"/>
      <c r="AU44" s="44"/>
      <c r="AV44" s="45" t="s">
        <v>19</v>
      </c>
      <c r="AW44" s="47">
        <v>1</v>
      </c>
      <c r="AX44" s="43"/>
      <c r="AY44" s="43"/>
      <c r="AZ44" s="48">
        <f>IFERROR(IF(E44="","",RANK(E44,$E$10:$I$264,1)),0)</f>
        <v>10</v>
      </c>
      <c r="BA44" s="49"/>
      <c r="BB44" s="49"/>
      <c r="BC44" s="50"/>
      <c r="BE44" s="38">
        <v>26</v>
      </c>
      <c r="BF44" s="38"/>
      <c r="BG44" s="3"/>
      <c r="BH44" s="30" t="s">
        <v>37</v>
      </c>
      <c r="BI44" s="30"/>
      <c r="BJ44" s="30"/>
      <c r="BK44" s="30"/>
      <c r="BL44" s="30"/>
      <c r="BM44" s="30"/>
      <c r="BN44" s="30"/>
      <c r="BO44" s="30"/>
      <c r="BP44" s="30" t="str">
        <f>IF(BE44&gt;0,VLOOKUP(BE44,'[3]Infos joueurs'!$B:$BT,11,FALSE)," ")&amp;" "&amp;IF(BE44&gt;0,VLOOKUP(BE44,'[3]Infos joueurs'!$B:$BT,27,FALSE)," ")</f>
        <v>Savoy David</v>
      </c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D44" s="54">
        <v>18</v>
      </c>
      <c r="CE44" s="54"/>
      <c r="CF44" s="54"/>
      <c r="CH44" s="59" t="str">
        <f t="shared" ref="CH44" si="100">AA44</f>
        <v xml:space="preserve">   </v>
      </c>
      <c r="CI44" s="59"/>
      <c r="CJ44" s="59"/>
      <c r="CK44" s="59"/>
      <c r="CL44" s="59"/>
      <c r="CM44" s="59"/>
      <c r="CN44" s="59"/>
      <c r="CO44" s="59"/>
      <c r="CP44" s="59"/>
      <c r="CQ44" s="59"/>
      <c r="CR44" s="59"/>
      <c r="CS44" s="59"/>
      <c r="CU44" s="24">
        <f t="shared" ref="CU44" si="101">IFERROR(INDEX($BE$10:$BE$269,MATCH(CH44,$BP$10:$BP$269,0)),0)</f>
        <v>0</v>
      </c>
      <c r="CV44" s="24"/>
      <c r="CW44" s="24"/>
    </row>
    <row r="45" spans="5:101" ht="7.5" customHeight="1" x14ac:dyDescent="0.2">
      <c r="E45" s="41"/>
      <c r="F45" s="61"/>
      <c r="G45" s="61"/>
      <c r="H45" s="61"/>
      <c r="I45" s="42"/>
      <c r="J45" s="63"/>
      <c r="K45" s="41"/>
      <c r="L45" s="61"/>
      <c r="M45" s="61"/>
      <c r="N45" s="42"/>
      <c r="O45" s="41"/>
      <c r="P45" s="42"/>
      <c r="Q45" s="41"/>
      <c r="R45" s="42"/>
      <c r="S45" s="41"/>
      <c r="T45" s="42"/>
      <c r="U45" s="41"/>
      <c r="V45" s="61"/>
      <c r="W45" s="61"/>
      <c r="X45" s="61"/>
      <c r="Y45" s="42"/>
      <c r="Z45" s="29"/>
      <c r="AA45" s="29"/>
      <c r="AB45" s="29"/>
      <c r="AC45" s="29"/>
      <c r="AD45" s="29"/>
      <c r="AE45" s="43"/>
      <c r="AF45" s="43"/>
      <c r="AG45" s="44"/>
      <c r="AH45" s="46"/>
      <c r="AI45" s="47"/>
      <c r="AJ45" s="43"/>
      <c r="AK45" s="43"/>
      <c r="AL45" s="43"/>
      <c r="AM45" s="43"/>
      <c r="AN45" s="44"/>
      <c r="AO45" s="46"/>
      <c r="AP45" s="47"/>
      <c r="AQ45" s="43"/>
      <c r="AR45" s="43"/>
      <c r="AS45" s="43"/>
      <c r="AT45" s="43"/>
      <c r="AU45" s="44"/>
      <c r="AV45" s="46"/>
      <c r="AW45" s="47"/>
      <c r="AX45" s="43"/>
      <c r="AY45" s="43"/>
      <c r="AZ45" s="51"/>
      <c r="BA45" s="52"/>
      <c r="BB45" s="52"/>
      <c r="BC45" s="53"/>
      <c r="BE45" s="38"/>
      <c r="BF45" s="38"/>
      <c r="BG45" s="3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D45" s="55"/>
      <c r="CE45" s="55"/>
      <c r="CF45" s="55"/>
      <c r="CH45" s="56"/>
      <c r="CI45" s="56"/>
      <c r="CJ45" s="56"/>
      <c r="CK45" s="56"/>
      <c r="CL45" s="56"/>
      <c r="CM45" s="56"/>
      <c r="CN45" s="56"/>
      <c r="CO45" s="56"/>
      <c r="CP45" s="56"/>
      <c r="CQ45" s="56"/>
      <c r="CR45" s="56"/>
      <c r="CS45" s="56"/>
      <c r="CU45" s="25"/>
      <c r="CV45" s="25"/>
      <c r="CW45" s="25"/>
    </row>
    <row r="46" spans="5:101" ht="7.5" customHeight="1" x14ac:dyDescent="0.2">
      <c r="E46" s="39">
        <f>IFERROR(IF(BP46="","-",RANK(S46,$S$10:$T$264,0)+RANK(Q46,$Q$10:$R$264,0)%+RANK(O46,$O$10:$P$264,0)%%+ROW()%%%),"-")</f>
        <v>12.131246000000001</v>
      </c>
      <c r="F46" s="60"/>
      <c r="G46" s="60"/>
      <c r="H46" s="60"/>
      <c r="I46" s="40"/>
      <c r="J46" s="62">
        <f>IFERROR(IF(E46="","",RANK(E46,$E$10:$I$264,1)),"-")</f>
        <v>13</v>
      </c>
      <c r="K46" s="39" t="str">
        <f t="shared" ref="K46" si="102">BP46</f>
        <v>Berisha Fatlum</v>
      </c>
      <c r="L46" s="60"/>
      <c r="M46" s="60"/>
      <c r="N46" s="40"/>
      <c r="O46" s="39">
        <f t="shared" ref="O46" si="103">SUM(AE46-AI46)</f>
        <v>13</v>
      </c>
      <c r="P46" s="40"/>
      <c r="Q46" s="39">
        <f t="shared" ref="Q46" si="104">SUM(AL46-AP46)</f>
        <v>0</v>
      </c>
      <c r="R46" s="40"/>
      <c r="S46" s="39">
        <f t="shared" ref="S46" si="105">SUM(AS46-AW46)</f>
        <v>0</v>
      </c>
      <c r="T46" s="40"/>
      <c r="U46" s="39">
        <f>IFERROR(SMALL($E$10:$I$264,19),0)</f>
        <v>12.131769999999999</v>
      </c>
      <c r="V46" s="60"/>
      <c r="W46" s="60"/>
      <c r="X46" s="60"/>
      <c r="Y46" s="40"/>
      <c r="Z46" s="29">
        <f>IFERROR(IF(U46="","",RANK(U46,$U$10:$Y$264,1)),0)</f>
        <v>19</v>
      </c>
      <c r="AA46" s="29" t="str">
        <f>IFERROR(INDEX($K$10:$K$264,MATCH(U46,$E$10:$E$264,0),1),0)</f>
        <v xml:space="preserve">   </v>
      </c>
      <c r="AB46" s="29"/>
      <c r="AC46" s="29"/>
      <c r="AD46" s="29"/>
      <c r="AE46" s="43">
        <v>83</v>
      </c>
      <c r="AF46" s="43"/>
      <c r="AG46" s="44"/>
      <c r="AH46" s="45" t="s">
        <v>19</v>
      </c>
      <c r="AI46" s="47">
        <v>70</v>
      </c>
      <c r="AJ46" s="43"/>
      <c r="AK46" s="43"/>
      <c r="AL46" s="43">
        <v>4</v>
      </c>
      <c r="AM46" s="43"/>
      <c r="AN46" s="44"/>
      <c r="AO46" s="45" t="s">
        <v>19</v>
      </c>
      <c r="AP46" s="47">
        <v>4</v>
      </c>
      <c r="AQ46" s="43"/>
      <c r="AR46" s="43"/>
      <c r="AS46" s="43">
        <v>2</v>
      </c>
      <c r="AT46" s="43"/>
      <c r="AU46" s="44"/>
      <c r="AV46" s="45" t="s">
        <v>19</v>
      </c>
      <c r="AW46" s="47">
        <v>2</v>
      </c>
      <c r="AX46" s="43"/>
      <c r="AY46" s="43"/>
      <c r="AZ46" s="48">
        <f>IFERROR(IF(E46="","",RANK(E46,$E$10:$I$264,1)),0)</f>
        <v>13</v>
      </c>
      <c r="BA46" s="49"/>
      <c r="BB46" s="49"/>
      <c r="BC46" s="50"/>
      <c r="BE46" s="38">
        <v>20</v>
      </c>
      <c r="BF46" s="38"/>
      <c r="BG46" s="3"/>
      <c r="BH46" s="30" t="s">
        <v>38</v>
      </c>
      <c r="BI46" s="30"/>
      <c r="BJ46" s="30"/>
      <c r="BK46" s="30"/>
      <c r="BL46" s="30"/>
      <c r="BM46" s="30"/>
      <c r="BN46" s="30"/>
      <c r="BO46" s="30"/>
      <c r="BP46" s="30" t="str">
        <f>IF(BE46&gt;0,VLOOKUP(BE46,'[3]Infos joueurs'!$B:$BT,11,FALSE)," ")&amp;" "&amp;IF(BE46&gt;0,VLOOKUP(BE46,'[3]Infos joueurs'!$B:$BT,27,FALSE)," ")</f>
        <v>Berisha Fatlum</v>
      </c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D46" s="54">
        <v>19</v>
      </c>
      <c r="CE46" s="54"/>
      <c r="CF46" s="54"/>
      <c r="CH46" s="59" t="str">
        <f t="shared" ref="CH46" si="106">AA46</f>
        <v xml:space="preserve">   </v>
      </c>
      <c r="CI46" s="59"/>
      <c r="CJ46" s="59"/>
      <c r="CK46" s="59"/>
      <c r="CL46" s="59"/>
      <c r="CM46" s="59"/>
      <c r="CN46" s="59"/>
      <c r="CO46" s="59"/>
      <c r="CP46" s="59"/>
      <c r="CQ46" s="59"/>
      <c r="CR46" s="59"/>
      <c r="CS46" s="59"/>
      <c r="CU46" s="24">
        <f t="shared" ref="CU46" si="107">IFERROR(INDEX($BE$10:$BE$269,MATCH(CH46,$BP$10:$BP$269,0)),0)</f>
        <v>0</v>
      </c>
      <c r="CV46" s="24"/>
      <c r="CW46" s="24"/>
    </row>
    <row r="47" spans="5:101" ht="7.5" customHeight="1" x14ac:dyDescent="0.2">
      <c r="E47" s="41"/>
      <c r="F47" s="61"/>
      <c r="G47" s="61"/>
      <c r="H47" s="61"/>
      <c r="I47" s="42"/>
      <c r="J47" s="63"/>
      <c r="K47" s="41"/>
      <c r="L47" s="61"/>
      <c r="M47" s="61"/>
      <c r="N47" s="42"/>
      <c r="O47" s="41"/>
      <c r="P47" s="42"/>
      <c r="Q47" s="41"/>
      <c r="R47" s="42"/>
      <c r="S47" s="41"/>
      <c r="T47" s="42"/>
      <c r="U47" s="41"/>
      <c r="V47" s="61"/>
      <c r="W47" s="61"/>
      <c r="X47" s="61"/>
      <c r="Y47" s="42"/>
      <c r="Z47" s="29"/>
      <c r="AA47" s="29"/>
      <c r="AB47" s="29"/>
      <c r="AC47" s="29"/>
      <c r="AD47" s="29"/>
      <c r="AE47" s="43"/>
      <c r="AF47" s="43"/>
      <c r="AG47" s="44"/>
      <c r="AH47" s="46"/>
      <c r="AI47" s="47"/>
      <c r="AJ47" s="43"/>
      <c r="AK47" s="43"/>
      <c r="AL47" s="43"/>
      <c r="AM47" s="43"/>
      <c r="AN47" s="44"/>
      <c r="AO47" s="46"/>
      <c r="AP47" s="47"/>
      <c r="AQ47" s="43"/>
      <c r="AR47" s="43"/>
      <c r="AS47" s="43"/>
      <c r="AT47" s="43"/>
      <c r="AU47" s="44"/>
      <c r="AV47" s="46"/>
      <c r="AW47" s="47"/>
      <c r="AX47" s="43"/>
      <c r="AY47" s="43"/>
      <c r="AZ47" s="51"/>
      <c r="BA47" s="52"/>
      <c r="BB47" s="52"/>
      <c r="BC47" s="53"/>
      <c r="BE47" s="38"/>
      <c r="BF47" s="38"/>
      <c r="BG47" s="3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D47" s="55"/>
      <c r="CE47" s="55"/>
      <c r="CF47" s="55"/>
      <c r="CH47" s="56"/>
      <c r="CI47" s="56"/>
      <c r="CJ47" s="56"/>
      <c r="CK47" s="56"/>
      <c r="CL47" s="56"/>
      <c r="CM47" s="56"/>
      <c r="CN47" s="56"/>
      <c r="CO47" s="56"/>
      <c r="CP47" s="56"/>
      <c r="CQ47" s="56"/>
      <c r="CR47" s="56"/>
      <c r="CS47" s="56"/>
      <c r="CU47" s="25"/>
      <c r="CV47" s="25"/>
      <c r="CW47" s="25"/>
    </row>
    <row r="48" spans="5:101" ht="7.5" customHeight="1" x14ac:dyDescent="0.2">
      <c r="E48" s="39">
        <f>IFERROR(IF(BP48="","-",RANK(S48,$S$10:$T$264,0)+RANK(Q48,$Q$10:$R$264,0)%+RANK(O48,$O$10:$P$264,0)%%+ROW()%%%),"-")</f>
        <v>119.202048</v>
      </c>
      <c r="F48" s="60"/>
      <c r="G48" s="60"/>
      <c r="H48" s="60"/>
      <c r="I48" s="40"/>
      <c r="J48" s="62">
        <f>IFERROR(IF(E48="","",RANK(E48,$E$10:$I$264,1)),"-")</f>
        <v>120</v>
      </c>
      <c r="K48" s="39" t="str">
        <f t="shared" ref="K48" si="108">BP48</f>
        <v>Pellaton Robin</v>
      </c>
      <c r="L48" s="60"/>
      <c r="M48" s="60"/>
      <c r="N48" s="40"/>
      <c r="O48" s="39">
        <f t="shared" ref="O48" si="109">SUM(AE48-AI48)</f>
        <v>-16</v>
      </c>
      <c r="P48" s="40"/>
      <c r="Q48" s="39">
        <f t="shared" ref="Q48" si="110">SUM(AL48-AP48)</f>
        <v>-4</v>
      </c>
      <c r="R48" s="40"/>
      <c r="S48" s="39">
        <f t="shared" ref="S48" si="111">SUM(AS48-AW48)</f>
        <v>-2</v>
      </c>
      <c r="T48" s="40"/>
      <c r="U48" s="39">
        <f>IFERROR(SMALL($E$10:$I$264,20),0)</f>
        <v>12.131772</v>
      </c>
      <c r="V48" s="60"/>
      <c r="W48" s="60"/>
      <c r="X48" s="60"/>
      <c r="Y48" s="40"/>
      <c r="Z48" s="29">
        <f>IFERROR(IF(U48="","",RANK(U48,$U$10:$Y$264,1)),0)</f>
        <v>20</v>
      </c>
      <c r="AA48" s="29" t="str">
        <f>IFERROR(INDEX($K$10:$K$264,MATCH(U48,$E$10:$E$264,0),1),0)</f>
        <v xml:space="preserve">   </v>
      </c>
      <c r="AB48" s="29"/>
      <c r="AC48" s="29"/>
      <c r="AD48" s="29"/>
      <c r="AE48" s="43">
        <v>55</v>
      </c>
      <c r="AF48" s="43"/>
      <c r="AG48" s="44"/>
      <c r="AH48" s="45" t="s">
        <v>19</v>
      </c>
      <c r="AI48" s="47">
        <v>71</v>
      </c>
      <c r="AJ48" s="43"/>
      <c r="AK48" s="43"/>
      <c r="AL48" s="43">
        <v>2</v>
      </c>
      <c r="AM48" s="43"/>
      <c r="AN48" s="44"/>
      <c r="AO48" s="45" t="s">
        <v>19</v>
      </c>
      <c r="AP48" s="47">
        <v>6</v>
      </c>
      <c r="AQ48" s="43"/>
      <c r="AR48" s="43"/>
      <c r="AS48" s="43">
        <v>1</v>
      </c>
      <c r="AT48" s="43"/>
      <c r="AU48" s="44"/>
      <c r="AV48" s="45" t="s">
        <v>19</v>
      </c>
      <c r="AW48" s="47">
        <v>3</v>
      </c>
      <c r="AX48" s="43"/>
      <c r="AY48" s="43"/>
      <c r="AZ48" s="48">
        <f>IFERROR(IF(E48="","",RANK(E48,$E$10:$I$264,1)),0)</f>
        <v>120</v>
      </c>
      <c r="BA48" s="49"/>
      <c r="BB48" s="49"/>
      <c r="BC48" s="50"/>
      <c r="BE48" s="38">
        <v>16</v>
      </c>
      <c r="BF48" s="38"/>
      <c r="BG48" s="3"/>
      <c r="BH48" s="30" t="s">
        <v>39</v>
      </c>
      <c r="BI48" s="30"/>
      <c r="BJ48" s="30"/>
      <c r="BK48" s="30"/>
      <c r="BL48" s="30"/>
      <c r="BM48" s="30"/>
      <c r="BN48" s="30"/>
      <c r="BO48" s="30"/>
      <c r="BP48" s="30" t="str">
        <f>IF(BE48&gt;0,VLOOKUP(BE48,'[3]Infos joueurs'!$B:$BT,11,FALSE)," ")&amp;" "&amp;IF(BE48&gt;0,VLOOKUP(BE48,'[3]Infos joueurs'!$B:$BT,27,FALSE)," ")</f>
        <v>Pellaton Robin</v>
      </c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D48" s="54">
        <v>20</v>
      </c>
      <c r="CE48" s="54"/>
      <c r="CF48" s="54"/>
      <c r="CH48" s="59" t="str">
        <f t="shared" ref="CH48" si="112">AA48</f>
        <v xml:space="preserve">   </v>
      </c>
      <c r="CI48" s="59"/>
      <c r="CJ48" s="59"/>
      <c r="CK48" s="59"/>
      <c r="CL48" s="59"/>
      <c r="CM48" s="59"/>
      <c r="CN48" s="59"/>
      <c r="CO48" s="59"/>
      <c r="CP48" s="59"/>
      <c r="CQ48" s="59"/>
      <c r="CR48" s="59"/>
      <c r="CS48" s="59"/>
      <c r="CU48" s="24">
        <f t="shared" ref="CU48" si="113">IFERROR(INDEX($BE$10:$BE$269,MATCH(CH48,$BP$10:$BP$269,0)),0)</f>
        <v>0</v>
      </c>
      <c r="CV48" s="24"/>
      <c r="CW48" s="24"/>
    </row>
    <row r="49" spans="5:101" ht="7.5" customHeight="1" x14ac:dyDescent="0.2">
      <c r="E49" s="41"/>
      <c r="F49" s="61"/>
      <c r="G49" s="61"/>
      <c r="H49" s="61"/>
      <c r="I49" s="42"/>
      <c r="J49" s="63"/>
      <c r="K49" s="41"/>
      <c r="L49" s="61"/>
      <c r="M49" s="61"/>
      <c r="N49" s="42"/>
      <c r="O49" s="41"/>
      <c r="P49" s="42"/>
      <c r="Q49" s="41"/>
      <c r="R49" s="42"/>
      <c r="S49" s="41"/>
      <c r="T49" s="42"/>
      <c r="U49" s="41"/>
      <c r="V49" s="61"/>
      <c r="W49" s="61"/>
      <c r="X49" s="61"/>
      <c r="Y49" s="42"/>
      <c r="Z49" s="29"/>
      <c r="AA49" s="29"/>
      <c r="AB49" s="29"/>
      <c r="AC49" s="29"/>
      <c r="AD49" s="29"/>
      <c r="AE49" s="43"/>
      <c r="AF49" s="43"/>
      <c r="AG49" s="44"/>
      <c r="AH49" s="46"/>
      <c r="AI49" s="47"/>
      <c r="AJ49" s="43"/>
      <c r="AK49" s="43"/>
      <c r="AL49" s="43"/>
      <c r="AM49" s="43"/>
      <c r="AN49" s="44"/>
      <c r="AO49" s="46"/>
      <c r="AP49" s="47"/>
      <c r="AQ49" s="43"/>
      <c r="AR49" s="43"/>
      <c r="AS49" s="43"/>
      <c r="AT49" s="43"/>
      <c r="AU49" s="44"/>
      <c r="AV49" s="46"/>
      <c r="AW49" s="47"/>
      <c r="AX49" s="43"/>
      <c r="AY49" s="43"/>
      <c r="AZ49" s="51"/>
      <c r="BA49" s="52"/>
      <c r="BB49" s="52"/>
      <c r="BC49" s="53"/>
      <c r="BE49" s="38"/>
      <c r="BF49" s="38"/>
      <c r="BG49" s="3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D49" s="55"/>
      <c r="CE49" s="55"/>
      <c r="CF49" s="55"/>
      <c r="CH49" s="56"/>
      <c r="CI49" s="56"/>
      <c r="CJ49" s="56"/>
      <c r="CK49" s="56"/>
      <c r="CL49" s="56"/>
      <c r="CM49" s="56"/>
      <c r="CN49" s="56"/>
      <c r="CO49" s="56"/>
      <c r="CP49" s="56"/>
      <c r="CQ49" s="56"/>
      <c r="CR49" s="56"/>
      <c r="CS49" s="56"/>
      <c r="CU49" s="25"/>
      <c r="CV49" s="25"/>
      <c r="CW49" s="25"/>
    </row>
    <row r="50" spans="5:101" ht="7.5" customHeight="1" x14ac:dyDescent="0.2">
      <c r="E50" s="39">
        <f>IFERROR(IF(BP50="","-",RANK(S50,$S$10:$T$264,0)+RANK(Q50,$Q$10:$R$264,0)%+RANK(O50,$O$10:$P$264,0)%%+ROW()%%%),"-")</f>
        <v>5.0406500000000003</v>
      </c>
      <c r="F50" s="60"/>
      <c r="G50" s="60"/>
      <c r="H50" s="60"/>
      <c r="I50" s="40"/>
      <c r="J50" s="62">
        <f>IFERROR(IF(E50="","",RANK(E50,$E$10:$I$264,1)),"-")</f>
        <v>5</v>
      </c>
      <c r="K50" s="39" t="str">
        <f t="shared" ref="K50" si="114">BP50</f>
        <v>Jacquod Thibaud</v>
      </c>
      <c r="L50" s="60"/>
      <c r="M50" s="60"/>
      <c r="N50" s="40"/>
      <c r="O50" s="39">
        <f t="shared" ref="O50" si="115">SUM(AE50-AI50)</f>
        <v>38</v>
      </c>
      <c r="P50" s="40"/>
      <c r="Q50" s="39">
        <f t="shared" ref="Q50" si="116">SUM(AL50-AP50)</f>
        <v>6</v>
      </c>
      <c r="R50" s="40"/>
      <c r="S50" s="39">
        <f t="shared" ref="S50" si="117">SUM(AS50-AW50)</f>
        <v>2</v>
      </c>
      <c r="T50" s="40"/>
      <c r="U50" s="39">
        <f>IFERROR(SMALL($E$10:$I$264,21),0)</f>
        <v>12.131774</v>
      </c>
      <c r="V50" s="60"/>
      <c r="W50" s="60"/>
      <c r="X50" s="60"/>
      <c r="Y50" s="40"/>
      <c r="Z50" s="29">
        <f>IFERROR(IF(U50="","",RANK(U50,$U$10:$Y$264,1)),0)</f>
        <v>21</v>
      </c>
      <c r="AA50" s="29" t="str">
        <f>IFERROR(INDEX($K$10:$K$264,MATCH(U50,$E$10:$E$264,0),1),0)</f>
        <v xml:space="preserve">   </v>
      </c>
      <c r="AB50" s="29"/>
      <c r="AC50" s="29"/>
      <c r="AD50" s="29"/>
      <c r="AE50" s="43">
        <v>98</v>
      </c>
      <c r="AF50" s="43"/>
      <c r="AG50" s="44"/>
      <c r="AH50" s="45" t="s">
        <v>19</v>
      </c>
      <c r="AI50" s="47">
        <v>60</v>
      </c>
      <c r="AJ50" s="43"/>
      <c r="AK50" s="43"/>
      <c r="AL50" s="43">
        <v>8</v>
      </c>
      <c r="AM50" s="43"/>
      <c r="AN50" s="44"/>
      <c r="AO50" s="45" t="s">
        <v>19</v>
      </c>
      <c r="AP50" s="47">
        <v>2</v>
      </c>
      <c r="AQ50" s="43"/>
      <c r="AR50" s="43"/>
      <c r="AS50" s="43">
        <v>3</v>
      </c>
      <c r="AT50" s="43"/>
      <c r="AU50" s="44"/>
      <c r="AV50" s="45" t="s">
        <v>19</v>
      </c>
      <c r="AW50" s="47">
        <v>1</v>
      </c>
      <c r="AX50" s="43"/>
      <c r="AY50" s="43"/>
      <c r="AZ50" s="48">
        <f>IFERROR(IF(E50="","",RANK(E50,$E$10:$I$264,1)),0)</f>
        <v>5</v>
      </c>
      <c r="BA50" s="49"/>
      <c r="BB50" s="49"/>
      <c r="BC50" s="50"/>
      <c r="BE50" s="38">
        <v>9</v>
      </c>
      <c r="BF50" s="38"/>
      <c r="BG50" s="3"/>
      <c r="BH50" s="30" t="s">
        <v>40</v>
      </c>
      <c r="BI50" s="30"/>
      <c r="BJ50" s="30"/>
      <c r="BK50" s="30"/>
      <c r="BL50" s="30"/>
      <c r="BM50" s="30"/>
      <c r="BN50" s="30"/>
      <c r="BO50" s="30"/>
      <c r="BP50" s="30" t="str">
        <f>IF(BE50&gt;0,VLOOKUP(BE50,'[3]Infos joueurs'!$B:$BT,11,FALSE)," ")&amp;" "&amp;IF(BE50&gt;0,VLOOKUP(BE50,'[3]Infos joueurs'!$B:$BT,27,FALSE)," ")</f>
        <v>Jacquod Thibaud</v>
      </c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D50" s="54">
        <v>21</v>
      </c>
      <c r="CE50" s="54"/>
      <c r="CF50" s="54"/>
      <c r="CH50" s="59" t="str">
        <f t="shared" ref="CH50" si="118">AA50</f>
        <v xml:space="preserve">   </v>
      </c>
      <c r="CI50" s="59"/>
      <c r="CJ50" s="59"/>
      <c r="CK50" s="59"/>
      <c r="CL50" s="59"/>
      <c r="CM50" s="59"/>
      <c r="CN50" s="59"/>
      <c r="CO50" s="59"/>
      <c r="CP50" s="59"/>
      <c r="CQ50" s="59"/>
      <c r="CR50" s="59"/>
      <c r="CS50" s="59"/>
      <c r="CU50" s="24">
        <f t="shared" ref="CU50" si="119">IFERROR(INDEX($BE$10:$BE$269,MATCH(CH50,$BP$10:$BP$269,0)),0)</f>
        <v>0</v>
      </c>
      <c r="CV50" s="24"/>
      <c r="CW50" s="24"/>
    </row>
    <row r="51" spans="5:101" ht="7.5" customHeight="1" x14ac:dyDescent="0.2">
      <c r="E51" s="41"/>
      <c r="F51" s="61"/>
      <c r="G51" s="61"/>
      <c r="H51" s="61"/>
      <c r="I51" s="42"/>
      <c r="J51" s="63"/>
      <c r="K51" s="41"/>
      <c r="L51" s="61"/>
      <c r="M51" s="61"/>
      <c r="N51" s="42"/>
      <c r="O51" s="41"/>
      <c r="P51" s="42"/>
      <c r="Q51" s="41"/>
      <c r="R51" s="42"/>
      <c r="S51" s="41"/>
      <c r="T51" s="42"/>
      <c r="U51" s="41"/>
      <c r="V51" s="61"/>
      <c r="W51" s="61"/>
      <c r="X51" s="61"/>
      <c r="Y51" s="42"/>
      <c r="Z51" s="29"/>
      <c r="AA51" s="29"/>
      <c r="AB51" s="29"/>
      <c r="AC51" s="29"/>
      <c r="AD51" s="29"/>
      <c r="AE51" s="43"/>
      <c r="AF51" s="43"/>
      <c r="AG51" s="44"/>
      <c r="AH51" s="46"/>
      <c r="AI51" s="47"/>
      <c r="AJ51" s="43"/>
      <c r="AK51" s="43"/>
      <c r="AL51" s="43"/>
      <c r="AM51" s="43"/>
      <c r="AN51" s="44"/>
      <c r="AO51" s="46"/>
      <c r="AP51" s="47"/>
      <c r="AQ51" s="43"/>
      <c r="AR51" s="43"/>
      <c r="AS51" s="43"/>
      <c r="AT51" s="43"/>
      <c r="AU51" s="44"/>
      <c r="AV51" s="46"/>
      <c r="AW51" s="47"/>
      <c r="AX51" s="43"/>
      <c r="AY51" s="43"/>
      <c r="AZ51" s="51"/>
      <c r="BA51" s="52"/>
      <c r="BB51" s="52"/>
      <c r="BC51" s="53"/>
      <c r="BE51" s="38"/>
      <c r="BF51" s="38"/>
      <c r="BG51" s="3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D51" s="55"/>
      <c r="CE51" s="55"/>
      <c r="CF51" s="55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6"/>
      <c r="CU51" s="25"/>
      <c r="CV51" s="25"/>
      <c r="CW51" s="25"/>
    </row>
    <row r="52" spans="5:101" ht="7.5" customHeight="1" x14ac:dyDescent="0.2">
      <c r="E52" s="39">
        <f>IFERROR(IF(BP52="","-",RANK(S52,$S$10:$T$264,0)+RANK(Q52,$Q$10:$R$264,0)%+RANK(O52,$O$10:$P$264,0)%%+ROW()%%%),"-")</f>
        <v>124.242352</v>
      </c>
      <c r="F52" s="60"/>
      <c r="G52" s="60"/>
      <c r="H52" s="60"/>
      <c r="I52" s="40"/>
      <c r="J52" s="62">
        <f>IFERROR(IF(E52="","",RANK(E52,$E$10:$I$264,1)),"-")</f>
        <v>123</v>
      </c>
      <c r="K52" s="39" t="str">
        <f t="shared" ref="K52" si="120">BP52</f>
        <v>Clerc Manon</v>
      </c>
      <c r="L52" s="60"/>
      <c r="M52" s="60"/>
      <c r="N52" s="40"/>
      <c r="O52" s="39">
        <f t="shared" ref="O52" si="121">SUM(AE52-AI52)</f>
        <v>-38</v>
      </c>
      <c r="P52" s="40"/>
      <c r="Q52" s="39">
        <f t="shared" ref="Q52" si="122">SUM(AL52-AP52)</f>
        <v>-6</v>
      </c>
      <c r="R52" s="40"/>
      <c r="S52" s="39">
        <f t="shared" ref="S52" si="123">SUM(AS52-AW52)</f>
        <v>-4</v>
      </c>
      <c r="T52" s="40"/>
      <c r="U52" s="39">
        <f>IFERROR(SMALL($E$10:$I$264,22),0)</f>
        <v>12.131776</v>
      </c>
      <c r="V52" s="60"/>
      <c r="W52" s="60"/>
      <c r="X52" s="60"/>
      <c r="Y52" s="40"/>
      <c r="Z52" s="29">
        <f>IFERROR(IF(U52="","",RANK(U52,$U$10:$Y$264,1)),0)</f>
        <v>22</v>
      </c>
      <c r="AA52" s="29" t="str">
        <f>IFERROR(INDEX($K$10:$K$264,MATCH(U52,$E$10:$E$264,0),1),0)</f>
        <v xml:space="preserve">   </v>
      </c>
      <c r="AB52" s="29"/>
      <c r="AC52" s="29"/>
      <c r="AD52" s="29"/>
      <c r="AE52" s="43">
        <v>78</v>
      </c>
      <c r="AF52" s="43"/>
      <c r="AG52" s="44"/>
      <c r="AH52" s="45" t="s">
        <v>19</v>
      </c>
      <c r="AI52" s="47">
        <v>116</v>
      </c>
      <c r="AJ52" s="43"/>
      <c r="AK52" s="43"/>
      <c r="AL52" s="43">
        <v>3</v>
      </c>
      <c r="AM52" s="43"/>
      <c r="AN52" s="44"/>
      <c r="AO52" s="45" t="s">
        <v>19</v>
      </c>
      <c r="AP52" s="47">
        <v>9</v>
      </c>
      <c r="AQ52" s="43"/>
      <c r="AR52" s="43"/>
      <c r="AS52" s="43">
        <v>0</v>
      </c>
      <c r="AT52" s="43"/>
      <c r="AU52" s="44"/>
      <c r="AV52" s="45" t="s">
        <v>19</v>
      </c>
      <c r="AW52" s="47">
        <v>4</v>
      </c>
      <c r="AX52" s="43"/>
      <c r="AY52" s="43"/>
      <c r="AZ52" s="48">
        <f>IFERROR(IF(E52="","",RANK(E52,$E$10:$I$264,1)),0)</f>
        <v>123</v>
      </c>
      <c r="BA52" s="49"/>
      <c r="BB52" s="49"/>
      <c r="BC52" s="50"/>
      <c r="BE52" s="38">
        <v>24</v>
      </c>
      <c r="BF52" s="38"/>
      <c r="BG52" s="3"/>
      <c r="BH52" s="30" t="s">
        <v>41</v>
      </c>
      <c r="BI52" s="30"/>
      <c r="BJ52" s="30"/>
      <c r="BK52" s="30"/>
      <c r="BL52" s="30"/>
      <c r="BM52" s="30"/>
      <c r="BN52" s="30"/>
      <c r="BO52" s="30"/>
      <c r="BP52" s="30" t="str">
        <f>IF(BE52&gt;0,VLOOKUP(BE52,'[3]Infos joueurs'!$B:$BT,11,FALSE)," ")&amp;" "&amp;IF(BE52&gt;0,VLOOKUP(BE52,'[3]Infos joueurs'!$B:$BT,27,FALSE)," ")</f>
        <v>Clerc Manon</v>
      </c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D52" s="54">
        <v>22</v>
      </c>
      <c r="CE52" s="54"/>
      <c r="CF52" s="54"/>
      <c r="CH52" s="59" t="str">
        <f t="shared" ref="CH52" si="124">AA52</f>
        <v xml:space="preserve">   </v>
      </c>
      <c r="CI52" s="59"/>
      <c r="CJ52" s="59"/>
      <c r="CK52" s="59"/>
      <c r="CL52" s="59"/>
      <c r="CM52" s="59"/>
      <c r="CN52" s="59"/>
      <c r="CO52" s="59"/>
      <c r="CP52" s="59"/>
      <c r="CQ52" s="59"/>
      <c r="CR52" s="59"/>
      <c r="CS52" s="59"/>
      <c r="CU52" s="24">
        <f t="shared" ref="CU52" si="125">IFERROR(INDEX($BE$10:$BE$269,MATCH(CH52,$BP$10:$BP$269,0)),0)</f>
        <v>0</v>
      </c>
      <c r="CV52" s="24"/>
      <c r="CW52" s="24"/>
    </row>
    <row r="53" spans="5:101" ht="7.5" customHeight="1" x14ac:dyDescent="0.2">
      <c r="E53" s="41"/>
      <c r="F53" s="61"/>
      <c r="G53" s="61"/>
      <c r="H53" s="61"/>
      <c r="I53" s="42"/>
      <c r="J53" s="63"/>
      <c r="K53" s="41"/>
      <c r="L53" s="61"/>
      <c r="M53" s="61"/>
      <c r="N53" s="42"/>
      <c r="O53" s="41"/>
      <c r="P53" s="42"/>
      <c r="Q53" s="41"/>
      <c r="R53" s="42"/>
      <c r="S53" s="41"/>
      <c r="T53" s="42"/>
      <c r="U53" s="41"/>
      <c r="V53" s="61"/>
      <c r="W53" s="61"/>
      <c r="X53" s="61"/>
      <c r="Y53" s="42"/>
      <c r="Z53" s="29"/>
      <c r="AA53" s="29"/>
      <c r="AB53" s="29"/>
      <c r="AC53" s="29"/>
      <c r="AD53" s="29"/>
      <c r="AE53" s="43"/>
      <c r="AF53" s="43"/>
      <c r="AG53" s="44"/>
      <c r="AH53" s="46"/>
      <c r="AI53" s="47"/>
      <c r="AJ53" s="43"/>
      <c r="AK53" s="43"/>
      <c r="AL53" s="43"/>
      <c r="AM53" s="43"/>
      <c r="AN53" s="44"/>
      <c r="AO53" s="46"/>
      <c r="AP53" s="47"/>
      <c r="AQ53" s="43"/>
      <c r="AR53" s="43"/>
      <c r="AS53" s="43"/>
      <c r="AT53" s="43"/>
      <c r="AU53" s="44"/>
      <c r="AV53" s="46"/>
      <c r="AW53" s="47"/>
      <c r="AX53" s="43"/>
      <c r="AY53" s="43"/>
      <c r="AZ53" s="51"/>
      <c r="BA53" s="52"/>
      <c r="BB53" s="52"/>
      <c r="BC53" s="53"/>
      <c r="BE53" s="38"/>
      <c r="BF53" s="38"/>
      <c r="BG53" s="3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D53" s="55"/>
      <c r="CE53" s="55"/>
      <c r="CF53" s="55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U53" s="25"/>
      <c r="CV53" s="25"/>
      <c r="CW53" s="25"/>
    </row>
    <row r="54" spans="5:101" ht="7.5" customHeight="1" x14ac:dyDescent="0.2">
      <c r="E54" s="39">
        <f>IFERROR(IF(BP54="","-",RANK(S54,$S$10:$T$264,0)+RANK(Q54,$Q$10:$R$264,0)%+RANK(O54,$O$10:$P$264,0)%%+ROW()%%%),"-")</f>
        <v>119.20225400000001</v>
      </c>
      <c r="F54" s="60"/>
      <c r="G54" s="60"/>
      <c r="H54" s="60"/>
      <c r="I54" s="40"/>
      <c r="J54" s="62">
        <f>IFERROR(IF(E54="","",RANK(E54,$E$10:$I$264,1)),"-")</f>
        <v>122</v>
      </c>
      <c r="K54" s="39" t="str">
        <f t="shared" ref="K54" si="126">BP54</f>
        <v>Bottagisio Leticia</v>
      </c>
      <c r="L54" s="60"/>
      <c r="M54" s="60"/>
      <c r="N54" s="40"/>
      <c r="O54" s="39">
        <f t="shared" ref="O54" si="127">SUM(AE54-AI54)</f>
        <v>-31</v>
      </c>
      <c r="P54" s="40"/>
      <c r="Q54" s="39">
        <f t="shared" ref="Q54" si="128">SUM(AL54-AP54)</f>
        <v>-4</v>
      </c>
      <c r="R54" s="40"/>
      <c r="S54" s="39">
        <f t="shared" ref="S54" si="129">SUM(AS54-AW54)</f>
        <v>-2</v>
      </c>
      <c r="T54" s="40"/>
      <c r="U54" s="39">
        <f>IFERROR(SMALL($E$10:$I$264,23),0)</f>
        <v>12.131778000000001</v>
      </c>
      <c r="V54" s="60"/>
      <c r="W54" s="60"/>
      <c r="X54" s="60"/>
      <c r="Y54" s="40"/>
      <c r="Z54" s="29">
        <f>IFERROR(IF(U54="","",RANK(U54,$U$10:$Y$264,1)),0)</f>
        <v>23</v>
      </c>
      <c r="AA54" s="29" t="str">
        <f>IFERROR(INDEX($K$10:$K$264,MATCH(U54,$E$10:$E$264,0),1),0)</f>
        <v xml:space="preserve">   </v>
      </c>
      <c r="AB54" s="29"/>
      <c r="AC54" s="29"/>
      <c r="AD54" s="29"/>
      <c r="AE54" s="43">
        <v>82</v>
      </c>
      <c r="AF54" s="43"/>
      <c r="AG54" s="44"/>
      <c r="AH54" s="45" t="s">
        <v>19</v>
      </c>
      <c r="AI54" s="47">
        <v>113</v>
      </c>
      <c r="AJ54" s="43"/>
      <c r="AK54" s="43"/>
      <c r="AL54" s="43">
        <v>4</v>
      </c>
      <c r="AM54" s="43"/>
      <c r="AN54" s="44"/>
      <c r="AO54" s="45" t="s">
        <v>19</v>
      </c>
      <c r="AP54" s="47">
        <v>8</v>
      </c>
      <c r="AQ54" s="43"/>
      <c r="AR54" s="43"/>
      <c r="AS54" s="43">
        <v>1</v>
      </c>
      <c r="AT54" s="43"/>
      <c r="AU54" s="44"/>
      <c r="AV54" s="45" t="s">
        <v>19</v>
      </c>
      <c r="AW54" s="47">
        <v>3</v>
      </c>
      <c r="AX54" s="43"/>
      <c r="AY54" s="43"/>
      <c r="AZ54" s="48">
        <f>IFERROR(IF(E54="","",RANK(E54,$E$10:$I$264,1)),0)</f>
        <v>122</v>
      </c>
      <c r="BA54" s="49"/>
      <c r="BB54" s="49"/>
      <c r="BC54" s="50"/>
      <c r="BE54" s="38">
        <v>1</v>
      </c>
      <c r="BF54" s="38"/>
      <c r="BG54" s="3"/>
      <c r="BH54" s="30" t="s">
        <v>42</v>
      </c>
      <c r="BI54" s="30"/>
      <c r="BJ54" s="30"/>
      <c r="BK54" s="30"/>
      <c r="BL54" s="30"/>
      <c r="BM54" s="30"/>
      <c r="BN54" s="30"/>
      <c r="BO54" s="30"/>
      <c r="BP54" s="30" t="str">
        <f>IF(BE54&gt;0,VLOOKUP(BE54,'[3]Infos joueurs'!$B:$BT,11,FALSE)," ")&amp;" "&amp;IF(BE54&gt;0,VLOOKUP(BE54,'[3]Infos joueurs'!$B:$BT,27,FALSE)," ")</f>
        <v>Bottagisio Leticia</v>
      </c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D54" s="54">
        <v>23</v>
      </c>
      <c r="CE54" s="54"/>
      <c r="CF54" s="54"/>
      <c r="CH54" s="59" t="str">
        <f t="shared" ref="CH54" si="130">AA54</f>
        <v xml:space="preserve">   </v>
      </c>
      <c r="CI54" s="59"/>
      <c r="CJ54" s="59"/>
      <c r="CK54" s="59"/>
      <c r="CL54" s="59"/>
      <c r="CM54" s="59"/>
      <c r="CN54" s="59"/>
      <c r="CO54" s="59"/>
      <c r="CP54" s="59"/>
      <c r="CQ54" s="59"/>
      <c r="CR54" s="59"/>
      <c r="CS54" s="59"/>
      <c r="CU54" s="24">
        <f t="shared" ref="CU54" si="131">IFERROR(INDEX($BE$10:$BE$269,MATCH(CH54,$BP$10:$BP$269,0)),0)</f>
        <v>0</v>
      </c>
      <c r="CV54" s="24"/>
      <c r="CW54" s="24"/>
    </row>
    <row r="55" spans="5:101" ht="7.5" customHeight="1" x14ac:dyDescent="0.2">
      <c r="E55" s="41"/>
      <c r="F55" s="61"/>
      <c r="G55" s="61"/>
      <c r="H55" s="61"/>
      <c r="I55" s="42"/>
      <c r="J55" s="63"/>
      <c r="K55" s="41"/>
      <c r="L55" s="61"/>
      <c r="M55" s="61"/>
      <c r="N55" s="42"/>
      <c r="O55" s="41"/>
      <c r="P55" s="42"/>
      <c r="Q55" s="41"/>
      <c r="R55" s="42"/>
      <c r="S55" s="41"/>
      <c r="T55" s="42"/>
      <c r="U55" s="41"/>
      <c r="V55" s="61"/>
      <c r="W55" s="61"/>
      <c r="X55" s="61"/>
      <c r="Y55" s="42"/>
      <c r="Z55" s="29"/>
      <c r="AA55" s="29"/>
      <c r="AB55" s="29"/>
      <c r="AC55" s="29"/>
      <c r="AD55" s="29"/>
      <c r="AE55" s="43"/>
      <c r="AF55" s="43"/>
      <c r="AG55" s="44"/>
      <c r="AH55" s="46"/>
      <c r="AI55" s="47"/>
      <c r="AJ55" s="43"/>
      <c r="AK55" s="43"/>
      <c r="AL55" s="43"/>
      <c r="AM55" s="43"/>
      <c r="AN55" s="44"/>
      <c r="AO55" s="46"/>
      <c r="AP55" s="47"/>
      <c r="AQ55" s="43"/>
      <c r="AR55" s="43"/>
      <c r="AS55" s="43"/>
      <c r="AT55" s="43"/>
      <c r="AU55" s="44"/>
      <c r="AV55" s="46"/>
      <c r="AW55" s="47"/>
      <c r="AX55" s="43"/>
      <c r="AY55" s="43"/>
      <c r="AZ55" s="51"/>
      <c r="BA55" s="52"/>
      <c r="BB55" s="52"/>
      <c r="BC55" s="53"/>
      <c r="BE55" s="38"/>
      <c r="BF55" s="38"/>
      <c r="BG55" s="3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D55" s="55"/>
      <c r="CE55" s="55"/>
      <c r="CF55" s="55"/>
      <c r="CH55" s="56"/>
      <c r="CI55" s="56"/>
      <c r="CJ55" s="56"/>
      <c r="CK55" s="56"/>
      <c r="CL55" s="56"/>
      <c r="CM55" s="56"/>
      <c r="CN55" s="56"/>
      <c r="CO55" s="56"/>
      <c r="CP55" s="56"/>
      <c r="CQ55" s="56"/>
      <c r="CR55" s="56"/>
      <c r="CS55" s="56"/>
      <c r="CU55" s="25"/>
      <c r="CV55" s="25"/>
      <c r="CW55" s="25"/>
    </row>
    <row r="56" spans="5:101" ht="7.5" customHeight="1" x14ac:dyDescent="0.2">
      <c r="E56" s="39">
        <f>IFERROR(IF(BP56="","-",RANK(S56,$S$10:$T$264,0)+RANK(Q56,$Q$10:$R$264,0)%+RANK(O56,$O$10:$P$264,0)%%+ROW()%%%),"-")</f>
        <v>12.121356</v>
      </c>
      <c r="F56" s="60"/>
      <c r="G56" s="60"/>
      <c r="H56" s="60"/>
      <c r="I56" s="40"/>
      <c r="J56" s="62">
        <f>IFERROR(IF(E56="","",RANK(E56,$E$10:$I$264,1)),"-")</f>
        <v>12</v>
      </c>
      <c r="K56" s="39" t="str">
        <f t="shared" ref="K56" si="132">BP56</f>
        <v>Massy Kenny</v>
      </c>
      <c r="L56" s="60"/>
      <c r="M56" s="60"/>
      <c r="N56" s="40"/>
      <c r="O56" s="39">
        <f t="shared" ref="O56" si="133">SUM(AE56-AI56)</f>
        <v>9</v>
      </c>
      <c r="P56" s="40"/>
      <c r="Q56" s="39">
        <f t="shared" ref="Q56" si="134">SUM(AL56-AP56)</f>
        <v>2</v>
      </c>
      <c r="R56" s="40"/>
      <c r="S56" s="39">
        <f t="shared" ref="S56" si="135">SUM(AS56-AW56)</f>
        <v>0</v>
      </c>
      <c r="T56" s="40"/>
      <c r="U56" s="39">
        <f>IFERROR(SMALL($E$10:$I$264,24),0)</f>
        <v>12.131780000000001</v>
      </c>
      <c r="V56" s="60"/>
      <c r="W56" s="60"/>
      <c r="X56" s="60"/>
      <c r="Y56" s="40"/>
      <c r="Z56" s="29">
        <f>IFERROR(IF(U56="","",RANK(U56,$U$10:$Y$264,1)),0)</f>
        <v>24</v>
      </c>
      <c r="AA56" s="29" t="str">
        <f>IFERROR(INDEX($K$10:$K$264,MATCH(U56,$E$10:$E$264,0),1),0)</f>
        <v xml:space="preserve">   </v>
      </c>
      <c r="AB56" s="29"/>
      <c r="AC56" s="29"/>
      <c r="AD56" s="29"/>
      <c r="AE56" s="43">
        <v>90</v>
      </c>
      <c r="AF56" s="43"/>
      <c r="AG56" s="44"/>
      <c r="AH56" s="45" t="s">
        <v>19</v>
      </c>
      <c r="AI56" s="47">
        <v>81</v>
      </c>
      <c r="AJ56" s="43"/>
      <c r="AK56" s="43"/>
      <c r="AL56" s="43">
        <v>6</v>
      </c>
      <c r="AM56" s="43"/>
      <c r="AN56" s="44"/>
      <c r="AO56" s="45" t="s">
        <v>19</v>
      </c>
      <c r="AP56" s="47">
        <v>4</v>
      </c>
      <c r="AQ56" s="43"/>
      <c r="AR56" s="43"/>
      <c r="AS56" s="43">
        <v>2</v>
      </c>
      <c r="AT56" s="43"/>
      <c r="AU56" s="44"/>
      <c r="AV56" s="45" t="s">
        <v>19</v>
      </c>
      <c r="AW56" s="47">
        <v>2</v>
      </c>
      <c r="AX56" s="43"/>
      <c r="AY56" s="43"/>
      <c r="AZ56" s="48">
        <f>IFERROR(IF(E56="","",RANK(E56,$E$10:$I$264,1)),0)</f>
        <v>12</v>
      </c>
      <c r="BA56" s="49"/>
      <c r="BB56" s="49"/>
      <c r="BC56" s="50"/>
      <c r="BE56" s="38">
        <v>21</v>
      </c>
      <c r="BF56" s="38"/>
      <c r="BG56" s="3"/>
      <c r="BH56" s="30" t="s">
        <v>43</v>
      </c>
      <c r="BI56" s="30"/>
      <c r="BJ56" s="30"/>
      <c r="BK56" s="30"/>
      <c r="BL56" s="30"/>
      <c r="BM56" s="30"/>
      <c r="BN56" s="30"/>
      <c r="BO56" s="30"/>
      <c r="BP56" s="30" t="str">
        <f>IF(BE56&gt;0,VLOOKUP(BE56,'[3]Infos joueurs'!$B:$BT,11,FALSE)," ")&amp;" "&amp;IF(BE56&gt;0,VLOOKUP(BE56,'[3]Infos joueurs'!$B:$BT,27,FALSE)," ")</f>
        <v>Massy Kenny</v>
      </c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D56" s="54">
        <v>24</v>
      </c>
      <c r="CE56" s="54"/>
      <c r="CF56" s="54"/>
      <c r="CH56" s="59" t="str">
        <f t="shared" ref="CH56" si="136">AA56</f>
        <v xml:space="preserve">   </v>
      </c>
      <c r="CI56" s="59"/>
      <c r="CJ56" s="59"/>
      <c r="CK56" s="59"/>
      <c r="CL56" s="59"/>
      <c r="CM56" s="59"/>
      <c r="CN56" s="59"/>
      <c r="CO56" s="59"/>
      <c r="CP56" s="59"/>
      <c r="CQ56" s="59"/>
      <c r="CR56" s="59"/>
      <c r="CS56" s="59"/>
      <c r="CU56" s="24">
        <f t="shared" ref="CU56" si="137">IFERROR(INDEX($BE$10:$BE$269,MATCH(CH56,$BP$10:$BP$269,0)),0)</f>
        <v>0</v>
      </c>
      <c r="CV56" s="24"/>
      <c r="CW56" s="24"/>
    </row>
    <row r="57" spans="5:101" ht="7.5" customHeight="1" x14ac:dyDescent="0.2">
      <c r="E57" s="41"/>
      <c r="F57" s="61"/>
      <c r="G57" s="61"/>
      <c r="H57" s="61"/>
      <c r="I57" s="42"/>
      <c r="J57" s="63"/>
      <c r="K57" s="41"/>
      <c r="L57" s="61"/>
      <c r="M57" s="61"/>
      <c r="N57" s="42"/>
      <c r="O57" s="41"/>
      <c r="P57" s="42"/>
      <c r="Q57" s="41"/>
      <c r="R57" s="42"/>
      <c r="S57" s="41"/>
      <c r="T57" s="42"/>
      <c r="U57" s="41"/>
      <c r="V57" s="61"/>
      <c r="W57" s="61"/>
      <c r="X57" s="61"/>
      <c r="Y57" s="42"/>
      <c r="Z57" s="29"/>
      <c r="AA57" s="29"/>
      <c r="AB57" s="29"/>
      <c r="AC57" s="29"/>
      <c r="AD57" s="29"/>
      <c r="AE57" s="43"/>
      <c r="AF57" s="43"/>
      <c r="AG57" s="44"/>
      <c r="AH57" s="46"/>
      <c r="AI57" s="47"/>
      <c r="AJ57" s="43"/>
      <c r="AK57" s="43"/>
      <c r="AL57" s="43"/>
      <c r="AM57" s="43"/>
      <c r="AN57" s="44"/>
      <c r="AO57" s="46"/>
      <c r="AP57" s="47"/>
      <c r="AQ57" s="43"/>
      <c r="AR57" s="43"/>
      <c r="AS57" s="43"/>
      <c r="AT57" s="43"/>
      <c r="AU57" s="44"/>
      <c r="AV57" s="46"/>
      <c r="AW57" s="47"/>
      <c r="AX57" s="43"/>
      <c r="AY57" s="43"/>
      <c r="AZ57" s="51"/>
      <c r="BA57" s="52"/>
      <c r="BB57" s="52"/>
      <c r="BC57" s="53"/>
      <c r="BE57" s="38"/>
      <c r="BF57" s="38"/>
      <c r="BG57" s="3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D57" s="55"/>
      <c r="CE57" s="55"/>
      <c r="CF57" s="55"/>
      <c r="CH57" s="56"/>
      <c r="CI57" s="56"/>
      <c r="CJ57" s="56"/>
      <c r="CK57" s="56"/>
      <c r="CL57" s="56"/>
      <c r="CM57" s="56"/>
      <c r="CN57" s="56"/>
      <c r="CO57" s="56"/>
      <c r="CP57" s="56"/>
      <c r="CQ57" s="56"/>
      <c r="CR57" s="56"/>
      <c r="CS57" s="56"/>
      <c r="CU57" s="25"/>
      <c r="CV57" s="25"/>
      <c r="CW57" s="25"/>
    </row>
    <row r="58" spans="5:101" ht="7.5" customHeight="1" x14ac:dyDescent="0.2">
      <c r="E58" s="39">
        <f>IFERROR(IF(BP58="","-",RANK(S58,$S$10:$T$264,0)+RANK(Q58,$Q$10:$R$264,0)%+RANK(O58,$O$10:$P$264,0)%%+ROW()%%%),"-")</f>
        <v>1.0101579999999999</v>
      </c>
      <c r="F58" s="60"/>
      <c r="G58" s="60"/>
      <c r="H58" s="60"/>
      <c r="I58" s="40"/>
      <c r="J58" s="62">
        <f>IFERROR(IF(E58="","",RANK(E58,$E$10:$I$264,1)),"-")</f>
        <v>1</v>
      </c>
      <c r="K58" s="39" t="str">
        <f t="shared" ref="K58" si="138">BP58</f>
        <v>Clausix Adam</v>
      </c>
      <c r="L58" s="60"/>
      <c r="M58" s="60"/>
      <c r="N58" s="40"/>
      <c r="O58" s="39">
        <f t="shared" ref="O58" si="139">SUM(AE58-AI58)</f>
        <v>74</v>
      </c>
      <c r="P58" s="40"/>
      <c r="Q58" s="39">
        <f t="shared" ref="Q58" si="140">SUM(AL58-AP58)</f>
        <v>10</v>
      </c>
      <c r="R58" s="40"/>
      <c r="S58" s="39">
        <f t="shared" ref="S58" si="141">SUM(AS58-AW58)</f>
        <v>4</v>
      </c>
      <c r="T58" s="40"/>
      <c r="U58" s="39">
        <f>IFERROR(SMALL($E$10:$I$264,25),0)</f>
        <v>12.131782000000001</v>
      </c>
      <c r="V58" s="60"/>
      <c r="W58" s="60"/>
      <c r="X58" s="60"/>
      <c r="Y58" s="40"/>
      <c r="Z58" s="29">
        <f>IFERROR(IF(U58="","",RANK(U58,$U$10:$Y$264,1)),0)</f>
        <v>25</v>
      </c>
      <c r="AA58" s="29" t="str">
        <f>IFERROR(INDEX($K$10:$K$264,MATCH(U58,$E$10:$E$264,0),1),0)</f>
        <v xml:space="preserve">   </v>
      </c>
      <c r="AB58" s="29"/>
      <c r="AC58" s="29"/>
      <c r="AD58" s="29"/>
      <c r="AE58" s="43">
        <v>110</v>
      </c>
      <c r="AF58" s="43"/>
      <c r="AG58" s="44"/>
      <c r="AH58" s="45" t="s">
        <v>19</v>
      </c>
      <c r="AI58" s="47">
        <v>36</v>
      </c>
      <c r="AJ58" s="43"/>
      <c r="AK58" s="43"/>
      <c r="AL58" s="43">
        <v>10</v>
      </c>
      <c r="AM58" s="43"/>
      <c r="AN58" s="44"/>
      <c r="AO58" s="45" t="s">
        <v>19</v>
      </c>
      <c r="AP58" s="47">
        <v>0</v>
      </c>
      <c r="AQ58" s="43"/>
      <c r="AR58" s="43"/>
      <c r="AS58" s="43">
        <v>4</v>
      </c>
      <c r="AT58" s="43"/>
      <c r="AU58" s="44"/>
      <c r="AV58" s="45" t="s">
        <v>19</v>
      </c>
      <c r="AW58" s="47">
        <v>0</v>
      </c>
      <c r="AX58" s="43"/>
      <c r="AY58" s="43"/>
      <c r="AZ58" s="48">
        <f>IFERROR(IF(E58="","",RANK(E58,$E$10:$I$264,1)),0)</f>
        <v>1</v>
      </c>
      <c r="BA58" s="49"/>
      <c r="BB58" s="49"/>
      <c r="BC58" s="50"/>
      <c r="BE58" s="38">
        <v>4</v>
      </c>
      <c r="BF58" s="38"/>
      <c r="BG58" s="3"/>
      <c r="BH58" s="30" t="s">
        <v>44</v>
      </c>
      <c r="BI58" s="30"/>
      <c r="BJ58" s="30"/>
      <c r="BK58" s="30"/>
      <c r="BL58" s="30"/>
      <c r="BM58" s="30"/>
      <c r="BN58" s="30"/>
      <c r="BO58" s="30"/>
      <c r="BP58" s="30" t="str">
        <f>IF(BE58&gt;0,VLOOKUP(BE58,'[3]Infos joueurs'!$B:$BT,11,FALSE)," ")&amp;" "&amp;IF(BE58&gt;0,VLOOKUP(BE58,'[3]Infos joueurs'!$B:$BT,27,FALSE)," ")</f>
        <v>Clausix Adam</v>
      </c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D58" s="54">
        <v>25</v>
      </c>
      <c r="CE58" s="54"/>
      <c r="CF58" s="54"/>
      <c r="CH58" s="59" t="str">
        <f t="shared" ref="CH58" si="142">AA58</f>
        <v xml:space="preserve">   </v>
      </c>
      <c r="CI58" s="59"/>
      <c r="CJ58" s="59"/>
      <c r="CK58" s="59"/>
      <c r="CL58" s="59"/>
      <c r="CM58" s="59"/>
      <c r="CN58" s="59"/>
      <c r="CO58" s="59"/>
      <c r="CP58" s="59"/>
      <c r="CQ58" s="59"/>
      <c r="CR58" s="59"/>
      <c r="CS58" s="59"/>
      <c r="CU58" s="24">
        <f t="shared" ref="CU58" si="143">IFERROR(INDEX($BE$10:$BE$269,MATCH(CH58,$BP$10:$BP$269,0)),0)</f>
        <v>0</v>
      </c>
      <c r="CV58" s="24"/>
      <c r="CW58" s="24"/>
    </row>
    <row r="59" spans="5:101" ht="7.5" customHeight="1" x14ac:dyDescent="0.2">
      <c r="E59" s="41"/>
      <c r="F59" s="61"/>
      <c r="G59" s="61"/>
      <c r="H59" s="61"/>
      <c r="I59" s="42"/>
      <c r="J59" s="63"/>
      <c r="K59" s="41"/>
      <c r="L59" s="61"/>
      <c r="M59" s="61"/>
      <c r="N59" s="42"/>
      <c r="O59" s="41"/>
      <c r="P59" s="42"/>
      <c r="Q59" s="41"/>
      <c r="R59" s="42"/>
      <c r="S59" s="41"/>
      <c r="T59" s="42"/>
      <c r="U59" s="41"/>
      <c r="V59" s="61"/>
      <c r="W59" s="61"/>
      <c r="X59" s="61"/>
      <c r="Y59" s="42"/>
      <c r="Z59" s="29"/>
      <c r="AA59" s="29"/>
      <c r="AB59" s="29"/>
      <c r="AC59" s="29"/>
      <c r="AD59" s="29"/>
      <c r="AE59" s="43"/>
      <c r="AF59" s="43"/>
      <c r="AG59" s="44"/>
      <c r="AH59" s="46"/>
      <c r="AI59" s="47"/>
      <c r="AJ59" s="43"/>
      <c r="AK59" s="43"/>
      <c r="AL59" s="43"/>
      <c r="AM59" s="43"/>
      <c r="AN59" s="44"/>
      <c r="AO59" s="46"/>
      <c r="AP59" s="47"/>
      <c r="AQ59" s="43"/>
      <c r="AR59" s="43"/>
      <c r="AS59" s="43"/>
      <c r="AT59" s="43"/>
      <c r="AU59" s="44"/>
      <c r="AV59" s="46"/>
      <c r="AW59" s="47"/>
      <c r="AX59" s="43"/>
      <c r="AY59" s="43"/>
      <c r="AZ59" s="51"/>
      <c r="BA59" s="52"/>
      <c r="BB59" s="52"/>
      <c r="BC59" s="53"/>
      <c r="BE59" s="38"/>
      <c r="BF59" s="38"/>
      <c r="BG59" s="3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D59" s="55"/>
      <c r="CE59" s="55"/>
      <c r="CF59" s="55"/>
      <c r="CH59" s="56"/>
      <c r="CI59" s="56"/>
      <c r="CJ59" s="56"/>
      <c r="CK59" s="56"/>
      <c r="CL59" s="56"/>
      <c r="CM59" s="56"/>
      <c r="CN59" s="56"/>
      <c r="CO59" s="56"/>
      <c r="CP59" s="56"/>
      <c r="CQ59" s="56"/>
      <c r="CR59" s="56"/>
      <c r="CS59" s="56"/>
      <c r="CU59" s="25"/>
      <c r="CV59" s="25"/>
      <c r="CW59" s="25"/>
    </row>
    <row r="60" spans="5:101" ht="7.5" customHeight="1" x14ac:dyDescent="0.2">
      <c r="E60" s="39">
        <f>IFERROR(IF(BP60="","-",RANK(S60,$S$10:$T$264,0)+RANK(Q60,$Q$10:$R$264,0)%+RANK(O60,$O$10:$P$264,0)%%+ROW()%%%),"-")</f>
        <v>124.25246</v>
      </c>
      <c r="F60" s="60"/>
      <c r="G60" s="60"/>
      <c r="H60" s="60"/>
      <c r="I60" s="40"/>
      <c r="J60" s="62">
        <f>IFERROR(IF(E60="","",RANK(E60,$E$10:$I$264,1)),"-")</f>
        <v>124</v>
      </c>
      <c r="K60" s="39" t="str">
        <f t="shared" ref="K60" si="144">BP60</f>
        <v>Weissbrodt Elda</v>
      </c>
      <c r="L60" s="60"/>
      <c r="M60" s="60"/>
      <c r="N60" s="40"/>
      <c r="O60" s="39">
        <f t="shared" ref="O60" si="145">SUM(AE60-AI60)</f>
        <v>-53</v>
      </c>
      <c r="P60" s="40"/>
      <c r="Q60" s="39">
        <f t="shared" ref="Q60" si="146">SUM(AL60-AP60)</f>
        <v>-8</v>
      </c>
      <c r="R60" s="40"/>
      <c r="S60" s="39">
        <f t="shared" ref="S60" si="147">SUM(AS60-AW60)</f>
        <v>-4</v>
      </c>
      <c r="T60" s="40"/>
      <c r="U60" s="39">
        <f>IFERROR(SMALL($E$10:$I$264,26),0)</f>
        <v>12.131784</v>
      </c>
      <c r="V60" s="60"/>
      <c r="W60" s="60"/>
      <c r="X60" s="60"/>
      <c r="Y60" s="40"/>
      <c r="Z60" s="29">
        <f>IFERROR(IF(U60="","",RANK(U60,$U$10:$Y$264,1)),0)</f>
        <v>26</v>
      </c>
      <c r="AA60" s="29" t="str">
        <f>IFERROR(INDEX($K$10:$K$264,MATCH(U60,$E$10:$E$264,0),1),0)</f>
        <v xml:space="preserve">   </v>
      </c>
      <c r="AB60" s="29"/>
      <c r="AC60" s="29"/>
      <c r="AD60" s="29"/>
      <c r="AE60" s="43">
        <v>75</v>
      </c>
      <c r="AF60" s="43"/>
      <c r="AG60" s="44"/>
      <c r="AH60" s="45" t="s">
        <v>19</v>
      </c>
      <c r="AI60" s="47">
        <v>128</v>
      </c>
      <c r="AJ60" s="43"/>
      <c r="AK60" s="43"/>
      <c r="AL60" s="43">
        <v>2</v>
      </c>
      <c r="AM60" s="43"/>
      <c r="AN60" s="44"/>
      <c r="AO60" s="45" t="s">
        <v>19</v>
      </c>
      <c r="AP60" s="47">
        <v>10</v>
      </c>
      <c r="AQ60" s="43"/>
      <c r="AR60" s="43"/>
      <c r="AS60" s="43">
        <v>0</v>
      </c>
      <c r="AT60" s="43"/>
      <c r="AU60" s="44"/>
      <c r="AV60" s="45" t="s">
        <v>19</v>
      </c>
      <c r="AW60" s="47">
        <v>4</v>
      </c>
      <c r="AX60" s="43"/>
      <c r="AY60" s="43"/>
      <c r="AZ60" s="48">
        <f>IFERROR(IF(E60="","",RANK(E60,$E$10:$I$264,1)),0)</f>
        <v>124</v>
      </c>
      <c r="BA60" s="49"/>
      <c r="BB60" s="49"/>
      <c r="BC60" s="50"/>
      <c r="BE60" s="38">
        <v>25</v>
      </c>
      <c r="BF60" s="38"/>
      <c r="BG60" s="3"/>
      <c r="BH60" s="30" t="s">
        <v>45</v>
      </c>
      <c r="BI60" s="30"/>
      <c r="BJ60" s="30"/>
      <c r="BK60" s="30"/>
      <c r="BL60" s="30"/>
      <c r="BM60" s="30"/>
      <c r="BN60" s="30"/>
      <c r="BO60" s="30"/>
      <c r="BP60" s="30" t="str">
        <f>IF(BE60&gt;0,VLOOKUP(BE60,'[3]Infos joueurs'!$B:$BT,11,FALSE)," ")&amp;" "&amp;IF(BE60&gt;0,VLOOKUP(BE60,'[3]Infos joueurs'!$B:$BT,27,FALSE)," ")</f>
        <v>Weissbrodt Elda</v>
      </c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D60" s="54">
        <v>26</v>
      </c>
      <c r="CE60" s="54"/>
      <c r="CF60" s="54"/>
      <c r="CH60" s="59" t="str">
        <f t="shared" ref="CH60" si="148">AA60</f>
        <v xml:space="preserve">   </v>
      </c>
      <c r="CI60" s="59"/>
      <c r="CJ60" s="59"/>
      <c r="CK60" s="59"/>
      <c r="CL60" s="59"/>
      <c r="CM60" s="59"/>
      <c r="CN60" s="59"/>
      <c r="CO60" s="59"/>
      <c r="CP60" s="59"/>
      <c r="CQ60" s="59"/>
      <c r="CR60" s="59"/>
      <c r="CS60" s="59"/>
      <c r="CU60" s="24">
        <f t="shared" ref="CU60" si="149">IFERROR(INDEX($BE$10:$BE$269,MATCH(CH60,$BP$10:$BP$269,0)),0)</f>
        <v>0</v>
      </c>
      <c r="CV60" s="24"/>
      <c r="CW60" s="24"/>
    </row>
    <row r="61" spans="5:101" ht="7.5" customHeight="1" x14ac:dyDescent="0.2">
      <c r="E61" s="41"/>
      <c r="F61" s="61"/>
      <c r="G61" s="61"/>
      <c r="H61" s="61"/>
      <c r="I61" s="42"/>
      <c r="J61" s="63"/>
      <c r="K61" s="41"/>
      <c r="L61" s="61"/>
      <c r="M61" s="61"/>
      <c r="N61" s="42"/>
      <c r="O61" s="41"/>
      <c r="P61" s="42"/>
      <c r="Q61" s="41"/>
      <c r="R61" s="42"/>
      <c r="S61" s="41"/>
      <c r="T61" s="42"/>
      <c r="U61" s="41"/>
      <c r="V61" s="61"/>
      <c r="W61" s="61"/>
      <c r="X61" s="61"/>
      <c r="Y61" s="42"/>
      <c r="Z61" s="29"/>
      <c r="AA61" s="29"/>
      <c r="AB61" s="29"/>
      <c r="AC61" s="29"/>
      <c r="AD61" s="29"/>
      <c r="AE61" s="43"/>
      <c r="AF61" s="43"/>
      <c r="AG61" s="44"/>
      <c r="AH61" s="46"/>
      <c r="AI61" s="47"/>
      <c r="AJ61" s="43"/>
      <c r="AK61" s="43"/>
      <c r="AL61" s="43"/>
      <c r="AM61" s="43"/>
      <c r="AN61" s="44"/>
      <c r="AO61" s="46"/>
      <c r="AP61" s="47"/>
      <c r="AQ61" s="43"/>
      <c r="AR61" s="43"/>
      <c r="AS61" s="43"/>
      <c r="AT61" s="43"/>
      <c r="AU61" s="44"/>
      <c r="AV61" s="46"/>
      <c r="AW61" s="47"/>
      <c r="AX61" s="43"/>
      <c r="AY61" s="43"/>
      <c r="AZ61" s="51"/>
      <c r="BA61" s="52"/>
      <c r="BB61" s="52"/>
      <c r="BC61" s="53"/>
      <c r="BE61" s="38"/>
      <c r="BF61" s="38"/>
      <c r="BG61" s="3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D61" s="55"/>
      <c r="CE61" s="55"/>
      <c r="CF61" s="55"/>
      <c r="CH61" s="56"/>
      <c r="CI61" s="56"/>
      <c r="CJ61" s="56"/>
      <c r="CK61" s="56"/>
      <c r="CL61" s="56"/>
      <c r="CM61" s="56"/>
      <c r="CN61" s="56"/>
      <c r="CO61" s="56"/>
      <c r="CP61" s="56"/>
      <c r="CQ61" s="56"/>
      <c r="CR61" s="56"/>
      <c r="CS61" s="56"/>
      <c r="CU61" s="25"/>
      <c r="CV61" s="25"/>
      <c r="CW61" s="25"/>
    </row>
    <row r="62" spans="5:101" ht="7.5" customHeight="1" x14ac:dyDescent="0.2">
      <c r="E62" s="39">
        <f>IFERROR(IF(BP62="","-",RANK(S62,$S$10:$T$264,0)+RANK(Q62,$Q$10:$R$264,0)%+RANK(O62,$O$10:$P$264,0)%%+ROW()%%%),"-")</f>
        <v>12.131762</v>
      </c>
      <c r="F62" s="60"/>
      <c r="G62" s="60"/>
      <c r="H62" s="60"/>
      <c r="I62" s="40"/>
      <c r="J62" s="62">
        <f>IFERROR(IF(E62="","",RANK(E62,$E$10:$I$264,1)),"-")</f>
        <v>15</v>
      </c>
      <c r="K62" s="39" t="str">
        <f t="shared" ref="K62" si="150">BP62</f>
        <v xml:space="preserve">   </v>
      </c>
      <c r="L62" s="60"/>
      <c r="M62" s="60"/>
      <c r="N62" s="40"/>
      <c r="O62" s="39">
        <f t="shared" ref="O62" si="151">SUM(AE62-AI62)</f>
        <v>0</v>
      </c>
      <c r="P62" s="40"/>
      <c r="Q62" s="39">
        <f t="shared" ref="Q62" si="152">SUM(AL62-AP62)</f>
        <v>0</v>
      </c>
      <c r="R62" s="40"/>
      <c r="S62" s="39">
        <f t="shared" ref="S62" si="153">SUM(AS62-AW62)</f>
        <v>0</v>
      </c>
      <c r="T62" s="40"/>
      <c r="U62" s="39">
        <f>IFERROR(SMALL($E$10:$I$264,27),0)</f>
        <v>12.131786</v>
      </c>
      <c r="V62" s="60"/>
      <c r="W62" s="60"/>
      <c r="X62" s="60"/>
      <c r="Y62" s="40"/>
      <c r="Z62" s="29">
        <f>IFERROR(IF(U62="","",RANK(U62,$U$10:$Y$264,1)),0)</f>
        <v>27</v>
      </c>
      <c r="AA62" s="29" t="str">
        <f>IFERROR(INDEX($K$10:$K$264,MATCH(U62,$E$10:$E$264,0),1),0)</f>
        <v xml:space="preserve">   </v>
      </c>
      <c r="AB62" s="29"/>
      <c r="AC62" s="29"/>
      <c r="AD62" s="29"/>
      <c r="AE62" s="43"/>
      <c r="AF62" s="43"/>
      <c r="AG62" s="44"/>
      <c r="AH62" s="45" t="s">
        <v>19</v>
      </c>
      <c r="AI62" s="47"/>
      <c r="AJ62" s="43"/>
      <c r="AK62" s="43"/>
      <c r="AL62" s="43"/>
      <c r="AM62" s="43"/>
      <c r="AN62" s="44"/>
      <c r="AO62" s="45" t="s">
        <v>19</v>
      </c>
      <c r="AP62" s="47"/>
      <c r="AQ62" s="43"/>
      <c r="AR62" s="43"/>
      <c r="AS62" s="43"/>
      <c r="AT62" s="43"/>
      <c r="AU62" s="44"/>
      <c r="AV62" s="45" t="s">
        <v>19</v>
      </c>
      <c r="AW62" s="47"/>
      <c r="AX62" s="43"/>
      <c r="AY62" s="43"/>
      <c r="AZ62" s="48">
        <f>IFERROR(IF(E62="","",RANK(E62,$E$10:$I$264,1)),0)</f>
        <v>15</v>
      </c>
      <c r="BA62" s="49"/>
      <c r="BB62" s="49"/>
      <c r="BC62" s="50"/>
      <c r="BE62" s="38"/>
      <c r="BF62" s="38"/>
      <c r="BG62" s="3"/>
      <c r="BH62" s="30" t="s">
        <v>46</v>
      </c>
      <c r="BI62" s="30"/>
      <c r="BJ62" s="30"/>
      <c r="BK62" s="30"/>
      <c r="BL62" s="30"/>
      <c r="BM62" s="30"/>
      <c r="BN62" s="30"/>
      <c r="BO62" s="30"/>
      <c r="BP62" s="30" t="str">
        <f>IF(BE62&gt;0,VLOOKUP(BE62,'[3]Infos joueurs'!$B:$BT,11,FALSE)," ")&amp;" "&amp;IF(BE62&gt;0,VLOOKUP(BE62,'[3]Infos joueurs'!$B:$BT,27,FALSE)," ")</f>
        <v xml:space="preserve">   </v>
      </c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D62" s="54">
        <v>27</v>
      </c>
      <c r="CE62" s="54"/>
      <c r="CF62" s="54"/>
      <c r="CH62" s="59" t="str">
        <f t="shared" ref="CH62" si="154">AA62</f>
        <v xml:space="preserve">   </v>
      </c>
      <c r="CI62" s="59"/>
      <c r="CJ62" s="59"/>
      <c r="CK62" s="59"/>
      <c r="CL62" s="59"/>
      <c r="CM62" s="59"/>
      <c r="CN62" s="59"/>
      <c r="CO62" s="59"/>
      <c r="CP62" s="59"/>
      <c r="CQ62" s="59"/>
      <c r="CR62" s="59"/>
      <c r="CS62" s="59"/>
      <c r="CU62" s="24">
        <f t="shared" ref="CU62" si="155">IFERROR(INDEX($BE$10:$BE$269,MATCH(CH62,$BP$10:$BP$269,0)),0)</f>
        <v>0</v>
      </c>
      <c r="CV62" s="24"/>
      <c r="CW62" s="24"/>
    </row>
    <row r="63" spans="5:101" ht="7.5" customHeight="1" x14ac:dyDescent="0.2">
      <c r="E63" s="41"/>
      <c r="F63" s="61"/>
      <c r="G63" s="61"/>
      <c r="H63" s="61"/>
      <c r="I63" s="42"/>
      <c r="J63" s="63"/>
      <c r="K63" s="41"/>
      <c r="L63" s="61"/>
      <c r="M63" s="61"/>
      <c r="N63" s="42"/>
      <c r="O63" s="41"/>
      <c r="P63" s="42"/>
      <c r="Q63" s="41"/>
      <c r="R63" s="42"/>
      <c r="S63" s="41"/>
      <c r="T63" s="42"/>
      <c r="U63" s="41"/>
      <c r="V63" s="61"/>
      <c r="W63" s="61"/>
      <c r="X63" s="61"/>
      <c r="Y63" s="42"/>
      <c r="Z63" s="29"/>
      <c r="AA63" s="29"/>
      <c r="AB63" s="29"/>
      <c r="AC63" s="29"/>
      <c r="AD63" s="29"/>
      <c r="AE63" s="43"/>
      <c r="AF63" s="43"/>
      <c r="AG63" s="44"/>
      <c r="AH63" s="46"/>
      <c r="AI63" s="47"/>
      <c r="AJ63" s="43"/>
      <c r="AK63" s="43"/>
      <c r="AL63" s="43"/>
      <c r="AM63" s="43"/>
      <c r="AN63" s="44"/>
      <c r="AO63" s="46"/>
      <c r="AP63" s="47"/>
      <c r="AQ63" s="43"/>
      <c r="AR63" s="43"/>
      <c r="AS63" s="43"/>
      <c r="AT63" s="43"/>
      <c r="AU63" s="44"/>
      <c r="AV63" s="46"/>
      <c r="AW63" s="47"/>
      <c r="AX63" s="43"/>
      <c r="AY63" s="43"/>
      <c r="AZ63" s="51"/>
      <c r="BA63" s="52"/>
      <c r="BB63" s="52"/>
      <c r="BC63" s="53"/>
      <c r="BE63" s="38"/>
      <c r="BF63" s="38"/>
      <c r="BG63" s="3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D63" s="55"/>
      <c r="CE63" s="55"/>
      <c r="CF63" s="55"/>
      <c r="CH63" s="56"/>
      <c r="CI63" s="56"/>
      <c r="CJ63" s="56"/>
      <c r="CK63" s="56"/>
      <c r="CL63" s="56"/>
      <c r="CM63" s="56"/>
      <c r="CN63" s="56"/>
      <c r="CO63" s="56"/>
      <c r="CP63" s="56"/>
      <c r="CQ63" s="56"/>
      <c r="CR63" s="56"/>
      <c r="CS63" s="56"/>
      <c r="CU63" s="25"/>
      <c r="CV63" s="25"/>
      <c r="CW63" s="25"/>
    </row>
    <row r="64" spans="5:101" ht="7.5" customHeight="1" x14ac:dyDescent="0.2">
      <c r="E64" s="39">
        <f>IFERROR(IF(BP64="","-",RANK(S64,$S$10:$T$264,0)+RANK(Q64,$Q$10:$R$264,0)%+RANK(O64,$O$10:$P$264,0)%%+ROW()%%%),"-")</f>
        <v>12.131764</v>
      </c>
      <c r="F64" s="60"/>
      <c r="G64" s="60"/>
      <c r="H64" s="60"/>
      <c r="I64" s="40"/>
      <c r="J64" s="62">
        <f>IFERROR(IF(E64="","",RANK(E64,$E$10:$I$264,1)),"-")</f>
        <v>16</v>
      </c>
      <c r="K64" s="39" t="str">
        <f t="shared" ref="K64" si="156">BP64</f>
        <v xml:space="preserve">   </v>
      </c>
      <c r="L64" s="60"/>
      <c r="M64" s="60"/>
      <c r="N64" s="40"/>
      <c r="O64" s="39">
        <f t="shared" ref="O64" si="157">SUM(AE64-AI64)</f>
        <v>0</v>
      </c>
      <c r="P64" s="40"/>
      <c r="Q64" s="39">
        <f t="shared" ref="Q64" si="158">SUM(AL64-AP64)</f>
        <v>0</v>
      </c>
      <c r="R64" s="40"/>
      <c r="S64" s="39">
        <f t="shared" ref="S64" si="159">SUM(AS64-AW64)</f>
        <v>0</v>
      </c>
      <c r="T64" s="40"/>
      <c r="U64" s="39">
        <f>IFERROR(SMALL($E$10:$I$264,28),0)</f>
        <v>12.131788</v>
      </c>
      <c r="V64" s="60"/>
      <c r="W64" s="60"/>
      <c r="X64" s="60"/>
      <c r="Y64" s="40"/>
      <c r="Z64" s="29">
        <f>IFERROR(IF(U64="","",RANK(U64,$U$10:$Y$264,1)),0)</f>
        <v>28</v>
      </c>
      <c r="AA64" s="29" t="str">
        <f>IFERROR(INDEX($K$10:$K$264,MATCH(U64,$E$10:$E$264,0),1),0)</f>
        <v xml:space="preserve">   </v>
      </c>
      <c r="AB64" s="29"/>
      <c r="AC64" s="29"/>
      <c r="AD64" s="29"/>
      <c r="AE64" s="43"/>
      <c r="AF64" s="43"/>
      <c r="AG64" s="44"/>
      <c r="AH64" s="45" t="s">
        <v>19</v>
      </c>
      <c r="AI64" s="47"/>
      <c r="AJ64" s="43"/>
      <c r="AK64" s="43"/>
      <c r="AL64" s="43"/>
      <c r="AM64" s="43"/>
      <c r="AN64" s="44"/>
      <c r="AO64" s="45" t="s">
        <v>19</v>
      </c>
      <c r="AP64" s="47"/>
      <c r="AQ64" s="43"/>
      <c r="AR64" s="43"/>
      <c r="AS64" s="43"/>
      <c r="AT64" s="43"/>
      <c r="AU64" s="44"/>
      <c r="AV64" s="45" t="s">
        <v>19</v>
      </c>
      <c r="AW64" s="47"/>
      <c r="AX64" s="43"/>
      <c r="AY64" s="43"/>
      <c r="AZ64" s="48">
        <f>IFERROR(IF(E64="","",RANK(E64,$E$10:$I$264,1)),0)</f>
        <v>16</v>
      </c>
      <c r="BA64" s="49"/>
      <c r="BB64" s="49"/>
      <c r="BC64" s="50"/>
      <c r="BE64" s="38"/>
      <c r="BF64" s="38"/>
      <c r="BG64" s="3"/>
      <c r="BH64" s="30" t="s">
        <v>47</v>
      </c>
      <c r="BI64" s="30"/>
      <c r="BJ64" s="30"/>
      <c r="BK64" s="30"/>
      <c r="BL64" s="30"/>
      <c r="BM64" s="30"/>
      <c r="BN64" s="30"/>
      <c r="BO64" s="30"/>
      <c r="BP64" s="30" t="str">
        <f>IF(BE64&gt;0,VLOOKUP(BE64,'[3]Infos joueurs'!$B:$BT,11,FALSE)," ")&amp;" "&amp;IF(BE64&gt;0,VLOOKUP(BE64,'[3]Infos joueurs'!$B:$BT,27,FALSE)," ")</f>
        <v xml:space="preserve">   </v>
      </c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D64" s="54">
        <v>28</v>
      </c>
      <c r="CE64" s="54"/>
      <c r="CF64" s="54"/>
      <c r="CH64" s="59" t="str">
        <f t="shared" ref="CH64" si="160">AA64</f>
        <v xml:space="preserve">   </v>
      </c>
      <c r="CI64" s="59"/>
      <c r="CJ64" s="59"/>
      <c r="CK64" s="59"/>
      <c r="CL64" s="59"/>
      <c r="CM64" s="59"/>
      <c r="CN64" s="59"/>
      <c r="CO64" s="59"/>
      <c r="CP64" s="59"/>
      <c r="CQ64" s="59"/>
      <c r="CR64" s="59"/>
      <c r="CS64" s="59"/>
      <c r="CU64" s="24">
        <f t="shared" ref="CU64" si="161">IFERROR(INDEX($BE$10:$BE$269,MATCH(CH64,$BP$10:$BP$269,0)),0)</f>
        <v>0</v>
      </c>
      <c r="CV64" s="24"/>
      <c r="CW64" s="24"/>
    </row>
    <row r="65" spans="5:101" ht="7.5" customHeight="1" x14ac:dyDescent="0.2">
      <c r="E65" s="41"/>
      <c r="F65" s="61"/>
      <c r="G65" s="61"/>
      <c r="H65" s="61"/>
      <c r="I65" s="42"/>
      <c r="J65" s="63"/>
      <c r="K65" s="41"/>
      <c r="L65" s="61"/>
      <c r="M65" s="61"/>
      <c r="N65" s="42"/>
      <c r="O65" s="41"/>
      <c r="P65" s="42"/>
      <c r="Q65" s="41"/>
      <c r="R65" s="42"/>
      <c r="S65" s="41"/>
      <c r="T65" s="42"/>
      <c r="U65" s="41"/>
      <c r="V65" s="61"/>
      <c r="W65" s="61"/>
      <c r="X65" s="61"/>
      <c r="Y65" s="42"/>
      <c r="Z65" s="29"/>
      <c r="AA65" s="29"/>
      <c r="AB65" s="29"/>
      <c r="AC65" s="29"/>
      <c r="AD65" s="29"/>
      <c r="AE65" s="43"/>
      <c r="AF65" s="43"/>
      <c r="AG65" s="44"/>
      <c r="AH65" s="46"/>
      <c r="AI65" s="47"/>
      <c r="AJ65" s="43"/>
      <c r="AK65" s="43"/>
      <c r="AL65" s="43"/>
      <c r="AM65" s="43"/>
      <c r="AN65" s="44"/>
      <c r="AO65" s="46"/>
      <c r="AP65" s="47"/>
      <c r="AQ65" s="43"/>
      <c r="AR65" s="43"/>
      <c r="AS65" s="43"/>
      <c r="AT65" s="43"/>
      <c r="AU65" s="44"/>
      <c r="AV65" s="46"/>
      <c r="AW65" s="47"/>
      <c r="AX65" s="43"/>
      <c r="AY65" s="43"/>
      <c r="AZ65" s="51"/>
      <c r="BA65" s="52"/>
      <c r="BB65" s="52"/>
      <c r="BC65" s="53"/>
      <c r="BE65" s="38"/>
      <c r="BF65" s="38"/>
      <c r="BG65" s="3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D65" s="55"/>
      <c r="CE65" s="55"/>
      <c r="CF65" s="55"/>
      <c r="CH65" s="56"/>
      <c r="CI65" s="56"/>
      <c r="CJ65" s="56"/>
      <c r="CK65" s="56"/>
      <c r="CL65" s="56"/>
      <c r="CM65" s="56"/>
      <c r="CN65" s="56"/>
      <c r="CO65" s="56"/>
      <c r="CP65" s="56"/>
      <c r="CQ65" s="56"/>
      <c r="CR65" s="56"/>
      <c r="CS65" s="56"/>
      <c r="CU65" s="25"/>
      <c r="CV65" s="25"/>
      <c r="CW65" s="25"/>
    </row>
    <row r="66" spans="5:101" ht="7.5" customHeight="1" x14ac:dyDescent="0.2">
      <c r="E66" s="39">
        <f>IFERROR(IF(BP66="","-",RANK(S66,$S$10:$T$264,0)+RANK(Q66,$Q$10:$R$264,0)%+RANK(O66,$O$10:$P$264,0)%%+ROW()%%%),"-")</f>
        <v>12.131766000000001</v>
      </c>
      <c r="F66" s="60"/>
      <c r="G66" s="60"/>
      <c r="H66" s="60"/>
      <c r="I66" s="40"/>
      <c r="J66" s="62">
        <f>IFERROR(IF(E66="","",RANK(E66,$E$10:$I$264,1)),"-")</f>
        <v>17</v>
      </c>
      <c r="K66" s="39" t="str">
        <f t="shared" ref="K66" si="162">BP66</f>
        <v xml:space="preserve">   </v>
      </c>
      <c r="L66" s="60"/>
      <c r="M66" s="60"/>
      <c r="N66" s="40"/>
      <c r="O66" s="39">
        <f t="shared" ref="O66" si="163">SUM(AE66-AI66)</f>
        <v>0</v>
      </c>
      <c r="P66" s="40"/>
      <c r="Q66" s="39">
        <f t="shared" ref="Q66" si="164">SUM(AL66-AP66)</f>
        <v>0</v>
      </c>
      <c r="R66" s="40"/>
      <c r="S66" s="39">
        <f t="shared" ref="S66" si="165">SUM(AS66-AW66)</f>
        <v>0</v>
      </c>
      <c r="T66" s="40"/>
      <c r="U66" s="39">
        <f>IFERROR(SMALL($E$10:$I$264,29),0)</f>
        <v>12.131790000000001</v>
      </c>
      <c r="V66" s="60"/>
      <c r="W66" s="60"/>
      <c r="X66" s="60"/>
      <c r="Y66" s="40"/>
      <c r="Z66" s="29">
        <f>IFERROR(IF(U66="","",RANK(U66,$U$10:$Y$264,1)),0)</f>
        <v>29</v>
      </c>
      <c r="AA66" s="29" t="str">
        <f>IFERROR(INDEX($K$10:$K$264,MATCH(U66,$E$10:$E$264,0),1),0)</f>
        <v xml:space="preserve">   </v>
      </c>
      <c r="AB66" s="29"/>
      <c r="AC66" s="29"/>
      <c r="AD66" s="29"/>
      <c r="AE66" s="43"/>
      <c r="AF66" s="43"/>
      <c r="AG66" s="44"/>
      <c r="AH66" s="45" t="s">
        <v>19</v>
      </c>
      <c r="AI66" s="47"/>
      <c r="AJ66" s="43"/>
      <c r="AK66" s="43"/>
      <c r="AL66" s="43"/>
      <c r="AM66" s="43"/>
      <c r="AN66" s="44"/>
      <c r="AO66" s="45" t="s">
        <v>19</v>
      </c>
      <c r="AP66" s="47"/>
      <c r="AQ66" s="43"/>
      <c r="AR66" s="43"/>
      <c r="AS66" s="43"/>
      <c r="AT66" s="43"/>
      <c r="AU66" s="44"/>
      <c r="AV66" s="45" t="s">
        <v>19</v>
      </c>
      <c r="AW66" s="47"/>
      <c r="AX66" s="43"/>
      <c r="AY66" s="43"/>
      <c r="AZ66" s="48">
        <f>IFERROR(IF(E66="","",RANK(E66,$E$10:$I$264,1)),0)</f>
        <v>17</v>
      </c>
      <c r="BA66" s="49"/>
      <c r="BB66" s="49"/>
      <c r="BC66" s="50"/>
      <c r="BE66" s="38"/>
      <c r="BF66" s="38"/>
      <c r="BG66" s="3"/>
      <c r="BH66" s="30" t="s">
        <v>48</v>
      </c>
      <c r="BI66" s="30"/>
      <c r="BJ66" s="30"/>
      <c r="BK66" s="30"/>
      <c r="BL66" s="30"/>
      <c r="BM66" s="30"/>
      <c r="BN66" s="30"/>
      <c r="BO66" s="30"/>
      <c r="BP66" s="30" t="str">
        <f>IF(BE66&gt;0,VLOOKUP(BE66,'[3]Infos joueurs'!$B:$BT,11,FALSE)," ")&amp;" "&amp;IF(BE66&gt;0,VLOOKUP(BE66,'[3]Infos joueurs'!$B:$BT,27,FALSE)," ")</f>
        <v xml:space="preserve">   </v>
      </c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D66" s="54">
        <v>29</v>
      </c>
      <c r="CE66" s="54"/>
      <c r="CF66" s="54"/>
      <c r="CH66" s="59" t="str">
        <f t="shared" ref="CH66" si="166">AA66</f>
        <v xml:space="preserve">   </v>
      </c>
      <c r="CI66" s="59"/>
      <c r="CJ66" s="59"/>
      <c r="CK66" s="59"/>
      <c r="CL66" s="59"/>
      <c r="CM66" s="59"/>
      <c r="CN66" s="59"/>
      <c r="CO66" s="59"/>
      <c r="CP66" s="59"/>
      <c r="CQ66" s="59"/>
      <c r="CR66" s="59"/>
      <c r="CS66" s="59"/>
      <c r="CU66" s="24">
        <f t="shared" ref="CU66" si="167">IFERROR(INDEX($BE$10:$BE$269,MATCH(CH66,$BP$10:$BP$269,0)),0)</f>
        <v>0</v>
      </c>
      <c r="CV66" s="24"/>
      <c r="CW66" s="24"/>
    </row>
    <row r="67" spans="5:101" ht="7.5" customHeight="1" x14ac:dyDescent="0.2">
      <c r="E67" s="41"/>
      <c r="F67" s="61"/>
      <c r="G67" s="61"/>
      <c r="H67" s="61"/>
      <c r="I67" s="42"/>
      <c r="J67" s="63"/>
      <c r="K67" s="41"/>
      <c r="L67" s="61"/>
      <c r="M67" s="61"/>
      <c r="N67" s="42"/>
      <c r="O67" s="41"/>
      <c r="P67" s="42"/>
      <c r="Q67" s="41"/>
      <c r="R67" s="42"/>
      <c r="S67" s="41"/>
      <c r="T67" s="42"/>
      <c r="U67" s="41"/>
      <c r="V67" s="61"/>
      <c r="W67" s="61"/>
      <c r="X67" s="61"/>
      <c r="Y67" s="42"/>
      <c r="Z67" s="29"/>
      <c r="AA67" s="29"/>
      <c r="AB67" s="29"/>
      <c r="AC67" s="29"/>
      <c r="AD67" s="29"/>
      <c r="AE67" s="43"/>
      <c r="AF67" s="43"/>
      <c r="AG67" s="44"/>
      <c r="AH67" s="46"/>
      <c r="AI67" s="47"/>
      <c r="AJ67" s="43"/>
      <c r="AK67" s="43"/>
      <c r="AL67" s="43"/>
      <c r="AM67" s="43"/>
      <c r="AN67" s="44"/>
      <c r="AO67" s="46"/>
      <c r="AP67" s="47"/>
      <c r="AQ67" s="43"/>
      <c r="AR67" s="43"/>
      <c r="AS67" s="43"/>
      <c r="AT67" s="43"/>
      <c r="AU67" s="44"/>
      <c r="AV67" s="46"/>
      <c r="AW67" s="47"/>
      <c r="AX67" s="43"/>
      <c r="AY67" s="43"/>
      <c r="AZ67" s="51"/>
      <c r="BA67" s="52"/>
      <c r="BB67" s="52"/>
      <c r="BC67" s="53"/>
      <c r="BE67" s="38"/>
      <c r="BF67" s="38"/>
      <c r="BG67" s="3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D67" s="55"/>
      <c r="CE67" s="55"/>
      <c r="CF67" s="55"/>
      <c r="CH67" s="56"/>
      <c r="CI67" s="56"/>
      <c r="CJ67" s="56"/>
      <c r="CK67" s="56"/>
      <c r="CL67" s="56"/>
      <c r="CM67" s="56"/>
      <c r="CN67" s="56"/>
      <c r="CO67" s="56"/>
      <c r="CP67" s="56"/>
      <c r="CQ67" s="56"/>
      <c r="CR67" s="56"/>
      <c r="CS67" s="56"/>
      <c r="CU67" s="25"/>
      <c r="CV67" s="25"/>
      <c r="CW67" s="25"/>
    </row>
    <row r="68" spans="5:101" ht="7.5" customHeight="1" x14ac:dyDescent="0.2">
      <c r="E68" s="39">
        <f>IFERROR(IF(BP68="","-",RANK(S68,$S$10:$T$264,0)+RANK(Q68,$Q$10:$R$264,0)%+RANK(O68,$O$10:$P$264,0)%%+ROW()%%%),"-")</f>
        <v>12.131768000000001</v>
      </c>
      <c r="F68" s="60"/>
      <c r="G68" s="60"/>
      <c r="H68" s="60"/>
      <c r="I68" s="40"/>
      <c r="J68" s="62">
        <f>IFERROR(IF(E68="","",RANK(E68,$E$10:$I$264,1)),"-")</f>
        <v>18</v>
      </c>
      <c r="K68" s="39" t="str">
        <f t="shared" ref="K68" si="168">BP68</f>
        <v xml:space="preserve">   </v>
      </c>
      <c r="L68" s="60"/>
      <c r="M68" s="60"/>
      <c r="N68" s="40"/>
      <c r="O68" s="39">
        <f t="shared" ref="O68" si="169">SUM(AE68-AI68)</f>
        <v>0</v>
      </c>
      <c r="P68" s="40"/>
      <c r="Q68" s="39">
        <f t="shared" ref="Q68" si="170">SUM(AL68-AP68)</f>
        <v>0</v>
      </c>
      <c r="R68" s="40"/>
      <c r="S68" s="39">
        <f t="shared" ref="S68" si="171">SUM(AS68-AW68)</f>
        <v>0</v>
      </c>
      <c r="T68" s="40"/>
      <c r="U68" s="39">
        <f>IFERROR(SMALL($E$10:$I$264,30),0)</f>
        <v>12.131792000000001</v>
      </c>
      <c r="V68" s="60"/>
      <c r="W68" s="60"/>
      <c r="X68" s="60"/>
      <c r="Y68" s="40"/>
      <c r="Z68" s="29">
        <f>IFERROR(IF(U68="","",RANK(U68,$U$10:$Y$264,1)),0)</f>
        <v>30</v>
      </c>
      <c r="AA68" s="29" t="str">
        <f>IFERROR(INDEX($K$10:$K$264,MATCH(U68,$E$10:$E$264,0),1),0)</f>
        <v xml:space="preserve">   </v>
      </c>
      <c r="AB68" s="29"/>
      <c r="AC68" s="29"/>
      <c r="AD68" s="29"/>
      <c r="AE68" s="43"/>
      <c r="AF68" s="43"/>
      <c r="AG68" s="44"/>
      <c r="AH68" s="45" t="s">
        <v>19</v>
      </c>
      <c r="AI68" s="47"/>
      <c r="AJ68" s="43"/>
      <c r="AK68" s="43"/>
      <c r="AL68" s="43"/>
      <c r="AM68" s="43"/>
      <c r="AN68" s="44"/>
      <c r="AO68" s="45" t="s">
        <v>19</v>
      </c>
      <c r="AP68" s="47"/>
      <c r="AQ68" s="43"/>
      <c r="AR68" s="43"/>
      <c r="AS68" s="43"/>
      <c r="AT68" s="43"/>
      <c r="AU68" s="44"/>
      <c r="AV68" s="45" t="s">
        <v>19</v>
      </c>
      <c r="AW68" s="47"/>
      <c r="AX68" s="43"/>
      <c r="AY68" s="43"/>
      <c r="AZ68" s="48">
        <f>IFERROR(IF(E68="","",RANK(E68,$E$10:$I$264,1)),0)</f>
        <v>18</v>
      </c>
      <c r="BA68" s="49"/>
      <c r="BB68" s="49"/>
      <c r="BC68" s="50"/>
      <c r="BE68" s="38"/>
      <c r="BF68" s="38"/>
      <c r="BG68" s="3"/>
      <c r="BH68" s="30" t="s">
        <v>49</v>
      </c>
      <c r="BI68" s="30"/>
      <c r="BJ68" s="30"/>
      <c r="BK68" s="30"/>
      <c r="BL68" s="30"/>
      <c r="BM68" s="30"/>
      <c r="BN68" s="30"/>
      <c r="BO68" s="30"/>
      <c r="BP68" s="30" t="str">
        <f>IF(BE68&gt;0,VLOOKUP(BE68,'[3]Infos joueurs'!$B:$BT,11,FALSE)," ")&amp;" "&amp;IF(BE68&gt;0,VLOOKUP(BE68,'[3]Infos joueurs'!$B:$BT,27,FALSE)," ")</f>
        <v xml:space="preserve">   </v>
      </c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D68" s="54">
        <v>30</v>
      </c>
      <c r="CE68" s="54"/>
      <c r="CF68" s="54"/>
      <c r="CH68" s="59" t="str">
        <f t="shared" ref="CH68" si="172">AA68</f>
        <v xml:space="preserve">   </v>
      </c>
      <c r="CI68" s="59"/>
      <c r="CJ68" s="59"/>
      <c r="CK68" s="59"/>
      <c r="CL68" s="59"/>
      <c r="CM68" s="59"/>
      <c r="CN68" s="59"/>
      <c r="CO68" s="59"/>
      <c r="CP68" s="59"/>
      <c r="CQ68" s="59"/>
      <c r="CR68" s="59"/>
      <c r="CS68" s="59"/>
      <c r="CU68" s="24">
        <f t="shared" ref="CU68" si="173">IFERROR(INDEX($BE$10:$BE$269,MATCH(CH68,$BP$10:$BP$269,0)),0)</f>
        <v>0</v>
      </c>
      <c r="CV68" s="24"/>
      <c r="CW68" s="24"/>
    </row>
    <row r="69" spans="5:101" ht="7.5" customHeight="1" x14ac:dyDescent="0.2">
      <c r="E69" s="41"/>
      <c r="F69" s="61"/>
      <c r="G69" s="61"/>
      <c r="H69" s="61"/>
      <c r="I69" s="42"/>
      <c r="J69" s="63"/>
      <c r="K69" s="41"/>
      <c r="L69" s="61"/>
      <c r="M69" s="61"/>
      <c r="N69" s="42"/>
      <c r="O69" s="41"/>
      <c r="P69" s="42"/>
      <c r="Q69" s="41"/>
      <c r="R69" s="42"/>
      <c r="S69" s="41"/>
      <c r="T69" s="42"/>
      <c r="U69" s="41"/>
      <c r="V69" s="61"/>
      <c r="W69" s="61"/>
      <c r="X69" s="61"/>
      <c r="Y69" s="42"/>
      <c r="Z69" s="29"/>
      <c r="AA69" s="29"/>
      <c r="AB69" s="29"/>
      <c r="AC69" s="29"/>
      <c r="AD69" s="29"/>
      <c r="AE69" s="43"/>
      <c r="AF69" s="43"/>
      <c r="AG69" s="44"/>
      <c r="AH69" s="46"/>
      <c r="AI69" s="47"/>
      <c r="AJ69" s="43"/>
      <c r="AK69" s="43"/>
      <c r="AL69" s="43"/>
      <c r="AM69" s="43"/>
      <c r="AN69" s="44"/>
      <c r="AO69" s="46"/>
      <c r="AP69" s="47"/>
      <c r="AQ69" s="43"/>
      <c r="AR69" s="43"/>
      <c r="AS69" s="43"/>
      <c r="AT69" s="43"/>
      <c r="AU69" s="44"/>
      <c r="AV69" s="46"/>
      <c r="AW69" s="47"/>
      <c r="AX69" s="43"/>
      <c r="AY69" s="43"/>
      <c r="AZ69" s="51"/>
      <c r="BA69" s="52"/>
      <c r="BB69" s="52"/>
      <c r="BC69" s="53"/>
      <c r="BE69" s="38"/>
      <c r="BF69" s="38"/>
      <c r="BG69" s="3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D69" s="55"/>
      <c r="CE69" s="55"/>
      <c r="CF69" s="55"/>
      <c r="CH69" s="56"/>
      <c r="CI69" s="56"/>
      <c r="CJ69" s="56"/>
      <c r="CK69" s="56"/>
      <c r="CL69" s="56"/>
      <c r="CM69" s="56"/>
      <c r="CN69" s="56"/>
      <c r="CO69" s="56"/>
      <c r="CP69" s="56"/>
      <c r="CQ69" s="56"/>
      <c r="CR69" s="56"/>
      <c r="CS69" s="56"/>
      <c r="CU69" s="25"/>
      <c r="CV69" s="25"/>
      <c r="CW69" s="25"/>
    </row>
    <row r="70" spans="5:101" ht="7.5" customHeight="1" x14ac:dyDescent="0.2">
      <c r="E70" s="39">
        <f>IFERROR(IF(BP70="","-",RANK(S70,$S$10:$T$264,0)+RANK(Q70,$Q$10:$R$264,0)%+RANK(O70,$O$10:$P$264,0)%%+ROW()%%%),"-")</f>
        <v>12.131769999999999</v>
      </c>
      <c r="F70" s="60"/>
      <c r="G70" s="60"/>
      <c r="H70" s="60"/>
      <c r="I70" s="40"/>
      <c r="J70" s="62">
        <f>IFERROR(IF(E70="","",RANK(E70,$E$10:$I$264,1)),"-")</f>
        <v>19</v>
      </c>
      <c r="K70" s="39" t="str">
        <f t="shared" ref="K70" si="174">BP70</f>
        <v xml:space="preserve">   </v>
      </c>
      <c r="L70" s="60"/>
      <c r="M70" s="60"/>
      <c r="N70" s="40"/>
      <c r="O70" s="39">
        <f t="shared" ref="O70" si="175">SUM(AE70-AI70)</f>
        <v>0</v>
      </c>
      <c r="P70" s="40"/>
      <c r="Q70" s="39">
        <f t="shared" ref="Q70" si="176">SUM(AL70-AP70)</f>
        <v>0</v>
      </c>
      <c r="R70" s="40"/>
      <c r="S70" s="39">
        <f t="shared" ref="S70" si="177">SUM(AS70-AW70)</f>
        <v>0</v>
      </c>
      <c r="T70" s="40"/>
      <c r="U70" s="39">
        <f>IFERROR(SMALL($E$10:$I$264,31),0)</f>
        <v>12.131794000000001</v>
      </c>
      <c r="V70" s="60"/>
      <c r="W70" s="60"/>
      <c r="X70" s="60"/>
      <c r="Y70" s="40"/>
      <c r="Z70" s="29">
        <f>IFERROR(IF(U70="","",RANK(U70,$U$10:$Y$264,1)),0)</f>
        <v>31</v>
      </c>
      <c r="AA70" s="29" t="str">
        <f>IFERROR(INDEX($K$10:$K$264,MATCH(U70,$E$10:$E$264,0),1),0)</f>
        <v xml:space="preserve">   </v>
      </c>
      <c r="AB70" s="29"/>
      <c r="AC70" s="29"/>
      <c r="AD70" s="29"/>
      <c r="AE70" s="43"/>
      <c r="AF70" s="43"/>
      <c r="AG70" s="44"/>
      <c r="AH70" s="45" t="s">
        <v>19</v>
      </c>
      <c r="AI70" s="47"/>
      <c r="AJ70" s="43"/>
      <c r="AK70" s="43"/>
      <c r="AL70" s="43"/>
      <c r="AM70" s="43"/>
      <c r="AN70" s="44"/>
      <c r="AO70" s="45" t="s">
        <v>19</v>
      </c>
      <c r="AP70" s="47"/>
      <c r="AQ70" s="43"/>
      <c r="AR70" s="43"/>
      <c r="AS70" s="43"/>
      <c r="AT70" s="43"/>
      <c r="AU70" s="44"/>
      <c r="AV70" s="45" t="s">
        <v>19</v>
      </c>
      <c r="AW70" s="47"/>
      <c r="AX70" s="43"/>
      <c r="AY70" s="43"/>
      <c r="AZ70" s="48">
        <f>IFERROR(IF(E70="","",RANK(E70,$E$10:$I$264,1)),0)</f>
        <v>19</v>
      </c>
      <c r="BA70" s="49"/>
      <c r="BB70" s="49"/>
      <c r="BC70" s="50"/>
      <c r="BE70" s="38"/>
      <c r="BF70" s="38"/>
      <c r="BG70" s="3"/>
      <c r="BH70" s="30" t="s">
        <v>50</v>
      </c>
      <c r="BI70" s="30"/>
      <c r="BJ70" s="30"/>
      <c r="BK70" s="30"/>
      <c r="BL70" s="30"/>
      <c r="BM70" s="30"/>
      <c r="BN70" s="30"/>
      <c r="BO70" s="30"/>
      <c r="BP70" s="30" t="str">
        <f>IF(BE70&gt;0,VLOOKUP(BE70,'[3]Infos joueurs'!$B:$BT,11,FALSE)," ")&amp;" "&amp;IF(BE70&gt;0,VLOOKUP(BE70,'[3]Infos joueurs'!$B:$BT,27,FALSE)," ")</f>
        <v xml:space="preserve">   </v>
      </c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D70" s="54">
        <v>31</v>
      </c>
      <c r="CE70" s="54"/>
      <c r="CF70" s="54"/>
      <c r="CH70" s="59" t="str">
        <f t="shared" ref="CH70" si="178">AA70</f>
        <v xml:space="preserve">   </v>
      </c>
      <c r="CI70" s="59"/>
      <c r="CJ70" s="59"/>
      <c r="CK70" s="59"/>
      <c r="CL70" s="59"/>
      <c r="CM70" s="59"/>
      <c r="CN70" s="59"/>
      <c r="CO70" s="59"/>
      <c r="CP70" s="59"/>
      <c r="CQ70" s="59"/>
      <c r="CR70" s="59"/>
      <c r="CS70" s="59"/>
      <c r="CU70" s="24">
        <f t="shared" ref="CU70" si="179">IFERROR(INDEX($BE$10:$BE$269,MATCH(CH70,$BP$10:$BP$269,0)),0)</f>
        <v>0</v>
      </c>
      <c r="CV70" s="24"/>
      <c r="CW70" s="24"/>
    </row>
    <row r="71" spans="5:101" ht="7.5" customHeight="1" x14ac:dyDescent="0.2">
      <c r="E71" s="41"/>
      <c r="F71" s="61"/>
      <c r="G71" s="61"/>
      <c r="H71" s="61"/>
      <c r="I71" s="42"/>
      <c r="J71" s="63"/>
      <c r="K71" s="41"/>
      <c r="L71" s="61"/>
      <c r="M71" s="61"/>
      <c r="N71" s="42"/>
      <c r="O71" s="41"/>
      <c r="P71" s="42"/>
      <c r="Q71" s="41"/>
      <c r="R71" s="42"/>
      <c r="S71" s="41"/>
      <c r="T71" s="42"/>
      <c r="U71" s="41"/>
      <c r="V71" s="61"/>
      <c r="W71" s="61"/>
      <c r="X71" s="61"/>
      <c r="Y71" s="42"/>
      <c r="Z71" s="29"/>
      <c r="AA71" s="29"/>
      <c r="AB71" s="29"/>
      <c r="AC71" s="29"/>
      <c r="AD71" s="29"/>
      <c r="AE71" s="43"/>
      <c r="AF71" s="43"/>
      <c r="AG71" s="44"/>
      <c r="AH71" s="46"/>
      <c r="AI71" s="47"/>
      <c r="AJ71" s="43"/>
      <c r="AK71" s="43"/>
      <c r="AL71" s="43"/>
      <c r="AM71" s="43"/>
      <c r="AN71" s="44"/>
      <c r="AO71" s="46"/>
      <c r="AP71" s="47"/>
      <c r="AQ71" s="43"/>
      <c r="AR71" s="43"/>
      <c r="AS71" s="43"/>
      <c r="AT71" s="43"/>
      <c r="AU71" s="44"/>
      <c r="AV71" s="46"/>
      <c r="AW71" s="47"/>
      <c r="AX71" s="43"/>
      <c r="AY71" s="43"/>
      <c r="AZ71" s="51"/>
      <c r="BA71" s="52"/>
      <c r="BB71" s="52"/>
      <c r="BC71" s="53"/>
      <c r="BE71" s="38"/>
      <c r="BF71" s="38"/>
      <c r="BG71" s="3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D71" s="55"/>
      <c r="CE71" s="55"/>
      <c r="CF71" s="55"/>
      <c r="CH71" s="56"/>
      <c r="CI71" s="56"/>
      <c r="CJ71" s="56"/>
      <c r="CK71" s="56"/>
      <c r="CL71" s="56"/>
      <c r="CM71" s="56"/>
      <c r="CN71" s="56"/>
      <c r="CO71" s="56"/>
      <c r="CP71" s="56"/>
      <c r="CQ71" s="56"/>
      <c r="CR71" s="56"/>
      <c r="CS71" s="56"/>
      <c r="CU71" s="25"/>
      <c r="CV71" s="25"/>
      <c r="CW71" s="25"/>
    </row>
    <row r="72" spans="5:101" ht="7.5" customHeight="1" x14ac:dyDescent="0.2">
      <c r="E72" s="39">
        <f>IFERROR(IF(BP72="","-",RANK(S72,$S$10:$T$264,0)+RANK(Q72,$Q$10:$R$264,0)%+RANK(O72,$O$10:$P$264,0)%%+ROW()%%%),"-")</f>
        <v>12.131772</v>
      </c>
      <c r="F72" s="60"/>
      <c r="G72" s="60"/>
      <c r="H72" s="60"/>
      <c r="I72" s="40"/>
      <c r="J72" s="62">
        <f>IFERROR(IF(E72="","",RANK(E72,$E$10:$I$264,1)),"-")</f>
        <v>20</v>
      </c>
      <c r="K72" s="39" t="str">
        <f t="shared" ref="K72" si="180">BP72</f>
        <v xml:space="preserve">   </v>
      </c>
      <c r="L72" s="60"/>
      <c r="M72" s="60"/>
      <c r="N72" s="40"/>
      <c r="O72" s="39">
        <f t="shared" ref="O72" si="181">SUM(AE72-AI72)</f>
        <v>0</v>
      </c>
      <c r="P72" s="40"/>
      <c r="Q72" s="39">
        <f t="shared" ref="Q72" si="182">SUM(AL72-AP72)</f>
        <v>0</v>
      </c>
      <c r="R72" s="40"/>
      <c r="S72" s="39">
        <f t="shared" ref="S72" si="183">SUM(AS72-AW72)</f>
        <v>0</v>
      </c>
      <c r="T72" s="40"/>
      <c r="U72" s="39">
        <f>IFERROR(SMALL($E$10:$I$264,32),0)</f>
        <v>12.131796</v>
      </c>
      <c r="V72" s="60"/>
      <c r="W72" s="60"/>
      <c r="X72" s="60"/>
      <c r="Y72" s="40"/>
      <c r="Z72" s="29">
        <f>IFERROR(IF(U72="","",RANK(U72,$U$10:$Y$264,1)),0)</f>
        <v>32</v>
      </c>
      <c r="AA72" s="29" t="str">
        <f>IFERROR(INDEX($K$10:$K$264,MATCH(U72,$E$10:$E$264,0),1),0)</f>
        <v xml:space="preserve">   </v>
      </c>
      <c r="AB72" s="29"/>
      <c r="AC72" s="29"/>
      <c r="AD72" s="29"/>
      <c r="AE72" s="43"/>
      <c r="AF72" s="43"/>
      <c r="AG72" s="44"/>
      <c r="AH72" s="45" t="s">
        <v>19</v>
      </c>
      <c r="AI72" s="47"/>
      <c r="AJ72" s="43"/>
      <c r="AK72" s="43"/>
      <c r="AL72" s="43"/>
      <c r="AM72" s="43"/>
      <c r="AN72" s="44"/>
      <c r="AO72" s="45" t="s">
        <v>19</v>
      </c>
      <c r="AP72" s="47"/>
      <c r="AQ72" s="43"/>
      <c r="AR72" s="43"/>
      <c r="AS72" s="43"/>
      <c r="AT72" s="43"/>
      <c r="AU72" s="44"/>
      <c r="AV72" s="45" t="s">
        <v>19</v>
      </c>
      <c r="AW72" s="47"/>
      <c r="AX72" s="43"/>
      <c r="AY72" s="43"/>
      <c r="AZ72" s="48">
        <f>IFERROR(IF(E72="","",RANK(E72,$E$10:$I$264,1)),0)</f>
        <v>20</v>
      </c>
      <c r="BA72" s="49"/>
      <c r="BB72" s="49"/>
      <c r="BC72" s="50"/>
      <c r="BE72" s="38"/>
      <c r="BF72" s="38"/>
      <c r="BG72" s="3"/>
      <c r="BH72" s="30" t="s">
        <v>51</v>
      </c>
      <c r="BI72" s="30"/>
      <c r="BJ72" s="30"/>
      <c r="BK72" s="30"/>
      <c r="BL72" s="30"/>
      <c r="BM72" s="30"/>
      <c r="BN72" s="30"/>
      <c r="BO72" s="30"/>
      <c r="BP72" s="30" t="str">
        <f>IF(BE72&gt;0,VLOOKUP(BE72,'[3]Infos joueurs'!$B:$BT,11,FALSE)," ")&amp;" "&amp;IF(BE72&gt;0,VLOOKUP(BE72,'[3]Infos joueurs'!$B:$BT,27,FALSE)," ")</f>
        <v xml:space="preserve">   </v>
      </c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D72" s="54">
        <v>32</v>
      </c>
      <c r="CE72" s="54"/>
      <c r="CF72" s="54"/>
      <c r="CH72" s="59" t="str">
        <f t="shared" ref="CH72" si="184">AA72</f>
        <v xml:space="preserve">   </v>
      </c>
      <c r="CI72" s="59"/>
      <c r="CJ72" s="59"/>
      <c r="CK72" s="59"/>
      <c r="CL72" s="59"/>
      <c r="CM72" s="59"/>
      <c r="CN72" s="59"/>
      <c r="CO72" s="59"/>
      <c r="CP72" s="59"/>
      <c r="CQ72" s="59"/>
      <c r="CR72" s="59"/>
      <c r="CS72" s="59"/>
      <c r="CU72" s="24">
        <f t="shared" ref="CU72" si="185">IFERROR(INDEX($BE$10:$BE$269,MATCH(CH72,$BP$10:$BP$269,0)),0)</f>
        <v>0</v>
      </c>
      <c r="CV72" s="24"/>
      <c r="CW72" s="24"/>
    </row>
    <row r="73" spans="5:101" ht="7.5" customHeight="1" x14ac:dyDescent="0.2">
      <c r="E73" s="41"/>
      <c r="F73" s="61"/>
      <c r="G73" s="61"/>
      <c r="H73" s="61"/>
      <c r="I73" s="42"/>
      <c r="J73" s="63"/>
      <c r="K73" s="41"/>
      <c r="L73" s="61"/>
      <c r="M73" s="61"/>
      <c r="N73" s="42"/>
      <c r="O73" s="41"/>
      <c r="P73" s="42"/>
      <c r="Q73" s="41"/>
      <c r="R73" s="42"/>
      <c r="S73" s="41"/>
      <c r="T73" s="42"/>
      <c r="U73" s="41"/>
      <c r="V73" s="61"/>
      <c r="W73" s="61"/>
      <c r="X73" s="61"/>
      <c r="Y73" s="42"/>
      <c r="Z73" s="29"/>
      <c r="AA73" s="29"/>
      <c r="AB73" s="29"/>
      <c r="AC73" s="29"/>
      <c r="AD73" s="29"/>
      <c r="AE73" s="43"/>
      <c r="AF73" s="43"/>
      <c r="AG73" s="44"/>
      <c r="AH73" s="46"/>
      <c r="AI73" s="47"/>
      <c r="AJ73" s="43"/>
      <c r="AK73" s="43"/>
      <c r="AL73" s="43"/>
      <c r="AM73" s="43"/>
      <c r="AN73" s="44"/>
      <c r="AO73" s="46"/>
      <c r="AP73" s="47"/>
      <c r="AQ73" s="43"/>
      <c r="AR73" s="43"/>
      <c r="AS73" s="43"/>
      <c r="AT73" s="43"/>
      <c r="AU73" s="44"/>
      <c r="AV73" s="46"/>
      <c r="AW73" s="47"/>
      <c r="AX73" s="43"/>
      <c r="AY73" s="43"/>
      <c r="AZ73" s="51"/>
      <c r="BA73" s="52"/>
      <c r="BB73" s="52"/>
      <c r="BC73" s="53"/>
      <c r="BE73" s="38"/>
      <c r="BF73" s="38"/>
      <c r="BG73" s="3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D73" s="55"/>
      <c r="CE73" s="55"/>
      <c r="CF73" s="55"/>
      <c r="CH73" s="56"/>
      <c r="CI73" s="56"/>
      <c r="CJ73" s="56"/>
      <c r="CK73" s="56"/>
      <c r="CL73" s="56"/>
      <c r="CM73" s="56"/>
      <c r="CN73" s="56"/>
      <c r="CO73" s="56"/>
      <c r="CP73" s="56"/>
      <c r="CQ73" s="56"/>
      <c r="CR73" s="56"/>
      <c r="CS73" s="56"/>
      <c r="CU73" s="25"/>
      <c r="CV73" s="25"/>
      <c r="CW73" s="25"/>
    </row>
    <row r="74" spans="5:101" ht="7.5" customHeight="1" x14ac:dyDescent="0.2">
      <c r="E74" s="39">
        <f>IFERROR(IF(BP74="","-",RANK(S74,$S$10:$T$264,0)+RANK(Q74,$Q$10:$R$264,0)%+RANK(O74,$O$10:$P$264,0)%%+ROW()%%%),"-")</f>
        <v>12.131774</v>
      </c>
      <c r="F74" s="60"/>
      <c r="G74" s="60"/>
      <c r="H74" s="60"/>
      <c r="I74" s="40"/>
      <c r="J74" s="62">
        <f>IFERROR(IF(E74="","",RANK(E74,$E$10:$I$264,1)),"-")</f>
        <v>21</v>
      </c>
      <c r="K74" s="39" t="str">
        <f t="shared" ref="K74" si="186">BP74</f>
        <v xml:space="preserve">   </v>
      </c>
      <c r="L74" s="60"/>
      <c r="M74" s="60"/>
      <c r="N74" s="40"/>
      <c r="O74" s="39">
        <f t="shared" ref="O74" si="187">SUM(AE74-AI74)</f>
        <v>0</v>
      </c>
      <c r="P74" s="40"/>
      <c r="Q74" s="39">
        <f t="shared" ref="Q74" si="188">SUM(AL74-AP74)</f>
        <v>0</v>
      </c>
      <c r="R74" s="40"/>
      <c r="S74" s="39">
        <f t="shared" ref="S74" si="189">SUM(AS74-AW74)</f>
        <v>0</v>
      </c>
      <c r="T74" s="40"/>
      <c r="U74" s="39">
        <f>IFERROR(SMALL($E$10:$I$264,33),0)</f>
        <v>12.131798</v>
      </c>
      <c r="V74" s="60"/>
      <c r="W74" s="60"/>
      <c r="X74" s="60"/>
      <c r="Y74" s="40"/>
      <c r="Z74" s="29">
        <f>IFERROR(IF(U74="","",RANK(U74,$U$10:$Y$264,1)),0)</f>
        <v>33</v>
      </c>
      <c r="AA74" s="29" t="str">
        <f>IFERROR(INDEX($K$10:$K$264,MATCH(U74,$E$10:$E$264,0),1),0)</f>
        <v xml:space="preserve">   </v>
      </c>
      <c r="AB74" s="29"/>
      <c r="AC74" s="29"/>
      <c r="AD74" s="29"/>
      <c r="AE74" s="43"/>
      <c r="AF74" s="43"/>
      <c r="AG74" s="44"/>
      <c r="AH74" s="45" t="s">
        <v>19</v>
      </c>
      <c r="AI74" s="47"/>
      <c r="AJ74" s="43"/>
      <c r="AK74" s="43"/>
      <c r="AL74" s="43"/>
      <c r="AM74" s="43"/>
      <c r="AN74" s="44"/>
      <c r="AO74" s="45" t="s">
        <v>19</v>
      </c>
      <c r="AP74" s="47"/>
      <c r="AQ74" s="43"/>
      <c r="AR74" s="43"/>
      <c r="AS74" s="43"/>
      <c r="AT74" s="43"/>
      <c r="AU74" s="44"/>
      <c r="AV74" s="45" t="s">
        <v>19</v>
      </c>
      <c r="AW74" s="47"/>
      <c r="AX74" s="43"/>
      <c r="AY74" s="43"/>
      <c r="AZ74" s="48">
        <f>IFERROR(IF(E74="","",RANK(E74,$E$10:$I$264,1)),0)</f>
        <v>21</v>
      </c>
      <c r="BA74" s="49"/>
      <c r="BB74" s="49"/>
      <c r="BC74" s="50"/>
      <c r="BE74" s="38"/>
      <c r="BF74" s="38"/>
      <c r="BG74" s="3"/>
      <c r="BH74" s="30" t="s">
        <v>52</v>
      </c>
      <c r="BI74" s="30"/>
      <c r="BJ74" s="30"/>
      <c r="BK74" s="30"/>
      <c r="BL74" s="30"/>
      <c r="BM74" s="30"/>
      <c r="BN74" s="30"/>
      <c r="BO74" s="30"/>
      <c r="BP74" s="30" t="str">
        <f>IF(BE74&gt;0,VLOOKUP(BE74,'[3]Infos joueurs'!$B:$BT,11,FALSE)," ")&amp;" "&amp;IF(BE74&gt;0,VLOOKUP(BE74,'[3]Infos joueurs'!$B:$BT,27,FALSE)," ")</f>
        <v xml:space="preserve">   </v>
      </c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D74" s="54">
        <v>33</v>
      </c>
      <c r="CE74" s="54"/>
      <c r="CF74" s="54"/>
      <c r="CH74" s="59" t="str">
        <f t="shared" ref="CH74" si="190">AA74</f>
        <v xml:space="preserve">   </v>
      </c>
      <c r="CI74" s="59"/>
      <c r="CJ74" s="59"/>
      <c r="CK74" s="59"/>
      <c r="CL74" s="59"/>
      <c r="CM74" s="59"/>
      <c r="CN74" s="59"/>
      <c r="CO74" s="59"/>
      <c r="CP74" s="59"/>
      <c r="CQ74" s="59"/>
      <c r="CR74" s="59"/>
      <c r="CS74" s="59"/>
      <c r="CU74" s="24">
        <f t="shared" ref="CU74" si="191">IFERROR(INDEX($BE$10:$BE$269,MATCH(CH74,$BP$10:$BP$269,0)),0)</f>
        <v>0</v>
      </c>
      <c r="CV74" s="24"/>
      <c r="CW74" s="24"/>
    </row>
    <row r="75" spans="5:101" ht="7.5" customHeight="1" x14ac:dyDescent="0.2">
      <c r="E75" s="41"/>
      <c r="F75" s="61"/>
      <c r="G75" s="61"/>
      <c r="H75" s="61"/>
      <c r="I75" s="42"/>
      <c r="J75" s="63"/>
      <c r="K75" s="41"/>
      <c r="L75" s="61"/>
      <c r="M75" s="61"/>
      <c r="N75" s="42"/>
      <c r="O75" s="41"/>
      <c r="P75" s="42"/>
      <c r="Q75" s="41"/>
      <c r="R75" s="42"/>
      <c r="S75" s="41"/>
      <c r="T75" s="42"/>
      <c r="U75" s="41"/>
      <c r="V75" s="61"/>
      <c r="W75" s="61"/>
      <c r="X75" s="61"/>
      <c r="Y75" s="42"/>
      <c r="Z75" s="29"/>
      <c r="AA75" s="29"/>
      <c r="AB75" s="29"/>
      <c r="AC75" s="29"/>
      <c r="AD75" s="29"/>
      <c r="AE75" s="43"/>
      <c r="AF75" s="43"/>
      <c r="AG75" s="44"/>
      <c r="AH75" s="46"/>
      <c r="AI75" s="47"/>
      <c r="AJ75" s="43"/>
      <c r="AK75" s="43"/>
      <c r="AL75" s="43"/>
      <c r="AM75" s="43"/>
      <c r="AN75" s="44"/>
      <c r="AO75" s="46"/>
      <c r="AP75" s="47"/>
      <c r="AQ75" s="43"/>
      <c r="AR75" s="43"/>
      <c r="AS75" s="43"/>
      <c r="AT75" s="43"/>
      <c r="AU75" s="44"/>
      <c r="AV75" s="46"/>
      <c r="AW75" s="47"/>
      <c r="AX75" s="43"/>
      <c r="AY75" s="43"/>
      <c r="AZ75" s="51"/>
      <c r="BA75" s="52"/>
      <c r="BB75" s="52"/>
      <c r="BC75" s="53"/>
      <c r="BE75" s="38"/>
      <c r="BF75" s="38"/>
      <c r="BG75" s="3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D75" s="55"/>
      <c r="CE75" s="55"/>
      <c r="CF75" s="55"/>
      <c r="CH75" s="56"/>
      <c r="CI75" s="56"/>
      <c r="CJ75" s="56"/>
      <c r="CK75" s="56"/>
      <c r="CL75" s="56"/>
      <c r="CM75" s="56"/>
      <c r="CN75" s="56"/>
      <c r="CO75" s="56"/>
      <c r="CP75" s="56"/>
      <c r="CQ75" s="56"/>
      <c r="CR75" s="56"/>
      <c r="CS75" s="56"/>
      <c r="CU75" s="25"/>
      <c r="CV75" s="25"/>
      <c r="CW75" s="25"/>
    </row>
    <row r="76" spans="5:101" ht="7.5" customHeight="1" x14ac:dyDescent="0.2">
      <c r="E76" s="39">
        <f>IFERROR(IF(BP76="","-",RANK(S76,$S$10:$T$264,0)+RANK(Q76,$Q$10:$R$264,0)%+RANK(O76,$O$10:$P$264,0)%%+ROW()%%%),"-")</f>
        <v>12.131776</v>
      </c>
      <c r="F76" s="60"/>
      <c r="G76" s="60"/>
      <c r="H76" s="60"/>
      <c r="I76" s="40"/>
      <c r="J76" s="62">
        <f>IFERROR(IF(E76="","",RANK(E76,$E$10:$I$264,1)),"-")</f>
        <v>22</v>
      </c>
      <c r="K76" s="39" t="str">
        <f t="shared" ref="K76" si="192">BP76</f>
        <v xml:space="preserve">   </v>
      </c>
      <c r="L76" s="60"/>
      <c r="M76" s="60"/>
      <c r="N76" s="40"/>
      <c r="O76" s="39">
        <f t="shared" ref="O76" si="193">SUM(AE76-AI76)</f>
        <v>0</v>
      </c>
      <c r="P76" s="40"/>
      <c r="Q76" s="39">
        <f t="shared" ref="Q76" si="194">SUM(AL76-AP76)</f>
        <v>0</v>
      </c>
      <c r="R76" s="40"/>
      <c r="S76" s="39">
        <f t="shared" ref="S76" si="195">SUM(AS76-AW76)</f>
        <v>0</v>
      </c>
      <c r="T76" s="40"/>
      <c r="U76" s="39">
        <f>IFERROR(SMALL($E$10:$I$264,34),0)</f>
        <v>12.1318</v>
      </c>
      <c r="V76" s="60"/>
      <c r="W76" s="60"/>
      <c r="X76" s="60"/>
      <c r="Y76" s="40"/>
      <c r="Z76" s="29">
        <f>IFERROR(IF(U76="","",RANK(U76,$U$10:$Y$264,1)),0)</f>
        <v>34</v>
      </c>
      <c r="AA76" s="29" t="str">
        <f>IFERROR(INDEX($K$10:$K$264,MATCH(U76,$E$10:$E$264,0),1),0)</f>
        <v xml:space="preserve">   </v>
      </c>
      <c r="AB76" s="29"/>
      <c r="AC76" s="29"/>
      <c r="AD76" s="29"/>
      <c r="AE76" s="43"/>
      <c r="AF76" s="43"/>
      <c r="AG76" s="44"/>
      <c r="AH76" s="45" t="s">
        <v>19</v>
      </c>
      <c r="AI76" s="47"/>
      <c r="AJ76" s="43"/>
      <c r="AK76" s="43"/>
      <c r="AL76" s="43"/>
      <c r="AM76" s="43"/>
      <c r="AN76" s="44"/>
      <c r="AO76" s="45" t="s">
        <v>19</v>
      </c>
      <c r="AP76" s="47"/>
      <c r="AQ76" s="43"/>
      <c r="AR76" s="43"/>
      <c r="AS76" s="43"/>
      <c r="AT76" s="43"/>
      <c r="AU76" s="44"/>
      <c r="AV76" s="45" t="s">
        <v>19</v>
      </c>
      <c r="AW76" s="47"/>
      <c r="AX76" s="43"/>
      <c r="AY76" s="43"/>
      <c r="AZ76" s="48">
        <f>IFERROR(IF(E76="","",RANK(E76,$E$10:$I$264,1)),0)</f>
        <v>22</v>
      </c>
      <c r="BA76" s="49"/>
      <c r="BB76" s="49"/>
      <c r="BC76" s="50"/>
      <c r="BE76" s="38"/>
      <c r="BF76" s="38"/>
      <c r="BG76" s="3"/>
      <c r="BH76" s="30" t="s">
        <v>53</v>
      </c>
      <c r="BI76" s="30"/>
      <c r="BJ76" s="30"/>
      <c r="BK76" s="30"/>
      <c r="BL76" s="30"/>
      <c r="BM76" s="30"/>
      <c r="BN76" s="30"/>
      <c r="BO76" s="30"/>
      <c r="BP76" s="30" t="str">
        <f>IF(BE76&gt;0,VLOOKUP(BE76,'[3]Infos joueurs'!$B:$BT,11,FALSE)," ")&amp;" "&amp;IF(BE76&gt;0,VLOOKUP(BE76,'[3]Infos joueurs'!$B:$BT,27,FALSE)," ")</f>
        <v xml:space="preserve">   </v>
      </c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D76" s="54">
        <v>34</v>
      </c>
      <c r="CE76" s="54"/>
      <c r="CF76" s="54"/>
      <c r="CH76" s="59" t="str">
        <f t="shared" ref="CH76" si="196">AA76</f>
        <v xml:space="preserve">   </v>
      </c>
      <c r="CI76" s="59"/>
      <c r="CJ76" s="59"/>
      <c r="CK76" s="59"/>
      <c r="CL76" s="59"/>
      <c r="CM76" s="59"/>
      <c r="CN76" s="59"/>
      <c r="CO76" s="59"/>
      <c r="CP76" s="59"/>
      <c r="CQ76" s="59"/>
      <c r="CR76" s="59"/>
      <c r="CS76" s="59"/>
      <c r="CU76" s="24">
        <f t="shared" ref="CU76" si="197">IFERROR(INDEX($BE$10:$BE$269,MATCH(CH76,$BP$10:$BP$269,0)),0)</f>
        <v>0</v>
      </c>
      <c r="CV76" s="24"/>
      <c r="CW76" s="24"/>
    </row>
    <row r="77" spans="5:101" ht="7.5" customHeight="1" x14ac:dyDescent="0.2">
      <c r="E77" s="41"/>
      <c r="F77" s="61"/>
      <c r="G77" s="61"/>
      <c r="H77" s="61"/>
      <c r="I77" s="42"/>
      <c r="J77" s="63"/>
      <c r="K77" s="41"/>
      <c r="L77" s="61"/>
      <c r="M77" s="61"/>
      <c r="N77" s="42"/>
      <c r="O77" s="41"/>
      <c r="P77" s="42"/>
      <c r="Q77" s="41"/>
      <c r="R77" s="42"/>
      <c r="S77" s="41"/>
      <c r="T77" s="42"/>
      <c r="U77" s="41"/>
      <c r="V77" s="61"/>
      <c r="W77" s="61"/>
      <c r="X77" s="61"/>
      <c r="Y77" s="42"/>
      <c r="Z77" s="29"/>
      <c r="AA77" s="29"/>
      <c r="AB77" s="29"/>
      <c r="AC77" s="29"/>
      <c r="AD77" s="29"/>
      <c r="AE77" s="43"/>
      <c r="AF77" s="43"/>
      <c r="AG77" s="44"/>
      <c r="AH77" s="46"/>
      <c r="AI77" s="47"/>
      <c r="AJ77" s="43"/>
      <c r="AK77" s="43"/>
      <c r="AL77" s="43"/>
      <c r="AM77" s="43"/>
      <c r="AN77" s="44"/>
      <c r="AO77" s="46"/>
      <c r="AP77" s="47"/>
      <c r="AQ77" s="43"/>
      <c r="AR77" s="43"/>
      <c r="AS77" s="43"/>
      <c r="AT77" s="43"/>
      <c r="AU77" s="44"/>
      <c r="AV77" s="46"/>
      <c r="AW77" s="47"/>
      <c r="AX77" s="43"/>
      <c r="AY77" s="43"/>
      <c r="AZ77" s="51"/>
      <c r="BA77" s="52"/>
      <c r="BB77" s="52"/>
      <c r="BC77" s="53"/>
      <c r="BE77" s="38"/>
      <c r="BF77" s="38"/>
      <c r="BG77" s="3"/>
      <c r="BH77" s="30"/>
      <c r="BI77" s="30"/>
      <c r="BJ77" s="30"/>
      <c r="BK77" s="30"/>
      <c r="BL77" s="30"/>
      <c r="BM77" s="30"/>
      <c r="BN77" s="30"/>
      <c r="BO77" s="30"/>
      <c r="BP77" s="30"/>
      <c r="BQ77" s="30"/>
      <c r="BR77" s="30"/>
      <c r="BS77" s="30"/>
      <c r="BT77" s="30"/>
      <c r="BU77" s="30"/>
      <c r="BV77" s="30"/>
      <c r="BW77" s="30"/>
      <c r="BX77" s="30"/>
      <c r="BY77" s="30"/>
      <c r="BZ77" s="30"/>
      <c r="CA77" s="30"/>
      <c r="CD77" s="55"/>
      <c r="CE77" s="55"/>
      <c r="CF77" s="55"/>
      <c r="CH77" s="56"/>
      <c r="CI77" s="56"/>
      <c r="CJ77" s="56"/>
      <c r="CK77" s="56"/>
      <c r="CL77" s="56"/>
      <c r="CM77" s="56"/>
      <c r="CN77" s="56"/>
      <c r="CO77" s="56"/>
      <c r="CP77" s="56"/>
      <c r="CQ77" s="56"/>
      <c r="CR77" s="56"/>
      <c r="CS77" s="56"/>
      <c r="CU77" s="25"/>
      <c r="CV77" s="25"/>
      <c r="CW77" s="25"/>
    </row>
    <row r="78" spans="5:101" ht="7.5" customHeight="1" x14ac:dyDescent="0.2">
      <c r="E78" s="39">
        <f>IFERROR(IF(BP78="","-",RANK(S78,$S$10:$T$264,0)+RANK(Q78,$Q$10:$R$264,0)%+RANK(O78,$O$10:$P$264,0)%%+ROW()%%%),"-")</f>
        <v>12.131778000000001</v>
      </c>
      <c r="F78" s="60"/>
      <c r="G78" s="60"/>
      <c r="H78" s="60"/>
      <c r="I78" s="40"/>
      <c r="J78" s="62">
        <f>IFERROR(IF(E78="","",RANK(E78,$E$10:$I$264,1)),"-")</f>
        <v>23</v>
      </c>
      <c r="K78" s="39" t="str">
        <f t="shared" ref="K78" si="198">BP78</f>
        <v xml:space="preserve">   </v>
      </c>
      <c r="L78" s="60"/>
      <c r="M78" s="60"/>
      <c r="N78" s="40"/>
      <c r="O78" s="39">
        <f t="shared" ref="O78" si="199">SUM(AE78-AI78)</f>
        <v>0</v>
      </c>
      <c r="P78" s="40"/>
      <c r="Q78" s="39">
        <f t="shared" ref="Q78" si="200">SUM(AL78-AP78)</f>
        <v>0</v>
      </c>
      <c r="R78" s="40"/>
      <c r="S78" s="39">
        <f t="shared" ref="S78" si="201">SUM(AS78-AW78)</f>
        <v>0</v>
      </c>
      <c r="T78" s="40"/>
      <c r="U78" s="39">
        <f>IFERROR(SMALL($E$10:$I$264,35),0)</f>
        <v>12.131802</v>
      </c>
      <c r="V78" s="60"/>
      <c r="W78" s="60"/>
      <c r="X78" s="60"/>
      <c r="Y78" s="40"/>
      <c r="Z78" s="29">
        <f>IFERROR(IF(U78="","",RANK(U78,$U$10:$Y$264,1)),0)</f>
        <v>35</v>
      </c>
      <c r="AA78" s="29" t="str">
        <f>IFERROR(INDEX($K$10:$K$264,MATCH(U78,$E$10:$E$264,0),1),0)</f>
        <v xml:space="preserve">   </v>
      </c>
      <c r="AB78" s="29"/>
      <c r="AC78" s="29"/>
      <c r="AD78" s="29"/>
      <c r="AE78" s="43"/>
      <c r="AF78" s="43"/>
      <c r="AG78" s="44"/>
      <c r="AH78" s="45" t="s">
        <v>19</v>
      </c>
      <c r="AI78" s="47"/>
      <c r="AJ78" s="43"/>
      <c r="AK78" s="43"/>
      <c r="AL78" s="43"/>
      <c r="AM78" s="43"/>
      <c r="AN78" s="44"/>
      <c r="AO78" s="45" t="s">
        <v>19</v>
      </c>
      <c r="AP78" s="47"/>
      <c r="AQ78" s="43"/>
      <c r="AR78" s="43"/>
      <c r="AS78" s="43"/>
      <c r="AT78" s="43"/>
      <c r="AU78" s="44"/>
      <c r="AV78" s="45" t="s">
        <v>19</v>
      </c>
      <c r="AW78" s="47"/>
      <c r="AX78" s="43"/>
      <c r="AY78" s="43"/>
      <c r="AZ78" s="48">
        <f>IFERROR(IF(E78="","",RANK(E78,$E$10:$I$264,1)),0)</f>
        <v>23</v>
      </c>
      <c r="BA78" s="49"/>
      <c r="BB78" s="49"/>
      <c r="BC78" s="50"/>
      <c r="BE78" s="38"/>
      <c r="BF78" s="38"/>
      <c r="BG78" s="3"/>
      <c r="BH78" s="30" t="s">
        <v>54</v>
      </c>
      <c r="BI78" s="30"/>
      <c r="BJ78" s="30"/>
      <c r="BK78" s="30"/>
      <c r="BL78" s="30"/>
      <c r="BM78" s="30"/>
      <c r="BN78" s="30"/>
      <c r="BO78" s="30"/>
      <c r="BP78" s="30" t="str">
        <f>IF(BE78&gt;0,VLOOKUP(BE78,'[3]Infos joueurs'!$B:$BT,11,FALSE)," ")&amp;" "&amp;IF(BE78&gt;0,VLOOKUP(BE78,'[3]Infos joueurs'!$B:$BT,27,FALSE)," ")</f>
        <v xml:space="preserve">   </v>
      </c>
      <c r="BQ78" s="30"/>
      <c r="BR78" s="30"/>
      <c r="BS78" s="30"/>
      <c r="BT78" s="30"/>
      <c r="BU78" s="30"/>
      <c r="BV78" s="30"/>
      <c r="BW78" s="30"/>
      <c r="BX78" s="30"/>
      <c r="BY78" s="30"/>
      <c r="BZ78" s="30"/>
      <c r="CA78" s="30"/>
      <c r="CD78" s="54">
        <v>35</v>
      </c>
      <c r="CE78" s="54"/>
      <c r="CF78" s="54"/>
      <c r="CH78" s="59" t="str">
        <f t="shared" ref="CH78" si="202">AA78</f>
        <v xml:space="preserve">   </v>
      </c>
      <c r="CI78" s="59"/>
      <c r="CJ78" s="59"/>
      <c r="CK78" s="59"/>
      <c r="CL78" s="59"/>
      <c r="CM78" s="59"/>
      <c r="CN78" s="59"/>
      <c r="CO78" s="59"/>
      <c r="CP78" s="59"/>
      <c r="CQ78" s="59"/>
      <c r="CR78" s="59"/>
      <c r="CS78" s="59"/>
      <c r="CU78" s="24">
        <f t="shared" ref="CU78" si="203">IFERROR(INDEX($BE$10:$BE$269,MATCH(CH78,$BP$10:$BP$269,0)),0)</f>
        <v>0</v>
      </c>
      <c r="CV78" s="24"/>
      <c r="CW78" s="24"/>
    </row>
    <row r="79" spans="5:101" ht="7.5" customHeight="1" x14ac:dyDescent="0.2">
      <c r="E79" s="41"/>
      <c r="F79" s="61"/>
      <c r="G79" s="61"/>
      <c r="H79" s="61"/>
      <c r="I79" s="42"/>
      <c r="J79" s="63"/>
      <c r="K79" s="41"/>
      <c r="L79" s="61"/>
      <c r="M79" s="61"/>
      <c r="N79" s="42"/>
      <c r="O79" s="41"/>
      <c r="P79" s="42"/>
      <c r="Q79" s="41"/>
      <c r="R79" s="42"/>
      <c r="S79" s="41"/>
      <c r="T79" s="42"/>
      <c r="U79" s="41"/>
      <c r="V79" s="61"/>
      <c r="W79" s="61"/>
      <c r="X79" s="61"/>
      <c r="Y79" s="42"/>
      <c r="Z79" s="29"/>
      <c r="AA79" s="29"/>
      <c r="AB79" s="29"/>
      <c r="AC79" s="29"/>
      <c r="AD79" s="29"/>
      <c r="AE79" s="43"/>
      <c r="AF79" s="43"/>
      <c r="AG79" s="44"/>
      <c r="AH79" s="46"/>
      <c r="AI79" s="47"/>
      <c r="AJ79" s="43"/>
      <c r="AK79" s="43"/>
      <c r="AL79" s="43"/>
      <c r="AM79" s="43"/>
      <c r="AN79" s="44"/>
      <c r="AO79" s="46"/>
      <c r="AP79" s="47"/>
      <c r="AQ79" s="43"/>
      <c r="AR79" s="43"/>
      <c r="AS79" s="43"/>
      <c r="AT79" s="43"/>
      <c r="AU79" s="44"/>
      <c r="AV79" s="46"/>
      <c r="AW79" s="47"/>
      <c r="AX79" s="43"/>
      <c r="AY79" s="43"/>
      <c r="AZ79" s="51"/>
      <c r="BA79" s="52"/>
      <c r="BB79" s="52"/>
      <c r="BC79" s="53"/>
      <c r="BE79" s="38"/>
      <c r="BF79" s="38"/>
      <c r="BG79" s="3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D79" s="55"/>
      <c r="CE79" s="55"/>
      <c r="CF79" s="55"/>
      <c r="CH79" s="56"/>
      <c r="CI79" s="56"/>
      <c r="CJ79" s="56"/>
      <c r="CK79" s="56"/>
      <c r="CL79" s="56"/>
      <c r="CM79" s="56"/>
      <c r="CN79" s="56"/>
      <c r="CO79" s="56"/>
      <c r="CP79" s="56"/>
      <c r="CQ79" s="56"/>
      <c r="CR79" s="56"/>
      <c r="CS79" s="56"/>
      <c r="CU79" s="25"/>
      <c r="CV79" s="25"/>
      <c r="CW79" s="25"/>
    </row>
    <row r="80" spans="5:101" ht="7.5" customHeight="1" x14ac:dyDescent="0.2">
      <c r="E80" s="39">
        <f>IFERROR(IF(BP80="","-",RANK(S80,$S$10:$T$264,0)+RANK(Q80,$Q$10:$R$264,0)%+RANK(O80,$O$10:$P$264,0)%%+ROW()%%%),"-")</f>
        <v>12.131780000000001</v>
      </c>
      <c r="F80" s="60"/>
      <c r="G80" s="60"/>
      <c r="H80" s="60"/>
      <c r="I80" s="40"/>
      <c r="J80" s="62">
        <f>IFERROR(IF(E80="","",RANK(E80,$E$10:$I$264,1)),"-")</f>
        <v>24</v>
      </c>
      <c r="K80" s="39" t="str">
        <f t="shared" ref="K80" si="204">BP80</f>
        <v xml:space="preserve">   </v>
      </c>
      <c r="L80" s="60"/>
      <c r="M80" s="60"/>
      <c r="N80" s="40"/>
      <c r="O80" s="39">
        <f t="shared" ref="O80" si="205">SUM(AE80-AI80)</f>
        <v>0</v>
      </c>
      <c r="P80" s="40"/>
      <c r="Q80" s="39">
        <f t="shared" ref="Q80" si="206">SUM(AL80-AP80)</f>
        <v>0</v>
      </c>
      <c r="R80" s="40"/>
      <c r="S80" s="39">
        <f t="shared" ref="S80" si="207">SUM(AS80-AW80)</f>
        <v>0</v>
      </c>
      <c r="T80" s="40"/>
      <c r="U80" s="39">
        <f>IFERROR(SMALL($E$10:$I$264,36),0)</f>
        <v>12.131804000000001</v>
      </c>
      <c r="V80" s="60"/>
      <c r="W80" s="60"/>
      <c r="X80" s="60"/>
      <c r="Y80" s="40"/>
      <c r="Z80" s="29">
        <f>IFERROR(IF(U80="","",RANK(U80,$U$10:$Y$264,1)),0)</f>
        <v>36</v>
      </c>
      <c r="AA80" s="29" t="str">
        <f>IFERROR(INDEX($K$10:$K$264,MATCH(U80,$E$10:$E$264,0),1),0)</f>
        <v xml:space="preserve">   </v>
      </c>
      <c r="AB80" s="29"/>
      <c r="AC80" s="29"/>
      <c r="AD80" s="29"/>
      <c r="AE80" s="43"/>
      <c r="AF80" s="43"/>
      <c r="AG80" s="44"/>
      <c r="AH80" s="45" t="s">
        <v>19</v>
      </c>
      <c r="AI80" s="47"/>
      <c r="AJ80" s="43"/>
      <c r="AK80" s="43"/>
      <c r="AL80" s="43"/>
      <c r="AM80" s="43"/>
      <c r="AN80" s="44"/>
      <c r="AO80" s="45" t="s">
        <v>19</v>
      </c>
      <c r="AP80" s="47"/>
      <c r="AQ80" s="43"/>
      <c r="AR80" s="43"/>
      <c r="AS80" s="43"/>
      <c r="AT80" s="43"/>
      <c r="AU80" s="44"/>
      <c r="AV80" s="45" t="s">
        <v>19</v>
      </c>
      <c r="AW80" s="47"/>
      <c r="AX80" s="43"/>
      <c r="AY80" s="43"/>
      <c r="AZ80" s="48">
        <f>IFERROR(IF(E80="","",RANK(E80,$E$10:$I$264,1)),0)</f>
        <v>24</v>
      </c>
      <c r="BA80" s="49"/>
      <c r="BB80" s="49"/>
      <c r="BC80" s="50"/>
      <c r="BE80" s="38"/>
      <c r="BF80" s="38"/>
      <c r="BG80" s="3"/>
      <c r="BH80" s="30" t="s">
        <v>55</v>
      </c>
      <c r="BI80" s="30"/>
      <c r="BJ80" s="30"/>
      <c r="BK80" s="30"/>
      <c r="BL80" s="30"/>
      <c r="BM80" s="30"/>
      <c r="BN80" s="30"/>
      <c r="BO80" s="30"/>
      <c r="BP80" s="30" t="str">
        <f>IF(BE80&gt;0,VLOOKUP(BE80,'[3]Infos joueurs'!$B:$BT,11,FALSE)," ")&amp;" "&amp;IF(BE80&gt;0,VLOOKUP(BE80,'[3]Infos joueurs'!$B:$BT,27,FALSE)," ")</f>
        <v xml:space="preserve">   </v>
      </c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D80" s="54">
        <v>36</v>
      </c>
      <c r="CE80" s="54"/>
      <c r="CF80" s="54"/>
      <c r="CH80" s="59" t="str">
        <f t="shared" ref="CH80" si="208">AA80</f>
        <v xml:space="preserve">   </v>
      </c>
      <c r="CI80" s="59"/>
      <c r="CJ80" s="59"/>
      <c r="CK80" s="59"/>
      <c r="CL80" s="59"/>
      <c r="CM80" s="59"/>
      <c r="CN80" s="59"/>
      <c r="CO80" s="59"/>
      <c r="CP80" s="59"/>
      <c r="CQ80" s="59"/>
      <c r="CR80" s="59"/>
      <c r="CS80" s="59"/>
      <c r="CU80" s="24">
        <f t="shared" ref="CU80" si="209">IFERROR(INDEX($BE$10:$BE$269,MATCH(CH80,$BP$10:$BP$269,0)),0)</f>
        <v>0</v>
      </c>
      <c r="CV80" s="24"/>
      <c r="CW80" s="24"/>
    </row>
    <row r="81" spans="5:101" ht="7.5" customHeight="1" x14ac:dyDescent="0.2">
      <c r="E81" s="41"/>
      <c r="F81" s="61"/>
      <c r="G81" s="61"/>
      <c r="H81" s="61"/>
      <c r="I81" s="42"/>
      <c r="J81" s="63"/>
      <c r="K81" s="41"/>
      <c r="L81" s="61"/>
      <c r="M81" s="61"/>
      <c r="N81" s="42"/>
      <c r="O81" s="41"/>
      <c r="P81" s="42"/>
      <c r="Q81" s="41"/>
      <c r="R81" s="42"/>
      <c r="S81" s="41"/>
      <c r="T81" s="42"/>
      <c r="U81" s="41"/>
      <c r="V81" s="61"/>
      <c r="W81" s="61"/>
      <c r="X81" s="61"/>
      <c r="Y81" s="42"/>
      <c r="Z81" s="29"/>
      <c r="AA81" s="29"/>
      <c r="AB81" s="29"/>
      <c r="AC81" s="29"/>
      <c r="AD81" s="29"/>
      <c r="AE81" s="43"/>
      <c r="AF81" s="43"/>
      <c r="AG81" s="44"/>
      <c r="AH81" s="46"/>
      <c r="AI81" s="47"/>
      <c r="AJ81" s="43"/>
      <c r="AK81" s="43"/>
      <c r="AL81" s="43"/>
      <c r="AM81" s="43"/>
      <c r="AN81" s="44"/>
      <c r="AO81" s="46"/>
      <c r="AP81" s="47"/>
      <c r="AQ81" s="43"/>
      <c r="AR81" s="43"/>
      <c r="AS81" s="43"/>
      <c r="AT81" s="43"/>
      <c r="AU81" s="44"/>
      <c r="AV81" s="46"/>
      <c r="AW81" s="47"/>
      <c r="AX81" s="43"/>
      <c r="AY81" s="43"/>
      <c r="AZ81" s="51"/>
      <c r="BA81" s="52"/>
      <c r="BB81" s="52"/>
      <c r="BC81" s="53"/>
      <c r="BE81" s="38"/>
      <c r="BF81" s="38"/>
      <c r="BG81" s="3"/>
      <c r="BH81" s="30"/>
      <c r="BI81" s="30"/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30"/>
      <c r="BV81" s="30"/>
      <c r="BW81" s="30"/>
      <c r="BX81" s="30"/>
      <c r="BY81" s="30"/>
      <c r="BZ81" s="30"/>
      <c r="CA81" s="30"/>
      <c r="CD81" s="55"/>
      <c r="CE81" s="55"/>
      <c r="CF81" s="55"/>
      <c r="CH81" s="56"/>
      <c r="CI81" s="56"/>
      <c r="CJ81" s="56"/>
      <c r="CK81" s="56"/>
      <c r="CL81" s="56"/>
      <c r="CM81" s="56"/>
      <c r="CN81" s="56"/>
      <c r="CO81" s="56"/>
      <c r="CP81" s="56"/>
      <c r="CQ81" s="56"/>
      <c r="CR81" s="56"/>
      <c r="CS81" s="56"/>
      <c r="CU81" s="25"/>
      <c r="CV81" s="25"/>
      <c r="CW81" s="25"/>
    </row>
    <row r="82" spans="5:101" ht="7.5" customHeight="1" x14ac:dyDescent="0.2">
      <c r="E82" s="39">
        <f>IFERROR(IF(BP82="","-",RANK(S82,$S$10:$T$264,0)+RANK(Q82,$Q$10:$R$264,0)%+RANK(O82,$O$10:$P$264,0)%%+ROW()%%%),"-")</f>
        <v>12.131782000000001</v>
      </c>
      <c r="F82" s="60"/>
      <c r="G82" s="60"/>
      <c r="H82" s="60"/>
      <c r="I82" s="40"/>
      <c r="J82" s="62">
        <f>IFERROR(IF(E82="","",RANK(E82,$E$10:$I$264,1)),"-")</f>
        <v>25</v>
      </c>
      <c r="K82" s="39" t="str">
        <f t="shared" ref="K82" si="210">BP82</f>
        <v xml:space="preserve">   </v>
      </c>
      <c r="L82" s="60"/>
      <c r="M82" s="60"/>
      <c r="N82" s="40"/>
      <c r="O82" s="39">
        <f t="shared" ref="O82" si="211">SUM(AE82-AI82)</f>
        <v>0</v>
      </c>
      <c r="P82" s="40"/>
      <c r="Q82" s="39">
        <f t="shared" ref="Q82" si="212">SUM(AL82-AP82)</f>
        <v>0</v>
      </c>
      <c r="R82" s="40"/>
      <c r="S82" s="39">
        <f t="shared" ref="S82" si="213">SUM(AS82-AW82)</f>
        <v>0</v>
      </c>
      <c r="T82" s="40"/>
      <c r="U82" s="39">
        <f>IFERROR(SMALL($E$10:$I$264,37),0)</f>
        <v>12.131806000000001</v>
      </c>
      <c r="V82" s="60"/>
      <c r="W82" s="60"/>
      <c r="X82" s="60"/>
      <c r="Y82" s="40"/>
      <c r="Z82" s="29">
        <f>IFERROR(IF(U82="","",RANK(U82,$U$10:$Y$264,1)),0)</f>
        <v>37</v>
      </c>
      <c r="AA82" s="29" t="str">
        <f>IFERROR(INDEX($K$10:$K$264,MATCH(U82,$E$10:$E$264,0),1),0)</f>
        <v xml:space="preserve">   </v>
      </c>
      <c r="AB82" s="29"/>
      <c r="AC82" s="29"/>
      <c r="AD82" s="29"/>
      <c r="AE82" s="43"/>
      <c r="AF82" s="43"/>
      <c r="AG82" s="44"/>
      <c r="AH82" s="45" t="s">
        <v>19</v>
      </c>
      <c r="AI82" s="47"/>
      <c r="AJ82" s="43"/>
      <c r="AK82" s="43"/>
      <c r="AL82" s="43"/>
      <c r="AM82" s="43"/>
      <c r="AN82" s="44"/>
      <c r="AO82" s="45" t="s">
        <v>19</v>
      </c>
      <c r="AP82" s="47"/>
      <c r="AQ82" s="43"/>
      <c r="AR82" s="43"/>
      <c r="AS82" s="43"/>
      <c r="AT82" s="43"/>
      <c r="AU82" s="44"/>
      <c r="AV82" s="45" t="s">
        <v>19</v>
      </c>
      <c r="AW82" s="47"/>
      <c r="AX82" s="43"/>
      <c r="AY82" s="43"/>
      <c r="AZ82" s="48">
        <f>IFERROR(IF(E82="","",RANK(E82,$E$10:$I$264,1)),0)</f>
        <v>25</v>
      </c>
      <c r="BA82" s="49"/>
      <c r="BB82" s="49"/>
      <c r="BC82" s="50"/>
      <c r="BE82" s="38"/>
      <c r="BF82" s="38"/>
      <c r="BG82" s="3"/>
      <c r="BH82" s="30" t="s">
        <v>56</v>
      </c>
      <c r="BI82" s="30"/>
      <c r="BJ82" s="30"/>
      <c r="BK82" s="30"/>
      <c r="BL82" s="30"/>
      <c r="BM82" s="30"/>
      <c r="BN82" s="30"/>
      <c r="BO82" s="30"/>
      <c r="BP82" s="30" t="str">
        <f>IF(BE82&gt;0,VLOOKUP(BE82,'[3]Infos joueurs'!$B:$BT,11,FALSE)," ")&amp;" "&amp;IF(BE82&gt;0,VLOOKUP(BE82,'[3]Infos joueurs'!$B:$BT,27,FALSE)," ")</f>
        <v xml:space="preserve">   </v>
      </c>
      <c r="BQ82" s="30"/>
      <c r="BR82" s="30"/>
      <c r="BS82" s="30"/>
      <c r="BT82" s="30"/>
      <c r="BU82" s="30"/>
      <c r="BV82" s="30"/>
      <c r="BW82" s="30"/>
      <c r="BX82" s="30"/>
      <c r="BY82" s="30"/>
      <c r="BZ82" s="30"/>
      <c r="CA82" s="30"/>
      <c r="CD82" s="54">
        <v>37</v>
      </c>
      <c r="CE82" s="54"/>
      <c r="CF82" s="54"/>
      <c r="CH82" s="59" t="str">
        <f t="shared" ref="CH82" si="214">AA82</f>
        <v xml:space="preserve">   </v>
      </c>
      <c r="CI82" s="59"/>
      <c r="CJ82" s="59"/>
      <c r="CK82" s="59"/>
      <c r="CL82" s="59"/>
      <c r="CM82" s="59"/>
      <c r="CN82" s="59"/>
      <c r="CO82" s="59"/>
      <c r="CP82" s="59"/>
      <c r="CQ82" s="59"/>
      <c r="CR82" s="59"/>
      <c r="CS82" s="59"/>
      <c r="CU82" s="24">
        <f t="shared" ref="CU82" si="215">IFERROR(INDEX($BE$10:$BE$269,MATCH(CH82,$BP$10:$BP$269,0)),0)</f>
        <v>0</v>
      </c>
      <c r="CV82" s="24"/>
      <c r="CW82" s="24"/>
    </row>
    <row r="83" spans="5:101" ht="7.5" customHeight="1" x14ac:dyDescent="0.2">
      <c r="E83" s="41"/>
      <c r="F83" s="61"/>
      <c r="G83" s="61"/>
      <c r="H83" s="61"/>
      <c r="I83" s="42"/>
      <c r="J83" s="63"/>
      <c r="K83" s="41"/>
      <c r="L83" s="61"/>
      <c r="M83" s="61"/>
      <c r="N83" s="42"/>
      <c r="O83" s="41"/>
      <c r="P83" s="42"/>
      <c r="Q83" s="41"/>
      <c r="R83" s="42"/>
      <c r="S83" s="41"/>
      <c r="T83" s="42"/>
      <c r="U83" s="41"/>
      <c r="V83" s="61"/>
      <c r="W83" s="61"/>
      <c r="X83" s="61"/>
      <c r="Y83" s="42"/>
      <c r="Z83" s="29"/>
      <c r="AA83" s="29"/>
      <c r="AB83" s="29"/>
      <c r="AC83" s="29"/>
      <c r="AD83" s="29"/>
      <c r="AE83" s="43"/>
      <c r="AF83" s="43"/>
      <c r="AG83" s="44"/>
      <c r="AH83" s="46"/>
      <c r="AI83" s="47"/>
      <c r="AJ83" s="43"/>
      <c r="AK83" s="43"/>
      <c r="AL83" s="43"/>
      <c r="AM83" s="43"/>
      <c r="AN83" s="44"/>
      <c r="AO83" s="46"/>
      <c r="AP83" s="47"/>
      <c r="AQ83" s="43"/>
      <c r="AR83" s="43"/>
      <c r="AS83" s="43"/>
      <c r="AT83" s="43"/>
      <c r="AU83" s="44"/>
      <c r="AV83" s="46"/>
      <c r="AW83" s="47"/>
      <c r="AX83" s="43"/>
      <c r="AY83" s="43"/>
      <c r="AZ83" s="51"/>
      <c r="BA83" s="52"/>
      <c r="BB83" s="52"/>
      <c r="BC83" s="53"/>
      <c r="BE83" s="38"/>
      <c r="BF83" s="38"/>
      <c r="BG83" s="3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30"/>
      <c r="BZ83" s="30"/>
      <c r="CA83" s="30"/>
      <c r="CD83" s="55"/>
      <c r="CE83" s="55"/>
      <c r="CF83" s="55"/>
      <c r="CH83" s="56"/>
      <c r="CI83" s="56"/>
      <c r="CJ83" s="56"/>
      <c r="CK83" s="56"/>
      <c r="CL83" s="56"/>
      <c r="CM83" s="56"/>
      <c r="CN83" s="56"/>
      <c r="CO83" s="56"/>
      <c r="CP83" s="56"/>
      <c r="CQ83" s="56"/>
      <c r="CR83" s="56"/>
      <c r="CS83" s="56"/>
      <c r="CU83" s="25"/>
      <c r="CV83" s="25"/>
      <c r="CW83" s="25"/>
    </row>
    <row r="84" spans="5:101" ht="7.5" customHeight="1" x14ac:dyDescent="0.2">
      <c r="E84" s="39">
        <f>IFERROR(IF(BP84="","-",RANK(S84,$S$10:$T$264,0)+RANK(Q84,$Q$10:$R$264,0)%+RANK(O84,$O$10:$P$264,0)%%+ROW()%%%),"-")</f>
        <v>12.131784</v>
      </c>
      <c r="F84" s="60"/>
      <c r="G84" s="60"/>
      <c r="H84" s="60"/>
      <c r="I84" s="40"/>
      <c r="J84" s="62">
        <f>IFERROR(IF(E84="","",RANK(E84,$E$10:$I$264,1)),"-")</f>
        <v>26</v>
      </c>
      <c r="K84" s="39" t="str">
        <f t="shared" ref="K84" si="216">BP84</f>
        <v xml:space="preserve">   </v>
      </c>
      <c r="L84" s="60"/>
      <c r="M84" s="60"/>
      <c r="N84" s="40"/>
      <c r="O84" s="39">
        <f t="shared" ref="O84" si="217">SUM(AE84-AI84)</f>
        <v>0</v>
      </c>
      <c r="P84" s="40"/>
      <c r="Q84" s="39">
        <f t="shared" ref="Q84" si="218">SUM(AL84-AP84)</f>
        <v>0</v>
      </c>
      <c r="R84" s="40"/>
      <c r="S84" s="39">
        <f t="shared" ref="S84" si="219">SUM(AS84-AW84)</f>
        <v>0</v>
      </c>
      <c r="T84" s="40"/>
      <c r="U84" s="39">
        <f>IFERROR(SMALL($E$10:$I$264,38),0)</f>
        <v>12.131808000000001</v>
      </c>
      <c r="V84" s="60"/>
      <c r="W84" s="60"/>
      <c r="X84" s="60"/>
      <c r="Y84" s="40"/>
      <c r="Z84" s="29">
        <f>IFERROR(IF(U84="","",RANK(U84,$U$10:$Y$264,1)),0)</f>
        <v>38</v>
      </c>
      <c r="AA84" s="29" t="str">
        <f>IFERROR(INDEX($K$10:$K$264,MATCH(U84,$E$10:$E$264,0),1),0)</f>
        <v xml:space="preserve">   </v>
      </c>
      <c r="AB84" s="29"/>
      <c r="AC84" s="29"/>
      <c r="AD84" s="29"/>
      <c r="AE84" s="43"/>
      <c r="AF84" s="43"/>
      <c r="AG84" s="44"/>
      <c r="AH84" s="45" t="s">
        <v>19</v>
      </c>
      <c r="AI84" s="47"/>
      <c r="AJ84" s="43"/>
      <c r="AK84" s="43"/>
      <c r="AL84" s="43"/>
      <c r="AM84" s="43"/>
      <c r="AN84" s="44"/>
      <c r="AO84" s="45" t="s">
        <v>19</v>
      </c>
      <c r="AP84" s="47"/>
      <c r="AQ84" s="43"/>
      <c r="AR84" s="43"/>
      <c r="AS84" s="43"/>
      <c r="AT84" s="43"/>
      <c r="AU84" s="44"/>
      <c r="AV84" s="45" t="s">
        <v>19</v>
      </c>
      <c r="AW84" s="47"/>
      <c r="AX84" s="43"/>
      <c r="AY84" s="43"/>
      <c r="AZ84" s="48">
        <f>IFERROR(IF(E84="","",RANK(E84,$E$10:$I$264,1)),0)</f>
        <v>26</v>
      </c>
      <c r="BA84" s="49"/>
      <c r="BB84" s="49"/>
      <c r="BC84" s="50"/>
      <c r="BE84" s="38"/>
      <c r="BF84" s="38"/>
      <c r="BG84" s="3"/>
      <c r="BH84" s="30" t="s">
        <v>57</v>
      </c>
      <c r="BI84" s="30"/>
      <c r="BJ84" s="30"/>
      <c r="BK84" s="30"/>
      <c r="BL84" s="30"/>
      <c r="BM84" s="30"/>
      <c r="BN84" s="30"/>
      <c r="BO84" s="30"/>
      <c r="BP84" s="30" t="str">
        <f>IF(BE84&gt;0,VLOOKUP(BE84,'[3]Infos joueurs'!$B:$BT,11,FALSE)," ")&amp;" "&amp;IF(BE84&gt;0,VLOOKUP(BE84,'[3]Infos joueurs'!$B:$BT,27,FALSE)," ")</f>
        <v xml:space="preserve">   </v>
      </c>
      <c r="BQ84" s="30"/>
      <c r="BR84" s="30"/>
      <c r="BS84" s="30"/>
      <c r="BT84" s="30"/>
      <c r="BU84" s="30"/>
      <c r="BV84" s="30"/>
      <c r="BW84" s="30"/>
      <c r="BX84" s="30"/>
      <c r="BY84" s="30"/>
      <c r="BZ84" s="30"/>
      <c r="CA84" s="30"/>
      <c r="CD84" s="54">
        <v>38</v>
      </c>
      <c r="CE84" s="54"/>
      <c r="CF84" s="54"/>
      <c r="CH84" s="59" t="str">
        <f t="shared" ref="CH84" si="220">AA84</f>
        <v xml:space="preserve">   </v>
      </c>
      <c r="CI84" s="59"/>
      <c r="CJ84" s="59"/>
      <c r="CK84" s="59"/>
      <c r="CL84" s="59"/>
      <c r="CM84" s="59"/>
      <c r="CN84" s="59"/>
      <c r="CO84" s="59"/>
      <c r="CP84" s="59"/>
      <c r="CQ84" s="59"/>
      <c r="CR84" s="59"/>
      <c r="CS84" s="59"/>
      <c r="CU84" s="24">
        <f t="shared" ref="CU84" si="221">IFERROR(INDEX($BE$10:$BE$269,MATCH(CH84,$BP$10:$BP$269,0)),0)</f>
        <v>0</v>
      </c>
      <c r="CV84" s="24"/>
      <c r="CW84" s="24"/>
    </row>
    <row r="85" spans="5:101" ht="7.5" customHeight="1" x14ac:dyDescent="0.2">
      <c r="E85" s="41"/>
      <c r="F85" s="61"/>
      <c r="G85" s="61"/>
      <c r="H85" s="61"/>
      <c r="I85" s="42"/>
      <c r="J85" s="63"/>
      <c r="K85" s="41"/>
      <c r="L85" s="61"/>
      <c r="M85" s="61"/>
      <c r="N85" s="42"/>
      <c r="O85" s="41"/>
      <c r="P85" s="42"/>
      <c r="Q85" s="41"/>
      <c r="R85" s="42"/>
      <c r="S85" s="41"/>
      <c r="T85" s="42"/>
      <c r="U85" s="41"/>
      <c r="V85" s="61"/>
      <c r="W85" s="61"/>
      <c r="X85" s="61"/>
      <c r="Y85" s="42"/>
      <c r="Z85" s="29"/>
      <c r="AA85" s="29"/>
      <c r="AB85" s="29"/>
      <c r="AC85" s="29"/>
      <c r="AD85" s="29"/>
      <c r="AE85" s="43"/>
      <c r="AF85" s="43"/>
      <c r="AG85" s="44"/>
      <c r="AH85" s="46"/>
      <c r="AI85" s="47"/>
      <c r="AJ85" s="43"/>
      <c r="AK85" s="43"/>
      <c r="AL85" s="43"/>
      <c r="AM85" s="43"/>
      <c r="AN85" s="44"/>
      <c r="AO85" s="46"/>
      <c r="AP85" s="47"/>
      <c r="AQ85" s="43"/>
      <c r="AR85" s="43"/>
      <c r="AS85" s="43"/>
      <c r="AT85" s="43"/>
      <c r="AU85" s="44"/>
      <c r="AV85" s="46"/>
      <c r="AW85" s="47"/>
      <c r="AX85" s="43"/>
      <c r="AY85" s="43"/>
      <c r="AZ85" s="51"/>
      <c r="BA85" s="52"/>
      <c r="BB85" s="52"/>
      <c r="BC85" s="53"/>
      <c r="BE85" s="38"/>
      <c r="BF85" s="38"/>
      <c r="BG85" s="3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D85" s="55"/>
      <c r="CE85" s="55"/>
      <c r="CF85" s="55"/>
      <c r="CH85" s="56"/>
      <c r="CI85" s="56"/>
      <c r="CJ85" s="56"/>
      <c r="CK85" s="56"/>
      <c r="CL85" s="56"/>
      <c r="CM85" s="56"/>
      <c r="CN85" s="56"/>
      <c r="CO85" s="56"/>
      <c r="CP85" s="56"/>
      <c r="CQ85" s="56"/>
      <c r="CR85" s="56"/>
      <c r="CS85" s="56"/>
      <c r="CU85" s="25"/>
      <c r="CV85" s="25"/>
      <c r="CW85" s="25"/>
    </row>
    <row r="86" spans="5:101" ht="7.5" customHeight="1" x14ac:dyDescent="0.2">
      <c r="E86" s="39">
        <f>IFERROR(IF(BP86="","-",RANK(S86,$S$10:$T$264,0)+RANK(Q86,$Q$10:$R$264,0)%+RANK(O86,$O$10:$P$264,0)%%+ROW()%%%),"-")</f>
        <v>12.131786</v>
      </c>
      <c r="F86" s="60"/>
      <c r="G86" s="60"/>
      <c r="H86" s="60"/>
      <c r="I86" s="40"/>
      <c r="J86" s="62">
        <f>IFERROR(IF(E86="","",RANK(E86,$E$10:$I$264,1)),"-")</f>
        <v>27</v>
      </c>
      <c r="K86" s="39" t="str">
        <f t="shared" ref="K86" si="222">BP86</f>
        <v xml:space="preserve">   </v>
      </c>
      <c r="L86" s="60"/>
      <c r="M86" s="60"/>
      <c r="N86" s="40"/>
      <c r="O86" s="39">
        <f t="shared" ref="O86" si="223">SUM(AE86-AI86)</f>
        <v>0</v>
      </c>
      <c r="P86" s="40"/>
      <c r="Q86" s="39">
        <f t="shared" ref="Q86" si="224">SUM(AL86-AP86)</f>
        <v>0</v>
      </c>
      <c r="R86" s="40"/>
      <c r="S86" s="39">
        <f t="shared" ref="S86" si="225">SUM(AS86-AW86)</f>
        <v>0</v>
      </c>
      <c r="T86" s="40"/>
      <c r="U86" s="39">
        <f>IFERROR(SMALL($E$10:$I$264,39),0)</f>
        <v>12.13181</v>
      </c>
      <c r="V86" s="60"/>
      <c r="W86" s="60"/>
      <c r="X86" s="60"/>
      <c r="Y86" s="40"/>
      <c r="Z86" s="29">
        <f>IFERROR(IF(U86="","",RANK(U86,$U$10:$Y$264,1)),0)</f>
        <v>39</v>
      </c>
      <c r="AA86" s="29" t="str">
        <f>IFERROR(INDEX($K$10:$K$264,MATCH(U86,$E$10:$E$264,0),1),0)</f>
        <v xml:space="preserve">   </v>
      </c>
      <c r="AB86" s="29"/>
      <c r="AC86" s="29"/>
      <c r="AD86" s="29"/>
      <c r="AE86" s="43"/>
      <c r="AF86" s="43"/>
      <c r="AG86" s="44"/>
      <c r="AH86" s="45" t="s">
        <v>19</v>
      </c>
      <c r="AI86" s="47"/>
      <c r="AJ86" s="43"/>
      <c r="AK86" s="43"/>
      <c r="AL86" s="43"/>
      <c r="AM86" s="43"/>
      <c r="AN86" s="44"/>
      <c r="AO86" s="45" t="s">
        <v>19</v>
      </c>
      <c r="AP86" s="47"/>
      <c r="AQ86" s="43"/>
      <c r="AR86" s="43"/>
      <c r="AS86" s="43"/>
      <c r="AT86" s="43"/>
      <c r="AU86" s="44"/>
      <c r="AV86" s="45" t="s">
        <v>19</v>
      </c>
      <c r="AW86" s="47"/>
      <c r="AX86" s="43"/>
      <c r="AY86" s="43"/>
      <c r="AZ86" s="48">
        <f>IFERROR(IF(E86="","",RANK(E86,$E$10:$I$264,1)),0)</f>
        <v>27</v>
      </c>
      <c r="BA86" s="49"/>
      <c r="BB86" s="49"/>
      <c r="BC86" s="50"/>
      <c r="BE86" s="38"/>
      <c r="BF86" s="38"/>
      <c r="BG86" s="3"/>
      <c r="BH86" s="30" t="s">
        <v>58</v>
      </c>
      <c r="BI86" s="30"/>
      <c r="BJ86" s="30"/>
      <c r="BK86" s="30"/>
      <c r="BL86" s="30"/>
      <c r="BM86" s="30"/>
      <c r="BN86" s="30"/>
      <c r="BO86" s="30"/>
      <c r="BP86" s="30" t="str">
        <f>IF(BE86&gt;0,VLOOKUP(BE86,'[3]Infos joueurs'!$B:$BT,11,FALSE)," ")&amp;" "&amp;IF(BE86&gt;0,VLOOKUP(BE86,'[3]Infos joueurs'!$B:$BT,27,FALSE)," ")</f>
        <v xml:space="preserve">   </v>
      </c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D86" s="54">
        <v>39</v>
      </c>
      <c r="CE86" s="54"/>
      <c r="CF86" s="54"/>
      <c r="CH86" s="59" t="str">
        <f t="shared" ref="CH86" si="226">AA86</f>
        <v xml:space="preserve">   </v>
      </c>
      <c r="CI86" s="59"/>
      <c r="CJ86" s="59"/>
      <c r="CK86" s="59"/>
      <c r="CL86" s="59"/>
      <c r="CM86" s="59"/>
      <c r="CN86" s="59"/>
      <c r="CO86" s="59"/>
      <c r="CP86" s="59"/>
      <c r="CQ86" s="59"/>
      <c r="CR86" s="59"/>
      <c r="CS86" s="59"/>
      <c r="CU86" s="24">
        <f t="shared" ref="CU86" si="227">IFERROR(INDEX($BE$10:$BE$269,MATCH(CH86,$BP$10:$BP$269,0)),0)</f>
        <v>0</v>
      </c>
      <c r="CV86" s="24"/>
      <c r="CW86" s="24"/>
    </row>
    <row r="87" spans="5:101" ht="7.5" customHeight="1" x14ac:dyDescent="0.2">
      <c r="E87" s="41"/>
      <c r="F87" s="61"/>
      <c r="G87" s="61"/>
      <c r="H87" s="61"/>
      <c r="I87" s="42"/>
      <c r="J87" s="63"/>
      <c r="K87" s="41"/>
      <c r="L87" s="61"/>
      <c r="M87" s="61"/>
      <c r="N87" s="42"/>
      <c r="O87" s="41"/>
      <c r="P87" s="42"/>
      <c r="Q87" s="41"/>
      <c r="R87" s="42"/>
      <c r="S87" s="41"/>
      <c r="T87" s="42"/>
      <c r="U87" s="41"/>
      <c r="V87" s="61"/>
      <c r="W87" s="61"/>
      <c r="X87" s="61"/>
      <c r="Y87" s="42"/>
      <c r="Z87" s="29"/>
      <c r="AA87" s="29"/>
      <c r="AB87" s="29"/>
      <c r="AC87" s="29"/>
      <c r="AD87" s="29"/>
      <c r="AE87" s="43"/>
      <c r="AF87" s="43"/>
      <c r="AG87" s="44"/>
      <c r="AH87" s="46"/>
      <c r="AI87" s="47"/>
      <c r="AJ87" s="43"/>
      <c r="AK87" s="43"/>
      <c r="AL87" s="43"/>
      <c r="AM87" s="43"/>
      <c r="AN87" s="44"/>
      <c r="AO87" s="46"/>
      <c r="AP87" s="47"/>
      <c r="AQ87" s="43"/>
      <c r="AR87" s="43"/>
      <c r="AS87" s="43"/>
      <c r="AT87" s="43"/>
      <c r="AU87" s="44"/>
      <c r="AV87" s="46"/>
      <c r="AW87" s="47"/>
      <c r="AX87" s="43"/>
      <c r="AY87" s="43"/>
      <c r="AZ87" s="51"/>
      <c r="BA87" s="52"/>
      <c r="BB87" s="52"/>
      <c r="BC87" s="53"/>
      <c r="BE87" s="38"/>
      <c r="BF87" s="38"/>
      <c r="BG87" s="3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30"/>
      <c r="BZ87" s="30"/>
      <c r="CA87" s="30"/>
      <c r="CD87" s="55"/>
      <c r="CE87" s="55"/>
      <c r="CF87" s="55"/>
      <c r="CH87" s="56"/>
      <c r="CI87" s="56"/>
      <c r="CJ87" s="56"/>
      <c r="CK87" s="56"/>
      <c r="CL87" s="56"/>
      <c r="CM87" s="56"/>
      <c r="CN87" s="56"/>
      <c r="CO87" s="56"/>
      <c r="CP87" s="56"/>
      <c r="CQ87" s="56"/>
      <c r="CR87" s="56"/>
      <c r="CS87" s="56"/>
      <c r="CU87" s="25"/>
      <c r="CV87" s="25"/>
      <c r="CW87" s="25"/>
    </row>
    <row r="88" spans="5:101" ht="7.5" customHeight="1" x14ac:dyDescent="0.2">
      <c r="E88" s="39">
        <f>IFERROR(IF(BP88="","-",RANK(S88,$S$10:$T$264,0)+RANK(Q88,$Q$10:$R$264,0)%+RANK(O88,$O$10:$P$264,0)%%+ROW()%%%),"-")</f>
        <v>12.131788</v>
      </c>
      <c r="F88" s="60"/>
      <c r="G88" s="60"/>
      <c r="H88" s="60"/>
      <c r="I88" s="40"/>
      <c r="J88" s="62">
        <f>IFERROR(IF(E88="","",RANK(E88,$E$10:$I$264,1)),"-")</f>
        <v>28</v>
      </c>
      <c r="K88" s="39" t="str">
        <f t="shared" ref="K88" si="228">BP88</f>
        <v xml:space="preserve">   </v>
      </c>
      <c r="L88" s="60"/>
      <c r="M88" s="60"/>
      <c r="N88" s="40"/>
      <c r="O88" s="39">
        <f t="shared" ref="O88" si="229">SUM(AE88-AI88)</f>
        <v>0</v>
      </c>
      <c r="P88" s="40"/>
      <c r="Q88" s="39">
        <f t="shared" ref="Q88" si="230">SUM(AL88-AP88)</f>
        <v>0</v>
      </c>
      <c r="R88" s="40"/>
      <c r="S88" s="39">
        <f t="shared" ref="S88" si="231">SUM(AS88-AW88)</f>
        <v>0</v>
      </c>
      <c r="T88" s="40"/>
      <c r="U88" s="39">
        <f>IFERROR(SMALL($E$10:$I$264,40),0)</f>
        <v>12.131812</v>
      </c>
      <c r="V88" s="60"/>
      <c r="W88" s="60"/>
      <c r="X88" s="60"/>
      <c r="Y88" s="40"/>
      <c r="Z88" s="29">
        <f>IFERROR(IF(U88="","",RANK(U88,$U$10:$Y$264,1)),0)</f>
        <v>40</v>
      </c>
      <c r="AA88" s="29" t="str">
        <f>IFERROR(INDEX($K$10:$K$264,MATCH(U88,$E$10:$E$264,0),1),0)</f>
        <v xml:space="preserve">   </v>
      </c>
      <c r="AB88" s="29"/>
      <c r="AC88" s="29"/>
      <c r="AD88" s="29"/>
      <c r="AE88" s="43"/>
      <c r="AF88" s="43"/>
      <c r="AG88" s="44"/>
      <c r="AH88" s="45" t="s">
        <v>19</v>
      </c>
      <c r="AI88" s="47"/>
      <c r="AJ88" s="43"/>
      <c r="AK88" s="43"/>
      <c r="AL88" s="43"/>
      <c r="AM88" s="43"/>
      <c r="AN88" s="44"/>
      <c r="AO88" s="45" t="s">
        <v>19</v>
      </c>
      <c r="AP88" s="47"/>
      <c r="AQ88" s="43"/>
      <c r="AR88" s="43"/>
      <c r="AS88" s="43"/>
      <c r="AT88" s="43"/>
      <c r="AU88" s="44"/>
      <c r="AV88" s="45" t="s">
        <v>19</v>
      </c>
      <c r="AW88" s="47"/>
      <c r="AX88" s="43"/>
      <c r="AY88" s="43"/>
      <c r="AZ88" s="48">
        <f>IFERROR(IF(E88="","",RANK(E88,$E$10:$I$264,1)),0)</f>
        <v>28</v>
      </c>
      <c r="BA88" s="49"/>
      <c r="BB88" s="49"/>
      <c r="BC88" s="50"/>
      <c r="BE88" s="38"/>
      <c r="BF88" s="38"/>
      <c r="BG88" s="3"/>
      <c r="BH88" s="30" t="s">
        <v>59</v>
      </c>
      <c r="BI88" s="30"/>
      <c r="BJ88" s="30"/>
      <c r="BK88" s="30"/>
      <c r="BL88" s="30"/>
      <c r="BM88" s="30"/>
      <c r="BN88" s="30"/>
      <c r="BO88" s="30"/>
      <c r="BP88" s="30" t="str">
        <f>IF(BE88&gt;0,VLOOKUP(BE88,'[3]Infos joueurs'!$B:$BT,11,FALSE)," ")&amp;" "&amp;IF(BE88&gt;0,VLOOKUP(BE88,'[3]Infos joueurs'!$B:$BT,27,FALSE)," ")</f>
        <v xml:space="preserve">   </v>
      </c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D88" s="54">
        <v>40</v>
      </c>
      <c r="CE88" s="54"/>
      <c r="CF88" s="54"/>
      <c r="CH88" s="59" t="str">
        <f t="shared" ref="CH88" si="232">AA88</f>
        <v xml:space="preserve">   </v>
      </c>
      <c r="CI88" s="59"/>
      <c r="CJ88" s="59"/>
      <c r="CK88" s="59"/>
      <c r="CL88" s="59"/>
      <c r="CM88" s="59"/>
      <c r="CN88" s="59"/>
      <c r="CO88" s="59"/>
      <c r="CP88" s="59"/>
      <c r="CQ88" s="59"/>
      <c r="CR88" s="59"/>
      <c r="CS88" s="59"/>
      <c r="CU88" s="24">
        <f t="shared" ref="CU88" si="233">IFERROR(INDEX($BE$10:$BE$269,MATCH(CH88,$BP$10:$BP$269,0)),0)</f>
        <v>0</v>
      </c>
      <c r="CV88" s="24"/>
      <c r="CW88" s="24"/>
    </row>
    <row r="89" spans="5:101" ht="7.5" customHeight="1" x14ac:dyDescent="0.2">
      <c r="E89" s="41"/>
      <c r="F89" s="61"/>
      <c r="G89" s="61"/>
      <c r="H89" s="61"/>
      <c r="I89" s="42"/>
      <c r="J89" s="63"/>
      <c r="K89" s="41"/>
      <c r="L89" s="61"/>
      <c r="M89" s="61"/>
      <c r="N89" s="42"/>
      <c r="O89" s="41"/>
      <c r="P89" s="42"/>
      <c r="Q89" s="41"/>
      <c r="R89" s="42"/>
      <c r="S89" s="41"/>
      <c r="T89" s="42"/>
      <c r="U89" s="41"/>
      <c r="V89" s="61"/>
      <c r="W89" s="61"/>
      <c r="X89" s="61"/>
      <c r="Y89" s="42"/>
      <c r="Z89" s="29"/>
      <c r="AA89" s="29"/>
      <c r="AB89" s="29"/>
      <c r="AC89" s="29"/>
      <c r="AD89" s="29"/>
      <c r="AE89" s="43"/>
      <c r="AF89" s="43"/>
      <c r="AG89" s="44"/>
      <c r="AH89" s="46"/>
      <c r="AI89" s="47"/>
      <c r="AJ89" s="43"/>
      <c r="AK89" s="43"/>
      <c r="AL89" s="43"/>
      <c r="AM89" s="43"/>
      <c r="AN89" s="44"/>
      <c r="AO89" s="46"/>
      <c r="AP89" s="47"/>
      <c r="AQ89" s="43"/>
      <c r="AR89" s="43"/>
      <c r="AS89" s="43"/>
      <c r="AT89" s="43"/>
      <c r="AU89" s="44"/>
      <c r="AV89" s="46"/>
      <c r="AW89" s="47"/>
      <c r="AX89" s="43"/>
      <c r="AY89" s="43"/>
      <c r="AZ89" s="51"/>
      <c r="BA89" s="52"/>
      <c r="BB89" s="52"/>
      <c r="BC89" s="53"/>
      <c r="BE89" s="38"/>
      <c r="BF89" s="38"/>
      <c r="BG89" s="3"/>
      <c r="BH89" s="30"/>
      <c r="BI89" s="30"/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30"/>
      <c r="BV89" s="30"/>
      <c r="BW89" s="30"/>
      <c r="BX89" s="30"/>
      <c r="BY89" s="30"/>
      <c r="BZ89" s="30"/>
      <c r="CA89" s="30"/>
      <c r="CD89" s="55"/>
      <c r="CE89" s="55"/>
      <c r="CF89" s="55"/>
      <c r="CH89" s="56"/>
      <c r="CI89" s="56"/>
      <c r="CJ89" s="56"/>
      <c r="CK89" s="56"/>
      <c r="CL89" s="56"/>
      <c r="CM89" s="56"/>
      <c r="CN89" s="56"/>
      <c r="CO89" s="56"/>
      <c r="CP89" s="56"/>
      <c r="CQ89" s="56"/>
      <c r="CR89" s="56"/>
      <c r="CS89" s="56"/>
      <c r="CU89" s="25"/>
      <c r="CV89" s="25"/>
      <c r="CW89" s="25"/>
    </row>
    <row r="90" spans="5:101" ht="7.5" customHeight="1" x14ac:dyDescent="0.2">
      <c r="E90" s="39">
        <f>IFERROR(IF(BP90="","-",RANK(S90,$S$10:$T$264,0)+RANK(Q90,$Q$10:$R$264,0)%+RANK(O90,$O$10:$P$264,0)%%+ROW()%%%),"-")</f>
        <v>12.131790000000001</v>
      </c>
      <c r="F90" s="60"/>
      <c r="G90" s="60"/>
      <c r="H90" s="60"/>
      <c r="I90" s="40"/>
      <c r="J90" s="62">
        <f>IFERROR(IF(E90="","",RANK(E90,$E$10:$I$264,1)),"-")</f>
        <v>29</v>
      </c>
      <c r="K90" s="39" t="str">
        <f t="shared" ref="K90" si="234">BP90</f>
        <v xml:space="preserve">   </v>
      </c>
      <c r="L90" s="60"/>
      <c r="M90" s="60"/>
      <c r="N90" s="40"/>
      <c r="O90" s="39">
        <f t="shared" ref="O90" si="235">SUM(AE90-AI90)</f>
        <v>0</v>
      </c>
      <c r="P90" s="40"/>
      <c r="Q90" s="39">
        <f t="shared" ref="Q90" si="236">SUM(AL90-AP90)</f>
        <v>0</v>
      </c>
      <c r="R90" s="40"/>
      <c r="S90" s="39">
        <f t="shared" ref="S90" si="237">SUM(AS90-AW90)</f>
        <v>0</v>
      </c>
      <c r="T90" s="40"/>
      <c r="U90" s="39">
        <f>IFERROR(SMALL($E$10:$I$264,41),0)</f>
        <v>12.131814</v>
      </c>
      <c r="V90" s="60"/>
      <c r="W90" s="60"/>
      <c r="X90" s="60"/>
      <c r="Y90" s="40"/>
      <c r="Z90" s="29">
        <f>IFERROR(IF(U90="","",RANK(U90,$U$10:$Y$264,1)),0)</f>
        <v>41</v>
      </c>
      <c r="AA90" s="29" t="str">
        <f>IFERROR(INDEX($K$10:$K$264,MATCH(U90,$E$10:$E$264,0),1),0)</f>
        <v xml:space="preserve">   </v>
      </c>
      <c r="AB90" s="29"/>
      <c r="AC90" s="29"/>
      <c r="AD90" s="29"/>
      <c r="AE90" s="43"/>
      <c r="AF90" s="43"/>
      <c r="AG90" s="44"/>
      <c r="AH90" s="45" t="s">
        <v>19</v>
      </c>
      <c r="AI90" s="47"/>
      <c r="AJ90" s="43"/>
      <c r="AK90" s="43"/>
      <c r="AL90" s="43"/>
      <c r="AM90" s="43"/>
      <c r="AN90" s="44"/>
      <c r="AO90" s="45" t="s">
        <v>19</v>
      </c>
      <c r="AP90" s="47"/>
      <c r="AQ90" s="43"/>
      <c r="AR90" s="43"/>
      <c r="AS90" s="43"/>
      <c r="AT90" s="43"/>
      <c r="AU90" s="44"/>
      <c r="AV90" s="45" t="s">
        <v>19</v>
      </c>
      <c r="AW90" s="47"/>
      <c r="AX90" s="43"/>
      <c r="AY90" s="43"/>
      <c r="AZ90" s="48">
        <f>IFERROR(IF(E90="","",RANK(E90,$E$10:$I$264,1)),0)</f>
        <v>29</v>
      </c>
      <c r="BA90" s="49"/>
      <c r="BB90" s="49"/>
      <c r="BC90" s="50"/>
      <c r="BE90" s="38"/>
      <c r="BF90" s="38"/>
      <c r="BG90" s="3"/>
      <c r="BH90" s="30" t="s">
        <v>60</v>
      </c>
      <c r="BI90" s="30"/>
      <c r="BJ90" s="30"/>
      <c r="BK90" s="30"/>
      <c r="BL90" s="30"/>
      <c r="BM90" s="30"/>
      <c r="BN90" s="30"/>
      <c r="BO90" s="30"/>
      <c r="BP90" s="30" t="str">
        <f>IF(BE90&gt;0,VLOOKUP(BE90,'[3]Infos joueurs'!$B:$BT,11,FALSE)," ")&amp;" "&amp;IF(BE90&gt;0,VLOOKUP(BE90,'[3]Infos joueurs'!$B:$BT,27,FALSE)," ")</f>
        <v xml:space="preserve">   </v>
      </c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D90" s="54">
        <v>41</v>
      </c>
      <c r="CE90" s="54"/>
      <c r="CF90" s="54"/>
      <c r="CH90" s="59" t="str">
        <f t="shared" ref="CH90" si="238">AA90</f>
        <v xml:space="preserve">   </v>
      </c>
      <c r="CI90" s="59"/>
      <c r="CJ90" s="59"/>
      <c r="CK90" s="59"/>
      <c r="CL90" s="59"/>
      <c r="CM90" s="59"/>
      <c r="CN90" s="59"/>
      <c r="CO90" s="59"/>
      <c r="CP90" s="59"/>
      <c r="CQ90" s="59"/>
      <c r="CR90" s="59"/>
      <c r="CS90" s="59"/>
      <c r="CU90" s="24">
        <f t="shared" ref="CU90" si="239">IFERROR(INDEX($BE$10:$BE$269,MATCH(CH90,$BP$10:$BP$269,0)),0)</f>
        <v>0</v>
      </c>
      <c r="CV90" s="24"/>
      <c r="CW90" s="24"/>
    </row>
    <row r="91" spans="5:101" ht="7.5" customHeight="1" x14ac:dyDescent="0.2">
      <c r="E91" s="41"/>
      <c r="F91" s="61"/>
      <c r="G91" s="61"/>
      <c r="H91" s="61"/>
      <c r="I91" s="42"/>
      <c r="J91" s="63"/>
      <c r="K91" s="41"/>
      <c r="L91" s="61"/>
      <c r="M91" s="61"/>
      <c r="N91" s="42"/>
      <c r="O91" s="41"/>
      <c r="P91" s="42"/>
      <c r="Q91" s="41"/>
      <c r="R91" s="42"/>
      <c r="S91" s="41"/>
      <c r="T91" s="42"/>
      <c r="U91" s="41"/>
      <c r="V91" s="61"/>
      <c r="W91" s="61"/>
      <c r="X91" s="61"/>
      <c r="Y91" s="42"/>
      <c r="Z91" s="29"/>
      <c r="AA91" s="29"/>
      <c r="AB91" s="29"/>
      <c r="AC91" s="29"/>
      <c r="AD91" s="29"/>
      <c r="AE91" s="43"/>
      <c r="AF91" s="43"/>
      <c r="AG91" s="44"/>
      <c r="AH91" s="46"/>
      <c r="AI91" s="47"/>
      <c r="AJ91" s="43"/>
      <c r="AK91" s="43"/>
      <c r="AL91" s="43"/>
      <c r="AM91" s="43"/>
      <c r="AN91" s="44"/>
      <c r="AO91" s="46"/>
      <c r="AP91" s="47"/>
      <c r="AQ91" s="43"/>
      <c r="AR91" s="43"/>
      <c r="AS91" s="43"/>
      <c r="AT91" s="43"/>
      <c r="AU91" s="44"/>
      <c r="AV91" s="46"/>
      <c r="AW91" s="47"/>
      <c r="AX91" s="43"/>
      <c r="AY91" s="43"/>
      <c r="AZ91" s="51"/>
      <c r="BA91" s="52"/>
      <c r="BB91" s="52"/>
      <c r="BC91" s="53"/>
      <c r="BE91" s="38"/>
      <c r="BF91" s="38"/>
      <c r="BG91" s="3"/>
      <c r="BH91" s="30"/>
      <c r="BI91" s="30"/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D91" s="55"/>
      <c r="CE91" s="55"/>
      <c r="CF91" s="55"/>
      <c r="CH91" s="56"/>
      <c r="CI91" s="56"/>
      <c r="CJ91" s="56"/>
      <c r="CK91" s="56"/>
      <c r="CL91" s="56"/>
      <c r="CM91" s="56"/>
      <c r="CN91" s="56"/>
      <c r="CO91" s="56"/>
      <c r="CP91" s="56"/>
      <c r="CQ91" s="56"/>
      <c r="CR91" s="56"/>
      <c r="CS91" s="56"/>
      <c r="CU91" s="25"/>
      <c r="CV91" s="25"/>
      <c r="CW91" s="25"/>
    </row>
    <row r="92" spans="5:101" ht="7.5" customHeight="1" x14ac:dyDescent="0.2">
      <c r="E92" s="39">
        <f>IFERROR(IF(BP92="","-",RANK(S92,$S$10:$T$264,0)+RANK(Q92,$Q$10:$R$264,0)%+RANK(O92,$O$10:$P$264,0)%%+ROW()%%%),"-")</f>
        <v>12.131792000000001</v>
      </c>
      <c r="F92" s="60"/>
      <c r="G92" s="60"/>
      <c r="H92" s="60"/>
      <c r="I92" s="40"/>
      <c r="J92" s="62">
        <f>IFERROR(IF(E92="","",RANK(E92,$E$10:$I$264,1)),"-")</f>
        <v>30</v>
      </c>
      <c r="K92" s="39" t="str">
        <f t="shared" ref="K92" si="240">BP92</f>
        <v xml:space="preserve">   </v>
      </c>
      <c r="L92" s="60"/>
      <c r="M92" s="60"/>
      <c r="N92" s="40"/>
      <c r="O92" s="39">
        <f t="shared" ref="O92" si="241">SUM(AE92-AI92)</f>
        <v>0</v>
      </c>
      <c r="P92" s="40"/>
      <c r="Q92" s="39">
        <f t="shared" ref="Q92" si="242">SUM(AL92-AP92)</f>
        <v>0</v>
      </c>
      <c r="R92" s="40"/>
      <c r="S92" s="39">
        <f t="shared" ref="S92" si="243">SUM(AS92-AW92)</f>
        <v>0</v>
      </c>
      <c r="T92" s="40"/>
      <c r="U92" s="39">
        <f>IFERROR(SMALL($E$10:$I$264,42),0)</f>
        <v>12.131816000000001</v>
      </c>
      <c r="V92" s="60"/>
      <c r="W92" s="60"/>
      <c r="X92" s="60"/>
      <c r="Y92" s="40"/>
      <c r="Z92" s="29">
        <f>IFERROR(IF(U92="","",RANK(U92,$U$10:$Y$264,1)),0)</f>
        <v>42</v>
      </c>
      <c r="AA92" s="29" t="str">
        <f>IFERROR(INDEX($K$10:$K$264,MATCH(U92,$E$10:$E$264,0),1),0)</f>
        <v xml:space="preserve">   </v>
      </c>
      <c r="AB92" s="29"/>
      <c r="AC92" s="29"/>
      <c r="AD92" s="29"/>
      <c r="AE92" s="43"/>
      <c r="AF92" s="43"/>
      <c r="AG92" s="44"/>
      <c r="AH92" s="45" t="s">
        <v>19</v>
      </c>
      <c r="AI92" s="47"/>
      <c r="AJ92" s="43"/>
      <c r="AK92" s="43"/>
      <c r="AL92" s="43"/>
      <c r="AM92" s="43"/>
      <c r="AN92" s="44"/>
      <c r="AO92" s="45" t="s">
        <v>19</v>
      </c>
      <c r="AP92" s="47"/>
      <c r="AQ92" s="43"/>
      <c r="AR92" s="43"/>
      <c r="AS92" s="43"/>
      <c r="AT92" s="43"/>
      <c r="AU92" s="44"/>
      <c r="AV92" s="45" t="s">
        <v>19</v>
      </c>
      <c r="AW92" s="47"/>
      <c r="AX92" s="43"/>
      <c r="AY92" s="43"/>
      <c r="AZ92" s="48">
        <f>IFERROR(IF(E92="","",RANK(E92,$E$10:$I$264,1)),0)</f>
        <v>30</v>
      </c>
      <c r="BA92" s="49"/>
      <c r="BB92" s="49"/>
      <c r="BC92" s="50"/>
      <c r="BE92" s="38"/>
      <c r="BF92" s="38"/>
      <c r="BG92" s="3"/>
      <c r="BH92" s="30" t="s">
        <v>61</v>
      </c>
      <c r="BI92" s="30"/>
      <c r="BJ92" s="30"/>
      <c r="BK92" s="30"/>
      <c r="BL92" s="30"/>
      <c r="BM92" s="30"/>
      <c r="BN92" s="30"/>
      <c r="BO92" s="30"/>
      <c r="BP92" s="30" t="str">
        <f>IF(BE92&gt;0,VLOOKUP(BE92,'[3]Infos joueurs'!$B:$BT,11,FALSE)," ")&amp;" "&amp;IF(BE92&gt;0,VLOOKUP(BE92,'[3]Infos joueurs'!$B:$BT,27,FALSE)," ")</f>
        <v xml:space="preserve">   </v>
      </c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D92" s="54">
        <v>42</v>
      </c>
      <c r="CE92" s="54"/>
      <c r="CF92" s="54"/>
      <c r="CH92" s="59" t="str">
        <f t="shared" ref="CH92" si="244">AA92</f>
        <v xml:space="preserve">   </v>
      </c>
      <c r="CI92" s="59"/>
      <c r="CJ92" s="59"/>
      <c r="CK92" s="59"/>
      <c r="CL92" s="59"/>
      <c r="CM92" s="59"/>
      <c r="CN92" s="59"/>
      <c r="CO92" s="59"/>
      <c r="CP92" s="59"/>
      <c r="CQ92" s="59"/>
      <c r="CR92" s="59"/>
      <c r="CS92" s="59"/>
      <c r="CU92" s="24">
        <f t="shared" ref="CU92" si="245">IFERROR(INDEX($BE$10:$BE$269,MATCH(CH92,$BP$10:$BP$269,0)),0)</f>
        <v>0</v>
      </c>
      <c r="CV92" s="24"/>
      <c r="CW92" s="24"/>
    </row>
    <row r="93" spans="5:101" ht="7.5" customHeight="1" x14ac:dyDescent="0.2">
      <c r="E93" s="41"/>
      <c r="F93" s="61"/>
      <c r="G93" s="61"/>
      <c r="H93" s="61"/>
      <c r="I93" s="42"/>
      <c r="J93" s="63"/>
      <c r="K93" s="41"/>
      <c r="L93" s="61"/>
      <c r="M93" s="61"/>
      <c r="N93" s="42"/>
      <c r="O93" s="41"/>
      <c r="P93" s="42"/>
      <c r="Q93" s="41"/>
      <c r="R93" s="42"/>
      <c r="S93" s="41"/>
      <c r="T93" s="42"/>
      <c r="U93" s="41"/>
      <c r="V93" s="61"/>
      <c r="W93" s="61"/>
      <c r="X93" s="61"/>
      <c r="Y93" s="42"/>
      <c r="Z93" s="29"/>
      <c r="AA93" s="29"/>
      <c r="AB93" s="29"/>
      <c r="AC93" s="29"/>
      <c r="AD93" s="29"/>
      <c r="AE93" s="43"/>
      <c r="AF93" s="43"/>
      <c r="AG93" s="44"/>
      <c r="AH93" s="46"/>
      <c r="AI93" s="47"/>
      <c r="AJ93" s="43"/>
      <c r="AK93" s="43"/>
      <c r="AL93" s="43"/>
      <c r="AM93" s="43"/>
      <c r="AN93" s="44"/>
      <c r="AO93" s="46"/>
      <c r="AP93" s="47"/>
      <c r="AQ93" s="43"/>
      <c r="AR93" s="43"/>
      <c r="AS93" s="43"/>
      <c r="AT93" s="43"/>
      <c r="AU93" s="44"/>
      <c r="AV93" s="46"/>
      <c r="AW93" s="47"/>
      <c r="AX93" s="43"/>
      <c r="AY93" s="43"/>
      <c r="AZ93" s="51"/>
      <c r="BA93" s="52"/>
      <c r="BB93" s="52"/>
      <c r="BC93" s="53"/>
      <c r="BE93" s="38"/>
      <c r="BF93" s="38"/>
      <c r="BG93" s="3"/>
      <c r="BH93" s="30"/>
      <c r="BI93" s="30"/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30"/>
      <c r="BV93" s="30"/>
      <c r="BW93" s="30"/>
      <c r="BX93" s="30"/>
      <c r="BY93" s="30"/>
      <c r="BZ93" s="30"/>
      <c r="CA93" s="30"/>
      <c r="CD93" s="55"/>
      <c r="CE93" s="55"/>
      <c r="CF93" s="55"/>
      <c r="CH93" s="56"/>
      <c r="CI93" s="56"/>
      <c r="CJ93" s="56"/>
      <c r="CK93" s="56"/>
      <c r="CL93" s="56"/>
      <c r="CM93" s="56"/>
      <c r="CN93" s="56"/>
      <c r="CO93" s="56"/>
      <c r="CP93" s="56"/>
      <c r="CQ93" s="56"/>
      <c r="CR93" s="56"/>
      <c r="CS93" s="56"/>
      <c r="CU93" s="25"/>
      <c r="CV93" s="25"/>
      <c r="CW93" s="25"/>
    </row>
    <row r="94" spans="5:101" ht="7.5" customHeight="1" x14ac:dyDescent="0.2">
      <c r="E94" s="39">
        <f>IFERROR(IF(BP94="","-",RANK(S94,$S$10:$T$264,0)+RANK(Q94,$Q$10:$R$264,0)%+RANK(O94,$O$10:$P$264,0)%%+ROW()%%%),"-")</f>
        <v>12.131794000000001</v>
      </c>
      <c r="F94" s="60"/>
      <c r="G94" s="60"/>
      <c r="H94" s="60"/>
      <c r="I94" s="40"/>
      <c r="J94" s="62">
        <f>IFERROR(IF(E94="","",RANK(E94,$E$10:$I$264,1)),"-")</f>
        <v>31</v>
      </c>
      <c r="K94" s="39" t="str">
        <f t="shared" ref="K94" si="246">BP94</f>
        <v xml:space="preserve">   </v>
      </c>
      <c r="L94" s="60"/>
      <c r="M94" s="60"/>
      <c r="N94" s="40"/>
      <c r="O94" s="39">
        <f t="shared" ref="O94" si="247">SUM(AE94-AI94)</f>
        <v>0</v>
      </c>
      <c r="P94" s="40"/>
      <c r="Q94" s="39">
        <f t="shared" ref="Q94" si="248">SUM(AL94-AP94)</f>
        <v>0</v>
      </c>
      <c r="R94" s="40"/>
      <c r="S94" s="39">
        <f t="shared" ref="S94" si="249">SUM(AS94-AW94)</f>
        <v>0</v>
      </c>
      <c r="T94" s="40"/>
      <c r="U94" s="39">
        <f>IFERROR(SMALL($E$10:$I$264,43),0)</f>
        <v>12.131818000000001</v>
      </c>
      <c r="V94" s="60"/>
      <c r="W94" s="60"/>
      <c r="X94" s="60"/>
      <c r="Y94" s="40"/>
      <c r="Z94" s="29">
        <f>IFERROR(IF(U94="","",RANK(U94,$U$10:$Y$264,1)),0)</f>
        <v>43</v>
      </c>
      <c r="AA94" s="29" t="str">
        <f>IFERROR(INDEX($K$10:$K$264,MATCH(U94,$E$10:$E$264,0),1),0)</f>
        <v xml:space="preserve">   </v>
      </c>
      <c r="AB94" s="29"/>
      <c r="AC94" s="29"/>
      <c r="AD94" s="29"/>
      <c r="AE94" s="43"/>
      <c r="AF94" s="43"/>
      <c r="AG94" s="44"/>
      <c r="AH94" s="45" t="s">
        <v>19</v>
      </c>
      <c r="AI94" s="47"/>
      <c r="AJ94" s="43"/>
      <c r="AK94" s="43"/>
      <c r="AL94" s="43"/>
      <c r="AM94" s="43"/>
      <c r="AN94" s="44"/>
      <c r="AO94" s="45" t="s">
        <v>19</v>
      </c>
      <c r="AP94" s="47"/>
      <c r="AQ94" s="43"/>
      <c r="AR94" s="43"/>
      <c r="AS94" s="43"/>
      <c r="AT94" s="43"/>
      <c r="AU94" s="44"/>
      <c r="AV94" s="45" t="s">
        <v>19</v>
      </c>
      <c r="AW94" s="47"/>
      <c r="AX94" s="43"/>
      <c r="AY94" s="43"/>
      <c r="AZ94" s="48">
        <f>IFERROR(IF(E94="","",RANK(E94,$E$10:$I$264,1)),0)</f>
        <v>31</v>
      </c>
      <c r="BA94" s="49"/>
      <c r="BB94" s="49"/>
      <c r="BC94" s="50"/>
      <c r="BE94" s="38"/>
      <c r="BF94" s="38"/>
      <c r="BG94" s="3"/>
      <c r="BH94" s="30" t="s">
        <v>62</v>
      </c>
      <c r="BI94" s="30"/>
      <c r="BJ94" s="30"/>
      <c r="BK94" s="30"/>
      <c r="BL94" s="30"/>
      <c r="BM94" s="30"/>
      <c r="BN94" s="30"/>
      <c r="BO94" s="30"/>
      <c r="BP94" s="30" t="str">
        <f>IF(BE94&gt;0,VLOOKUP(BE94,'[3]Infos joueurs'!$B:$BT,11,FALSE)," ")&amp;" "&amp;IF(BE94&gt;0,VLOOKUP(BE94,'[3]Infos joueurs'!$B:$BT,27,FALSE)," ")</f>
        <v xml:space="preserve">   </v>
      </c>
      <c r="BQ94" s="30"/>
      <c r="BR94" s="30"/>
      <c r="BS94" s="30"/>
      <c r="BT94" s="30"/>
      <c r="BU94" s="30"/>
      <c r="BV94" s="30"/>
      <c r="BW94" s="30"/>
      <c r="BX94" s="30"/>
      <c r="BY94" s="30"/>
      <c r="BZ94" s="30"/>
      <c r="CA94" s="30"/>
      <c r="CD94" s="54">
        <v>43</v>
      </c>
      <c r="CE94" s="54"/>
      <c r="CF94" s="54"/>
      <c r="CH94" s="59" t="str">
        <f t="shared" ref="CH94" si="250">AA94</f>
        <v xml:space="preserve">   </v>
      </c>
      <c r="CI94" s="59"/>
      <c r="CJ94" s="59"/>
      <c r="CK94" s="59"/>
      <c r="CL94" s="59"/>
      <c r="CM94" s="59"/>
      <c r="CN94" s="59"/>
      <c r="CO94" s="59"/>
      <c r="CP94" s="59"/>
      <c r="CQ94" s="59"/>
      <c r="CR94" s="59"/>
      <c r="CS94" s="59"/>
      <c r="CU94" s="24">
        <f t="shared" ref="CU94" si="251">IFERROR(INDEX($BE$10:$BE$269,MATCH(CH94,$BP$10:$BP$269,0)),0)</f>
        <v>0</v>
      </c>
      <c r="CV94" s="24"/>
      <c r="CW94" s="24"/>
    </row>
    <row r="95" spans="5:101" ht="7.5" customHeight="1" x14ac:dyDescent="0.2">
      <c r="E95" s="41"/>
      <c r="F95" s="61"/>
      <c r="G95" s="61"/>
      <c r="H95" s="61"/>
      <c r="I95" s="42"/>
      <c r="J95" s="63"/>
      <c r="K95" s="41"/>
      <c r="L95" s="61"/>
      <c r="M95" s="61"/>
      <c r="N95" s="42"/>
      <c r="O95" s="41"/>
      <c r="P95" s="42"/>
      <c r="Q95" s="41"/>
      <c r="R95" s="42"/>
      <c r="S95" s="41"/>
      <c r="T95" s="42"/>
      <c r="U95" s="41"/>
      <c r="V95" s="61"/>
      <c r="W95" s="61"/>
      <c r="X95" s="61"/>
      <c r="Y95" s="42"/>
      <c r="Z95" s="29"/>
      <c r="AA95" s="29"/>
      <c r="AB95" s="29"/>
      <c r="AC95" s="29"/>
      <c r="AD95" s="29"/>
      <c r="AE95" s="43"/>
      <c r="AF95" s="43"/>
      <c r="AG95" s="44"/>
      <c r="AH95" s="46"/>
      <c r="AI95" s="47"/>
      <c r="AJ95" s="43"/>
      <c r="AK95" s="43"/>
      <c r="AL95" s="43"/>
      <c r="AM95" s="43"/>
      <c r="AN95" s="44"/>
      <c r="AO95" s="46"/>
      <c r="AP95" s="47"/>
      <c r="AQ95" s="43"/>
      <c r="AR95" s="43"/>
      <c r="AS95" s="43"/>
      <c r="AT95" s="43"/>
      <c r="AU95" s="44"/>
      <c r="AV95" s="46"/>
      <c r="AW95" s="47"/>
      <c r="AX95" s="43"/>
      <c r="AY95" s="43"/>
      <c r="AZ95" s="51"/>
      <c r="BA95" s="52"/>
      <c r="BB95" s="52"/>
      <c r="BC95" s="53"/>
      <c r="BE95" s="38"/>
      <c r="BF95" s="38"/>
      <c r="BG95" s="3"/>
      <c r="BH95" s="30"/>
      <c r="BI95" s="30"/>
      <c r="BJ95" s="30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30"/>
      <c r="BV95" s="30"/>
      <c r="BW95" s="30"/>
      <c r="BX95" s="30"/>
      <c r="BY95" s="30"/>
      <c r="BZ95" s="30"/>
      <c r="CA95" s="30"/>
      <c r="CD95" s="55"/>
      <c r="CE95" s="55"/>
      <c r="CF95" s="55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U95" s="25"/>
      <c r="CV95" s="25"/>
      <c r="CW95" s="25"/>
    </row>
    <row r="96" spans="5:101" ht="7.5" customHeight="1" x14ac:dyDescent="0.2">
      <c r="E96" s="39">
        <f>IFERROR(IF(BP96="","-",RANK(S96,$S$10:$T$264,0)+RANK(Q96,$Q$10:$R$264,0)%+RANK(O96,$O$10:$P$264,0)%%+ROW()%%%),"-")</f>
        <v>12.131796</v>
      </c>
      <c r="F96" s="60"/>
      <c r="G96" s="60"/>
      <c r="H96" s="60"/>
      <c r="I96" s="40"/>
      <c r="J96" s="62">
        <f>IFERROR(IF(E96="","",RANK(E96,$E$10:$I$264,1)),"-")</f>
        <v>32</v>
      </c>
      <c r="K96" s="39" t="str">
        <f t="shared" ref="K96" si="252">BP96</f>
        <v xml:space="preserve">   </v>
      </c>
      <c r="L96" s="60"/>
      <c r="M96" s="60"/>
      <c r="N96" s="40"/>
      <c r="O96" s="39">
        <f t="shared" ref="O96" si="253">SUM(AE96-AI96)</f>
        <v>0</v>
      </c>
      <c r="P96" s="40"/>
      <c r="Q96" s="39">
        <f t="shared" ref="Q96" si="254">SUM(AL96-AP96)</f>
        <v>0</v>
      </c>
      <c r="R96" s="40"/>
      <c r="S96" s="39">
        <f t="shared" ref="S96" si="255">SUM(AS96-AW96)</f>
        <v>0</v>
      </c>
      <c r="T96" s="40"/>
      <c r="U96" s="39">
        <f>IFERROR(SMALL($E$10:$I$264,44),0)</f>
        <v>12.131820000000001</v>
      </c>
      <c r="V96" s="60"/>
      <c r="W96" s="60"/>
      <c r="X96" s="60"/>
      <c r="Y96" s="40"/>
      <c r="Z96" s="29">
        <f>IFERROR(IF(U96="","",RANK(U96,$U$10:$Y$264,1)),0)</f>
        <v>44</v>
      </c>
      <c r="AA96" s="29" t="str">
        <f>IFERROR(INDEX($K$10:$K$264,MATCH(U96,$E$10:$E$264,0),1),0)</f>
        <v xml:space="preserve">   </v>
      </c>
      <c r="AB96" s="29"/>
      <c r="AC96" s="29"/>
      <c r="AD96" s="29"/>
      <c r="AE96" s="43"/>
      <c r="AF96" s="43"/>
      <c r="AG96" s="44"/>
      <c r="AH96" s="45" t="s">
        <v>19</v>
      </c>
      <c r="AI96" s="47"/>
      <c r="AJ96" s="43"/>
      <c r="AK96" s="43"/>
      <c r="AL96" s="43"/>
      <c r="AM96" s="43"/>
      <c r="AN96" s="44"/>
      <c r="AO96" s="45" t="s">
        <v>19</v>
      </c>
      <c r="AP96" s="47"/>
      <c r="AQ96" s="43"/>
      <c r="AR96" s="43"/>
      <c r="AS96" s="43"/>
      <c r="AT96" s="43"/>
      <c r="AU96" s="44"/>
      <c r="AV96" s="45" t="s">
        <v>19</v>
      </c>
      <c r="AW96" s="47"/>
      <c r="AX96" s="43"/>
      <c r="AY96" s="43"/>
      <c r="AZ96" s="48">
        <f>IFERROR(IF(E96="","",RANK(E96,$E$10:$I$264,1)),0)</f>
        <v>32</v>
      </c>
      <c r="BA96" s="49"/>
      <c r="BB96" s="49"/>
      <c r="BC96" s="50"/>
      <c r="BE96" s="38"/>
      <c r="BF96" s="38"/>
      <c r="BG96" s="3"/>
      <c r="BH96" s="30" t="s">
        <v>63</v>
      </c>
      <c r="BI96" s="30"/>
      <c r="BJ96" s="30"/>
      <c r="BK96" s="30"/>
      <c r="BL96" s="30"/>
      <c r="BM96" s="30"/>
      <c r="BN96" s="30"/>
      <c r="BO96" s="30"/>
      <c r="BP96" s="30" t="str">
        <f>IF(BE96&gt;0,VLOOKUP(BE96,'[3]Infos joueurs'!$B:$BT,11,FALSE)," ")&amp;" "&amp;IF(BE96&gt;0,VLOOKUP(BE96,'[3]Infos joueurs'!$B:$BT,27,FALSE)," ")</f>
        <v xml:space="preserve">   </v>
      </c>
      <c r="BQ96" s="30"/>
      <c r="BR96" s="30"/>
      <c r="BS96" s="30"/>
      <c r="BT96" s="30"/>
      <c r="BU96" s="30"/>
      <c r="BV96" s="30"/>
      <c r="BW96" s="30"/>
      <c r="BX96" s="30"/>
      <c r="BY96" s="30"/>
      <c r="BZ96" s="30"/>
      <c r="CA96" s="30"/>
      <c r="CD96" s="54">
        <v>44</v>
      </c>
      <c r="CE96" s="54"/>
      <c r="CF96" s="54"/>
      <c r="CH96" s="59" t="str">
        <f t="shared" ref="CH96" si="256">AA96</f>
        <v xml:space="preserve">   </v>
      </c>
      <c r="CI96" s="59"/>
      <c r="CJ96" s="59"/>
      <c r="CK96" s="59"/>
      <c r="CL96" s="59"/>
      <c r="CM96" s="59"/>
      <c r="CN96" s="59"/>
      <c r="CO96" s="59"/>
      <c r="CP96" s="59"/>
      <c r="CQ96" s="59"/>
      <c r="CR96" s="59"/>
      <c r="CS96" s="59"/>
      <c r="CU96" s="24">
        <f t="shared" ref="CU96" si="257">IFERROR(INDEX($BE$10:$BE$269,MATCH(CH96,$BP$10:$BP$269,0)),0)</f>
        <v>0</v>
      </c>
      <c r="CV96" s="24"/>
      <c r="CW96" s="24"/>
    </row>
    <row r="97" spans="5:101" ht="7.5" customHeight="1" x14ac:dyDescent="0.2">
      <c r="E97" s="41"/>
      <c r="F97" s="61"/>
      <c r="G97" s="61"/>
      <c r="H97" s="61"/>
      <c r="I97" s="42"/>
      <c r="J97" s="63"/>
      <c r="K97" s="41"/>
      <c r="L97" s="61"/>
      <c r="M97" s="61"/>
      <c r="N97" s="42"/>
      <c r="O97" s="41"/>
      <c r="P97" s="42"/>
      <c r="Q97" s="41"/>
      <c r="R97" s="42"/>
      <c r="S97" s="41"/>
      <c r="T97" s="42"/>
      <c r="U97" s="41"/>
      <c r="V97" s="61"/>
      <c r="W97" s="61"/>
      <c r="X97" s="61"/>
      <c r="Y97" s="42"/>
      <c r="Z97" s="29"/>
      <c r="AA97" s="29"/>
      <c r="AB97" s="29"/>
      <c r="AC97" s="29"/>
      <c r="AD97" s="29"/>
      <c r="AE97" s="43"/>
      <c r="AF97" s="43"/>
      <c r="AG97" s="44"/>
      <c r="AH97" s="46"/>
      <c r="AI97" s="47"/>
      <c r="AJ97" s="43"/>
      <c r="AK97" s="43"/>
      <c r="AL97" s="43"/>
      <c r="AM97" s="43"/>
      <c r="AN97" s="44"/>
      <c r="AO97" s="46"/>
      <c r="AP97" s="47"/>
      <c r="AQ97" s="43"/>
      <c r="AR97" s="43"/>
      <c r="AS97" s="43"/>
      <c r="AT97" s="43"/>
      <c r="AU97" s="44"/>
      <c r="AV97" s="46"/>
      <c r="AW97" s="47"/>
      <c r="AX97" s="43"/>
      <c r="AY97" s="43"/>
      <c r="AZ97" s="51"/>
      <c r="BA97" s="52"/>
      <c r="BB97" s="52"/>
      <c r="BC97" s="53"/>
      <c r="BE97" s="38"/>
      <c r="BF97" s="38"/>
      <c r="BG97" s="3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D97" s="55"/>
      <c r="CE97" s="55"/>
      <c r="CF97" s="55"/>
      <c r="CH97" s="56"/>
      <c r="CI97" s="56"/>
      <c r="CJ97" s="56"/>
      <c r="CK97" s="56"/>
      <c r="CL97" s="56"/>
      <c r="CM97" s="56"/>
      <c r="CN97" s="56"/>
      <c r="CO97" s="56"/>
      <c r="CP97" s="56"/>
      <c r="CQ97" s="56"/>
      <c r="CR97" s="56"/>
      <c r="CS97" s="56"/>
      <c r="CU97" s="25"/>
      <c r="CV97" s="25"/>
      <c r="CW97" s="25"/>
    </row>
    <row r="98" spans="5:101" ht="7.5" customHeight="1" x14ac:dyDescent="0.2">
      <c r="E98" s="39">
        <f>IFERROR(IF(BP98="","-",RANK(S98,$S$10:$T$264,0)+RANK(Q98,$Q$10:$R$264,0)%+RANK(O98,$O$10:$P$264,0)%%+ROW()%%%),"-")</f>
        <v>12.131798</v>
      </c>
      <c r="F98" s="60"/>
      <c r="G98" s="60"/>
      <c r="H98" s="60"/>
      <c r="I98" s="40"/>
      <c r="J98" s="62">
        <f>IFERROR(IF(E98="","",RANK(E98,$E$10:$I$264,1)),"-")</f>
        <v>33</v>
      </c>
      <c r="K98" s="39" t="str">
        <f t="shared" ref="K98" si="258">BP98</f>
        <v xml:space="preserve">   </v>
      </c>
      <c r="L98" s="60"/>
      <c r="M98" s="60"/>
      <c r="N98" s="40"/>
      <c r="O98" s="39">
        <f t="shared" ref="O98" si="259">SUM(AE98-AI98)</f>
        <v>0</v>
      </c>
      <c r="P98" s="40"/>
      <c r="Q98" s="39">
        <f t="shared" ref="Q98" si="260">SUM(AL98-AP98)</f>
        <v>0</v>
      </c>
      <c r="R98" s="40"/>
      <c r="S98" s="39">
        <f t="shared" ref="S98" si="261">SUM(AS98-AW98)</f>
        <v>0</v>
      </c>
      <c r="T98" s="40"/>
      <c r="U98" s="39">
        <f>IFERROR(SMALL($E$10:$I$264,45),0)</f>
        <v>12.131822</v>
      </c>
      <c r="V98" s="60"/>
      <c r="W98" s="60"/>
      <c r="X98" s="60"/>
      <c r="Y98" s="40"/>
      <c r="Z98" s="29">
        <f>IFERROR(IF(U98="","",RANK(U98,$U$10:$Y$264,1)),0)</f>
        <v>45</v>
      </c>
      <c r="AA98" s="29" t="str">
        <f>IFERROR(INDEX($K$10:$K$264,MATCH(U98,$E$10:$E$264,0),1),0)</f>
        <v xml:space="preserve">   </v>
      </c>
      <c r="AB98" s="29"/>
      <c r="AC98" s="29"/>
      <c r="AD98" s="29"/>
      <c r="AE98" s="43"/>
      <c r="AF98" s="43"/>
      <c r="AG98" s="44"/>
      <c r="AH98" s="45" t="s">
        <v>19</v>
      </c>
      <c r="AI98" s="47"/>
      <c r="AJ98" s="43"/>
      <c r="AK98" s="43"/>
      <c r="AL98" s="43"/>
      <c r="AM98" s="43"/>
      <c r="AN98" s="44"/>
      <c r="AO98" s="45" t="s">
        <v>19</v>
      </c>
      <c r="AP98" s="47"/>
      <c r="AQ98" s="43"/>
      <c r="AR98" s="43"/>
      <c r="AS98" s="43"/>
      <c r="AT98" s="43"/>
      <c r="AU98" s="44"/>
      <c r="AV98" s="45" t="s">
        <v>19</v>
      </c>
      <c r="AW98" s="47"/>
      <c r="AX98" s="43"/>
      <c r="AY98" s="43"/>
      <c r="AZ98" s="48">
        <f>IFERROR(IF(E98="","",RANK(E98,$E$10:$I$264,1)),0)</f>
        <v>33</v>
      </c>
      <c r="BA98" s="49"/>
      <c r="BB98" s="49"/>
      <c r="BC98" s="50"/>
      <c r="BE98" s="38"/>
      <c r="BF98" s="38"/>
      <c r="BG98" s="3"/>
      <c r="BH98" s="30" t="s">
        <v>64</v>
      </c>
      <c r="BI98" s="30"/>
      <c r="BJ98" s="30"/>
      <c r="BK98" s="30"/>
      <c r="BL98" s="30"/>
      <c r="BM98" s="30"/>
      <c r="BN98" s="30"/>
      <c r="BO98" s="30"/>
      <c r="BP98" s="30" t="str">
        <f>IF(BE98&gt;0,VLOOKUP(BE98,'[3]Infos joueurs'!$B:$BT,11,FALSE)," ")&amp;" "&amp;IF(BE98&gt;0,VLOOKUP(BE98,'[3]Infos joueurs'!$B:$BT,27,FALSE)," ")</f>
        <v xml:space="preserve">   </v>
      </c>
      <c r="BQ98" s="30"/>
      <c r="BR98" s="30"/>
      <c r="BS98" s="30"/>
      <c r="BT98" s="30"/>
      <c r="BU98" s="30"/>
      <c r="BV98" s="30"/>
      <c r="BW98" s="30"/>
      <c r="BX98" s="30"/>
      <c r="BY98" s="30"/>
      <c r="BZ98" s="30"/>
      <c r="CA98" s="30"/>
      <c r="CD98" s="54">
        <v>45</v>
      </c>
      <c r="CE98" s="54"/>
      <c r="CF98" s="54"/>
      <c r="CH98" s="59" t="str">
        <f t="shared" ref="CH98" si="262">AA98</f>
        <v xml:space="preserve">   </v>
      </c>
      <c r="CI98" s="59"/>
      <c r="CJ98" s="59"/>
      <c r="CK98" s="59"/>
      <c r="CL98" s="59"/>
      <c r="CM98" s="59"/>
      <c r="CN98" s="59"/>
      <c r="CO98" s="59"/>
      <c r="CP98" s="59"/>
      <c r="CQ98" s="59"/>
      <c r="CR98" s="59"/>
      <c r="CS98" s="59"/>
      <c r="CU98" s="24">
        <f t="shared" ref="CU98" si="263">IFERROR(INDEX($BE$10:$BE$269,MATCH(CH98,$BP$10:$BP$269,0)),0)</f>
        <v>0</v>
      </c>
      <c r="CV98" s="24"/>
      <c r="CW98" s="24"/>
    </row>
    <row r="99" spans="5:101" ht="7.5" customHeight="1" x14ac:dyDescent="0.2">
      <c r="E99" s="41"/>
      <c r="F99" s="61"/>
      <c r="G99" s="61"/>
      <c r="H99" s="61"/>
      <c r="I99" s="42"/>
      <c r="J99" s="63"/>
      <c r="K99" s="41"/>
      <c r="L99" s="61"/>
      <c r="M99" s="61"/>
      <c r="N99" s="42"/>
      <c r="O99" s="41"/>
      <c r="P99" s="42"/>
      <c r="Q99" s="41"/>
      <c r="R99" s="42"/>
      <c r="S99" s="41"/>
      <c r="T99" s="42"/>
      <c r="U99" s="41"/>
      <c r="V99" s="61"/>
      <c r="W99" s="61"/>
      <c r="X99" s="61"/>
      <c r="Y99" s="42"/>
      <c r="Z99" s="29"/>
      <c r="AA99" s="29"/>
      <c r="AB99" s="29"/>
      <c r="AC99" s="29"/>
      <c r="AD99" s="29"/>
      <c r="AE99" s="43"/>
      <c r="AF99" s="43"/>
      <c r="AG99" s="44"/>
      <c r="AH99" s="46"/>
      <c r="AI99" s="47"/>
      <c r="AJ99" s="43"/>
      <c r="AK99" s="43"/>
      <c r="AL99" s="43"/>
      <c r="AM99" s="43"/>
      <c r="AN99" s="44"/>
      <c r="AO99" s="46"/>
      <c r="AP99" s="47"/>
      <c r="AQ99" s="43"/>
      <c r="AR99" s="43"/>
      <c r="AS99" s="43"/>
      <c r="AT99" s="43"/>
      <c r="AU99" s="44"/>
      <c r="AV99" s="46"/>
      <c r="AW99" s="47"/>
      <c r="AX99" s="43"/>
      <c r="AY99" s="43"/>
      <c r="AZ99" s="51"/>
      <c r="BA99" s="52"/>
      <c r="BB99" s="52"/>
      <c r="BC99" s="53"/>
      <c r="BE99" s="38"/>
      <c r="BF99" s="38"/>
      <c r="BG99" s="3"/>
      <c r="BH99" s="30"/>
      <c r="BI99" s="30"/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30"/>
      <c r="BV99" s="30"/>
      <c r="BW99" s="30"/>
      <c r="BX99" s="30"/>
      <c r="BY99" s="30"/>
      <c r="BZ99" s="30"/>
      <c r="CA99" s="30"/>
      <c r="CD99" s="55"/>
      <c r="CE99" s="55"/>
      <c r="CF99" s="55"/>
      <c r="CH99" s="56"/>
      <c r="CI99" s="56"/>
      <c r="CJ99" s="56"/>
      <c r="CK99" s="56"/>
      <c r="CL99" s="56"/>
      <c r="CM99" s="56"/>
      <c r="CN99" s="56"/>
      <c r="CO99" s="56"/>
      <c r="CP99" s="56"/>
      <c r="CQ99" s="56"/>
      <c r="CR99" s="56"/>
      <c r="CS99" s="56"/>
      <c r="CU99" s="25"/>
      <c r="CV99" s="25"/>
      <c r="CW99" s="25"/>
    </row>
    <row r="100" spans="5:101" ht="7.5" customHeight="1" x14ac:dyDescent="0.2">
      <c r="E100" s="39">
        <f>IFERROR(IF(BP100="","-",RANK(S100,$S$10:$T$264,0)+RANK(Q100,$Q$10:$R$264,0)%+RANK(O100,$O$10:$P$264,0)%%+ROW()%%%),"-")</f>
        <v>12.1318</v>
      </c>
      <c r="F100" s="60"/>
      <c r="G100" s="60"/>
      <c r="H100" s="60"/>
      <c r="I100" s="40"/>
      <c r="J100" s="62">
        <f>IFERROR(IF(E100="","",RANK(E100,$E$10:$I$264,1)),"-")</f>
        <v>34</v>
      </c>
      <c r="K100" s="39" t="str">
        <f t="shared" ref="K100" si="264">BP100</f>
        <v xml:space="preserve">   </v>
      </c>
      <c r="L100" s="60"/>
      <c r="M100" s="60"/>
      <c r="N100" s="40"/>
      <c r="O100" s="39">
        <f t="shared" ref="O100" si="265">SUM(AE100-AI100)</f>
        <v>0</v>
      </c>
      <c r="P100" s="40"/>
      <c r="Q100" s="39">
        <f t="shared" ref="Q100" si="266">SUM(AL100-AP100)</f>
        <v>0</v>
      </c>
      <c r="R100" s="40"/>
      <c r="S100" s="39">
        <f t="shared" ref="S100" si="267">SUM(AS100-AW100)</f>
        <v>0</v>
      </c>
      <c r="T100" s="40"/>
      <c r="U100" s="39">
        <f>IFERROR(SMALL($E$10:$I$264,46),0)</f>
        <v>12.131824</v>
      </c>
      <c r="V100" s="60"/>
      <c r="W100" s="60"/>
      <c r="X100" s="60"/>
      <c r="Y100" s="40"/>
      <c r="Z100" s="29">
        <f>IFERROR(IF(U100="","",RANK(U100,$U$10:$Y$264,1)),0)</f>
        <v>46</v>
      </c>
      <c r="AA100" s="29" t="str">
        <f>IFERROR(INDEX($K$10:$K$264,MATCH(U100,$E$10:$E$264,0),1),0)</f>
        <v xml:space="preserve">   </v>
      </c>
      <c r="AB100" s="29"/>
      <c r="AC100" s="29"/>
      <c r="AD100" s="29"/>
      <c r="AE100" s="43"/>
      <c r="AF100" s="43"/>
      <c r="AG100" s="44"/>
      <c r="AH100" s="45" t="s">
        <v>19</v>
      </c>
      <c r="AI100" s="47"/>
      <c r="AJ100" s="43"/>
      <c r="AK100" s="43"/>
      <c r="AL100" s="43"/>
      <c r="AM100" s="43"/>
      <c r="AN100" s="44"/>
      <c r="AO100" s="45" t="s">
        <v>19</v>
      </c>
      <c r="AP100" s="47"/>
      <c r="AQ100" s="43"/>
      <c r="AR100" s="43"/>
      <c r="AS100" s="43"/>
      <c r="AT100" s="43"/>
      <c r="AU100" s="44"/>
      <c r="AV100" s="45" t="s">
        <v>19</v>
      </c>
      <c r="AW100" s="47"/>
      <c r="AX100" s="43"/>
      <c r="AY100" s="43"/>
      <c r="AZ100" s="48">
        <f>IFERROR(IF(E100="","",RANK(E100,$E$10:$I$264,1)),0)</f>
        <v>34</v>
      </c>
      <c r="BA100" s="49"/>
      <c r="BB100" s="49"/>
      <c r="BC100" s="50"/>
      <c r="BE100" s="38"/>
      <c r="BF100" s="38"/>
      <c r="BG100" s="3"/>
      <c r="BH100" s="30" t="s">
        <v>65</v>
      </c>
      <c r="BI100" s="30"/>
      <c r="BJ100" s="30"/>
      <c r="BK100" s="30"/>
      <c r="BL100" s="30"/>
      <c r="BM100" s="30"/>
      <c r="BN100" s="30"/>
      <c r="BO100" s="30"/>
      <c r="BP100" s="30" t="str">
        <f>IF(BE100&gt;0,VLOOKUP(BE100,'[3]Infos joueurs'!$B:$BT,11,FALSE)," ")&amp;" "&amp;IF(BE100&gt;0,VLOOKUP(BE100,'[3]Infos joueurs'!$B:$BT,27,FALSE)," ")</f>
        <v xml:space="preserve">   </v>
      </c>
      <c r="BQ100" s="30"/>
      <c r="BR100" s="30"/>
      <c r="BS100" s="30"/>
      <c r="BT100" s="30"/>
      <c r="BU100" s="30"/>
      <c r="BV100" s="30"/>
      <c r="BW100" s="30"/>
      <c r="BX100" s="30"/>
      <c r="BY100" s="30"/>
      <c r="BZ100" s="30"/>
      <c r="CA100" s="30"/>
      <c r="CD100" s="54">
        <v>46</v>
      </c>
      <c r="CE100" s="54"/>
      <c r="CF100" s="54"/>
      <c r="CH100" s="59" t="str">
        <f t="shared" ref="CH100" si="268">AA100</f>
        <v xml:space="preserve">   </v>
      </c>
      <c r="CI100" s="59"/>
      <c r="CJ100" s="59"/>
      <c r="CK100" s="59"/>
      <c r="CL100" s="59"/>
      <c r="CM100" s="59"/>
      <c r="CN100" s="59"/>
      <c r="CO100" s="59"/>
      <c r="CP100" s="59"/>
      <c r="CQ100" s="59"/>
      <c r="CR100" s="59"/>
      <c r="CS100" s="59"/>
      <c r="CU100" s="24">
        <f t="shared" ref="CU100" si="269">IFERROR(INDEX($BE$10:$BE$269,MATCH(CH100,$BP$10:$BP$269,0)),0)</f>
        <v>0</v>
      </c>
      <c r="CV100" s="24"/>
      <c r="CW100" s="24"/>
    </row>
    <row r="101" spans="5:101" ht="7.5" customHeight="1" x14ac:dyDescent="0.2">
      <c r="E101" s="41"/>
      <c r="F101" s="61"/>
      <c r="G101" s="61"/>
      <c r="H101" s="61"/>
      <c r="I101" s="42"/>
      <c r="J101" s="63"/>
      <c r="K101" s="41"/>
      <c r="L101" s="61"/>
      <c r="M101" s="61"/>
      <c r="N101" s="42"/>
      <c r="O101" s="41"/>
      <c r="P101" s="42"/>
      <c r="Q101" s="41"/>
      <c r="R101" s="42"/>
      <c r="S101" s="41"/>
      <c r="T101" s="42"/>
      <c r="U101" s="41"/>
      <c r="V101" s="61"/>
      <c r="W101" s="61"/>
      <c r="X101" s="61"/>
      <c r="Y101" s="42"/>
      <c r="Z101" s="29"/>
      <c r="AA101" s="29"/>
      <c r="AB101" s="29"/>
      <c r="AC101" s="29"/>
      <c r="AD101" s="29"/>
      <c r="AE101" s="43"/>
      <c r="AF101" s="43"/>
      <c r="AG101" s="44"/>
      <c r="AH101" s="46"/>
      <c r="AI101" s="47"/>
      <c r="AJ101" s="43"/>
      <c r="AK101" s="43"/>
      <c r="AL101" s="43"/>
      <c r="AM101" s="43"/>
      <c r="AN101" s="44"/>
      <c r="AO101" s="46"/>
      <c r="AP101" s="47"/>
      <c r="AQ101" s="43"/>
      <c r="AR101" s="43"/>
      <c r="AS101" s="43"/>
      <c r="AT101" s="43"/>
      <c r="AU101" s="44"/>
      <c r="AV101" s="46"/>
      <c r="AW101" s="47"/>
      <c r="AX101" s="43"/>
      <c r="AY101" s="43"/>
      <c r="AZ101" s="51"/>
      <c r="BA101" s="52"/>
      <c r="BB101" s="52"/>
      <c r="BC101" s="53"/>
      <c r="BE101" s="38"/>
      <c r="BF101" s="38"/>
      <c r="BG101" s="3"/>
      <c r="BH101" s="30"/>
      <c r="BI101" s="30"/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D101" s="55"/>
      <c r="CE101" s="55"/>
      <c r="CF101" s="55"/>
      <c r="CH101" s="56"/>
      <c r="CI101" s="56"/>
      <c r="CJ101" s="56"/>
      <c r="CK101" s="56"/>
      <c r="CL101" s="56"/>
      <c r="CM101" s="56"/>
      <c r="CN101" s="56"/>
      <c r="CO101" s="56"/>
      <c r="CP101" s="56"/>
      <c r="CQ101" s="56"/>
      <c r="CR101" s="56"/>
      <c r="CS101" s="56"/>
      <c r="CU101" s="25"/>
      <c r="CV101" s="25"/>
      <c r="CW101" s="25"/>
    </row>
    <row r="102" spans="5:101" ht="7.5" customHeight="1" x14ac:dyDescent="0.2">
      <c r="E102" s="39">
        <f>IFERROR(IF(BP102="","-",RANK(S102,$S$10:$T$264,0)+RANK(Q102,$Q$10:$R$264,0)%+RANK(O102,$O$10:$P$264,0)%%+ROW()%%%),"-")</f>
        <v>12.131802</v>
      </c>
      <c r="F102" s="60"/>
      <c r="G102" s="60"/>
      <c r="H102" s="60"/>
      <c r="I102" s="40"/>
      <c r="J102" s="62">
        <f>IFERROR(IF(E102="","",RANK(E102,$E$10:$I$264,1)),"-")</f>
        <v>35</v>
      </c>
      <c r="K102" s="39" t="str">
        <f t="shared" ref="K102" si="270">BP102</f>
        <v xml:space="preserve">   </v>
      </c>
      <c r="L102" s="60"/>
      <c r="M102" s="60"/>
      <c r="N102" s="40"/>
      <c r="O102" s="39">
        <f t="shared" ref="O102" si="271">SUM(AE102-AI102)</f>
        <v>0</v>
      </c>
      <c r="P102" s="40"/>
      <c r="Q102" s="39">
        <f t="shared" ref="Q102" si="272">SUM(AL102-AP102)</f>
        <v>0</v>
      </c>
      <c r="R102" s="40"/>
      <c r="S102" s="39">
        <f t="shared" ref="S102" si="273">SUM(AS102-AW102)</f>
        <v>0</v>
      </c>
      <c r="T102" s="40"/>
      <c r="U102" s="39">
        <f>IFERROR(SMALL($E$10:$I$264,47),0)</f>
        <v>12.131826</v>
      </c>
      <c r="V102" s="60"/>
      <c r="W102" s="60"/>
      <c r="X102" s="60"/>
      <c r="Y102" s="40"/>
      <c r="Z102" s="29">
        <f>IFERROR(IF(U102="","",RANK(U102,$U$10:$Y$264,1)),0)</f>
        <v>47</v>
      </c>
      <c r="AA102" s="29" t="str">
        <f>IFERROR(INDEX($K$10:$K$264,MATCH(U102,$E$10:$E$264,0),1),0)</f>
        <v xml:space="preserve">   </v>
      </c>
      <c r="AB102" s="29"/>
      <c r="AC102" s="29"/>
      <c r="AD102" s="29"/>
      <c r="AE102" s="43"/>
      <c r="AF102" s="43"/>
      <c r="AG102" s="44"/>
      <c r="AH102" s="45" t="s">
        <v>19</v>
      </c>
      <c r="AI102" s="47"/>
      <c r="AJ102" s="43"/>
      <c r="AK102" s="43"/>
      <c r="AL102" s="43"/>
      <c r="AM102" s="43"/>
      <c r="AN102" s="44"/>
      <c r="AO102" s="45" t="s">
        <v>19</v>
      </c>
      <c r="AP102" s="47"/>
      <c r="AQ102" s="43"/>
      <c r="AR102" s="43"/>
      <c r="AS102" s="43"/>
      <c r="AT102" s="43"/>
      <c r="AU102" s="44"/>
      <c r="AV102" s="45" t="s">
        <v>19</v>
      </c>
      <c r="AW102" s="47"/>
      <c r="AX102" s="43"/>
      <c r="AY102" s="43"/>
      <c r="AZ102" s="48">
        <f>IFERROR(IF(E102="","",RANK(E102,$E$10:$I$264,1)),0)</f>
        <v>35</v>
      </c>
      <c r="BA102" s="49"/>
      <c r="BB102" s="49"/>
      <c r="BC102" s="50"/>
      <c r="BE102" s="38"/>
      <c r="BF102" s="38"/>
      <c r="BG102" s="3"/>
      <c r="BH102" s="30" t="s">
        <v>66</v>
      </c>
      <c r="BI102" s="30"/>
      <c r="BJ102" s="30"/>
      <c r="BK102" s="30"/>
      <c r="BL102" s="30"/>
      <c r="BM102" s="30"/>
      <c r="BN102" s="30"/>
      <c r="BO102" s="30"/>
      <c r="BP102" s="30" t="str">
        <f>IF(BE102&gt;0,VLOOKUP(BE102,'[3]Infos joueurs'!$B:$BT,11,FALSE)," ")&amp;" "&amp;IF(BE102&gt;0,VLOOKUP(BE102,'[3]Infos joueurs'!$B:$BT,27,FALSE)," ")</f>
        <v xml:space="preserve">   </v>
      </c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D102" s="54">
        <v>47</v>
      </c>
      <c r="CE102" s="54"/>
      <c r="CF102" s="54"/>
      <c r="CH102" s="59" t="str">
        <f t="shared" ref="CH102" si="274">AA102</f>
        <v xml:space="preserve">   </v>
      </c>
      <c r="CI102" s="59"/>
      <c r="CJ102" s="59"/>
      <c r="CK102" s="59"/>
      <c r="CL102" s="59"/>
      <c r="CM102" s="59"/>
      <c r="CN102" s="59"/>
      <c r="CO102" s="59"/>
      <c r="CP102" s="59"/>
      <c r="CQ102" s="59"/>
      <c r="CR102" s="59"/>
      <c r="CS102" s="59"/>
      <c r="CU102" s="24">
        <f t="shared" ref="CU102" si="275">IFERROR(INDEX($BE$10:$BE$269,MATCH(CH102,$BP$10:$BP$269,0)),0)</f>
        <v>0</v>
      </c>
      <c r="CV102" s="24"/>
      <c r="CW102" s="24"/>
    </row>
    <row r="103" spans="5:101" ht="7.5" customHeight="1" x14ac:dyDescent="0.2">
      <c r="E103" s="41"/>
      <c r="F103" s="61"/>
      <c r="G103" s="61"/>
      <c r="H103" s="61"/>
      <c r="I103" s="42"/>
      <c r="J103" s="63"/>
      <c r="K103" s="41"/>
      <c r="L103" s="61"/>
      <c r="M103" s="61"/>
      <c r="N103" s="42"/>
      <c r="O103" s="41"/>
      <c r="P103" s="42"/>
      <c r="Q103" s="41"/>
      <c r="R103" s="42"/>
      <c r="S103" s="41"/>
      <c r="T103" s="42"/>
      <c r="U103" s="41"/>
      <c r="V103" s="61"/>
      <c r="W103" s="61"/>
      <c r="X103" s="61"/>
      <c r="Y103" s="42"/>
      <c r="Z103" s="29"/>
      <c r="AA103" s="29"/>
      <c r="AB103" s="29"/>
      <c r="AC103" s="29"/>
      <c r="AD103" s="29"/>
      <c r="AE103" s="43"/>
      <c r="AF103" s="43"/>
      <c r="AG103" s="44"/>
      <c r="AH103" s="46"/>
      <c r="AI103" s="47"/>
      <c r="AJ103" s="43"/>
      <c r="AK103" s="43"/>
      <c r="AL103" s="43"/>
      <c r="AM103" s="43"/>
      <c r="AN103" s="44"/>
      <c r="AO103" s="46"/>
      <c r="AP103" s="47"/>
      <c r="AQ103" s="43"/>
      <c r="AR103" s="43"/>
      <c r="AS103" s="43"/>
      <c r="AT103" s="43"/>
      <c r="AU103" s="44"/>
      <c r="AV103" s="46"/>
      <c r="AW103" s="47"/>
      <c r="AX103" s="43"/>
      <c r="AY103" s="43"/>
      <c r="AZ103" s="51"/>
      <c r="BA103" s="52"/>
      <c r="BB103" s="52"/>
      <c r="BC103" s="53"/>
      <c r="BE103" s="38"/>
      <c r="BF103" s="38"/>
      <c r="BG103" s="3"/>
      <c r="BH103" s="30"/>
      <c r="BI103" s="30"/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30"/>
      <c r="BV103" s="30"/>
      <c r="BW103" s="30"/>
      <c r="BX103" s="30"/>
      <c r="BY103" s="30"/>
      <c r="BZ103" s="30"/>
      <c r="CA103" s="30"/>
      <c r="CD103" s="55"/>
      <c r="CE103" s="55"/>
      <c r="CF103" s="55"/>
      <c r="CH103" s="56"/>
      <c r="CI103" s="56"/>
      <c r="CJ103" s="56"/>
      <c r="CK103" s="56"/>
      <c r="CL103" s="56"/>
      <c r="CM103" s="56"/>
      <c r="CN103" s="56"/>
      <c r="CO103" s="56"/>
      <c r="CP103" s="56"/>
      <c r="CQ103" s="56"/>
      <c r="CR103" s="56"/>
      <c r="CS103" s="56"/>
      <c r="CU103" s="25"/>
      <c r="CV103" s="25"/>
      <c r="CW103" s="25"/>
    </row>
    <row r="104" spans="5:101" ht="7.5" customHeight="1" x14ac:dyDescent="0.2">
      <c r="E104" s="39">
        <f>IFERROR(IF(BP104="","-",RANK(S104,$S$10:$T$264,0)+RANK(Q104,$Q$10:$R$264,0)%+RANK(O104,$O$10:$P$264,0)%%+ROW()%%%),"-")</f>
        <v>12.131804000000001</v>
      </c>
      <c r="F104" s="60"/>
      <c r="G104" s="60"/>
      <c r="H104" s="60"/>
      <c r="I104" s="40"/>
      <c r="J104" s="62">
        <f>IFERROR(IF(E104="","",RANK(E104,$E$10:$I$264,1)),"-")</f>
        <v>36</v>
      </c>
      <c r="K104" s="39" t="str">
        <f t="shared" ref="K104" si="276">BP104</f>
        <v xml:space="preserve">   </v>
      </c>
      <c r="L104" s="60"/>
      <c r="M104" s="60"/>
      <c r="N104" s="40"/>
      <c r="O104" s="39">
        <f t="shared" ref="O104" si="277">SUM(AE104-AI104)</f>
        <v>0</v>
      </c>
      <c r="P104" s="40"/>
      <c r="Q104" s="39">
        <f t="shared" ref="Q104" si="278">SUM(AL104-AP104)</f>
        <v>0</v>
      </c>
      <c r="R104" s="40"/>
      <c r="S104" s="39">
        <f t="shared" ref="S104" si="279">SUM(AS104-AW104)</f>
        <v>0</v>
      </c>
      <c r="T104" s="40"/>
      <c r="U104" s="39">
        <f>IFERROR(SMALL($E$10:$I$264,48),0)</f>
        <v>12.131828000000001</v>
      </c>
      <c r="V104" s="60"/>
      <c r="W104" s="60"/>
      <c r="X104" s="60"/>
      <c r="Y104" s="40"/>
      <c r="Z104" s="29">
        <f>IFERROR(IF(U104="","",RANK(U104,$U$10:$Y$264,1)),0)</f>
        <v>48</v>
      </c>
      <c r="AA104" s="29" t="str">
        <f>IFERROR(INDEX($K$10:$K$264,MATCH(U104,$E$10:$E$264,0),1),0)</f>
        <v xml:space="preserve">   </v>
      </c>
      <c r="AB104" s="29"/>
      <c r="AC104" s="29"/>
      <c r="AD104" s="29"/>
      <c r="AE104" s="43"/>
      <c r="AF104" s="43"/>
      <c r="AG104" s="44"/>
      <c r="AH104" s="45" t="s">
        <v>19</v>
      </c>
      <c r="AI104" s="47"/>
      <c r="AJ104" s="43"/>
      <c r="AK104" s="43"/>
      <c r="AL104" s="43"/>
      <c r="AM104" s="43"/>
      <c r="AN104" s="44"/>
      <c r="AO104" s="45" t="s">
        <v>19</v>
      </c>
      <c r="AP104" s="47"/>
      <c r="AQ104" s="43"/>
      <c r="AR104" s="43"/>
      <c r="AS104" s="43"/>
      <c r="AT104" s="43"/>
      <c r="AU104" s="44"/>
      <c r="AV104" s="45" t="s">
        <v>19</v>
      </c>
      <c r="AW104" s="47"/>
      <c r="AX104" s="43"/>
      <c r="AY104" s="43"/>
      <c r="AZ104" s="48">
        <f>IFERROR(IF(E104="","",RANK(E104,$E$10:$I$264,1)),0)</f>
        <v>36</v>
      </c>
      <c r="BA104" s="49"/>
      <c r="BB104" s="49"/>
      <c r="BC104" s="50"/>
      <c r="BE104" s="38"/>
      <c r="BF104" s="38"/>
      <c r="BG104" s="3"/>
      <c r="BH104" s="30" t="s">
        <v>67</v>
      </c>
      <c r="BI104" s="30"/>
      <c r="BJ104" s="30"/>
      <c r="BK104" s="30"/>
      <c r="BL104" s="30"/>
      <c r="BM104" s="30"/>
      <c r="BN104" s="30"/>
      <c r="BO104" s="30"/>
      <c r="BP104" s="30" t="str">
        <f>IF(BE104&gt;0,VLOOKUP(BE104,'[3]Infos joueurs'!$B:$BT,11,FALSE)," ")&amp;" "&amp;IF(BE104&gt;0,VLOOKUP(BE104,'[3]Infos joueurs'!$B:$BT,27,FALSE)," ")</f>
        <v xml:space="preserve">   </v>
      </c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D104" s="54">
        <v>48</v>
      </c>
      <c r="CE104" s="54"/>
      <c r="CF104" s="54"/>
      <c r="CH104" s="59" t="str">
        <f t="shared" ref="CH104" si="280">AA104</f>
        <v xml:space="preserve">   </v>
      </c>
      <c r="CI104" s="59"/>
      <c r="CJ104" s="59"/>
      <c r="CK104" s="59"/>
      <c r="CL104" s="59"/>
      <c r="CM104" s="59"/>
      <c r="CN104" s="59"/>
      <c r="CO104" s="59"/>
      <c r="CP104" s="59"/>
      <c r="CQ104" s="59"/>
      <c r="CR104" s="59"/>
      <c r="CS104" s="59"/>
      <c r="CU104" s="24">
        <f t="shared" ref="CU104" si="281">IFERROR(INDEX($BE$10:$BE$269,MATCH(CH104,$BP$10:$BP$269,0)),0)</f>
        <v>0</v>
      </c>
      <c r="CV104" s="24"/>
      <c r="CW104" s="24"/>
    </row>
    <row r="105" spans="5:101" ht="7.5" customHeight="1" x14ac:dyDescent="0.2">
      <c r="E105" s="41"/>
      <c r="F105" s="61"/>
      <c r="G105" s="61"/>
      <c r="H105" s="61"/>
      <c r="I105" s="42"/>
      <c r="J105" s="63"/>
      <c r="K105" s="41"/>
      <c r="L105" s="61"/>
      <c r="M105" s="61"/>
      <c r="N105" s="42"/>
      <c r="O105" s="41"/>
      <c r="P105" s="42"/>
      <c r="Q105" s="41"/>
      <c r="R105" s="42"/>
      <c r="S105" s="41"/>
      <c r="T105" s="42"/>
      <c r="U105" s="41"/>
      <c r="V105" s="61"/>
      <c r="W105" s="61"/>
      <c r="X105" s="61"/>
      <c r="Y105" s="42"/>
      <c r="Z105" s="29"/>
      <c r="AA105" s="29"/>
      <c r="AB105" s="29"/>
      <c r="AC105" s="29"/>
      <c r="AD105" s="29"/>
      <c r="AE105" s="43"/>
      <c r="AF105" s="43"/>
      <c r="AG105" s="44"/>
      <c r="AH105" s="46"/>
      <c r="AI105" s="47"/>
      <c r="AJ105" s="43"/>
      <c r="AK105" s="43"/>
      <c r="AL105" s="43"/>
      <c r="AM105" s="43"/>
      <c r="AN105" s="44"/>
      <c r="AO105" s="46"/>
      <c r="AP105" s="47"/>
      <c r="AQ105" s="43"/>
      <c r="AR105" s="43"/>
      <c r="AS105" s="43"/>
      <c r="AT105" s="43"/>
      <c r="AU105" s="44"/>
      <c r="AV105" s="46"/>
      <c r="AW105" s="47"/>
      <c r="AX105" s="43"/>
      <c r="AY105" s="43"/>
      <c r="AZ105" s="51"/>
      <c r="BA105" s="52"/>
      <c r="BB105" s="52"/>
      <c r="BC105" s="53"/>
      <c r="BE105" s="38"/>
      <c r="BF105" s="38"/>
      <c r="BG105" s="3"/>
      <c r="BH105" s="30"/>
      <c r="BI105" s="30"/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30"/>
      <c r="BV105" s="30"/>
      <c r="BW105" s="30"/>
      <c r="BX105" s="30"/>
      <c r="BY105" s="30"/>
      <c r="BZ105" s="30"/>
      <c r="CA105" s="30"/>
      <c r="CD105" s="55"/>
      <c r="CE105" s="55"/>
      <c r="CF105" s="55"/>
      <c r="CH105" s="56"/>
      <c r="CI105" s="56"/>
      <c r="CJ105" s="56"/>
      <c r="CK105" s="56"/>
      <c r="CL105" s="56"/>
      <c r="CM105" s="56"/>
      <c r="CN105" s="56"/>
      <c r="CO105" s="56"/>
      <c r="CP105" s="56"/>
      <c r="CQ105" s="56"/>
      <c r="CR105" s="56"/>
      <c r="CS105" s="56"/>
      <c r="CU105" s="25"/>
      <c r="CV105" s="25"/>
      <c r="CW105" s="25"/>
    </row>
    <row r="106" spans="5:101" ht="7.5" customHeight="1" x14ac:dyDescent="0.2">
      <c r="E106" s="39">
        <f>IFERROR(IF(BP106="","-",RANK(S106,$S$10:$T$264,0)+RANK(Q106,$Q$10:$R$264,0)%+RANK(O106,$O$10:$P$264,0)%%+ROW()%%%),"-")</f>
        <v>12.131806000000001</v>
      </c>
      <c r="F106" s="60"/>
      <c r="G106" s="60"/>
      <c r="H106" s="60"/>
      <c r="I106" s="40"/>
      <c r="J106" s="62">
        <f>IFERROR(IF(E106="","",RANK(E106,$E$10:$I$264,1)),"-")</f>
        <v>37</v>
      </c>
      <c r="K106" s="39" t="str">
        <f t="shared" ref="K106" si="282">BP106</f>
        <v xml:space="preserve">   </v>
      </c>
      <c r="L106" s="60"/>
      <c r="M106" s="60"/>
      <c r="N106" s="40"/>
      <c r="O106" s="39">
        <f t="shared" ref="O106" si="283">SUM(AE106-AI106)</f>
        <v>0</v>
      </c>
      <c r="P106" s="40"/>
      <c r="Q106" s="39">
        <f t="shared" ref="Q106" si="284">SUM(AL106-AP106)</f>
        <v>0</v>
      </c>
      <c r="R106" s="40"/>
      <c r="S106" s="39">
        <f t="shared" ref="S106" si="285">SUM(AS106-AW106)</f>
        <v>0</v>
      </c>
      <c r="T106" s="40"/>
      <c r="U106" s="39">
        <f>IFERROR(SMALL($E$10:$I$264,49),0)</f>
        <v>12.131830000000001</v>
      </c>
      <c r="V106" s="60"/>
      <c r="W106" s="60"/>
      <c r="X106" s="60"/>
      <c r="Y106" s="40"/>
      <c r="Z106" s="29">
        <f>IFERROR(IF(U106="","",RANK(U106,$U$10:$Y$264,1)),0)</f>
        <v>49</v>
      </c>
      <c r="AA106" s="29" t="str">
        <f>IFERROR(INDEX($K$10:$K$264,MATCH(U106,$E$10:$E$264,0),1),0)</f>
        <v xml:space="preserve">   </v>
      </c>
      <c r="AB106" s="29"/>
      <c r="AC106" s="29"/>
      <c r="AD106" s="29"/>
      <c r="AE106" s="43"/>
      <c r="AF106" s="43"/>
      <c r="AG106" s="44"/>
      <c r="AH106" s="45" t="s">
        <v>19</v>
      </c>
      <c r="AI106" s="47"/>
      <c r="AJ106" s="43"/>
      <c r="AK106" s="43"/>
      <c r="AL106" s="43"/>
      <c r="AM106" s="43"/>
      <c r="AN106" s="44"/>
      <c r="AO106" s="45" t="s">
        <v>19</v>
      </c>
      <c r="AP106" s="47"/>
      <c r="AQ106" s="43"/>
      <c r="AR106" s="43"/>
      <c r="AS106" s="43"/>
      <c r="AT106" s="43"/>
      <c r="AU106" s="44"/>
      <c r="AV106" s="45" t="s">
        <v>19</v>
      </c>
      <c r="AW106" s="47"/>
      <c r="AX106" s="43"/>
      <c r="AY106" s="43"/>
      <c r="AZ106" s="48">
        <f>IFERROR(IF(E106="","",RANK(E106,$E$10:$I$264,1)),0)</f>
        <v>37</v>
      </c>
      <c r="BA106" s="49"/>
      <c r="BB106" s="49"/>
      <c r="BC106" s="50"/>
      <c r="BE106" s="38"/>
      <c r="BF106" s="38"/>
      <c r="BG106" s="3"/>
      <c r="BH106" s="30" t="s">
        <v>68</v>
      </c>
      <c r="BI106" s="30"/>
      <c r="BJ106" s="30"/>
      <c r="BK106" s="30"/>
      <c r="BL106" s="30"/>
      <c r="BM106" s="30"/>
      <c r="BN106" s="30"/>
      <c r="BO106" s="30"/>
      <c r="BP106" s="30" t="str">
        <f>IF(BE106&gt;0,VLOOKUP(BE106,'[3]Infos joueurs'!$B:$BT,11,FALSE)," ")&amp;" "&amp;IF(BE106&gt;0,VLOOKUP(BE106,'[3]Infos joueurs'!$B:$BT,27,FALSE)," ")</f>
        <v xml:space="preserve">   </v>
      </c>
      <c r="BQ106" s="30"/>
      <c r="BR106" s="30"/>
      <c r="BS106" s="30"/>
      <c r="BT106" s="30"/>
      <c r="BU106" s="30"/>
      <c r="BV106" s="30"/>
      <c r="BW106" s="30"/>
      <c r="BX106" s="30"/>
      <c r="BY106" s="30"/>
      <c r="BZ106" s="30"/>
      <c r="CA106" s="30"/>
      <c r="CD106" s="54">
        <v>49</v>
      </c>
      <c r="CE106" s="54"/>
      <c r="CF106" s="54"/>
      <c r="CH106" s="59" t="str">
        <f t="shared" ref="CH106" si="286">AA106</f>
        <v xml:space="preserve">   </v>
      </c>
      <c r="CI106" s="59"/>
      <c r="CJ106" s="59"/>
      <c r="CK106" s="59"/>
      <c r="CL106" s="59"/>
      <c r="CM106" s="59"/>
      <c r="CN106" s="59"/>
      <c r="CO106" s="59"/>
      <c r="CP106" s="59"/>
      <c r="CQ106" s="59"/>
      <c r="CR106" s="59"/>
      <c r="CS106" s="59"/>
      <c r="CU106" s="24">
        <f t="shared" ref="CU106" si="287">IFERROR(INDEX($BE$10:$BE$269,MATCH(CH106,$BP$10:$BP$269,0)),0)</f>
        <v>0</v>
      </c>
      <c r="CV106" s="24"/>
      <c r="CW106" s="24"/>
    </row>
    <row r="107" spans="5:101" ht="7.5" customHeight="1" x14ac:dyDescent="0.2">
      <c r="E107" s="41"/>
      <c r="F107" s="61"/>
      <c r="G107" s="61"/>
      <c r="H107" s="61"/>
      <c r="I107" s="42"/>
      <c r="J107" s="63"/>
      <c r="K107" s="41"/>
      <c r="L107" s="61"/>
      <c r="M107" s="61"/>
      <c r="N107" s="42"/>
      <c r="O107" s="41"/>
      <c r="P107" s="42"/>
      <c r="Q107" s="41"/>
      <c r="R107" s="42"/>
      <c r="S107" s="41"/>
      <c r="T107" s="42"/>
      <c r="U107" s="41"/>
      <c r="V107" s="61"/>
      <c r="W107" s="61"/>
      <c r="X107" s="61"/>
      <c r="Y107" s="42"/>
      <c r="Z107" s="29"/>
      <c r="AA107" s="29"/>
      <c r="AB107" s="29"/>
      <c r="AC107" s="29"/>
      <c r="AD107" s="29"/>
      <c r="AE107" s="43"/>
      <c r="AF107" s="43"/>
      <c r="AG107" s="44"/>
      <c r="AH107" s="46"/>
      <c r="AI107" s="47"/>
      <c r="AJ107" s="43"/>
      <c r="AK107" s="43"/>
      <c r="AL107" s="43"/>
      <c r="AM107" s="43"/>
      <c r="AN107" s="44"/>
      <c r="AO107" s="46"/>
      <c r="AP107" s="47"/>
      <c r="AQ107" s="43"/>
      <c r="AR107" s="43"/>
      <c r="AS107" s="43"/>
      <c r="AT107" s="43"/>
      <c r="AU107" s="44"/>
      <c r="AV107" s="46"/>
      <c r="AW107" s="47"/>
      <c r="AX107" s="43"/>
      <c r="AY107" s="43"/>
      <c r="AZ107" s="51"/>
      <c r="BA107" s="52"/>
      <c r="BB107" s="52"/>
      <c r="BC107" s="53"/>
      <c r="BE107" s="38"/>
      <c r="BF107" s="38"/>
      <c r="BG107" s="3"/>
      <c r="BH107" s="30"/>
      <c r="BI107" s="30"/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30"/>
      <c r="BV107" s="30"/>
      <c r="BW107" s="30"/>
      <c r="BX107" s="30"/>
      <c r="BY107" s="30"/>
      <c r="BZ107" s="30"/>
      <c r="CA107" s="30"/>
      <c r="CD107" s="55"/>
      <c r="CE107" s="55"/>
      <c r="CF107" s="55"/>
      <c r="CH107" s="56"/>
      <c r="CI107" s="56"/>
      <c r="CJ107" s="56"/>
      <c r="CK107" s="56"/>
      <c r="CL107" s="56"/>
      <c r="CM107" s="56"/>
      <c r="CN107" s="56"/>
      <c r="CO107" s="56"/>
      <c r="CP107" s="56"/>
      <c r="CQ107" s="56"/>
      <c r="CR107" s="56"/>
      <c r="CS107" s="56"/>
      <c r="CU107" s="25"/>
      <c r="CV107" s="25"/>
      <c r="CW107" s="25"/>
    </row>
    <row r="108" spans="5:101" ht="7.5" customHeight="1" x14ac:dyDescent="0.2">
      <c r="E108" s="39">
        <f>IFERROR(IF(BP108="","-",RANK(S108,$S$10:$T$264,0)+RANK(Q108,$Q$10:$R$264,0)%+RANK(O108,$O$10:$P$264,0)%%+ROW()%%%),"-")</f>
        <v>12.131808000000001</v>
      </c>
      <c r="F108" s="60"/>
      <c r="G108" s="60"/>
      <c r="H108" s="60"/>
      <c r="I108" s="40"/>
      <c r="J108" s="62">
        <f>IFERROR(IF(E108="","",RANK(E108,$E$10:$I$264,1)),"-")</f>
        <v>38</v>
      </c>
      <c r="K108" s="39" t="str">
        <f t="shared" ref="K108" si="288">BP108</f>
        <v xml:space="preserve">   </v>
      </c>
      <c r="L108" s="60"/>
      <c r="M108" s="60"/>
      <c r="N108" s="40"/>
      <c r="O108" s="39">
        <f t="shared" ref="O108" si="289">SUM(AE108-AI108)</f>
        <v>0</v>
      </c>
      <c r="P108" s="40"/>
      <c r="Q108" s="39">
        <f t="shared" ref="Q108" si="290">SUM(AL108-AP108)</f>
        <v>0</v>
      </c>
      <c r="R108" s="40"/>
      <c r="S108" s="39">
        <f t="shared" ref="S108" si="291">SUM(AS108-AW108)</f>
        <v>0</v>
      </c>
      <c r="T108" s="40"/>
      <c r="U108" s="39">
        <f>IFERROR(SMALL($E$10:$I$264,50),0)</f>
        <v>12.131832000000001</v>
      </c>
      <c r="V108" s="60"/>
      <c r="W108" s="60"/>
      <c r="X108" s="60"/>
      <c r="Y108" s="40"/>
      <c r="Z108" s="29">
        <f>IFERROR(IF(U108="","",RANK(U108,$U$10:$Y$264,1)),0)</f>
        <v>50</v>
      </c>
      <c r="AA108" s="29" t="str">
        <f>IFERROR(INDEX($K$10:$K$264,MATCH(U108,$E$10:$E$264,0),1),0)</f>
        <v xml:space="preserve">   </v>
      </c>
      <c r="AB108" s="29"/>
      <c r="AC108" s="29"/>
      <c r="AD108" s="29"/>
      <c r="AE108" s="43"/>
      <c r="AF108" s="43"/>
      <c r="AG108" s="44"/>
      <c r="AH108" s="45" t="s">
        <v>19</v>
      </c>
      <c r="AI108" s="47"/>
      <c r="AJ108" s="43"/>
      <c r="AK108" s="43"/>
      <c r="AL108" s="43"/>
      <c r="AM108" s="43"/>
      <c r="AN108" s="44"/>
      <c r="AO108" s="45" t="s">
        <v>19</v>
      </c>
      <c r="AP108" s="47"/>
      <c r="AQ108" s="43"/>
      <c r="AR108" s="43"/>
      <c r="AS108" s="43"/>
      <c r="AT108" s="43"/>
      <c r="AU108" s="44"/>
      <c r="AV108" s="45" t="s">
        <v>19</v>
      </c>
      <c r="AW108" s="47"/>
      <c r="AX108" s="43"/>
      <c r="AY108" s="43"/>
      <c r="AZ108" s="48">
        <f>IFERROR(IF(E108="","",RANK(E108,$E$10:$I$264,1)),0)</f>
        <v>38</v>
      </c>
      <c r="BA108" s="49"/>
      <c r="BB108" s="49"/>
      <c r="BC108" s="50"/>
      <c r="BE108" s="38"/>
      <c r="BF108" s="38"/>
      <c r="BG108" s="3"/>
      <c r="BH108" s="30" t="s">
        <v>69</v>
      </c>
      <c r="BI108" s="30"/>
      <c r="BJ108" s="30"/>
      <c r="BK108" s="30"/>
      <c r="BL108" s="30"/>
      <c r="BM108" s="30"/>
      <c r="BN108" s="30"/>
      <c r="BO108" s="30"/>
      <c r="BP108" s="30" t="str">
        <f>IF(BE108&gt;0,VLOOKUP(BE108,'[3]Infos joueurs'!$B:$BT,11,FALSE)," ")&amp;" "&amp;IF(BE108&gt;0,VLOOKUP(BE108,'[3]Infos joueurs'!$B:$BT,27,FALSE)," ")</f>
        <v xml:space="preserve">   </v>
      </c>
      <c r="BQ108" s="30"/>
      <c r="BR108" s="30"/>
      <c r="BS108" s="30"/>
      <c r="BT108" s="30"/>
      <c r="BU108" s="30"/>
      <c r="BV108" s="30"/>
      <c r="BW108" s="30"/>
      <c r="BX108" s="30"/>
      <c r="BY108" s="30"/>
      <c r="BZ108" s="30"/>
      <c r="CA108" s="30"/>
      <c r="CD108" s="54">
        <v>50</v>
      </c>
      <c r="CE108" s="54"/>
      <c r="CF108" s="54"/>
      <c r="CH108" s="59" t="str">
        <f t="shared" ref="CH108" si="292">AA108</f>
        <v xml:space="preserve">   </v>
      </c>
      <c r="CI108" s="59"/>
      <c r="CJ108" s="59"/>
      <c r="CK108" s="59"/>
      <c r="CL108" s="59"/>
      <c r="CM108" s="59"/>
      <c r="CN108" s="59"/>
      <c r="CO108" s="59"/>
      <c r="CP108" s="59"/>
      <c r="CQ108" s="59"/>
      <c r="CR108" s="59"/>
      <c r="CS108" s="59"/>
      <c r="CU108" s="24">
        <f t="shared" ref="CU108" si="293">IFERROR(INDEX($BE$10:$BE$269,MATCH(CH108,$BP$10:$BP$269,0)),0)</f>
        <v>0</v>
      </c>
      <c r="CV108" s="24"/>
      <c r="CW108" s="24"/>
    </row>
    <row r="109" spans="5:101" ht="7.5" customHeight="1" x14ac:dyDescent="0.2">
      <c r="E109" s="41"/>
      <c r="F109" s="61"/>
      <c r="G109" s="61"/>
      <c r="H109" s="61"/>
      <c r="I109" s="42"/>
      <c r="J109" s="63"/>
      <c r="K109" s="41"/>
      <c r="L109" s="61"/>
      <c r="M109" s="61"/>
      <c r="N109" s="42"/>
      <c r="O109" s="41"/>
      <c r="P109" s="42"/>
      <c r="Q109" s="41"/>
      <c r="R109" s="42"/>
      <c r="S109" s="41"/>
      <c r="T109" s="42"/>
      <c r="U109" s="41"/>
      <c r="V109" s="61"/>
      <c r="W109" s="61"/>
      <c r="X109" s="61"/>
      <c r="Y109" s="42"/>
      <c r="Z109" s="29"/>
      <c r="AA109" s="29"/>
      <c r="AB109" s="29"/>
      <c r="AC109" s="29"/>
      <c r="AD109" s="29"/>
      <c r="AE109" s="43"/>
      <c r="AF109" s="43"/>
      <c r="AG109" s="44"/>
      <c r="AH109" s="46"/>
      <c r="AI109" s="47"/>
      <c r="AJ109" s="43"/>
      <c r="AK109" s="43"/>
      <c r="AL109" s="43"/>
      <c r="AM109" s="43"/>
      <c r="AN109" s="44"/>
      <c r="AO109" s="46"/>
      <c r="AP109" s="47"/>
      <c r="AQ109" s="43"/>
      <c r="AR109" s="43"/>
      <c r="AS109" s="43"/>
      <c r="AT109" s="43"/>
      <c r="AU109" s="44"/>
      <c r="AV109" s="46"/>
      <c r="AW109" s="47"/>
      <c r="AX109" s="43"/>
      <c r="AY109" s="43"/>
      <c r="AZ109" s="51"/>
      <c r="BA109" s="52"/>
      <c r="BB109" s="52"/>
      <c r="BC109" s="53"/>
      <c r="BE109" s="38"/>
      <c r="BF109" s="38"/>
      <c r="BG109" s="3"/>
      <c r="BH109" s="30"/>
      <c r="BI109" s="30"/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30"/>
      <c r="BV109" s="30"/>
      <c r="BW109" s="30"/>
      <c r="BX109" s="30"/>
      <c r="BY109" s="30"/>
      <c r="BZ109" s="30"/>
      <c r="CA109" s="30"/>
      <c r="CD109" s="55"/>
      <c r="CE109" s="55"/>
      <c r="CF109" s="55"/>
      <c r="CH109" s="56"/>
      <c r="CI109" s="56"/>
      <c r="CJ109" s="56"/>
      <c r="CK109" s="56"/>
      <c r="CL109" s="56"/>
      <c r="CM109" s="56"/>
      <c r="CN109" s="56"/>
      <c r="CO109" s="56"/>
      <c r="CP109" s="56"/>
      <c r="CQ109" s="56"/>
      <c r="CR109" s="56"/>
      <c r="CS109" s="56"/>
      <c r="CU109" s="25"/>
      <c r="CV109" s="25"/>
      <c r="CW109" s="25"/>
    </row>
    <row r="110" spans="5:101" ht="7.5" customHeight="1" x14ac:dyDescent="0.2">
      <c r="E110" s="39">
        <f>IFERROR(IF(BP110="","-",RANK(S110,$S$10:$T$264,0)+RANK(Q110,$Q$10:$R$264,0)%+RANK(O110,$O$10:$P$264,0)%%+ROW()%%%),"-")</f>
        <v>12.13181</v>
      </c>
      <c r="F110" s="60"/>
      <c r="G110" s="60"/>
      <c r="H110" s="60"/>
      <c r="I110" s="40"/>
      <c r="J110" s="62">
        <f>IFERROR(IF(E110="","",RANK(E110,$E$10:$I$264,1)),"-")</f>
        <v>39</v>
      </c>
      <c r="K110" s="39" t="str">
        <f t="shared" ref="K110" si="294">BP110</f>
        <v xml:space="preserve">   </v>
      </c>
      <c r="L110" s="60"/>
      <c r="M110" s="60"/>
      <c r="N110" s="40"/>
      <c r="O110" s="39">
        <f t="shared" ref="O110" si="295">SUM(AE110-AI110)</f>
        <v>0</v>
      </c>
      <c r="P110" s="40"/>
      <c r="Q110" s="39">
        <f t="shared" ref="Q110" si="296">SUM(AL110-AP110)</f>
        <v>0</v>
      </c>
      <c r="R110" s="40"/>
      <c r="S110" s="39">
        <f t="shared" ref="S110" si="297">SUM(AS110-AW110)</f>
        <v>0</v>
      </c>
      <c r="T110" s="40"/>
      <c r="U110" s="39">
        <f>IFERROR(SMALL($E$10:$I$264,51),0)</f>
        <v>12.131834</v>
      </c>
      <c r="V110" s="60"/>
      <c r="W110" s="60"/>
      <c r="X110" s="60"/>
      <c r="Y110" s="40"/>
      <c r="Z110" s="29">
        <f>IFERROR(IF(U110="","",RANK(U110,$U$10:$Y$264,1)),0)</f>
        <v>51</v>
      </c>
      <c r="AA110" s="29" t="str">
        <f>IFERROR(INDEX($K$10:$K$264,MATCH(U110,$E$10:$E$264,0),1),0)</f>
        <v xml:space="preserve">   </v>
      </c>
      <c r="AB110" s="29"/>
      <c r="AC110" s="29"/>
      <c r="AD110" s="29"/>
      <c r="AE110" s="43"/>
      <c r="AF110" s="43"/>
      <c r="AG110" s="44"/>
      <c r="AH110" s="45" t="s">
        <v>19</v>
      </c>
      <c r="AI110" s="47"/>
      <c r="AJ110" s="43"/>
      <c r="AK110" s="43"/>
      <c r="AL110" s="43"/>
      <c r="AM110" s="43"/>
      <c r="AN110" s="44"/>
      <c r="AO110" s="45" t="s">
        <v>19</v>
      </c>
      <c r="AP110" s="47"/>
      <c r="AQ110" s="43"/>
      <c r="AR110" s="43"/>
      <c r="AS110" s="43"/>
      <c r="AT110" s="43"/>
      <c r="AU110" s="44"/>
      <c r="AV110" s="45" t="s">
        <v>19</v>
      </c>
      <c r="AW110" s="47"/>
      <c r="AX110" s="43"/>
      <c r="AY110" s="43"/>
      <c r="AZ110" s="48">
        <f>IFERROR(IF(E110="","",RANK(E110,$E$10:$I$264,1)),0)</f>
        <v>39</v>
      </c>
      <c r="BA110" s="49"/>
      <c r="BB110" s="49"/>
      <c r="BC110" s="50"/>
      <c r="BE110" s="38"/>
      <c r="BF110" s="38"/>
      <c r="BG110" s="3"/>
      <c r="BH110" s="30" t="s">
        <v>70</v>
      </c>
      <c r="BI110" s="30"/>
      <c r="BJ110" s="30"/>
      <c r="BK110" s="30"/>
      <c r="BL110" s="30"/>
      <c r="BM110" s="30"/>
      <c r="BN110" s="30"/>
      <c r="BO110" s="30"/>
      <c r="BP110" s="30" t="str">
        <f>IF(BE110&gt;0,VLOOKUP(BE110,'[3]Infos joueurs'!$B:$BT,11,FALSE)," ")&amp;" "&amp;IF(BE110&gt;0,VLOOKUP(BE110,'[3]Infos joueurs'!$B:$BT,27,FALSE)," ")</f>
        <v xml:space="preserve">   </v>
      </c>
      <c r="BQ110" s="30"/>
      <c r="BR110" s="30"/>
      <c r="BS110" s="30"/>
      <c r="BT110" s="30"/>
      <c r="BU110" s="30"/>
      <c r="BV110" s="30"/>
      <c r="BW110" s="30"/>
      <c r="BX110" s="30"/>
      <c r="BY110" s="30"/>
      <c r="BZ110" s="30"/>
      <c r="CA110" s="30"/>
      <c r="CD110" s="54">
        <v>51</v>
      </c>
      <c r="CE110" s="54"/>
      <c r="CF110" s="54"/>
      <c r="CH110" s="59" t="str">
        <f t="shared" ref="CH110" si="298">AA110</f>
        <v xml:space="preserve">   </v>
      </c>
      <c r="CI110" s="59"/>
      <c r="CJ110" s="59"/>
      <c r="CK110" s="59"/>
      <c r="CL110" s="59"/>
      <c r="CM110" s="59"/>
      <c r="CN110" s="59"/>
      <c r="CO110" s="59"/>
      <c r="CP110" s="59"/>
      <c r="CQ110" s="59"/>
      <c r="CR110" s="59"/>
      <c r="CS110" s="59"/>
      <c r="CU110" s="24">
        <f t="shared" ref="CU110" si="299">IFERROR(INDEX($BE$10:$BE$269,MATCH(CH110,$BP$10:$BP$269,0)),0)</f>
        <v>0</v>
      </c>
      <c r="CV110" s="24"/>
      <c r="CW110" s="24"/>
    </row>
    <row r="111" spans="5:101" ht="7.5" customHeight="1" x14ac:dyDescent="0.2">
      <c r="E111" s="41"/>
      <c r="F111" s="61"/>
      <c r="G111" s="61"/>
      <c r="H111" s="61"/>
      <c r="I111" s="42"/>
      <c r="J111" s="63"/>
      <c r="K111" s="41"/>
      <c r="L111" s="61"/>
      <c r="M111" s="61"/>
      <c r="N111" s="42"/>
      <c r="O111" s="41"/>
      <c r="P111" s="42"/>
      <c r="Q111" s="41"/>
      <c r="R111" s="42"/>
      <c r="S111" s="41"/>
      <c r="T111" s="42"/>
      <c r="U111" s="41"/>
      <c r="V111" s="61"/>
      <c r="W111" s="61"/>
      <c r="X111" s="61"/>
      <c r="Y111" s="42"/>
      <c r="Z111" s="29"/>
      <c r="AA111" s="29"/>
      <c r="AB111" s="29"/>
      <c r="AC111" s="29"/>
      <c r="AD111" s="29"/>
      <c r="AE111" s="43"/>
      <c r="AF111" s="43"/>
      <c r="AG111" s="44"/>
      <c r="AH111" s="46"/>
      <c r="AI111" s="47"/>
      <c r="AJ111" s="43"/>
      <c r="AK111" s="43"/>
      <c r="AL111" s="43"/>
      <c r="AM111" s="43"/>
      <c r="AN111" s="44"/>
      <c r="AO111" s="46"/>
      <c r="AP111" s="47"/>
      <c r="AQ111" s="43"/>
      <c r="AR111" s="43"/>
      <c r="AS111" s="43"/>
      <c r="AT111" s="43"/>
      <c r="AU111" s="44"/>
      <c r="AV111" s="46"/>
      <c r="AW111" s="47"/>
      <c r="AX111" s="43"/>
      <c r="AY111" s="43"/>
      <c r="AZ111" s="51"/>
      <c r="BA111" s="52"/>
      <c r="BB111" s="52"/>
      <c r="BC111" s="53"/>
      <c r="BE111" s="38"/>
      <c r="BF111" s="38"/>
      <c r="BG111" s="3"/>
      <c r="BH111" s="30"/>
      <c r="BI111" s="30"/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/>
      <c r="BU111" s="30"/>
      <c r="BV111" s="30"/>
      <c r="BW111" s="30"/>
      <c r="BX111" s="30"/>
      <c r="BY111" s="30"/>
      <c r="BZ111" s="30"/>
      <c r="CA111" s="30"/>
      <c r="CD111" s="55"/>
      <c r="CE111" s="55"/>
      <c r="CF111" s="55"/>
      <c r="CH111" s="56"/>
      <c r="CI111" s="56"/>
      <c r="CJ111" s="56"/>
      <c r="CK111" s="56"/>
      <c r="CL111" s="56"/>
      <c r="CM111" s="56"/>
      <c r="CN111" s="56"/>
      <c r="CO111" s="56"/>
      <c r="CP111" s="56"/>
      <c r="CQ111" s="56"/>
      <c r="CR111" s="56"/>
      <c r="CS111" s="56"/>
      <c r="CU111" s="25"/>
      <c r="CV111" s="25"/>
      <c r="CW111" s="25"/>
    </row>
    <row r="112" spans="5:101" ht="7.5" customHeight="1" x14ac:dyDescent="0.2">
      <c r="E112" s="39">
        <f>IFERROR(IF(BP112="","-",RANK(S112,$S$10:$T$264,0)+RANK(Q112,$Q$10:$R$264,0)%+RANK(O112,$O$10:$P$264,0)%%+ROW()%%%),"-")</f>
        <v>12.131812</v>
      </c>
      <c r="F112" s="60"/>
      <c r="G112" s="60"/>
      <c r="H112" s="60"/>
      <c r="I112" s="40"/>
      <c r="J112" s="62">
        <f>IFERROR(IF(E112="","",RANK(E112,$E$10:$I$264,1)),"-")</f>
        <v>40</v>
      </c>
      <c r="K112" s="39" t="str">
        <f t="shared" ref="K112" si="300">BP112</f>
        <v xml:space="preserve">   </v>
      </c>
      <c r="L112" s="60"/>
      <c r="M112" s="60"/>
      <c r="N112" s="40"/>
      <c r="O112" s="39">
        <f t="shared" ref="O112" si="301">SUM(AE112-AI112)</f>
        <v>0</v>
      </c>
      <c r="P112" s="40"/>
      <c r="Q112" s="39">
        <f t="shared" ref="Q112" si="302">SUM(AL112-AP112)</f>
        <v>0</v>
      </c>
      <c r="R112" s="40"/>
      <c r="S112" s="39">
        <f t="shared" ref="S112" si="303">SUM(AS112-AW112)</f>
        <v>0</v>
      </c>
      <c r="T112" s="40"/>
      <c r="U112" s="39">
        <f>IFERROR(SMALL($E$10:$I$264,52),0)</f>
        <v>12.131836</v>
      </c>
      <c r="V112" s="60"/>
      <c r="W112" s="60"/>
      <c r="X112" s="60"/>
      <c r="Y112" s="40"/>
      <c r="Z112" s="29">
        <f>IFERROR(IF(U112="","",RANK(U112,$U$10:$Y$264,1)),0)</f>
        <v>52</v>
      </c>
      <c r="AA112" s="29" t="str">
        <f>IFERROR(INDEX($K$10:$K$264,MATCH(U112,$E$10:$E$264,0),1),0)</f>
        <v xml:space="preserve">   </v>
      </c>
      <c r="AB112" s="29"/>
      <c r="AC112" s="29"/>
      <c r="AD112" s="29"/>
      <c r="AE112" s="43"/>
      <c r="AF112" s="43"/>
      <c r="AG112" s="44"/>
      <c r="AH112" s="45" t="s">
        <v>19</v>
      </c>
      <c r="AI112" s="47"/>
      <c r="AJ112" s="43"/>
      <c r="AK112" s="43"/>
      <c r="AL112" s="43"/>
      <c r="AM112" s="43"/>
      <c r="AN112" s="44"/>
      <c r="AO112" s="45" t="s">
        <v>19</v>
      </c>
      <c r="AP112" s="47"/>
      <c r="AQ112" s="43"/>
      <c r="AR112" s="43"/>
      <c r="AS112" s="43"/>
      <c r="AT112" s="43"/>
      <c r="AU112" s="44"/>
      <c r="AV112" s="45" t="s">
        <v>19</v>
      </c>
      <c r="AW112" s="47"/>
      <c r="AX112" s="43"/>
      <c r="AY112" s="43"/>
      <c r="AZ112" s="48">
        <f>IFERROR(IF(E112="","",RANK(E112,$E$10:$I$264,1)),0)</f>
        <v>40</v>
      </c>
      <c r="BA112" s="49"/>
      <c r="BB112" s="49"/>
      <c r="BC112" s="50"/>
      <c r="BE112" s="38"/>
      <c r="BF112" s="38"/>
      <c r="BG112" s="3"/>
      <c r="BH112" s="30" t="s">
        <v>71</v>
      </c>
      <c r="BI112" s="30"/>
      <c r="BJ112" s="30"/>
      <c r="BK112" s="30"/>
      <c r="BL112" s="30"/>
      <c r="BM112" s="30"/>
      <c r="BN112" s="30"/>
      <c r="BO112" s="30"/>
      <c r="BP112" s="30" t="str">
        <f>IF(BE112&gt;0,VLOOKUP(BE112,'[3]Infos joueurs'!$B:$BT,11,FALSE)," ")&amp;" "&amp;IF(BE112&gt;0,VLOOKUP(BE112,'[3]Infos joueurs'!$B:$BT,27,FALSE)," ")</f>
        <v xml:space="preserve">   </v>
      </c>
      <c r="BQ112" s="30"/>
      <c r="BR112" s="30"/>
      <c r="BS112" s="30"/>
      <c r="BT112" s="30"/>
      <c r="BU112" s="30"/>
      <c r="BV112" s="30"/>
      <c r="BW112" s="30"/>
      <c r="BX112" s="30"/>
      <c r="BY112" s="30"/>
      <c r="BZ112" s="30"/>
      <c r="CA112" s="30"/>
      <c r="CD112" s="54">
        <v>52</v>
      </c>
      <c r="CE112" s="54"/>
      <c r="CF112" s="54"/>
      <c r="CH112" s="59" t="str">
        <f t="shared" ref="CH112" si="304">AA112</f>
        <v xml:space="preserve">   </v>
      </c>
      <c r="CI112" s="59"/>
      <c r="CJ112" s="59"/>
      <c r="CK112" s="59"/>
      <c r="CL112" s="59"/>
      <c r="CM112" s="59"/>
      <c r="CN112" s="59"/>
      <c r="CO112" s="59"/>
      <c r="CP112" s="59"/>
      <c r="CQ112" s="59"/>
      <c r="CR112" s="59"/>
      <c r="CS112" s="59"/>
      <c r="CU112" s="24">
        <f t="shared" ref="CU112" si="305">IFERROR(INDEX($BE$10:$BE$269,MATCH(CH112,$BP$10:$BP$269,0)),0)</f>
        <v>0</v>
      </c>
      <c r="CV112" s="24"/>
      <c r="CW112" s="24"/>
    </row>
    <row r="113" spans="5:101" ht="7.5" customHeight="1" x14ac:dyDescent="0.2">
      <c r="E113" s="41"/>
      <c r="F113" s="61"/>
      <c r="G113" s="61"/>
      <c r="H113" s="61"/>
      <c r="I113" s="42"/>
      <c r="J113" s="63"/>
      <c r="K113" s="41"/>
      <c r="L113" s="61"/>
      <c r="M113" s="61"/>
      <c r="N113" s="42"/>
      <c r="O113" s="41"/>
      <c r="P113" s="42"/>
      <c r="Q113" s="41"/>
      <c r="R113" s="42"/>
      <c r="S113" s="41"/>
      <c r="T113" s="42"/>
      <c r="U113" s="41"/>
      <c r="V113" s="61"/>
      <c r="W113" s="61"/>
      <c r="X113" s="61"/>
      <c r="Y113" s="42"/>
      <c r="Z113" s="29"/>
      <c r="AA113" s="29"/>
      <c r="AB113" s="29"/>
      <c r="AC113" s="29"/>
      <c r="AD113" s="29"/>
      <c r="AE113" s="43"/>
      <c r="AF113" s="43"/>
      <c r="AG113" s="44"/>
      <c r="AH113" s="46"/>
      <c r="AI113" s="47"/>
      <c r="AJ113" s="43"/>
      <c r="AK113" s="43"/>
      <c r="AL113" s="43"/>
      <c r="AM113" s="43"/>
      <c r="AN113" s="44"/>
      <c r="AO113" s="46"/>
      <c r="AP113" s="47"/>
      <c r="AQ113" s="43"/>
      <c r="AR113" s="43"/>
      <c r="AS113" s="43"/>
      <c r="AT113" s="43"/>
      <c r="AU113" s="44"/>
      <c r="AV113" s="46"/>
      <c r="AW113" s="47"/>
      <c r="AX113" s="43"/>
      <c r="AY113" s="43"/>
      <c r="AZ113" s="51"/>
      <c r="BA113" s="52"/>
      <c r="BB113" s="52"/>
      <c r="BC113" s="53"/>
      <c r="BE113" s="38"/>
      <c r="BF113" s="38"/>
      <c r="BG113" s="3"/>
      <c r="BH113" s="30"/>
      <c r="BI113" s="30"/>
      <c r="BJ113" s="30"/>
      <c r="BK113" s="30"/>
      <c r="BL113" s="30"/>
      <c r="BM113" s="30"/>
      <c r="BN113" s="30"/>
      <c r="BO113" s="30"/>
      <c r="BP113" s="30"/>
      <c r="BQ113" s="30"/>
      <c r="BR113" s="30"/>
      <c r="BS113" s="30"/>
      <c r="BT113" s="30"/>
      <c r="BU113" s="30"/>
      <c r="BV113" s="30"/>
      <c r="BW113" s="30"/>
      <c r="BX113" s="30"/>
      <c r="BY113" s="30"/>
      <c r="BZ113" s="30"/>
      <c r="CA113" s="30"/>
      <c r="CD113" s="55"/>
      <c r="CE113" s="55"/>
      <c r="CF113" s="55"/>
      <c r="CH113" s="56"/>
      <c r="CI113" s="56"/>
      <c r="CJ113" s="56"/>
      <c r="CK113" s="56"/>
      <c r="CL113" s="56"/>
      <c r="CM113" s="56"/>
      <c r="CN113" s="56"/>
      <c r="CO113" s="56"/>
      <c r="CP113" s="56"/>
      <c r="CQ113" s="56"/>
      <c r="CR113" s="56"/>
      <c r="CS113" s="56"/>
      <c r="CU113" s="25"/>
      <c r="CV113" s="25"/>
      <c r="CW113" s="25"/>
    </row>
    <row r="114" spans="5:101" ht="7.5" customHeight="1" x14ac:dyDescent="0.2">
      <c r="E114" s="39">
        <f>IFERROR(IF(BP114="","-",RANK(S114,$S$10:$T$264,0)+RANK(Q114,$Q$10:$R$264,0)%+RANK(O114,$O$10:$P$264,0)%%+ROW()%%%),"-")</f>
        <v>12.131814</v>
      </c>
      <c r="F114" s="60"/>
      <c r="G114" s="60"/>
      <c r="H114" s="60"/>
      <c r="I114" s="40"/>
      <c r="J114" s="62">
        <f>IFERROR(IF(E114="","",RANK(E114,$E$10:$I$264,1)),"-")</f>
        <v>41</v>
      </c>
      <c r="K114" s="39" t="str">
        <f t="shared" ref="K114" si="306">BP114</f>
        <v xml:space="preserve">   </v>
      </c>
      <c r="L114" s="60"/>
      <c r="M114" s="60"/>
      <c r="N114" s="40"/>
      <c r="O114" s="39">
        <f t="shared" ref="O114" si="307">SUM(AE114-AI114)</f>
        <v>0</v>
      </c>
      <c r="P114" s="40"/>
      <c r="Q114" s="39">
        <f t="shared" ref="Q114" si="308">SUM(AL114-AP114)</f>
        <v>0</v>
      </c>
      <c r="R114" s="40"/>
      <c r="S114" s="39">
        <f t="shared" ref="S114" si="309">SUM(AS114-AW114)</f>
        <v>0</v>
      </c>
      <c r="T114" s="40"/>
      <c r="U114" s="39">
        <f>IFERROR(SMALL($E$10:$I$264,53),0)</f>
        <v>12.131838</v>
      </c>
      <c r="V114" s="60"/>
      <c r="W114" s="60"/>
      <c r="X114" s="60"/>
      <c r="Y114" s="40"/>
      <c r="Z114" s="29">
        <f>IFERROR(IF(U114="","",RANK(U114,$U$10:$Y$264,1)),0)</f>
        <v>53</v>
      </c>
      <c r="AA114" s="29" t="str">
        <f>IFERROR(INDEX($K$10:$K$264,MATCH(U114,$E$10:$E$264,0),1),0)</f>
        <v xml:space="preserve">   </v>
      </c>
      <c r="AB114" s="29"/>
      <c r="AC114" s="29"/>
      <c r="AD114" s="29"/>
      <c r="AE114" s="43"/>
      <c r="AF114" s="43"/>
      <c r="AG114" s="44"/>
      <c r="AH114" s="45" t="s">
        <v>19</v>
      </c>
      <c r="AI114" s="47"/>
      <c r="AJ114" s="43"/>
      <c r="AK114" s="43"/>
      <c r="AL114" s="43"/>
      <c r="AM114" s="43"/>
      <c r="AN114" s="44"/>
      <c r="AO114" s="45" t="s">
        <v>19</v>
      </c>
      <c r="AP114" s="47"/>
      <c r="AQ114" s="43"/>
      <c r="AR114" s="43"/>
      <c r="AS114" s="43"/>
      <c r="AT114" s="43"/>
      <c r="AU114" s="44"/>
      <c r="AV114" s="45" t="s">
        <v>19</v>
      </c>
      <c r="AW114" s="47"/>
      <c r="AX114" s="43"/>
      <c r="AY114" s="43"/>
      <c r="AZ114" s="48">
        <f>IFERROR(IF(E114="","",RANK(E114,$E$10:$I$264,1)),0)</f>
        <v>41</v>
      </c>
      <c r="BA114" s="49"/>
      <c r="BB114" s="49"/>
      <c r="BC114" s="50"/>
      <c r="BE114" s="38"/>
      <c r="BF114" s="38"/>
      <c r="BG114" s="3"/>
      <c r="BH114" s="30" t="s">
        <v>72</v>
      </c>
      <c r="BI114" s="30"/>
      <c r="BJ114" s="30"/>
      <c r="BK114" s="30"/>
      <c r="BL114" s="30"/>
      <c r="BM114" s="30"/>
      <c r="BN114" s="30"/>
      <c r="BO114" s="30"/>
      <c r="BP114" s="30" t="str">
        <f>IF(BE114&gt;0,VLOOKUP(BE114,'[3]Infos joueurs'!$B:$BT,11,FALSE)," ")&amp;" "&amp;IF(BE114&gt;0,VLOOKUP(BE114,'[3]Infos joueurs'!$B:$BT,27,FALSE)," ")</f>
        <v xml:space="preserve">   </v>
      </c>
      <c r="BQ114" s="30"/>
      <c r="BR114" s="30"/>
      <c r="BS114" s="30"/>
      <c r="BT114" s="30"/>
      <c r="BU114" s="30"/>
      <c r="BV114" s="30"/>
      <c r="BW114" s="30"/>
      <c r="BX114" s="30"/>
      <c r="BY114" s="30"/>
      <c r="BZ114" s="30"/>
      <c r="CA114" s="30"/>
      <c r="CD114" s="54">
        <v>53</v>
      </c>
      <c r="CE114" s="54"/>
      <c r="CF114" s="54"/>
      <c r="CH114" s="59" t="str">
        <f t="shared" ref="CH114" si="310">AA114</f>
        <v xml:space="preserve">   </v>
      </c>
      <c r="CI114" s="59"/>
      <c r="CJ114" s="59"/>
      <c r="CK114" s="59"/>
      <c r="CL114" s="59"/>
      <c r="CM114" s="59"/>
      <c r="CN114" s="59"/>
      <c r="CO114" s="59"/>
      <c r="CP114" s="59"/>
      <c r="CQ114" s="59"/>
      <c r="CR114" s="59"/>
      <c r="CS114" s="59"/>
      <c r="CU114" s="24">
        <f t="shared" ref="CU114" si="311">IFERROR(INDEX($BE$10:$BE$269,MATCH(CH114,$BP$10:$BP$269,0)),0)</f>
        <v>0</v>
      </c>
      <c r="CV114" s="24"/>
      <c r="CW114" s="24"/>
    </row>
    <row r="115" spans="5:101" ht="7.5" customHeight="1" x14ac:dyDescent="0.2">
      <c r="E115" s="41"/>
      <c r="F115" s="61"/>
      <c r="G115" s="61"/>
      <c r="H115" s="61"/>
      <c r="I115" s="42"/>
      <c r="J115" s="63"/>
      <c r="K115" s="41"/>
      <c r="L115" s="61"/>
      <c r="M115" s="61"/>
      <c r="N115" s="42"/>
      <c r="O115" s="41"/>
      <c r="P115" s="42"/>
      <c r="Q115" s="41"/>
      <c r="R115" s="42"/>
      <c r="S115" s="41"/>
      <c r="T115" s="42"/>
      <c r="U115" s="41"/>
      <c r="V115" s="61"/>
      <c r="W115" s="61"/>
      <c r="X115" s="61"/>
      <c r="Y115" s="42"/>
      <c r="Z115" s="29"/>
      <c r="AA115" s="29"/>
      <c r="AB115" s="29"/>
      <c r="AC115" s="29"/>
      <c r="AD115" s="29"/>
      <c r="AE115" s="43"/>
      <c r="AF115" s="43"/>
      <c r="AG115" s="44"/>
      <c r="AH115" s="46"/>
      <c r="AI115" s="47"/>
      <c r="AJ115" s="43"/>
      <c r="AK115" s="43"/>
      <c r="AL115" s="43"/>
      <c r="AM115" s="43"/>
      <c r="AN115" s="44"/>
      <c r="AO115" s="46"/>
      <c r="AP115" s="47"/>
      <c r="AQ115" s="43"/>
      <c r="AR115" s="43"/>
      <c r="AS115" s="43"/>
      <c r="AT115" s="43"/>
      <c r="AU115" s="44"/>
      <c r="AV115" s="46"/>
      <c r="AW115" s="47"/>
      <c r="AX115" s="43"/>
      <c r="AY115" s="43"/>
      <c r="AZ115" s="51"/>
      <c r="BA115" s="52"/>
      <c r="BB115" s="52"/>
      <c r="BC115" s="53"/>
      <c r="BE115" s="38"/>
      <c r="BF115" s="38"/>
      <c r="BG115" s="3"/>
      <c r="BH115" s="30"/>
      <c r="BI115" s="30"/>
      <c r="BJ115" s="30"/>
      <c r="BK115" s="30"/>
      <c r="BL115" s="30"/>
      <c r="BM115" s="30"/>
      <c r="BN115" s="30"/>
      <c r="BO115" s="30"/>
      <c r="BP115" s="30"/>
      <c r="BQ115" s="30"/>
      <c r="BR115" s="30"/>
      <c r="BS115" s="30"/>
      <c r="BT115" s="30"/>
      <c r="BU115" s="30"/>
      <c r="BV115" s="30"/>
      <c r="BW115" s="30"/>
      <c r="BX115" s="30"/>
      <c r="BY115" s="30"/>
      <c r="BZ115" s="30"/>
      <c r="CA115" s="30"/>
      <c r="CD115" s="55"/>
      <c r="CE115" s="55"/>
      <c r="CF115" s="55"/>
      <c r="CH115" s="56"/>
      <c r="CI115" s="56"/>
      <c r="CJ115" s="56"/>
      <c r="CK115" s="56"/>
      <c r="CL115" s="56"/>
      <c r="CM115" s="56"/>
      <c r="CN115" s="56"/>
      <c r="CO115" s="56"/>
      <c r="CP115" s="56"/>
      <c r="CQ115" s="56"/>
      <c r="CR115" s="56"/>
      <c r="CS115" s="56"/>
      <c r="CU115" s="25"/>
      <c r="CV115" s="25"/>
      <c r="CW115" s="25"/>
    </row>
    <row r="116" spans="5:101" ht="7.5" customHeight="1" x14ac:dyDescent="0.2">
      <c r="E116" s="39">
        <f>IFERROR(IF(BP116="","-",RANK(S116,$S$10:$T$264,0)+RANK(Q116,$Q$10:$R$264,0)%+RANK(O116,$O$10:$P$264,0)%%+ROW()%%%),"-")</f>
        <v>12.131816000000001</v>
      </c>
      <c r="F116" s="60"/>
      <c r="G116" s="60"/>
      <c r="H116" s="60"/>
      <c r="I116" s="40"/>
      <c r="J116" s="62">
        <f>IFERROR(IF(E116="","",RANK(E116,$E$10:$I$264,1)),"-")</f>
        <v>42</v>
      </c>
      <c r="K116" s="39" t="str">
        <f t="shared" ref="K116" si="312">BP116</f>
        <v xml:space="preserve">   </v>
      </c>
      <c r="L116" s="60"/>
      <c r="M116" s="60"/>
      <c r="N116" s="40"/>
      <c r="O116" s="39">
        <f t="shared" ref="O116" si="313">SUM(AE116-AI116)</f>
        <v>0</v>
      </c>
      <c r="P116" s="40"/>
      <c r="Q116" s="39">
        <f t="shared" ref="Q116" si="314">SUM(AL116-AP116)</f>
        <v>0</v>
      </c>
      <c r="R116" s="40"/>
      <c r="S116" s="39">
        <f t="shared" ref="S116" si="315">SUM(AS116-AW116)</f>
        <v>0</v>
      </c>
      <c r="T116" s="40"/>
      <c r="U116" s="39">
        <f>IFERROR(SMALL($E$10:$I$264,54),0)</f>
        <v>12.13184</v>
      </c>
      <c r="V116" s="60"/>
      <c r="W116" s="60"/>
      <c r="X116" s="60"/>
      <c r="Y116" s="40"/>
      <c r="Z116" s="29">
        <f>IFERROR(IF(U116="","",RANK(U116,$U$10:$Y$264,1)),0)</f>
        <v>54</v>
      </c>
      <c r="AA116" s="29" t="str">
        <f>IFERROR(INDEX($K$10:$K$264,MATCH(U116,$E$10:$E$264,0),1),0)</f>
        <v xml:space="preserve">   </v>
      </c>
      <c r="AB116" s="29"/>
      <c r="AC116" s="29"/>
      <c r="AD116" s="29"/>
      <c r="AE116" s="43"/>
      <c r="AF116" s="43"/>
      <c r="AG116" s="44"/>
      <c r="AH116" s="45" t="s">
        <v>19</v>
      </c>
      <c r="AI116" s="47"/>
      <c r="AJ116" s="43"/>
      <c r="AK116" s="43"/>
      <c r="AL116" s="43"/>
      <c r="AM116" s="43"/>
      <c r="AN116" s="44"/>
      <c r="AO116" s="45" t="s">
        <v>19</v>
      </c>
      <c r="AP116" s="47"/>
      <c r="AQ116" s="43"/>
      <c r="AR116" s="43"/>
      <c r="AS116" s="43"/>
      <c r="AT116" s="43"/>
      <c r="AU116" s="44"/>
      <c r="AV116" s="45" t="s">
        <v>19</v>
      </c>
      <c r="AW116" s="47"/>
      <c r="AX116" s="43"/>
      <c r="AY116" s="43"/>
      <c r="AZ116" s="48">
        <f>IFERROR(IF(E116="","",RANK(E116,$E$10:$I$264,1)),0)</f>
        <v>42</v>
      </c>
      <c r="BA116" s="49"/>
      <c r="BB116" s="49"/>
      <c r="BC116" s="50"/>
      <c r="BE116" s="38"/>
      <c r="BF116" s="38"/>
      <c r="BG116" s="3"/>
      <c r="BH116" s="30" t="s">
        <v>73</v>
      </c>
      <c r="BI116" s="30"/>
      <c r="BJ116" s="30"/>
      <c r="BK116" s="30"/>
      <c r="BL116" s="30"/>
      <c r="BM116" s="30"/>
      <c r="BN116" s="30"/>
      <c r="BO116" s="30"/>
      <c r="BP116" s="30" t="str">
        <f>IF(BE116&gt;0,VLOOKUP(BE116,'[3]Infos joueurs'!$B:$BT,11,FALSE)," ")&amp;" "&amp;IF(BE116&gt;0,VLOOKUP(BE116,'[3]Infos joueurs'!$B:$BT,27,FALSE)," ")</f>
        <v xml:space="preserve">   </v>
      </c>
      <c r="BQ116" s="30"/>
      <c r="BR116" s="30"/>
      <c r="BS116" s="30"/>
      <c r="BT116" s="30"/>
      <c r="BU116" s="30"/>
      <c r="BV116" s="30"/>
      <c r="BW116" s="30"/>
      <c r="BX116" s="30"/>
      <c r="BY116" s="30"/>
      <c r="BZ116" s="30"/>
      <c r="CA116" s="30"/>
      <c r="CD116" s="54">
        <v>54</v>
      </c>
      <c r="CE116" s="54"/>
      <c r="CF116" s="54"/>
      <c r="CH116" s="59" t="str">
        <f t="shared" ref="CH116" si="316">AA116</f>
        <v xml:space="preserve">   </v>
      </c>
      <c r="CI116" s="59"/>
      <c r="CJ116" s="59"/>
      <c r="CK116" s="59"/>
      <c r="CL116" s="59"/>
      <c r="CM116" s="59"/>
      <c r="CN116" s="59"/>
      <c r="CO116" s="59"/>
      <c r="CP116" s="59"/>
      <c r="CQ116" s="59"/>
      <c r="CR116" s="59"/>
      <c r="CS116" s="59"/>
      <c r="CU116" s="24">
        <f t="shared" ref="CU116" si="317">IFERROR(INDEX($BE$10:$BE$269,MATCH(CH116,$BP$10:$BP$269,0)),0)</f>
        <v>0</v>
      </c>
      <c r="CV116" s="24"/>
      <c r="CW116" s="24"/>
    </row>
    <row r="117" spans="5:101" ht="7.5" customHeight="1" x14ac:dyDescent="0.2">
      <c r="E117" s="41"/>
      <c r="F117" s="61"/>
      <c r="G117" s="61"/>
      <c r="H117" s="61"/>
      <c r="I117" s="42"/>
      <c r="J117" s="63"/>
      <c r="K117" s="41"/>
      <c r="L117" s="61"/>
      <c r="M117" s="61"/>
      <c r="N117" s="42"/>
      <c r="O117" s="41"/>
      <c r="P117" s="42"/>
      <c r="Q117" s="41"/>
      <c r="R117" s="42"/>
      <c r="S117" s="41"/>
      <c r="T117" s="42"/>
      <c r="U117" s="41"/>
      <c r="V117" s="61"/>
      <c r="W117" s="61"/>
      <c r="X117" s="61"/>
      <c r="Y117" s="42"/>
      <c r="Z117" s="29"/>
      <c r="AA117" s="29"/>
      <c r="AB117" s="29"/>
      <c r="AC117" s="29"/>
      <c r="AD117" s="29"/>
      <c r="AE117" s="43"/>
      <c r="AF117" s="43"/>
      <c r="AG117" s="44"/>
      <c r="AH117" s="46"/>
      <c r="AI117" s="47"/>
      <c r="AJ117" s="43"/>
      <c r="AK117" s="43"/>
      <c r="AL117" s="43"/>
      <c r="AM117" s="43"/>
      <c r="AN117" s="44"/>
      <c r="AO117" s="46"/>
      <c r="AP117" s="47"/>
      <c r="AQ117" s="43"/>
      <c r="AR117" s="43"/>
      <c r="AS117" s="43"/>
      <c r="AT117" s="43"/>
      <c r="AU117" s="44"/>
      <c r="AV117" s="46"/>
      <c r="AW117" s="47"/>
      <c r="AX117" s="43"/>
      <c r="AY117" s="43"/>
      <c r="AZ117" s="51"/>
      <c r="BA117" s="52"/>
      <c r="BB117" s="52"/>
      <c r="BC117" s="53"/>
      <c r="BE117" s="38"/>
      <c r="BF117" s="38"/>
      <c r="BG117" s="3"/>
      <c r="BH117" s="30"/>
      <c r="BI117" s="30"/>
      <c r="BJ117" s="30"/>
      <c r="BK117" s="30"/>
      <c r="BL117" s="30"/>
      <c r="BM117" s="30"/>
      <c r="BN117" s="30"/>
      <c r="BO117" s="30"/>
      <c r="BP117" s="30"/>
      <c r="BQ117" s="30"/>
      <c r="BR117" s="30"/>
      <c r="BS117" s="30"/>
      <c r="BT117" s="30"/>
      <c r="BU117" s="30"/>
      <c r="BV117" s="30"/>
      <c r="BW117" s="30"/>
      <c r="BX117" s="30"/>
      <c r="BY117" s="30"/>
      <c r="BZ117" s="30"/>
      <c r="CA117" s="30"/>
      <c r="CD117" s="55"/>
      <c r="CE117" s="55"/>
      <c r="CF117" s="55"/>
      <c r="CH117" s="56"/>
      <c r="CI117" s="56"/>
      <c r="CJ117" s="56"/>
      <c r="CK117" s="56"/>
      <c r="CL117" s="56"/>
      <c r="CM117" s="56"/>
      <c r="CN117" s="56"/>
      <c r="CO117" s="56"/>
      <c r="CP117" s="56"/>
      <c r="CQ117" s="56"/>
      <c r="CR117" s="56"/>
      <c r="CS117" s="56"/>
      <c r="CU117" s="25"/>
      <c r="CV117" s="25"/>
      <c r="CW117" s="25"/>
    </row>
    <row r="118" spans="5:101" ht="7.5" customHeight="1" x14ac:dyDescent="0.2">
      <c r="E118" s="39">
        <f>IFERROR(IF(BP118="","-",RANK(S118,$S$10:$T$264,0)+RANK(Q118,$Q$10:$R$264,0)%+RANK(O118,$O$10:$P$264,0)%%+ROW()%%%),"-")</f>
        <v>12.131818000000001</v>
      </c>
      <c r="F118" s="60"/>
      <c r="G118" s="60"/>
      <c r="H118" s="60"/>
      <c r="I118" s="40"/>
      <c r="J118" s="62">
        <f>IFERROR(IF(E118="","",RANK(E118,$E$10:$I$264,1)),"-")</f>
        <v>43</v>
      </c>
      <c r="K118" s="39" t="str">
        <f t="shared" ref="K118" si="318">BP118</f>
        <v xml:space="preserve">   </v>
      </c>
      <c r="L118" s="60"/>
      <c r="M118" s="60"/>
      <c r="N118" s="40"/>
      <c r="O118" s="39">
        <f t="shared" ref="O118" si="319">SUM(AE118-AI118)</f>
        <v>0</v>
      </c>
      <c r="P118" s="40"/>
      <c r="Q118" s="39">
        <f t="shared" ref="Q118" si="320">SUM(AL118-AP118)</f>
        <v>0</v>
      </c>
      <c r="R118" s="40"/>
      <c r="S118" s="39">
        <f t="shared" ref="S118" si="321">SUM(AS118-AW118)</f>
        <v>0</v>
      </c>
      <c r="T118" s="40"/>
      <c r="U118" s="39">
        <f>IFERROR(SMALL($E$10:$I$264,55),0)</f>
        <v>12.131842000000001</v>
      </c>
      <c r="V118" s="60"/>
      <c r="W118" s="60"/>
      <c r="X118" s="60"/>
      <c r="Y118" s="40"/>
      <c r="Z118" s="29">
        <f>IFERROR(IF(U118="","",RANK(U118,$U$10:$Y$264,1)),0)</f>
        <v>55</v>
      </c>
      <c r="AA118" s="29" t="str">
        <f>IFERROR(INDEX($K$10:$K$264,MATCH(U118,$E$10:$E$264,0),1),0)</f>
        <v xml:space="preserve">   </v>
      </c>
      <c r="AB118" s="29"/>
      <c r="AC118" s="29"/>
      <c r="AD118" s="29"/>
      <c r="AE118" s="43"/>
      <c r="AF118" s="43"/>
      <c r="AG118" s="44"/>
      <c r="AH118" s="45" t="s">
        <v>19</v>
      </c>
      <c r="AI118" s="47"/>
      <c r="AJ118" s="43"/>
      <c r="AK118" s="43"/>
      <c r="AL118" s="43"/>
      <c r="AM118" s="43"/>
      <c r="AN118" s="44"/>
      <c r="AO118" s="45" t="s">
        <v>19</v>
      </c>
      <c r="AP118" s="47"/>
      <c r="AQ118" s="43"/>
      <c r="AR118" s="43"/>
      <c r="AS118" s="43"/>
      <c r="AT118" s="43"/>
      <c r="AU118" s="44"/>
      <c r="AV118" s="45" t="s">
        <v>19</v>
      </c>
      <c r="AW118" s="47"/>
      <c r="AX118" s="43"/>
      <c r="AY118" s="43"/>
      <c r="AZ118" s="48">
        <f>IFERROR(IF(E118="","",RANK(E118,$E$10:$I$264,1)),0)</f>
        <v>43</v>
      </c>
      <c r="BA118" s="49"/>
      <c r="BB118" s="49"/>
      <c r="BC118" s="50"/>
      <c r="BE118" s="38"/>
      <c r="BF118" s="38"/>
      <c r="BG118" s="3"/>
      <c r="BH118" s="30" t="s">
        <v>74</v>
      </c>
      <c r="BI118" s="30"/>
      <c r="BJ118" s="30"/>
      <c r="BK118" s="30"/>
      <c r="BL118" s="30"/>
      <c r="BM118" s="30"/>
      <c r="BN118" s="30"/>
      <c r="BO118" s="30"/>
      <c r="BP118" s="30" t="str">
        <f>IF(BE118&gt;0,VLOOKUP(BE118,'[3]Infos joueurs'!$B:$BT,11,FALSE)," ")&amp;" "&amp;IF(BE118&gt;0,VLOOKUP(BE118,'[3]Infos joueurs'!$B:$BT,27,FALSE)," ")</f>
        <v xml:space="preserve">   </v>
      </c>
      <c r="BQ118" s="30"/>
      <c r="BR118" s="30"/>
      <c r="BS118" s="30"/>
      <c r="BT118" s="30"/>
      <c r="BU118" s="30"/>
      <c r="BV118" s="30"/>
      <c r="BW118" s="30"/>
      <c r="BX118" s="30"/>
      <c r="BY118" s="30"/>
      <c r="BZ118" s="30"/>
      <c r="CA118" s="30"/>
      <c r="CD118" s="54">
        <v>55</v>
      </c>
      <c r="CE118" s="54"/>
      <c r="CF118" s="54"/>
      <c r="CH118" s="59" t="str">
        <f t="shared" ref="CH118" si="322">AA118</f>
        <v xml:space="preserve">   </v>
      </c>
      <c r="CI118" s="59"/>
      <c r="CJ118" s="59"/>
      <c r="CK118" s="59"/>
      <c r="CL118" s="59"/>
      <c r="CM118" s="59"/>
      <c r="CN118" s="59"/>
      <c r="CO118" s="59"/>
      <c r="CP118" s="59"/>
      <c r="CQ118" s="59"/>
      <c r="CR118" s="59"/>
      <c r="CS118" s="59"/>
      <c r="CU118" s="24">
        <f t="shared" ref="CU118" si="323">IFERROR(INDEX($BE$10:$BE$269,MATCH(CH118,$BP$10:$BP$269,0)),0)</f>
        <v>0</v>
      </c>
      <c r="CV118" s="24"/>
      <c r="CW118" s="24"/>
    </row>
    <row r="119" spans="5:101" ht="7.5" customHeight="1" x14ac:dyDescent="0.2">
      <c r="E119" s="41"/>
      <c r="F119" s="61"/>
      <c r="G119" s="61"/>
      <c r="H119" s="61"/>
      <c r="I119" s="42"/>
      <c r="J119" s="63"/>
      <c r="K119" s="41"/>
      <c r="L119" s="61"/>
      <c r="M119" s="61"/>
      <c r="N119" s="42"/>
      <c r="O119" s="41"/>
      <c r="P119" s="42"/>
      <c r="Q119" s="41"/>
      <c r="R119" s="42"/>
      <c r="S119" s="41"/>
      <c r="T119" s="42"/>
      <c r="U119" s="41"/>
      <c r="V119" s="61"/>
      <c r="W119" s="61"/>
      <c r="X119" s="61"/>
      <c r="Y119" s="42"/>
      <c r="Z119" s="29"/>
      <c r="AA119" s="29"/>
      <c r="AB119" s="29"/>
      <c r="AC119" s="29"/>
      <c r="AD119" s="29"/>
      <c r="AE119" s="43"/>
      <c r="AF119" s="43"/>
      <c r="AG119" s="44"/>
      <c r="AH119" s="46"/>
      <c r="AI119" s="47"/>
      <c r="AJ119" s="43"/>
      <c r="AK119" s="43"/>
      <c r="AL119" s="43"/>
      <c r="AM119" s="43"/>
      <c r="AN119" s="44"/>
      <c r="AO119" s="46"/>
      <c r="AP119" s="47"/>
      <c r="AQ119" s="43"/>
      <c r="AR119" s="43"/>
      <c r="AS119" s="43"/>
      <c r="AT119" s="43"/>
      <c r="AU119" s="44"/>
      <c r="AV119" s="46"/>
      <c r="AW119" s="47"/>
      <c r="AX119" s="43"/>
      <c r="AY119" s="43"/>
      <c r="AZ119" s="51"/>
      <c r="BA119" s="52"/>
      <c r="BB119" s="52"/>
      <c r="BC119" s="53"/>
      <c r="BE119" s="38"/>
      <c r="BF119" s="38"/>
      <c r="BG119" s="3"/>
      <c r="BH119" s="30"/>
      <c r="BI119" s="30"/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30"/>
      <c r="BV119" s="30"/>
      <c r="BW119" s="30"/>
      <c r="BX119" s="30"/>
      <c r="BY119" s="30"/>
      <c r="BZ119" s="30"/>
      <c r="CA119" s="30"/>
      <c r="CD119" s="55"/>
      <c r="CE119" s="55"/>
      <c r="CF119" s="55"/>
      <c r="CH119" s="56"/>
      <c r="CI119" s="56"/>
      <c r="CJ119" s="56"/>
      <c r="CK119" s="56"/>
      <c r="CL119" s="56"/>
      <c r="CM119" s="56"/>
      <c r="CN119" s="56"/>
      <c r="CO119" s="56"/>
      <c r="CP119" s="56"/>
      <c r="CQ119" s="56"/>
      <c r="CR119" s="56"/>
      <c r="CS119" s="56"/>
      <c r="CU119" s="25"/>
      <c r="CV119" s="25"/>
      <c r="CW119" s="25"/>
    </row>
    <row r="120" spans="5:101" ht="7.5" customHeight="1" x14ac:dyDescent="0.2">
      <c r="E120" s="39">
        <f>IFERROR(IF(BP120="","-",RANK(S120,$S$10:$T$264,0)+RANK(Q120,$Q$10:$R$264,0)%+RANK(O120,$O$10:$P$264,0)%%+ROW()%%%),"-")</f>
        <v>12.131820000000001</v>
      </c>
      <c r="F120" s="60"/>
      <c r="G120" s="60"/>
      <c r="H120" s="60"/>
      <c r="I120" s="40"/>
      <c r="J120" s="62">
        <f>IFERROR(IF(E120="","",RANK(E120,$E$10:$I$264,1)),"-")</f>
        <v>44</v>
      </c>
      <c r="K120" s="39" t="str">
        <f t="shared" ref="K120" si="324">BP120</f>
        <v xml:space="preserve">   </v>
      </c>
      <c r="L120" s="60"/>
      <c r="M120" s="60"/>
      <c r="N120" s="40"/>
      <c r="O120" s="39">
        <f t="shared" ref="O120" si="325">SUM(AE120-AI120)</f>
        <v>0</v>
      </c>
      <c r="P120" s="40"/>
      <c r="Q120" s="39">
        <f t="shared" ref="Q120" si="326">SUM(AL120-AP120)</f>
        <v>0</v>
      </c>
      <c r="R120" s="40"/>
      <c r="S120" s="39">
        <f t="shared" ref="S120" si="327">SUM(AS120-AW120)</f>
        <v>0</v>
      </c>
      <c r="T120" s="40"/>
      <c r="U120" s="39">
        <f>IFERROR(SMALL($E$10:$I$264,56),0)</f>
        <v>12.131844000000001</v>
      </c>
      <c r="V120" s="60"/>
      <c r="W120" s="60"/>
      <c r="X120" s="60"/>
      <c r="Y120" s="40"/>
      <c r="Z120" s="29">
        <f>IFERROR(IF(U120="","",RANK(U120,$U$10:$Y$264,1)),0)</f>
        <v>56</v>
      </c>
      <c r="AA120" s="29" t="str">
        <f>IFERROR(INDEX($K$10:$K$264,MATCH(U120,$E$10:$E$264,0),1),0)</f>
        <v xml:space="preserve">   </v>
      </c>
      <c r="AB120" s="29"/>
      <c r="AC120" s="29"/>
      <c r="AD120" s="29"/>
      <c r="AE120" s="43"/>
      <c r="AF120" s="43"/>
      <c r="AG120" s="44"/>
      <c r="AH120" s="45" t="s">
        <v>19</v>
      </c>
      <c r="AI120" s="47"/>
      <c r="AJ120" s="43"/>
      <c r="AK120" s="43"/>
      <c r="AL120" s="43"/>
      <c r="AM120" s="43"/>
      <c r="AN120" s="44"/>
      <c r="AO120" s="45" t="s">
        <v>19</v>
      </c>
      <c r="AP120" s="47"/>
      <c r="AQ120" s="43"/>
      <c r="AR120" s="43"/>
      <c r="AS120" s="43"/>
      <c r="AT120" s="43"/>
      <c r="AU120" s="44"/>
      <c r="AV120" s="45" t="s">
        <v>19</v>
      </c>
      <c r="AW120" s="47"/>
      <c r="AX120" s="43"/>
      <c r="AY120" s="43"/>
      <c r="AZ120" s="48">
        <f>IFERROR(IF(E120="","",RANK(E120,$E$10:$I$264,1)),0)</f>
        <v>44</v>
      </c>
      <c r="BA120" s="49"/>
      <c r="BB120" s="49"/>
      <c r="BC120" s="50"/>
      <c r="BE120" s="38"/>
      <c r="BF120" s="38"/>
      <c r="BG120" s="3"/>
      <c r="BH120" s="30" t="s">
        <v>75</v>
      </c>
      <c r="BI120" s="30"/>
      <c r="BJ120" s="30"/>
      <c r="BK120" s="30"/>
      <c r="BL120" s="30"/>
      <c r="BM120" s="30"/>
      <c r="BN120" s="30"/>
      <c r="BO120" s="30"/>
      <c r="BP120" s="30" t="str">
        <f>IF(BE120&gt;0,VLOOKUP(BE120,'[3]Infos joueurs'!$B:$BT,11,FALSE)," ")&amp;" "&amp;IF(BE120&gt;0,VLOOKUP(BE120,'[3]Infos joueurs'!$B:$BT,27,FALSE)," ")</f>
        <v xml:space="preserve">   </v>
      </c>
      <c r="BQ120" s="30"/>
      <c r="BR120" s="30"/>
      <c r="BS120" s="30"/>
      <c r="BT120" s="30"/>
      <c r="BU120" s="30"/>
      <c r="BV120" s="30"/>
      <c r="BW120" s="30"/>
      <c r="BX120" s="30"/>
      <c r="BY120" s="30"/>
      <c r="BZ120" s="30"/>
      <c r="CA120" s="30"/>
      <c r="CD120" s="54">
        <v>56</v>
      </c>
      <c r="CE120" s="54"/>
      <c r="CF120" s="54"/>
      <c r="CH120" s="59" t="str">
        <f t="shared" ref="CH120" si="328">AA120</f>
        <v xml:space="preserve">   </v>
      </c>
      <c r="CI120" s="59"/>
      <c r="CJ120" s="59"/>
      <c r="CK120" s="59"/>
      <c r="CL120" s="59"/>
      <c r="CM120" s="59"/>
      <c r="CN120" s="59"/>
      <c r="CO120" s="59"/>
      <c r="CP120" s="59"/>
      <c r="CQ120" s="59"/>
      <c r="CR120" s="59"/>
      <c r="CS120" s="59"/>
      <c r="CU120" s="24">
        <f t="shared" ref="CU120" si="329">IFERROR(INDEX($BE$10:$BE$269,MATCH(CH120,$BP$10:$BP$269,0)),0)</f>
        <v>0</v>
      </c>
      <c r="CV120" s="24"/>
      <c r="CW120" s="24"/>
    </row>
    <row r="121" spans="5:101" ht="7.5" customHeight="1" x14ac:dyDescent="0.2">
      <c r="E121" s="41"/>
      <c r="F121" s="61"/>
      <c r="G121" s="61"/>
      <c r="H121" s="61"/>
      <c r="I121" s="42"/>
      <c r="J121" s="63"/>
      <c r="K121" s="41"/>
      <c r="L121" s="61"/>
      <c r="M121" s="61"/>
      <c r="N121" s="42"/>
      <c r="O121" s="41"/>
      <c r="P121" s="42"/>
      <c r="Q121" s="41"/>
      <c r="R121" s="42"/>
      <c r="S121" s="41"/>
      <c r="T121" s="42"/>
      <c r="U121" s="41"/>
      <c r="V121" s="61"/>
      <c r="W121" s="61"/>
      <c r="X121" s="61"/>
      <c r="Y121" s="42"/>
      <c r="Z121" s="29"/>
      <c r="AA121" s="29"/>
      <c r="AB121" s="29"/>
      <c r="AC121" s="29"/>
      <c r="AD121" s="29"/>
      <c r="AE121" s="43"/>
      <c r="AF121" s="43"/>
      <c r="AG121" s="44"/>
      <c r="AH121" s="46"/>
      <c r="AI121" s="47"/>
      <c r="AJ121" s="43"/>
      <c r="AK121" s="43"/>
      <c r="AL121" s="43"/>
      <c r="AM121" s="43"/>
      <c r="AN121" s="44"/>
      <c r="AO121" s="46"/>
      <c r="AP121" s="47"/>
      <c r="AQ121" s="43"/>
      <c r="AR121" s="43"/>
      <c r="AS121" s="43"/>
      <c r="AT121" s="43"/>
      <c r="AU121" s="44"/>
      <c r="AV121" s="46"/>
      <c r="AW121" s="47"/>
      <c r="AX121" s="43"/>
      <c r="AY121" s="43"/>
      <c r="AZ121" s="51"/>
      <c r="BA121" s="52"/>
      <c r="BB121" s="52"/>
      <c r="BC121" s="53"/>
      <c r="BE121" s="38"/>
      <c r="BF121" s="38"/>
      <c r="BG121" s="3"/>
      <c r="BH121" s="30"/>
      <c r="BI121" s="30"/>
      <c r="BJ121" s="30"/>
      <c r="BK121" s="30"/>
      <c r="BL121" s="30"/>
      <c r="BM121" s="30"/>
      <c r="BN121" s="30"/>
      <c r="BO121" s="30"/>
      <c r="BP121" s="30"/>
      <c r="BQ121" s="30"/>
      <c r="BR121" s="30"/>
      <c r="BS121" s="30"/>
      <c r="BT121" s="30"/>
      <c r="BU121" s="30"/>
      <c r="BV121" s="30"/>
      <c r="BW121" s="30"/>
      <c r="BX121" s="30"/>
      <c r="BY121" s="30"/>
      <c r="BZ121" s="30"/>
      <c r="CA121" s="30"/>
      <c r="CD121" s="55"/>
      <c r="CE121" s="55"/>
      <c r="CF121" s="55"/>
      <c r="CH121" s="56"/>
      <c r="CI121" s="56"/>
      <c r="CJ121" s="56"/>
      <c r="CK121" s="56"/>
      <c r="CL121" s="56"/>
      <c r="CM121" s="56"/>
      <c r="CN121" s="56"/>
      <c r="CO121" s="56"/>
      <c r="CP121" s="56"/>
      <c r="CQ121" s="56"/>
      <c r="CR121" s="56"/>
      <c r="CS121" s="56"/>
      <c r="CU121" s="25"/>
      <c r="CV121" s="25"/>
      <c r="CW121" s="25"/>
    </row>
    <row r="122" spans="5:101" ht="7.5" customHeight="1" x14ac:dyDescent="0.2">
      <c r="E122" s="39">
        <f>IFERROR(IF(BP122="","-",RANK(S122,$S$10:$T$264,0)+RANK(Q122,$Q$10:$R$264,0)%+RANK(O122,$O$10:$P$264,0)%%+ROW()%%%),"-")</f>
        <v>12.131822</v>
      </c>
      <c r="F122" s="60"/>
      <c r="G122" s="60"/>
      <c r="H122" s="60"/>
      <c r="I122" s="40"/>
      <c r="J122" s="62">
        <f>IFERROR(IF(E122="","",RANK(E122,$E$10:$I$264,1)),"-")</f>
        <v>45</v>
      </c>
      <c r="K122" s="39" t="str">
        <f t="shared" ref="K122" si="330">BP122</f>
        <v xml:space="preserve">   </v>
      </c>
      <c r="L122" s="60"/>
      <c r="M122" s="60"/>
      <c r="N122" s="40"/>
      <c r="O122" s="39">
        <f t="shared" ref="O122" si="331">SUM(AE122-AI122)</f>
        <v>0</v>
      </c>
      <c r="P122" s="40"/>
      <c r="Q122" s="39">
        <f t="shared" ref="Q122" si="332">SUM(AL122-AP122)</f>
        <v>0</v>
      </c>
      <c r="R122" s="40"/>
      <c r="S122" s="39">
        <f t="shared" ref="S122" si="333">SUM(AS122-AW122)</f>
        <v>0</v>
      </c>
      <c r="T122" s="40"/>
      <c r="U122" s="39">
        <f>IFERROR(SMALL($E$10:$I$264,57),0)</f>
        <v>12.131846000000001</v>
      </c>
      <c r="V122" s="60"/>
      <c r="W122" s="60"/>
      <c r="X122" s="60"/>
      <c r="Y122" s="40"/>
      <c r="Z122" s="29">
        <f>IFERROR(IF(U122="","",RANK(U122,$U$10:$Y$264,1)),0)</f>
        <v>57</v>
      </c>
      <c r="AA122" s="29" t="str">
        <f>IFERROR(INDEX($K$10:$K$264,MATCH(U122,$E$10:$E$264,0),1),0)</f>
        <v xml:space="preserve">   </v>
      </c>
      <c r="AB122" s="29"/>
      <c r="AC122" s="29"/>
      <c r="AD122" s="29"/>
      <c r="AE122" s="43"/>
      <c r="AF122" s="43"/>
      <c r="AG122" s="44"/>
      <c r="AH122" s="45" t="s">
        <v>19</v>
      </c>
      <c r="AI122" s="47"/>
      <c r="AJ122" s="43"/>
      <c r="AK122" s="43"/>
      <c r="AL122" s="43"/>
      <c r="AM122" s="43"/>
      <c r="AN122" s="44"/>
      <c r="AO122" s="45" t="s">
        <v>19</v>
      </c>
      <c r="AP122" s="47"/>
      <c r="AQ122" s="43"/>
      <c r="AR122" s="43"/>
      <c r="AS122" s="43"/>
      <c r="AT122" s="43"/>
      <c r="AU122" s="44"/>
      <c r="AV122" s="45" t="s">
        <v>19</v>
      </c>
      <c r="AW122" s="47"/>
      <c r="AX122" s="43"/>
      <c r="AY122" s="43"/>
      <c r="AZ122" s="48">
        <f>IFERROR(IF(E122="","",RANK(E122,$E$10:$I$264,1)),0)</f>
        <v>45</v>
      </c>
      <c r="BA122" s="49"/>
      <c r="BB122" s="49"/>
      <c r="BC122" s="50"/>
      <c r="BE122" s="38"/>
      <c r="BF122" s="38"/>
      <c r="BG122" s="3"/>
      <c r="BH122" s="30" t="s">
        <v>76</v>
      </c>
      <c r="BI122" s="30"/>
      <c r="BJ122" s="30"/>
      <c r="BK122" s="30"/>
      <c r="BL122" s="30"/>
      <c r="BM122" s="30"/>
      <c r="BN122" s="30"/>
      <c r="BO122" s="30"/>
      <c r="BP122" s="30" t="str">
        <f>IF(BE122&gt;0,VLOOKUP(BE122,'[3]Infos joueurs'!$B:$BT,11,FALSE)," ")&amp;" "&amp;IF(BE122&gt;0,VLOOKUP(BE122,'[3]Infos joueurs'!$B:$BT,27,FALSE)," ")</f>
        <v xml:space="preserve">   </v>
      </c>
      <c r="BQ122" s="30"/>
      <c r="BR122" s="30"/>
      <c r="BS122" s="30"/>
      <c r="BT122" s="30"/>
      <c r="BU122" s="30"/>
      <c r="BV122" s="30"/>
      <c r="BW122" s="30"/>
      <c r="BX122" s="30"/>
      <c r="BY122" s="30"/>
      <c r="BZ122" s="30"/>
      <c r="CA122" s="30"/>
      <c r="CD122" s="54">
        <v>57</v>
      </c>
      <c r="CE122" s="54"/>
      <c r="CF122" s="54"/>
      <c r="CH122" s="59" t="str">
        <f t="shared" ref="CH122" si="334">AA122</f>
        <v xml:space="preserve">   </v>
      </c>
      <c r="CI122" s="59"/>
      <c r="CJ122" s="59"/>
      <c r="CK122" s="59"/>
      <c r="CL122" s="59"/>
      <c r="CM122" s="59"/>
      <c r="CN122" s="59"/>
      <c r="CO122" s="59"/>
      <c r="CP122" s="59"/>
      <c r="CQ122" s="59"/>
      <c r="CR122" s="59"/>
      <c r="CS122" s="59"/>
      <c r="CU122" s="24">
        <f t="shared" ref="CU122" si="335">IFERROR(INDEX($BE$10:$BE$269,MATCH(CH122,$BP$10:$BP$269,0)),0)</f>
        <v>0</v>
      </c>
      <c r="CV122" s="24"/>
      <c r="CW122" s="24"/>
    </row>
    <row r="123" spans="5:101" ht="7.5" customHeight="1" x14ac:dyDescent="0.2">
      <c r="E123" s="41"/>
      <c r="F123" s="61"/>
      <c r="G123" s="61"/>
      <c r="H123" s="61"/>
      <c r="I123" s="42"/>
      <c r="J123" s="63"/>
      <c r="K123" s="41"/>
      <c r="L123" s="61"/>
      <c r="M123" s="61"/>
      <c r="N123" s="42"/>
      <c r="O123" s="41"/>
      <c r="P123" s="42"/>
      <c r="Q123" s="41"/>
      <c r="R123" s="42"/>
      <c r="S123" s="41"/>
      <c r="T123" s="42"/>
      <c r="U123" s="41"/>
      <c r="V123" s="61"/>
      <c r="W123" s="61"/>
      <c r="X123" s="61"/>
      <c r="Y123" s="42"/>
      <c r="Z123" s="29"/>
      <c r="AA123" s="29"/>
      <c r="AB123" s="29"/>
      <c r="AC123" s="29"/>
      <c r="AD123" s="29"/>
      <c r="AE123" s="43"/>
      <c r="AF123" s="43"/>
      <c r="AG123" s="44"/>
      <c r="AH123" s="46"/>
      <c r="AI123" s="47"/>
      <c r="AJ123" s="43"/>
      <c r="AK123" s="43"/>
      <c r="AL123" s="43"/>
      <c r="AM123" s="43"/>
      <c r="AN123" s="44"/>
      <c r="AO123" s="46"/>
      <c r="AP123" s="47"/>
      <c r="AQ123" s="43"/>
      <c r="AR123" s="43"/>
      <c r="AS123" s="43"/>
      <c r="AT123" s="43"/>
      <c r="AU123" s="44"/>
      <c r="AV123" s="46"/>
      <c r="AW123" s="47"/>
      <c r="AX123" s="43"/>
      <c r="AY123" s="43"/>
      <c r="AZ123" s="51"/>
      <c r="BA123" s="52"/>
      <c r="BB123" s="52"/>
      <c r="BC123" s="53"/>
      <c r="BE123" s="38"/>
      <c r="BF123" s="38"/>
      <c r="BG123" s="3"/>
      <c r="BH123" s="30"/>
      <c r="BI123" s="30"/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30"/>
      <c r="BW123" s="30"/>
      <c r="BX123" s="30"/>
      <c r="BY123" s="30"/>
      <c r="BZ123" s="30"/>
      <c r="CA123" s="30"/>
      <c r="CD123" s="55"/>
      <c r="CE123" s="55"/>
      <c r="CF123" s="55"/>
      <c r="CH123" s="56"/>
      <c r="CI123" s="56"/>
      <c r="CJ123" s="56"/>
      <c r="CK123" s="56"/>
      <c r="CL123" s="56"/>
      <c r="CM123" s="56"/>
      <c r="CN123" s="56"/>
      <c r="CO123" s="56"/>
      <c r="CP123" s="56"/>
      <c r="CQ123" s="56"/>
      <c r="CR123" s="56"/>
      <c r="CS123" s="56"/>
      <c r="CU123" s="25"/>
      <c r="CV123" s="25"/>
      <c r="CW123" s="25"/>
    </row>
    <row r="124" spans="5:101" ht="7.5" customHeight="1" x14ac:dyDescent="0.2">
      <c r="E124" s="39">
        <f>IFERROR(IF(BP124="","-",RANK(S124,$S$10:$T$264,0)+RANK(Q124,$Q$10:$R$264,0)%+RANK(O124,$O$10:$P$264,0)%%+ROW()%%%),"-")</f>
        <v>12.131824</v>
      </c>
      <c r="F124" s="60"/>
      <c r="G124" s="60"/>
      <c r="H124" s="60"/>
      <c r="I124" s="40"/>
      <c r="J124" s="62">
        <f>IFERROR(IF(E124="","",RANK(E124,$E$10:$I$264,1)),"-")</f>
        <v>46</v>
      </c>
      <c r="K124" s="39" t="str">
        <f t="shared" ref="K124" si="336">BP124</f>
        <v xml:space="preserve">   </v>
      </c>
      <c r="L124" s="60"/>
      <c r="M124" s="60"/>
      <c r="N124" s="40"/>
      <c r="O124" s="39">
        <f t="shared" ref="O124" si="337">SUM(AE124-AI124)</f>
        <v>0</v>
      </c>
      <c r="P124" s="40"/>
      <c r="Q124" s="39">
        <f t="shared" ref="Q124" si="338">SUM(AL124-AP124)</f>
        <v>0</v>
      </c>
      <c r="R124" s="40"/>
      <c r="S124" s="39">
        <f t="shared" ref="S124" si="339">SUM(AS124-AW124)</f>
        <v>0</v>
      </c>
      <c r="T124" s="40"/>
      <c r="U124" s="39">
        <f>IFERROR(SMALL($E$10:$I$264,58),0)</f>
        <v>12.131848</v>
      </c>
      <c r="V124" s="60"/>
      <c r="W124" s="60"/>
      <c r="X124" s="60"/>
      <c r="Y124" s="40"/>
      <c r="Z124" s="29">
        <f>IFERROR(IF(U124="","",RANK(U124,$U$10:$Y$264,1)),0)</f>
        <v>58</v>
      </c>
      <c r="AA124" s="29" t="str">
        <f>IFERROR(INDEX($K$10:$K$264,MATCH(U124,$E$10:$E$264,0),1),0)</f>
        <v xml:space="preserve">   </v>
      </c>
      <c r="AB124" s="29"/>
      <c r="AC124" s="29"/>
      <c r="AD124" s="29"/>
      <c r="AE124" s="43"/>
      <c r="AF124" s="43"/>
      <c r="AG124" s="44"/>
      <c r="AH124" s="45" t="s">
        <v>19</v>
      </c>
      <c r="AI124" s="47"/>
      <c r="AJ124" s="43"/>
      <c r="AK124" s="43"/>
      <c r="AL124" s="43"/>
      <c r="AM124" s="43"/>
      <c r="AN124" s="44"/>
      <c r="AO124" s="45" t="s">
        <v>19</v>
      </c>
      <c r="AP124" s="47"/>
      <c r="AQ124" s="43"/>
      <c r="AR124" s="43"/>
      <c r="AS124" s="43"/>
      <c r="AT124" s="43"/>
      <c r="AU124" s="44"/>
      <c r="AV124" s="45" t="s">
        <v>19</v>
      </c>
      <c r="AW124" s="47"/>
      <c r="AX124" s="43"/>
      <c r="AY124" s="43"/>
      <c r="AZ124" s="48">
        <f>IFERROR(IF(E124="","",RANK(E124,$E$10:$I$264,1)),0)</f>
        <v>46</v>
      </c>
      <c r="BA124" s="49"/>
      <c r="BB124" s="49"/>
      <c r="BC124" s="50"/>
      <c r="BE124" s="38"/>
      <c r="BF124" s="38"/>
      <c r="BG124" s="3"/>
      <c r="BH124" s="30" t="s">
        <v>77</v>
      </c>
      <c r="BI124" s="30"/>
      <c r="BJ124" s="30"/>
      <c r="BK124" s="30"/>
      <c r="BL124" s="30"/>
      <c r="BM124" s="30"/>
      <c r="BN124" s="30"/>
      <c r="BO124" s="30"/>
      <c r="BP124" s="30" t="str">
        <f>IF(BE124&gt;0,VLOOKUP(BE124,'[3]Infos joueurs'!$B:$BT,11,FALSE)," ")&amp;" "&amp;IF(BE124&gt;0,VLOOKUP(BE124,'[3]Infos joueurs'!$B:$BT,27,FALSE)," ")</f>
        <v xml:space="preserve">   </v>
      </c>
      <c r="BQ124" s="30"/>
      <c r="BR124" s="30"/>
      <c r="BS124" s="30"/>
      <c r="BT124" s="30"/>
      <c r="BU124" s="30"/>
      <c r="BV124" s="30"/>
      <c r="BW124" s="30"/>
      <c r="BX124" s="30"/>
      <c r="BY124" s="30"/>
      <c r="BZ124" s="30"/>
      <c r="CA124" s="30"/>
      <c r="CD124" s="54">
        <v>58</v>
      </c>
      <c r="CE124" s="54"/>
      <c r="CF124" s="54"/>
      <c r="CH124" s="59" t="str">
        <f t="shared" ref="CH124" si="340">AA124</f>
        <v xml:space="preserve">   </v>
      </c>
      <c r="CI124" s="59"/>
      <c r="CJ124" s="59"/>
      <c r="CK124" s="59"/>
      <c r="CL124" s="59"/>
      <c r="CM124" s="59"/>
      <c r="CN124" s="59"/>
      <c r="CO124" s="59"/>
      <c r="CP124" s="59"/>
      <c r="CQ124" s="59"/>
      <c r="CR124" s="59"/>
      <c r="CS124" s="59"/>
      <c r="CU124" s="24">
        <f t="shared" ref="CU124" si="341">IFERROR(INDEX($BE$10:$BE$269,MATCH(CH124,$BP$10:$BP$269,0)),0)</f>
        <v>0</v>
      </c>
      <c r="CV124" s="24"/>
      <c r="CW124" s="24"/>
    </row>
    <row r="125" spans="5:101" ht="7.5" customHeight="1" x14ac:dyDescent="0.2">
      <c r="E125" s="41"/>
      <c r="F125" s="61"/>
      <c r="G125" s="61"/>
      <c r="H125" s="61"/>
      <c r="I125" s="42"/>
      <c r="J125" s="63"/>
      <c r="K125" s="41"/>
      <c r="L125" s="61"/>
      <c r="M125" s="61"/>
      <c r="N125" s="42"/>
      <c r="O125" s="41"/>
      <c r="P125" s="42"/>
      <c r="Q125" s="41"/>
      <c r="R125" s="42"/>
      <c r="S125" s="41"/>
      <c r="T125" s="42"/>
      <c r="U125" s="41"/>
      <c r="V125" s="61"/>
      <c r="W125" s="61"/>
      <c r="X125" s="61"/>
      <c r="Y125" s="42"/>
      <c r="Z125" s="29"/>
      <c r="AA125" s="29"/>
      <c r="AB125" s="29"/>
      <c r="AC125" s="29"/>
      <c r="AD125" s="29"/>
      <c r="AE125" s="43"/>
      <c r="AF125" s="43"/>
      <c r="AG125" s="44"/>
      <c r="AH125" s="46"/>
      <c r="AI125" s="47"/>
      <c r="AJ125" s="43"/>
      <c r="AK125" s="43"/>
      <c r="AL125" s="43"/>
      <c r="AM125" s="43"/>
      <c r="AN125" s="44"/>
      <c r="AO125" s="46"/>
      <c r="AP125" s="47"/>
      <c r="AQ125" s="43"/>
      <c r="AR125" s="43"/>
      <c r="AS125" s="43"/>
      <c r="AT125" s="43"/>
      <c r="AU125" s="44"/>
      <c r="AV125" s="46"/>
      <c r="AW125" s="47"/>
      <c r="AX125" s="43"/>
      <c r="AY125" s="43"/>
      <c r="AZ125" s="51"/>
      <c r="BA125" s="52"/>
      <c r="BB125" s="52"/>
      <c r="BC125" s="53"/>
      <c r="BE125" s="38"/>
      <c r="BF125" s="38"/>
      <c r="BG125" s="3"/>
      <c r="BH125" s="30"/>
      <c r="BI125" s="30"/>
      <c r="BJ125" s="30"/>
      <c r="BK125" s="30"/>
      <c r="BL125" s="30"/>
      <c r="BM125" s="30"/>
      <c r="BN125" s="30"/>
      <c r="BO125" s="30"/>
      <c r="BP125" s="30"/>
      <c r="BQ125" s="30"/>
      <c r="BR125" s="30"/>
      <c r="BS125" s="30"/>
      <c r="BT125" s="30"/>
      <c r="BU125" s="30"/>
      <c r="BV125" s="30"/>
      <c r="BW125" s="30"/>
      <c r="BX125" s="30"/>
      <c r="BY125" s="30"/>
      <c r="BZ125" s="30"/>
      <c r="CA125" s="30"/>
      <c r="CD125" s="55"/>
      <c r="CE125" s="55"/>
      <c r="CF125" s="55"/>
      <c r="CH125" s="56"/>
      <c r="CI125" s="56"/>
      <c r="CJ125" s="56"/>
      <c r="CK125" s="56"/>
      <c r="CL125" s="56"/>
      <c r="CM125" s="56"/>
      <c r="CN125" s="56"/>
      <c r="CO125" s="56"/>
      <c r="CP125" s="56"/>
      <c r="CQ125" s="56"/>
      <c r="CR125" s="56"/>
      <c r="CS125" s="56"/>
      <c r="CU125" s="25"/>
      <c r="CV125" s="25"/>
      <c r="CW125" s="25"/>
    </row>
    <row r="126" spans="5:101" ht="7.5" customHeight="1" x14ac:dyDescent="0.2">
      <c r="E126" s="39">
        <f>IFERROR(IF(BP126="","-",RANK(S126,$S$10:$T$264,0)+RANK(Q126,$Q$10:$R$264,0)%+RANK(O126,$O$10:$P$264,0)%%+ROW()%%%),"-")</f>
        <v>12.131826</v>
      </c>
      <c r="F126" s="60"/>
      <c r="G126" s="60"/>
      <c r="H126" s="60"/>
      <c r="I126" s="40"/>
      <c r="J126" s="62">
        <f>IFERROR(IF(E126="","",RANK(E126,$E$10:$I$264,1)),"-")</f>
        <v>47</v>
      </c>
      <c r="K126" s="39" t="str">
        <f t="shared" ref="K126" si="342">BP126</f>
        <v xml:space="preserve">   </v>
      </c>
      <c r="L126" s="60"/>
      <c r="M126" s="60"/>
      <c r="N126" s="40"/>
      <c r="O126" s="39">
        <f t="shared" ref="O126" si="343">SUM(AE126-AI126)</f>
        <v>0</v>
      </c>
      <c r="P126" s="40"/>
      <c r="Q126" s="39">
        <f t="shared" ref="Q126" si="344">SUM(AL126-AP126)</f>
        <v>0</v>
      </c>
      <c r="R126" s="40"/>
      <c r="S126" s="39">
        <f t="shared" ref="S126" si="345">SUM(AS126-AW126)</f>
        <v>0</v>
      </c>
      <c r="T126" s="40"/>
      <c r="U126" s="39">
        <f>IFERROR(SMALL($E$10:$I$264,59),0)</f>
        <v>12.13185</v>
      </c>
      <c r="V126" s="60"/>
      <c r="W126" s="60"/>
      <c r="X126" s="60"/>
      <c r="Y126" s="40"/>
      <c r="Z126" s="29">
        <f>IFERROR(IF(U126="","",RANK(U126,$U$10:$Y$264,1)),0)</f>
        <v>59</v>
      </c>
      <c r="AA126" s="29" t="str">
        <f>IFERROR(INDEX($K$10:$K$264,MATCH(U126,$E$10:$E$264,0),1),0)</f>
        <v xml:space="preserve">   </v>
      </c>
      <c r="AB126" s="29"/>
      <c r="AC126" s="29"/>
      <c r="AD126" s="29"/>
      <c r="AE126" s="43"/>
      <c r="AF126" s="43"/>
      <c r="AG126" s="44"/>
      <c r="AH126" s="45" t="s">
        <v>19</v>
      </c>
      <c r="AI126" s="47"/>
      <c r="AJ126" s="43"/>
      <c r="AK126" s="43"/>
      <c r="AL126" s="43"/>
      <c r="AM126" s="43"/>
      <c r="AN126" s="44"/>
      <c r="AO126" s="45" t="s">
        <v>19</v>
      </c>
      <c r="AP126" s="47"/>
      <c r="AQ126" s="43"/>
      <c r="AR126" s="43"/>
      <c r="AS126" s="43"/>
      <c r="AT126" s="43"/>
      <c r="AU126" s="44"/>
      <c r="AV126" s="45" t="s">
        <v>19</v>
      </c>
      <c r="AW126" s="47"/>
      <c r="AX126" s="43"/>
      <c r="AY126" s="43"/>
      <c r="AZ126" s="48">
        <f>IFERROR(IF(E126="","",RANK(E126,$E$10:$I$264,1)),0)</f>
        <v>47</v>
      </c>
      <c r="BA126" s="49"/>
      <c r="BB126" s="49"/>
      <c r="BC126" s="50"/>
      <c r="BE126" s="38"/>
      <c r="BF126" s="38"/>
      <c r="BG126" s="3"/>
      <c r="BH126" s="30" t="s">
        <v>78</v>
      </c>
      <c r="BI126" s="30"/>
      <c r="BJ126" s="30"/>
      <c r="BK126" s="30"/>
      <c r="BL126" s="30"/>
      <c r="BM126" s="30"/>
      <c r="BN126" s="30"/>
      <c r="BO126" s="30"/>
      <c r="BP126" s="30" t="str">
        <f>IF(BE126&gt;0,VLOOKUP(BE126,'[3]Infos joueurs'!$B:$BT,11,FALSE)," ")&amp;" "&amp;IF(BE126&gt;0,VLOOKUP(BE126,'[3]Infos joueurs'!$B:$BT,27,FALSE)," ")</f>
        <v xml:space="preserve">   </v>
      </c>
      <c r="BQ126" s="30"/>
      <c r="BR126" s="30"/>
      <c r="BS126" s="30"/>
      <c r="BT126" s="30"/>
      <c r="BU126" s="30"/>
      <c r="BV126" s="30"/>
      <c r="BW126" s="30"/>
      <c r="BX126" s="30"/>
      <c r="BY126" s="30"/>
      <c r="BZ126" s="30"/>
      <c r="CA126" s="30"/>
      <c r="CD126" s="54">
        <v>59</v>
      </c>
      <c r="CE126" s="54"/>
      <c r="CF126" s="54"/>
      <c r="CH126" s="59" t="str">
        <f t="shared" ref="CH126" si="346">AA126</f>
        <v xml:space="preserve">   </v>
      </c>
      <c r="CI126" s="59"/>
      <c r="CJ126" s="59"/>
      <c r="CK126" s="59"/>
      <c r="CL126" s="59"/>
      <c r="CM126" s="59"/>
      <c r="CN126" s="59"/>
      <c r="CO126" s="59"/>
      <c r="CP126" s="59"/>
      <c r="CQ126" s="59"/>
      <c r="CR126" s="59"/>
      <c r="CS126" s="59"/>
      <c r="CU126" s="24">
        <f t="shared" ref="CU126" si="347">IFERROR(INDEX($BE$10:$BE$269,MATCH(CH126,$BP$10:$BP$269,0)),0)</f>
        <v>0</v>
      </c>
      <c r="CV126" s="24"/>
      <c r="CW126" s="24"/>
    </row>
    <row r="127" spans="5:101" ht="7.5" customHeight="1" x14ac:dyDescent="0.2">
      <c r="E127" s="41"/>
      <c r="F127" s="61"/>
      <c r="G127" s="61"/>
      <c r="H127" s="61"/>
      <c r="I127" s="42"/>
      <c r="J127" s="63"/>
      <c r="K127" s="41"/>
      <c r="L127" s="61"/>
      <c r="M127" s="61"/>
      <c r="N127" s="42"/>
      <c r="O127" s="41"/>
      <c r="P127" s="42"/>
      <c r="Q127" s="41"/>
      <c r="R127" s="42"/>
      <c r="S127" s="41"/>
      <c r="T127" s="42"/>
      <c r="U127" s="41"/>
      <c r="V127" s="61"/>
      <c r="W127" s="61"/>
      <c r="X127" s="61"/>
      <c r="Y127" s="42"/>
      <c r="Z127" s="29"/>
      <c r="AA127" s="29"/>
      <c r="AB127" s="29"/>
      <c r="AC127" s="29"/>
      <c r="AD127" s="29"/>
      <c r="AE127" s="43"/>
      <c r="AF127" s="43"/>
      <c r="AG127" s="44"/>
      <c r="AH127" s="46"/>
      <c r="AI127" s="47"/>
      <c r="AJ127" s="43"/>
      <c r="AK127" s="43"/>
      <c r="AL127" s="43"/>
      <c r="AM127" s="43"/>
      <c r="AN127" s="44"/>
      <c r="AO127" s="46"/>
      <c r="AP127" s="47"/>
      <c r="AQ127" s="43"/>
      <c r="AR127" s="43"/>
      <c r="AS127" s="43"/>
      <c r="AT127" s="43"/>
      <c r="AU127" s="44"/>
      <c r="AV127" s="46"/>
      <c r="AW127" s="47"/>
      <c r="AX127" s="43"/>
      <c r="AY127" s="43"/>
      <c r="AZ127" s="51"/>
      <c r="BA127" s="52"/>
      <c r="BB127" s="52"/>
      <c r="BC127" s="53"/>
      <c r="BE127" s="38"/>
      <c r="BF127" s="38"/>
      <c r="BG127" s="3"/>
      <c r="BH127" s="30"/>
      <c r="BI127" s="30"/>
      <c r="BJ127" s="30"/>
      <c r="BK127" s="30"/>
      <c r="BL127" s="30"/>
      <c r="BM127" s="30"/>
      <c r="BN127" s="30"/>
      <c r="BO127" s="30"/>
      <c r="BP127" s="30"/>
      <c r="BQ127" s="30"/>
      <c r="BR127" s="30"/>
      <c r="BS127" s="30"/>
      <c r="BT127" s="30"/>
      <c r="BU127" s="30"/>
      <c r="BV127" s="30"/>
      <c r="BW127" s="30"/>
      <c r="BX127" s="30"/>
      <c r="BY127" s="30"/>
      <c r="BZ127" s="30"/>
      <c r="CA127" s="30"/>
      <c r="CD127" s="55"/>
      <c r="CE127" s="55"/>
      <c r="CF127" s="55"/>
      <c r="CH127" s="56"/>
      <c r="CI127" s="56"/>
      <c r="CJ127" s="56"/>
      <c r="CK127" s="56"/>
      <c r="CL127" s="56"/>
      <c r="CM127" s="56"/>
      <c r="CN127" s="56"/>
      <c r="CO127" s="56"/>
      <c r="CP127" s="56"/>
      <c r="CQ127" s="56"/>
      <c r="CR127" s="56"/>
      <c r="CS127" s="56"/>
      <c r="CU127" s="25"/>
      <c r="CV127" s="25"/>
      <c r="CW127" s="25"/>
    </row>
    <row r="128" spans="5:101" ht="7.5" customHeight="1" x14ac:dyDescent="0.2">
      <c r="E128" s="39">
        <f>IFERROR(IF(BP128="","-",RANK(S128,$S$10:$T$264,0)+RANK(Q128,$Q$10:$R$264,0)%+RANK(O128,$O$10:$P$264,0)%%+ROW()%%%),"-")</f>
        <v>12.131828000000001</v>
      </c>
      <c r="F128" s="60"/>
      <c r="G128" s="60"/>
      <c r="H128" s="60"/>
      <c r="I128" s="40"/>
      <c r="J128" s="62">
        <f>IFERROR(IF(E128="","",RANK(E128,$E$10:$I$264,1)),"-")</f>
        <v>48</v>
      </c>
      <c r="K128" s="39" t="str">
        <f t="shared" ref="K128" si="348">BP128</f>
        <v xml:space="preserve">   </v>
      </c>
      <c r="L128" s="60"/>
      <c r="M128" s="60"/>
      <c r="N128" s="40"/>
      <c r="O128" s="39">
        <f t="shared" ref="O128" si="349">SUM(AE128-AI128)</f>
        <v>0</v>
      </c>
      <c r="P128" s="40"/>
      <c r="Q128" s="39">
        <f t="shared" ref="Q128" si="350">SUM(AL128-AP128)</f>
        <v>0</v>
      </c>
      <c r="R128" s="40"/>
      <c r="S128" s="39">
        <f t="shared" ref="S128" si="351">SUM(AS128-AW128)</f>
        <v>0</v>
      </c>
      <c r="T128" s="40"/>
      <c r="U128" s="39">
        <f>IFERROR(SMALL($E$10:$I$264,60),0)</f>
        <v>12.131852</v>
      </c>
      <c r="V128" s="60"/>
      <c r="W128" s="60"/>
      <c r="X128" s="60"/>
      <c r="Y128" s="40"/>
      <c r="Z128" s="29">
        <f>IFERROR(IF(U128="","",RANK(U128,$U$10:$Y$264,1)),0)</f>
        <v>60</v>
      </c>
      <c r="AA128" s="29" t="str">
        <f>IFERROR(INDEX($K$10:$K$264,MATCH(U128,$E$10:$E$264,0),1),0)</f>
        <v xml:space="preserve">   </v>
      </c>
      <c r="AB128" s="29"/>
      <c r="AC128" s="29"/>
      <c r="AD128" s="29"/>
      <c r="AE128" s="43"/>
      <c r="AF128" s="43"/>
      <c r="AG128" s="44"/>
      <c r="AH128" s="45" t="s">
        <v>19</v>
      </c>
      <c r="AI128" s="47"/>
      <c r="AJ128" s="43"/>
      <c r="AK128" s="43"/>
      <c r="AL128" s="43"/>
      <c r="AM128" s="43"/>
      <c r="AN128" s="44"/>
      <c r="AO128" s="45" t="s">
        <v>19</v>
      </c>
      <c r="AP128" s="47"/>
      <c r="AQ128" s="43"/>
      <c r="AR128" s="43"/>
      <c r="AS128" s="43"/>
      <c r="AT128" s="43"/>
      <c r="AU128" s="44"/>
      <c r="AV128" s="45" t="s">
        <v>19</v>
      </c>
      <c r="AW128" s="47"/>
      <c r="AX128" s="43"/>
      <c r="AY128" s="43"/>
      <c r="AZ128" s="48">
        <f>IFERROR(IF(E128="","",RANK(E128,$E$10:$I$264,1)),0)</f>
        <v>48</v>
      </c>
      <c r="BA128" s="49"/>
      <c r="BB128" s="49"/>
      <c r="BC128" s="50"/>
      <c r="BE128" s="38"/>
      <c r="BF128" s="38"/>
      <c r="BG128" s="3"/>
      <c r="BH128" s="30" t="s">
        <v>79</v>
      </c>
      <c r="BI128" s="30"/>
      <c r="BJ128" s="30"/>
      <c r="BK128" s="30"/>
      <c r="BL128" s="30"/>
      <c r="BM128" s="30"/>
      <c r="BN128" s="30"/>
      <c r="BO128" s="30"/>
      <c r="BP128" s="30" t="str">
        <f>IF(BE128&gt;0,VLOOKUP(BE128,'[3]Infos joueurs'!$B:$BT,11,FALSE)," ")&amp;" "&amp;IF(BE128&gt;0,VLOOKUP(BE128,'[3]Infos joueurs'!$B:$BT,27,FALSE)," ")</f>
        <v xml:space="preserve">   </v>
      </c>
      <c r="BQ128" s="30"/>
      <c r="BR128" s="30"/>
      <c r="BS128" s="30"/>
      <c r="BT128" s="30"/>
      <c r="BU128" s="30"/>
      <c r="BV128" s="30"/>
      <c r="BW128" s="30"/>
      <c r="BX128" s="30"/>
      <c r="BY128" s="30"/>
      <c r="BZ128" s="30"/>
      <c r="CA128" s="30"/>
      <c r="CD128" s="54">
        <v>60</v>
      </c>
      <c r="CE128" s="54"/>
      <c r="CF128" s="54"/>
      <c r="CH128" s="59" t="str">
        <f t="shared" ref="CH128" si="352">AA128</f>
        <v xml:space="preserve">   </v>
      </c>
      <c r="CI128" s="59"/>
      <c r="CJ128" s="59"/>
      <c r="CK128" s="59"/>
      <c r="CL128" s="59"/>
      <c r="CM128" s="59"/>
      <c r="CN128" s="59"/>
      <c r="CO128" s="59"/>
      <c r="CP128" s="59"/>
      <c r="CQ128" s="59"/>
      <c r="CR128" s="59"/>
      <c r="CS128" s="59"/>
      <c r="CU128" s="24">
        <f t="shared" ref="CU128" si="353">IFERROR(INDEX($BE$10:$BE$269,MATCH(CH128,$BP$10:$BP$269,0)),0)</f>
        <v>0</v>
      </c>
      <c r="CV128" s="24"/>
      <c r="CW128" s="24"/>
    </row>
    <row r="129" spans="5:101" ht="7.5" customHeight="1" x14ac:dyDescent="0.2">
      <c r="E129" s="41"/>
      <c r="F129" s="61"/>
      <c r="G129" s="61"/>
      <c r="H129" s="61"/>
      <c r="I129" s="42"/>
      <c r="J129" s="63"/>
      <c r="K129" s="41"/>
      <c r="L129" s="61"/>
      <c r="M129" s="61"/>
      <c r="N129" s="42"/>
      <c r="O129" s="41"/>
      <c r="P129" s="42"/>
      <c r="Q129" s="41"/>
      <c r="R129" s="42"/>
      <c r="S129" s="41"/>
      <c r="T129" s="42"/>
      <c r="U129" s="41"/>
      <c r="V129" s="61"/>
      <c r="W129" s="61"/>
      <c r="X129" s="61"/>
      <c r="Y129" s="42"/>
      <c r="Z129" s="29"/>
      <c r="AA129" s="29"/>
      <c r="AB129" s="29"/>
      <c r="AC129" s="29"/>
      <c r="AD129" s="29"/>
      <c r="AE129" s="43"/>
      <c r="AF129" s="43"/>
      <c r="AG129" s="44"/>
      <c r="AH129" s="46"/>
      <c r="AI129" s="47"/>
      <c r="AJ129" s="43"/>
      <c r="AK129" s="43"/>
      <c r="AL129" s="43"/>
      <c r="AM129" s="43"/>
      <c r="AN129" s="44"/>
      <c r="AO129" s="46"/>
      <c r="AP129" s="47"/>
      <c r="AQ129" s="43"/>
      <c r="AR129" s="43"/>
      <c r="AS129" s="43"/>
      <c r="AT129" s="43"/>
      <c r="AU129" s="44"/>
      <c r="AV129" s="46"/>
      <c r="AW129" s="47"/>
      <c r="AX129" s="43"/>
      <c r="AY129" s="43"/>
      <c r="AZ129" s="51"/>
      <c r="BA129" s="52"/>
      <c r="BB129" s="52"/>
      <c r="BC129" s="53"/>
      <c r="BE129" s="38"/>
      <c r="BF129" s="38"/>
      <c r="BG129" s="3"/>
      <c r="BH129" s="30"/>
      <c r="BI129" s="30"/>
      <c r="BJ129" s="30"/>
      <c r="BK129" s="30"/>
      <c r="BL129" s="30"/>
      <c r="BM129" s="30"/>
      <c r="BN129" s="30"/>
      <c r="BO129" s="30"/>
      <c r="BP129" s="30"/>
      <c r="BQ129" s="30"/>
      <c r="BR129" s="30"/>
      <c r="BS129" s="30"/>
      <c r="BT129" s="30"/>
      <c r="BU129" s="30"/>
      <c r="BV129" s="30"/>
      <c r="BW129" s="30"/>
      <c r="BX129" s="30"/>
      <c r="BY129" s="30"/>
      <c r="BZ129" s="30"/>
      <c r="CA129" s="30"/>
      <c r="CD129" s="55"/>
      <c r="CE129" s="55"/>
      <c r="CF129" s="55"/>
      <c r="CH129" s="56"/>
      <c r="CI129" s="56"/>
      <c r="CJ129" s="56"/>
      <c r="CK129" s="56"/>
      <c r="CL129" s="56"/>
      <c r="CM129" s="56"/>
      <c r="CN129" s="56"/>
      <c r="CO129" s="56"/>
      <c r="CP129" s="56"/>
      <c r="CQ129" s="56"/>
      <c r="CR129" s="56"/>
      <c r="CS129" s="56"/>
      <c r="CU129" s="25"/>
      <c r="CV129" s="25"/>
      <c r="CW129" s="25"/>
    </row>
    <row r="130" spans="5:101" ht="7.5" customHeight="1" x14ac:dyDescent="0.2">
      <c r="E130" s="39">
        <f>IFERROR(IF(BP130="","-",RANK(S130,$S$10:$T$264,0)+RANK(Q130,$Q$10:$R$264,0)%+RANK(O130,$O$10:$P$264,0)%%+ROW()%%%),"-")</f>
        <v>12.131830000000001</v>
      </c>
      <c r="F130" s="60"/>
      <c r="G130" s="60"/>
      <c r="H130" s="60"/>
      <c r="I130" s="40"/>
      <c r="J130" s="62">
        <f>IFERROR(IF(E130="","",RANK(E130,$E$10:$I$264,1)),"-")</f>
        <v>49</v>
      </c>
      <c r="K130" s="39" t="str">
        <f t="shared" ref="K130" si="354">BP130</f>
        <v xml:space="preserve">   </v>
      </c>
      <c r="L130" s="60"/>
      <c r="M130" s="60"/>
      <c r="N130" s="40"/>
      <c r="O130" s="39">
        <f t="shared" ref="O130" si="355">SUM(AE130-AI130)</f>
        <v>0</v>
      </c>
      <c r="P130" s="40"/>
      <c r="Q130" s="39">
        <f t="shared" ref="Q130" si="356">SUM(AL130-AP130)</f>
        <v>0</v>
      </c>
      <c r="R130" s="40"/>
      <c r="S130" s="39">
        <f t="shared" ref="S130" si="357">SUM(AS130-AW130)</f>
        <v>0</v>
      </c>
      <c r="T130" s="40"/>
      <c r="U130" s="39">
        <f>IFERROR(SMALL($E$10:$I$264,61),0)</f>
        <v>12.131854000000001</v>
      </c>
      <c r="V130" s="60"/>
      <c r="W130" s="60"/>
      <c r="X130" s="60"/>
      <c r="Y130" s="40"/>
      <c r="Z130" s="29">
        <f>IFERROR(IF(U130="","",RANK(U130,$U$10:$Y$264,1)),0)</f>
        <v>61</v>
      </c>
      <c r="AA130" s="29" t="str">
        <f>IFERROR(INDEX($K$10:$K$264,MATCH(U130,$E$10:$E$264,0),1),0)</f>
        <v xml:space="preserve">   </v>
      </c>
      <c r="AB130" s="29"/>
      <c r="AC130" s="29"/>
      <c r="AD130" s="29"/>
      <c r="AE130" s="43"/>
      <c r="AF130" s="43"/>
      <c r="AG130" s="44"/>
      <c r="AH130" s="45" t="s">
        <v>19</v>
      </c>
      <c r="AI130" s="47"/>
      <c r="AJ130" s="43"/>
      <c r="AK130" s="43"/>
      <c r="AL130" s="43"/>
      <c r="AM130" s="43"/>
      <c r="AN130" s="44"/>
      <c r="AO130" s="45" t="s">
        <v>19</v>
      </c>
      <c r="AP130" s="47"/>
      <c r="AQ130" s="43"/>
      <c r="AR130" s="43"/>
      <c r="AS130" s="43"/>
      <c r="AT130" s="43"/>
      <c r="AU130" s="44"/>
      <c r="AV130" s="45" t="s">
        <v>19</v>
      </c>
      <c r="AW130" s="47"/>
      <c r="AX130" s="43"/>
      <c r="AY130" s="43"/>
      <c r="AZ130" s="48">
        <f>IFERROR(IF(E130="","",RANK(E130,$E$10:$I$264,1)),0)</f>
        <v>49</v>
      </c>
      <c r="BA130" s="49"/>
      <c r="BB130" s="49"/>
      <c r="BC130" s="50"/>
      <c r="BE130" s="38"/>
      <c r="BF130" s="38"/>
      <c r="BG130" s="3"/>
      <c r="BH130" s="30" t="s">
        <v>80</v>
      </c>
      <c r="BI130" s="30"/>
      <c r="BJ130" s="30"/>
      <c r="BK130" s="30"/>
      <c r="BL130" s="30"/>
      <c r="BM130" s="30"/>
      <c r="BN130" s="30"/>
      <c r="BO130" s="30"/>
      <c r="BP130" s="30" t="str">
        <f>IF(BE130&gt;0,VLOOKUP(BE130,'[3]Infos joueurs'!$B:$BT,11,FALSE)," ")&amp;" "&amp;IF(BE130&gt;0,VLOOKUP(BE130,'[3]Infos joueurs'!$B:$BT,27,FALSE)," ")</f>
        <v xml:space="preserve">   </v>
      </c>
      <c r="BQ130" s="30"/>
      <c r="BR130" s="30"/>
      <c r="BS130" s="30"/>
      <c r="BT130" s="30"/>
      <c r="BU130" s="30"/>
      <c r="BV130" s="30"/>
      <c r="BW130" s="30"/>
      <c r="BX130" s="30"/>
      <c r="BY130" s="30"/>
      <c r="BZ130" s="30"/>
      <c r="CA130" s="30"/>
      <c r="CD130" s="54">
        <v>61</v>
      </c>
      <c r="CE130" s="54"/>
      <c r="CF130" s="54"/>
      <c r="CH130" s="59" t="str">
        <f t="shared" ref="CH130" si="358">AA130</f>
        <v xml:space="preserve">   </v>
      </c>
      <c r="CI130" s="59"/>
      <c r="CJ130" s="59"/>
      <c r="CK130" s="59"/>
      <c r="CL130" s="59"/>
      <c r="CM130" s="59"/>
      <c r="CN130" s="59"/>
      <c r="CO130" s="59"/>
      <c r="CP130" s="59"/>
      <c r="CQ130" s="59"/>
      <c r="CR130" s="59"/>
      <c r="CS130" s="59"/>
      <c r="CU130" s="24">
        <f t="shared" ref="CU130" si="359">IFERROR(INDEX($BE$10:$BE$269,MATCH(CH130,$BP$10:$BP$269,0)),0)</f>
        <v>0</v>
      </c>
      <c r="CV130" s="24"/>
      <c r="CW130" s="24"/>
    </row>
    <row r="131" spans="5:101" ht="7.5" customHeight="1" x14ac:dyDescent="0.2">
      <c r="E131" s="41"/>
      <c r="F131" s="61"/>
      <c r="G131" s="61"/>
      <c r="H131" s="61"/>
      <c r="I131" s="42"/>
      <c r="J131" s="63"/>
      <c r="K131" s="41"/>
      <c r="L131" s="61"/>
      <c r="M131" s="61"/>
      <c r="N131" s="42"/>
      <c r="O131" s="41"/>
      <c r="P131" s="42"/>
      <c r="Q131" s="41"/>
      <c r="R131" s="42"/>
      <c r="S131" s="41"/>
      <c r="T131" s="42"/>
      <c r="U131" s="41"/>
      <c r="V131" s="61"/>
      <c r="W131" s="61"/>
      <c r="X131" s="61"/>
      <c r="Y131" s="42"/>
      <c r="Z131" s="29"/>
      <c r="AA131" s="29"/>
      <c r="AB131" s="29"/>
      <c r="AC131" s="29"/>
      <c r="AD131" s="29"/>
      <c r="AE131" s="43"/>
      <c r="AF131" s="43"/>
      <c r="AG131" s="44"/>
      <c r="AH131" s="46"/>
      <c r="AI131" s="47"/>
      <c r="AJ131" s="43"/>
      <c r="AK131" s="43"/>
      <c r="AL131" s="43"/>
      <c r="AM131" s="43"/>
      <c r="AN131" s="44"/>
      <c r="AO131" s="46"/>
      <c r="AP131" s="47"/>
      <c r="AQ131" s="43"/>
      <c r="AR131" s="43"/>
      <c r="AS131" s="43"/>
      <c r="AT131" s="43"/>
      <c r="AU131" s="44"/>
      <c r="AV131" s="46"/>
      <c r="AW131" s="47"/>
      <c r="AX131" s="43"/>
      <c r="AY131" s="43"/>
      <c r="AZ131" s="51"/>
      <c r="BA131" s="52"/>
      <c r="BB131" s="52"/>
      <c r="BC131" s="53"/>
      <c r="BE131" s="38"/>
      <c r="BF131" s="38"/>
      <c r="BG131" s="3"/>
      <c r="BH131" s="30"/>
      <c r="BI131" s="30"/>
      <c r="BJ131" s="30"/>
      <c r="BK131" s="30"/>
      <c r="BL131" s="30"/>
      <c r="BM131" s="30"/>
      <c r="BN131" s="30"/>
      <c r="BO131" s="30"/>
      <c r="BP131" s="30"/>
      <c r="BQ131" s="30"/>
      <c r="BR131" s="30"/>
      <c r="BS131" s="30"/>
      <c r="BT131" s="30"/>
      <c r="BU131" s="30"/>
      <c r="BV131" s="30"/>
      <c r="BW131" s="30"/>
      <c r="BX131" s="30"/>
      <c r="BY131" s="30"/>
      <c r="BZ131" s="30"/>
      <c r="CA131" s="30"/>
      <c r="CD131" s="55"/>
      <c r="CE131" s="55"/>
      <c r="CF131" s="55"/>
      <c r="CH131" s="56"/>
      <c r="CI131" s="56"/>
      <c r="CJ131" s="56"/>
      <c r="CK131" s="56"/>
      <c r="CL131" s="56"/>
      <c r="CM131" s="56"/>
      <c r="CN131" s="56"/>
      <c r="CO131" s="56"/>
      <c r="CP131" s="56"/>
      <c r="CQ131" s="56"/>
      <c r="CR131" s="56"/>
      <c r="CS131" s="56"/>
      <c r="CU131" s="25"/>
      <c r="CV131" s="25"/>
      <c r="CW131" s="25"/>
    </row>
    <row r="132" spans="5:101" ht="7.5" customHeight="1" x14ac:dyDescent="0.2">
      <c r="E132" s="39">
        <f>IFERROR(IF(BP132="","-",RANK(S132,$S$10:$T$264,0)+RANK(Q132,$Q$10:$R$264,0)%+RANK(O132,$O$10:$P$264,0)%%+ROW()%%%),"-")</f>
        <v>12.131832000000001</v>
      </c>
      <c r="F132" s="60"/>
      <c r="G132" s="60"/>
      <c r="H132" s="60"/>
      <c r="I132" s="40"/>
      <c r="J132" s="62">
        <f>IFERROR(IF(E132="","",RANK(E132,$E$10:$I$264,1)),"-")</f>
        <v>50</v>
      </c>
      <c r="K132" s="39" t="str">
        <f t="shared" ref="K132" si="360">BP132</f>
        <v xml:space="preserve">   </v>
      </c>
      <c r="L132" s="60"/>
      <c r="M132" s="60"/>
      <c r="N132" s="40"/>
      <c r="O132" s="39">
        <f t="shared" ref="O132" si="361">SUM(AE132-AI132)</f>
        <v>0</v>
      </c>
      <c r="P132" s="40"/>
      <c r="Q132" s="39">
        <f t="shared" ref="Q132" si="362">SUM(AL132-AP132)</f>
        <v>0</v>
      </c>
      <c r="R132" s="40"/>
      <c r="S132" s="39">
        <f t="shared" ref="S132" si="363">SUM(AS132-AW132)</f>
        <v>0</v>
      </c>
      <c r="T132" s="40"/>
      <c r="U132" s="39">
        <f>IFERROR(SMALL($E$10:$I$264,62),0)</f>
        <v>12.131856000000001</v>
      </c>
      <c r="V132" s="60"/>
      <c r="W132" s="60"/>
      <c r="X132" s="60"/>
      <c r="Y132" s="40"/>
      <c r="Z132" s="29">
        <f>IFERROR(IF(U132="","",RANK(U132,$U$10:$Y$264,1)),0)</f>
        <v>62</v>
      </c>
      <c r="AA132" s="29" t="str">
        <f>IFERROR(INDEX($K$10:$K$264,MATCH(U132,$E$10:$E$264,0),1),0)</f>
        <v xml:space="preserve">   </v>
      </c>
      <c r="AB132" s="29"/>
      <c r="AC132" s="29"/>
      <c r="AD132" s="29"/>
      <c r="AE132" s="43"/>
      <c r="AF132" s="43"/>
      <c r="AG132" s="44"/>
      <c r="AH132" s="45" t="s">
        <v>19</v>
      </c>
      <c r="AI132" s="47"/>
      <c r="AJ132" s="43"/>
      <c r="AK132" s="43"/>
      <c r="AL132" s="43"/>
      <c r="AM132" s="43"/>
      <c r="AN132" s="44"/>
      <c r="AO132" s="45" t="s">
        <v>19</v>
      </c>
      <c r="AP132" s="47"/>
      <c r="AQ132" s="43"/>
      <c r="AR132" s="43"/>
      <c r="AS132" s="43"/>
      <c r="AT132" s="43"/>
      <c r="AU132" s="44"/>
      <c r="AV132" s="45" t="s">
        <v>19</v>
      </c>
      <c r="AW132" s="47"/>
      <c r="AX132" s="43"/>
      <c r="AY132" s="43"/>
      <c r="AZ132" s="48">
        <f>IFERROR(IF(E132="","",RANK(E132,$E$10:$I$264,1)),0)</f>
        <v>50</v>
      </c>
      <c r="BA132" s="49"/>
      <c r="BB132" s="49"/>
      <c r="BC132" s="50"/>
      <c r="BE132" s="38"/>
      <c r="BF132" s="38"/>
      <c r="BG132" s="3"/>
      <c r="BH132" s="30" t="s">
        <v>81</v>
      </c>
      <c r="BI132" s="30"/>
      <c r="BJ132" s="30"/>
      <c r="BK132" s="30"/>
      <c r="BL132" s="30"/>
      <c r="BM132" s="30"/>
      <c r="BN132" s="30"/>
      <c r="BO132" s="30"/>
      <c r="BP132" s="30" t="str">
        <f>IF(BE132&gt;0,VLOOKUP(BE132,'[3]Infos joueurs'!$B:$BT,11,FALSE)," ")&amp;" "&amp;IF(BE132&gt;0,VLOOKUP(BE132,'[3]Infos joueurs'!$B:$BT,27,FALSE)," ")</f>
        <v xml:space="preserve">   </v>
      </c>
      <c r="BQ132" s="30"/>
      <c r="BR132" s="30"/>
      <c r="BS132" s="30"/>
      <c r="BT132" s="30"/>
      <c r="BU132" s="30"/>
      <c r="BV132" s="30"/>
      <c r="BW132" s="30"/>
      <c r="BX132" s="30"/>
      <c r="BY132" s="30"/>
      <c r="BZ132" s="30"/>
      <c r="CA132" s="30"/>
      <c r="CD132" s="54">
        <v>62</v>
      </c>
      <c r="CE132" s="54"/>
      <c r="CF132" s="54"/>
      <c r="CH132" s="59" t="str">
        <f t="shared" ref="CH132" si="364">AA132</f>
        <v xml:space="preserve">   </v>
      </c>
      <c r="CI132" s="59"/>
      <c r="CJ132" s="59"/>
      <c r="CK132" s="59"/>
      <c r="CL132" s="59"/>
      <c r="CM132" s="59"/>
      <c r="CN132" s="59"/>
      <c r="CO132" s="59"/>
      <c r="CP132" s="59"/>
      <c r="CQ132" s="59"/>
      <c r="CR132" s="59"/>
      <c r="CS132" s="59"/>
      <c r="CU132" s="24">
        <f t="shared" ref="CU132" si="365">IFERROR(INDEX($BE$10:$BE$269,MATCH(CH132,$BP$10:$BP$269,0)),0)</f>
        <v>0</v>
      </c>
      <c r="CV132" s="24"/>
      <c r="CW132" s="24"/>
    </row>
    <row r="133" spans="5:101" ht="7.5" customHeight="1" x14ac:dyDescent="0.2">
      <c r="E133" s="41"/>
      <c r="F133" s="61"/>
      <c r="G133" s="61"/>
      <c r="H133" s="61"/>
      <c r="I133" s="42"/>
      <c r="J133" s="63"/>
      <c r="K133" s="41"/>
      <c r="L133" s="61"/>
      <c r="M133" s="61"/>
      <c r="N133" s="42"/>
      <c r="O133" s="41"/>
      <c r="P133" s="42"/>
      <c r="Q133" s="41"/>
      <c r="R133" s="42"/>
      <c r="S133" s="41"/>
      <c r="T133" s="42"/>
      <c r="U133" s="41"/>
      <c r="V133" s="61"/>
      <c r="W133" s="61"/>
      <c r="X133" s="61"/>
      <c r="Y133" s="42"/>
      <c r="Z133" s="29"/>
      <c r="AA133" s="29"/>
      <c r="AB133" s="29"/>
      <c r="AC133" s="29"/>
      <c r="AD133" s="29"/>
      <c r="AE133" s="43"/>
      <c r="AF133" s="43"/>
      <c r="AG133" s="44"/>
      <c r="AH133" s="46"/>
      <c r="AI133" s="47"/>
      <c r="AJ133" s="43"/>
      <c r="AK133" s="43"/>
      <c r="AL133" s="43"/>
      <c r="AM133" s="43"/>
      <c r="AN133" s="44"/>
      <c r="AO133" s="46"/>
      <c r="AP133" s="47"/>
      <c r="AQ133" s="43"/>
      <c r="AR133" s="43"/>
      <c r="AS133" s="43"/>
      <c r="AT133" s="43"/>
      <c r="AU133" s="44"/>
      <c r="AV133" s="46"/>
      <c r="AW133" s="47"/>
      <c r="AX133" s="43"/>
      <c r="AY133" s="43"/>
      <c r="AZ133" s="51"/>
      <c r="BA133" s="52"/>
      <c r="BB133" s="52"/>
      <c r="BC133" s="53"/>
      <c r="BE133" s="38"/>
      <c r="BF133" s="38"/>
      <c r="BG133" s="3"/>
      <c r="BH133" s="30"/>
      <c r="BI133" s="30"/>
      <c r="BJ133" s="30"/>
      <c r="BK133" s="30"/>
      <c r="BL133" s="30"/>
      <c r="BM133" s="30"/>
      <c r="BN133" s="30"/>
      <c r="BO133" s="30"/>
      <c r="BP133" s="30"/>
      <c r="BQ133" s="30"/>
      <c r="BR133" s="30"/>
      <c r="BS133" s="30"/>
      <c r="BT133" s="30"/>
      <c r="BU133" s="30"/>
      <c r="BV133" s="30"/>
      <c r="BW133" s="30"/>
      <c r="BX133" s="30"/>
      <c r="BY133" s="30"/>
      <c r="BZ133" s="30"/>
      <c r="CA133" s="30"/>
      <c r="CD133" s="55"/>
      <c r="CE133" s="55"/>
      <c r="CF133" s="55"/>
      <c r="CH133" s="56"/>
      <c r="CI133" s="56"/>
      <c r="CJ133" s="56"/>
      <c r="CK133" s="56"/>
      <c r="CL133" s="56"/>
      <c r="CM133" s="56"/>
      <c r="CN133" s="56"/>
      <c r="CO133" s="56"/>
      <c r="CP133" s="56"/>
      <c r="CQ133" s="56"/>
      <c r="CR133" s="56"/>
      <c r="CS133" s="56"/>
      <c r="CU133" s="25"/>
      <c r="CV133" s="25"/>
      <c r="CW133" s="25"/>
    </row>
    <row r="134" spans="5:101" ht="7.5" customHeight="1" x14ac:dyDescent="0.2">
      <c r="E134" s="39">
        <f>IFERROR(IF(BP134="","-",RANK(S134,$S$10:$T$264,0)+RANK(Q134,$Q$10:$R$264,0)%+RANK(O134,$O$10:$P$264,0)%%+ROW()%%%),"-")</f>
        <v>12.131834</v>
      </c>
      <c r="F134" s="60"/>
      <c r="G134" s="60"/>
      <c r="H134" s="60"/>
      <c r="I134" s="40"/>
      <c r="J134" s="62">
        <f>IFERROR(IF(E134="","",RANK(E134,$E$10:$I$264,1)),"-")</f>
        <v>51</v>
      </c>
      <c r="K134" s="39" t="str">
        <f t="shared" ref="K134" si="366">BP134</f>
        <v xml:space="preserve">   </v>
      </c>
      <c r="L134" s="60"/>
      <c r="M134" s="60"/>
      <c r="N134" s="40"/>
      <c r="O134" s="39">
        <f t="shared" ref="O134" si="367">SUM(AE134-AI134)</f>
        <v>0</v>
      </c>
      <c r="P134" s="40"/>
      <c r="Q134" s="39">
        <f t="shared" ref="Q134" si="368">SUM(AL134-AP134)</f>
        <v>0</v>
      </c>
      <c r="R134" s="40"/>
      <c r="S134" s="39">
        <f t="shared" ref="S134" si="369">SUM(AS134-AW134)</f>
        <v>0</v>
      </c>
      <c r="T134" s="40"/>
      <c r="U134" s="39">
        <f>IFERROR(SMALL($E$10:$I$264,63),0)</f>
        <v>12.131858000000001</v>
      </c>
      <c r="V134" s="60"/>
      <c r="W134" s="60"/>
      <c r="X134" s="60"/>
      <c r="Y134" s="40"/>
      <c r="Z134" s="29">
        <f>IFERROR(IF(U134="","",RANK(U134,$U$10:$Y$264,1)),0)</f>
        <v>63</v>
      </c>
      <c r="AA134" s="29" t="str">
        <f>IFERROR(INDEX($K$10:$K$264,MATCH(U134,$E$10:$E$264,0),1),0)</f>
        <v xml:space="preserve">   </v>
      </c>
      <c r="AB134" s="29"/>
      <c r="AC134" s="29"/>
      <c r="AD134" s="29"/>
      <c r="AE134" s="43"/>
      <c r="AF134" s="43"/>
      <c r="AG134" s="44"/>
      <c r="AH134" s="45" t="s">
        <v>19</v>
      </c>
      <c r="AI134" s="47"/>
      <c r="AJ134" s="43"/>
      <c r="AK134" s="43"/>
      <c r="AL134" s="43"/>
      <c r="AM134" s="43"/>
      <c r="AN134" s="44"/>
      <c r="AO134" s="45" t="s">
        <v>19</v>
      </c>
      <c r="AP134" s="47"/>
      <c r="AQ134" s="43"/>
      <c r="AR134" s="43"/>
      <c r="AS134" s="43"/>
      <c r="AT134" s="43"/>
      <c r="AU134" s="44"/>
      <c r="AV134" s="45" t="s">
        <v>19</v>
      </c>
      <c r="AW134" s="47"/>
      <c r="AX134" s="43"/>
      <c r="AY134" s="43"/>
      <c r="AZ134" s="48">
        <f>IFERROR(IF(E134="","",RANK(E134,$E$10:$I$264,1)),0)</f>
        <v>51</v>
      </c>
      <c r="BA134" s="49"/>
      <c r="BB134" s="49"/>
      <c r="BC134" s="50"/>
      <c r="BE134" s="38"/>
      <c r="BF134" s="38"/>
      <c r="BG134" s="3"/>
      <c r="BH134" s="30" t="s">
        <v>82</v>
      </c>
      <c r="BI134" s="30"/>
      <c r="BJ134" s="30"/>
      <c r="BK134" s="30"/>
      <c r="BL134" s="30"/>
      <c r="BM134" s="30"/>
      <c r="BN134" s="30"/>
      <c r="BO134" s="30"/>
      <c r="BP134" s="30" t="str">
        <f>IF(BE134&gt;0,VLOOKUP(BE134,'[3]Infos joueurs'!$B:$BT,11,FALSE)," ")&amp;" "&amp;IF(BE134&gt;0,VLOOKUP(BE134,'[3]Infos joueurs'!$B:$BT,27,FALSE)," ")</f>
        <v xml:space="preserve">   </v>
      </c>
      <c r="BQ134" s="30"/>
      <c r="BR134" s="30"/>
      <c r="BS134" s="30"/>
      <c r="BT134" s="30"/>
      <c r="BU134" s="30"/>
      <c r="BV134" s="30"/>
      <c r="BW134" s="30"/>
      <c r="BX134" s="30"/>
      <c r="BY134" s="30"/>
      <c r="BZ134" s="30"/>
      <c r="CA134" s="30"/>
      <c r="CD134" s="54">
        <v>63</v>
      </c>
      <c r="CE134" s="54"/>
      <c r="CF134" s="54"/>
      <c r="CH134" s="59" t="str">
        <f t="shared" ref="CH134" si="370">AA134</f>
        <v xml:space="preserve">   </v>
      </c>
      <c r="CI134" s="59"/>
      <c r="CJ134" s="59"/>
      <c r="CK134" s="59"/>
      <c r="CL134" s="59"/>
      <c r="CM134" s="59"/>
      <c r="CN134" s="59"/>
      <c r="CO134" s="59"/>
      <c r="CP134" s="59"/>
      <c r="CQ134" s="59"/>
      <c r="CR134" s="59"/>
      <c r="CS134" s="59"/>
      <c r="CU134" s="24">
        <f t="shared" ref="CU134" si="371">IFERROR(INDEX($BE$10:$BE$269,MATCH(CH134,$BP$10:$BP$269,0)),0)</f>
        <v>0</v>
      </c>
      <c r="CV134" s="24"/>
      <c r="CW134" s="24"/>
    </row>
    <row r="135" spans="5:101" ht="7.5" customHeight="1" x14ac:dyDescent="0.2">
      <c r="E135" s="41"/>
      <c r="F135" s="61"/>
      <c r="G135" s="61"/>
      <c r="H135" s="61"/>
      <c r="I135" s="42"/>
      <c r="J135" s="63"/>
      <c r="K135" s="41"/>
      <c r="L135" s="61"/>
      <c r="M135" s="61"/>
      <c r="N135" s="42"/>
      <c r="O135" s="41"/>
      <c r="P135" s="42"/>
      <c r="Q135" s="41"/>
      <c r="R135" s="42"/>
      <c r="S135" s="41"/>
      <c r="T135" s="42"/>
      <c r="U135" s="41"/>
      <c r="V135" s="61"/>
      <c r="W135" s="61"/>
      <c r="X135" s="61"/>
      <c r="Y135" s="42"/>
      <c r="Z135" s="29"/>
      <c r="AA135" s="29"/>
      <c r="AB135" s="29"/>
      <c r="AC135" s="29"/>
      <c r="AD135" s="29"/>
      <c r="AE135" s="43"/>
      <c r="AF135" s="43"/>
      <c r="AG135" s="44"/>
      <c r="AH135" s="46"/>
      <c r="AI135" s="47"/>
      <c r="AJ135" s="43"/>
      <c r="AK135" s="43"/>
      <c r="AL135" s="43"/>
      <c r="AM135" s="43"/>
      <c r="AN135" s="44"/>
      <c r="AO135" s="46"/>
      <c r="AP135" s="47"/>
      <c r="AQ135" s="43"/>
      <c r="AR135" s="43"/>
      <c r="AS135" s="43"/>
      <c r="AT135" s="43"/>
      <c r="AU135" s="44"/>
      <c r="AV135" s="46"/>
      <c r="AW135" s="47"/>
      <c r="AX135" s="43"/>
      <c r="AY135" s="43"/>
      <c r="AZ135" s="51"/>
      <c r="BA135" s="52"/>
      <c r="BB135" s="52"/>
      <c r="BC135" s="53"/>
      <c r="BE135" s="38"/>
      <c r="BF135" s="38"/>
      <c r="BG135" s="3"/>
      <c r="BH135" s="30"/>
      <c r="BI135" s="30"/>
      <c r="BJ135" s="30"/>
      <c r="BK135" s="30"/>
      <c r="BL135" s="30"/>
      <c r="BM135" s="30"/>
      <c r="BN135" s="30"/>
      <c r="BO135" s="30"/>
      <c r="BP135" s="30"/>
      <c r="BQ135" s="30"/>
      <c r="BR135" s="30"/>
      <c r="BS135" s="30"/>
      <c r="BT135" s="30"/>
      <c r="BU135" s="30"/>
      <c r="BV135" s="30"/>
      <c r="BW135" s="30"/>
      <c r="BX135" s="30"/>
      <c r="BY135" s="30"/>
      <c r="BZ135" s="30"/>
      <c r="CA135" s="30"/>
      <c r="CD135" s="55"/>
      <c r="CE135" s="55"/>
      <c r="CF135" s="55"/>
      <c r="CH135" s="56"/>
      <c r="CI135" s="56"/>
      <c r="CJ135" s="56"/>
      <c r="CK135" s="56"/>
      <c r="CL135" s="56"/>
      <c r="CM135" s="56"/>
      <c r="CN135" s="56"/>
      <c r="CO135" s="56"/>
      <c r="CP135" s="56"/>
      <c r="CQ135" s="56"/>
      <c r="CR135" s="56"/>
      <c r="CS135" s="56"/>
      <c r="CU135" s="25"/>
      <c r="CV135" s="25"/>
      <c r="CW135" s="25"/>
    </row>
    <row r="136" spans="5:101" ht="7.5" customHeight="1" x14ac:dyDescent="0.2">
      <c r="E136" s="39">
        <f>IFERROR(IF(BP136="","-",RANK(S136,$S$10:$T$264,0)+RANK(Q136,$Q$10:$R$264,0)%+RANK(O136,$O$10:$P$264,0)%%+ROW()%%%),"-")</f>
        <v>12.131836</v>
      </c>
      <c r="F136" s="60"/>
      <c r="G136" s="60"/>
      <c r="H136" s="60"/>
      <c r="I136" s="40"/>
      <c r="J136" s="62">
        <f>IFERROR(IF(E136="","",RANK(E136,$E$10:$I$264,1)),"-")</f>
        <v>52</v>
      </c>
      <c r="K136" s="39" t="str">
        <f t="shared" ref="K136" si="372">BP136</f>
        <v xml:space="preserve">   </v>
      </c>
      <c r="L136" s="60"/>
      <c r="M136" s="60"/>
      <c r="N136" s="40"/>
      <c r="O136" s="39">
        <f t="shared" ref="O136" si="373">SUM(AE136-AI136)</f>
        <v>0</v>
      </c>
      <c r="P136" s="40"/>
      <c r="Q136" s="39">
        <f t="shared" ref="Q136" si="374">SUM(AL136-AP136)</f>
        <v>0</v>
      </c>
      <c r="R136" s="40"/>
      <c r="S136" s="39">
        <f t="shared" ref="S136" si="375">SUM(AS136-AW136)</f>
        <v>0</v>
      </c>
      <c r="T136" s="40"/>
      <c r="U136" s="39">
        <f>IFERROR(SMALL($E$10:$I$264,64),0)</f>
        <v>12.13186</v>
      </c>
      <c r="V136" s="60"/>
      <c r="W136" s="60"/>
      <c r="X136" s="60"/>
      <c r="Y136" s="40"/>
      <c r="Z136" s="29">
        <f>IFERROR(IF(U136="","",RANK(U136,$U$10:$Y$264,1)),0)</f>
        <v>64</v>
      </c>
      <c r="AA136" s="29" t="str">
        <f>IFERROR(INDEX($K$10:$K$264,MATCH(U136,$E$10:$E$264,0),1),0)</f>
        <v xml:space="preserve">   </v>
      </c>
      <c r="AB136" s="29"/>
      <c r="AC136" s="29"/>
      <c r="AD136" s="29"/>
      <c r="AE136" s="43"/>
      <c r="AF136" s="43"/>
      <c r="AG136" s="44"/>
      <c r="AH136" s="45" t="s">
        <v>19</v>
      </c>
      <c r="AI136" s="47"/>
      <c r="AJ136" s="43"/>
      <c r="AK136" s="43"/>
      <c r="AL136" s="43"/>
      <c r="AM136" s="43"/>
      <c r="AN136" s="44"/>
      <c r="AO136" s="45" t="s">
        <v>19</v>
      </c>
      <c r="AP136" s="47"/>
      <c r="AQ136" s="43"/>
      <c r="AR136" s="43"/>
      <c r="AS136" s="43"/>
      <c r="AT136" s="43"/>
      <c r="AU136" s="44"/>
      <c r="AV136" s="45" t="s">
        <v>19</v>
      </c>
      <c r="AW136" s="47"/>
      <c r="AX136" s="43"/>
      <c r="AY136" s="43"/>
      <c r="AZ136" s="48">
        <f>IFERROR(IF(E136="","",RANK(E136,$E$10:$I$264,1)),0)</f>
        <v>52</v>
      </c>
      <c r="BA136" s="49"/>
      <c r="BB136" s="49"/>
      <c r="BC136" s="50"/>
      <c r="BE136" s="38"/>
      <c r="BF136" s="38"/>
      <c r="BG136" s="3"/>
      <c r="BH136" s="30" t="s">
        <v>83</v>
      </c>
      <c r="BI136" s="30"/>
      <c r="BJ136" s="30"/>
      <c r="BK136" s="30"/>
      <c r="BL136" s="30"/>
      <c r="BM136" s="30"/>
      <c r="BN136" s="30"/>
      <c r="BO136" s="30"/>
      <c r="BP136" s="30" t="str">
        <f>IF(BE136&gt;0,VLOOKUP(BE136,'[3]Infos joueurs'!$B:$BT,11,FALSE)," ")&amp;" "&amp;IF(BE136&gt;0,VLOOKUP(BE136,'[3]Infos joueurs'!$B:$BT,27,FALSE)," ")</f>
        <v xml:space="preserve">   </v>
      </c>
      <c r="BQ136" s="30"/>
      <c r="BR136" s="30"/>
      <c r="BS136" s="30"/>
      <c r="BT136" s="30"/>
      <c r="BU136" s="30"/>
      <c r="BV136" s="30"/>
      <c r="BW136" s="30"/>
      <c r="BX136" s="30"/>
      <c r="BY136" s="30"/>
      <c r="BZ136" s="30"/>
      <c r="CA136" s="30"/>
      <c r="CD136" s="54">
        <v>64</v>
      </c>
      <c r="CE136" s="54"/>
      <c r="CF136" s="54"/>
      <c r="CH136" s="59" t="str">
        <f t="shared" ref="CH136" si="376">AA136</f>
        <v xml:space="preserve">   </v>
      </c>
      <c r="CI136" s="59"/>
      <c r="CJ136" s="59"/>
      <c r="CK136" s="59"/>
      <c r="CL136" s="59"/>
      <c r="CM136" s="59"/>
      <c r="CN136" s="59"/>
      <c r="CO136" s="59"/>
      <c r="CP136" s="59"/>
      <c r="CQ136" s="59"/>
      <c r="CR136" s="59"/>
      <c r="CS136" s="59"/>
      <c r="CU136" s="24">
        <f t="shared" ref="CU136" si="377">IFERROR(INDEX($BE$10:$BE$269,MATCH(CH136,$BP$10:$BP$269,0)),0)</f>
        <v>0</v>
      </c>
      <c r="CV136" s="24"/>
      <c r="CW136" s="24"/>
    </row>
    <row r="137" spans="5:101" ht="7.5" customHeight="1" x14ac:dyDescent="0.2">
      <c r="E137" s="41"/>
      <c r="F137" s="61"/>
      <c r="G137" s="61"/>
      <c r="H137" s="61"/>
      <c r="I137" s="42"/>
      <c r="J137" s="63"/>
      <c r="K137" s="41"/>
      <c r="L137" s="61"/>
      <c r="M137" s="61"/>
      <c r="N137" s="42"/>
      <c r="O137" s="41"/>
      <c r="P137" s="42"/>
      <c r="Q137" s="41"/>
      <c r="R137" s="42"/>
      <c r="S137" s="41"/>
      <c r="T137" s="42"/>
      <c r="U137" s="41"/>
      <c r="V137" s="61"/>
      <c r="W137" s="61"/>
      <c r="X137" s="61"/>
      <c r="Y137" s="42"/>
      <c r="Z137" s="29"/>
      <c r="AA137" s="29"/>
      <c r="AB137" s="29"/>
      <c r="AC137" s="29"/>
      <c r="AD137" s="29"/>
      <c r="AE137" s="43"/>
      <c r="AF137" s="43"/>
      <c r="AG137" s="44"/>
      <c r="AH137" s="46"/>
      <c r="AI137" s="47"/>
      <c r="AJ137" s="43"/>
      <c r="AK137" s="43"/>
      <c r="AL137" s="43"/>
      <c r="AM137" s="43"/>
      <c r="AN137" s="44"/>
      <c r="AO137" s="46"/>
      <c r="AP137" s="47"/>
      <c r="AQ137" s="43"/>
      <c r="AR137" s="43"/>
      <c r="AS137" s="43"/>
      <c r="AT137" s="43"/>
      <c r="AU137" s="44"/>
      <c r="AV137" s="46"/>
      <c r="AW137" s="47"/>
      <c r="AX137" s="43"/>
      <c r="AY137" s="43"/>
      <c r="AZ137" s="51"/>
      <c r="BA137" s="52"/>
      <c r="BB137" s="52"/>
      <c r="BC137" s="53"/>
      <c r="BE137" s="38"/>
      <c r="BF137" s="38"/>
      <c r="BG137" s="3"/>
      <c r="BH137" s="30"/>
      <c r="BI137" s="30"/>
      <c r="BJ137" s="30"/>
      <c r="BK137" s="30"/>
      <c r="BL137" s="30"/>
      <c r="BM137" s="30"/>
      <c r="BN137" s="30"/>
      <c r="BO137" s="30"/>
      <c r="BP137" s="30"/>
      <c r="BQ137" s="30"/>
      <c r="BR137" s="30"/>
      <c r="BS137" s="30"/>
      <c r="BT137" s="30"/>
      <c r="BU137" s="30"/>
      <c r="BV137" s="30"/>
      <c r="BW137" s="30"/>
      <c r="BX137" s="30"/>
      <c r="BY137" s="30"/>
      <c r="BZ137" s="30"/>
      <c r="CA137" s="30"/>
      <c r="CD137" s="55"/>
      <c r="CE137" s="55"/>
      <c r="CF137" s="55"/>
      <c r="CH137" s="56"/>
      <c r="CI137" s="56"/>
      <c r="CJ137" s="56"/>
      <c r="CK137" s="56"/>
      <c r="CL137" s="56"/>
      <c r="CM137" s="56"/>
      <c r="CN137" s="56"/>
      <c r="CO137" s="56"/>
      <c r="CP137" s="56"/>
      <c r="CQ137" s="56"/>
      <c r="CR137" s="56"/>
      <c r="CS137" s="56"/>
      <c r="CU137" s="25"/>
      <c r="CV137" s="25"/>
      <c r="CW137" s="25"/>
    </row>
    <row r="138" spans="5:101" ht="7.5" customHeight="1" x14ac:dyDescent="0.2">
      <c r="E138" s="39">
        <f>IFERROR(IF(BP138="","-",RANK(S138,$S$10:$T$264,0)+RANK(Q138,$Q$10:$R$264,0)%+RANK(O138,$O$10:$P$264,0)%%+ROW()%%%),"-")</f>
        <v>12.131838</v>
      </c>
      <c r="F138" s="60"/>
      <c r="G138" s="60"/>
      <c r="H138" s="60"/>
      <c r="I138" s="40"/>
      <c r="J138" s="62">
        <f>IFERROR(IF(E138="","",RANK(E138,$E$10:$I$264,1)),"-")</f>
        <v>53</v>
      </c>
      <c r="K138" s="39" t="str">
        <f t="shared" ref="K138" si="378">BP138</f>
        <v xml:space="preserve">   </v>
      </c>
      <c r="L138" s="60"/>
      <c r="M138" s="60"/>
      <c r="N138" s="40"/>
      <c r="O138" s="39">
        <f t="shared" ref="O138" si="379">SUM(AE138-AI138)</f>
        <v>0</v>
      </c>
      <c r="P138" s="40"/>
      <c r="Q138" s="39">
        <f t="shared" ref="Q138" si="380">SUM(AL138-AP138)</f>
        <v>0</v>
      </c>
      <c r="R138" s="40"/>
      <c r="S138" s="39">
        <f t="shared" ref="S138" si="381">SUM(AS138-AW138)</f>
        <v>0</v>
      </c>
      <c r="T138" s="40"/>
      <c r="U138" s="39">
        <f>IFERROR(SMALL($E$10:$I$264,65),0)</f>
        <v>12.131862</v>
      </c>
      <c r="V138" s="60"/>
      <c r="W138" s="60"/>
      <c r="X138" s="60"/>
      <c r="Y138" s="40"/>
      <c r="Z138" s="29">
        <f>IFERROR(IF(U138="","",RANK(U138,$U$10:$Y$264,1)),0)</f>
        <v>65</v>
      </c>
      <c r="AA138" s="29" t="str">
        <f>IFERROR(INDEX($K$10:$K$264,MATCH(U138,$E$10:$E$264,0),1),0)</f>
        <v xml:space="preserve">   </v>
      </c>
      <c r="AB138" s="29"/>
      <c r="AC138" s="29"/>
      <c r="AD138" s="29"/>
      <c r="AE138" s="43"/>
      <c r="AF138" s="43"/>
      <c r="AG138" s="44"/>
      <c r="AH138" s="45" t="s">
        <v>19</v>
      </c>
      <c r="AI138" s="47"/>
      <c r="AJ138" s="43"/>
      <c r="AK138" s="43"/>
      <c r="AL138" s="43"/>
      <c r="AM138" s="43"/>
      <c r="AN138" s="44"/>
      <c r="AO138" s="45" t="s">
        <v>19</v>
      </c>
      <c r="AP138" s="47"/>
      <c r="AQ138" s="43"/>
      <c r="AR138" s="43"/>
      <c r="AS138" s="43"/>
      <c r="AT138" s="43"/>
      <c r="AU138" s="44"/>
      <c r="AV138" s="45" t="s">
        <v>19</v>
      </c>
      <c r="AW138" s="47"/>
      <c r="AX138" s="43"/>
      <c r="AY138" s="43"/>
      <c r="AZ138" s="48">
        <f>IFERROR(IF(E138="","",RANK(E138,$E$10:$I$264,1)),0)</f>
        <v>53</v>
      </c>
      <c r="BA138" s="49"/>
      <c r="BB138" s="49"/>
      <c r="BC138" s="50"/>
      <c r="BE138" s="38"/>
      <c r="BF138" s="38"/>
      <c r="BG138" s="3"/>
      <c r="BH138" s="30" t="s">
        <v>84</v>
      </c>
      <c r="BI138" s="30"/>
      <c r="BJ138" s="30"/>
      <c r="BK138" s="30"/>
      <c r="BL138" s="30"/>
      <c r="BM138" s="30"/>
      <c r="BN138" s="30"/>
      <c r="BO138" s="30"/>
      <c r="BP138" s="30" t="str">
        <f>IF(BE138&gt;0,VLOOKUP(BE138,'[3]Infos joueurs'!$B:$BT,11,FALSE)," ")&amp;" "&amp;IF(BE138&gt;0,VLOOKUP(BE138,'[3]Infos joueurs'!$B:$BT,27,FALSE)," ")</f>
        <v xml:space="preserve">   </v>
      </c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D138" s="54">
        <v>65</v>
      </c>
      <c r="CE138" s="54"/>
      <c r="CF138" s="54"/>
      <c r="CH138" s="59" t="str">
        <f t="shared" ref="CH138" si="382">AA138</f>
        <v xml:space="preserve">   </v>
      </c>
      <c r="CI138" s="59"/>
      <c r="CJ138" s="59"/>
      <c r="CK138" s="59"/>
      <c r="CL138" s="59"/>
      <c r="CM138" s="59"/>
      <c r="CN138" s="59"/>
      <c r="CO138" s="59"/>
      <c r="CP138" s="59"/>
      <c r="CQ138" s="59"/>
      <c r="CR138" s="59"/>
      <c r="CS138" s="59"/>
      <c r="CU138" s="24">
        <f t="shared" ref="CU138" si="383">IFERROR(INDEX($BE$10:$BE$269,MATCH(CH138,$BP$10:$BP$269,0)),0)</f>
        <v>0</v>
      </c>
      <c r="CV138" s="24"/>
      <c r="CW138" s="24"/>
    </row>
    <row r="139" spans="5:101" ht="7.5" customHeight="1" x14ac:dyDescent="0.2">
      <c r="E139" s="41"/>
      <c r="F139" s="61"/>
      <c r="G139" s="61"/>
      <c r="H139" s="61"/>
      <c r="I139" s="42"/>
      <c r="J139" s="63"/>
      <c r="K139" s="41"/>
      <c r="L139" s="61"/>
      <c r="M139" s="61"/>
      <c r="N139" s="42"/>
      <c r="O139" s="41"/>
      <c r="P139" s="42"/>
      <c r="Q139" s="41"/>
      <c r="R139" s="42"/>
      <c r="S139" s="41"/>
      <c r="T139" s="42"/>
      <c r="U139" s="41"/>
      <c r="V139" s="61"/>
      <c r="W139" s="61"/>
      <c r="X139" s="61"/>
      <c r="Y139" s="42"/>
      <c r="Z139" s="29"/>
      <c r="AA139" s="29"/>
      <c r="AB139" s="29"/>
      <c r="AC139" s="29"/>
      <c r="AD139" s="29"/>
      <c r="AE139" s="43"/>
      <c r="AF139" s="43"/>
      <c r="AG139" s="44"/>
      <c r="AH139" s="46"/>
      <c r="AI139" s="47"/>
      <c r="AJ139" s="43"/>
      <c r="AK139" s="43"/>
      <c r="AL139" s="43"/>
      <c r="AM139" s="43"/>
      <c r="AN139" s="44"/>
      <c r="AO139" s="46"/>
      <c r="AP139" s="47"/>
      <c r="AQ139" s="43"/>
      <c r="AR139" s="43"/>
      <c r="AS139" s="43"/>
      <c r="AT139" s="43"/>
      <c r="AU139" s="44"/>
      <c r="AV139" s="46"/>
      <c r="AW139" s="47"/>
      <c r="AX139" s="43"/>
      <c r="AY139" s="43"/>
      <c r="AZ139" s="51"/>
      <c r="BA139" s="52"/>
      <c r="BB139" s="52"/>
      <c r="BC139" s="53"/>
      <c r="BE139" s="38"/>
      <c r="BF139" s="38"/>
      <c r="BG139" s="3"/>
      <c r="BH139" s="30"/>
      <c r="BI139" s="30"/>
      <c r="BJ139" s="30"/>
      <c r="BK139" s="30"/>
      <c r="BL139" s="30"/>
      <c r="BM139" s="30"/>
      <c r="BN139" s="30"/>
      <c r="BO139" s="30"/>
      <c r="BP139" s="30"/>
      <c r="BQ139" s="30"/>
      <c r="BR139" s="30"/>
      <c r="BS139" s="30"/>
      <c r="BT139" s="30"/>
      <c r="BU139" s="30"/>
      <c r="BV139" s="30"/>
      <c r="BW139" s="30"/>
      <c r="BX139" s="30"/>
      <c r="BY139" s="30"/>
      <c r="BZ139" s="30"/>
      <c r="CA139" s="30"/>
      <c r="CD139" s="55"/>
      <c r="CE139" s="55"/>
      <c r="CF139" s="55"/>
      <c r="CH139" s="56"/>
      <c r="CI139" s="56"/>
      <c r="CJ139" s="56"/>
      <c r="CK139" s="56"/>
      <c r="CL139" s="56"/>
      <c r="CM139" s="56"/>
      <c r="CN139" s="56"/>
      <c r="CO139" s="56"/>
      <c r="CP139" s="56"/>
      <c r="CQ139" s="56"/>
      <c r="CR139" s="56"/>
      <c r="CS139" s="56"/>
      <c r="CU139" s="25"/>
      <c r="CV139" s="25"/>
      <c r="CW139" s="25"/>
    </row>
    <row r="140" spans="5:101" ht="7.5" customHeight="1" x14ac:dyDescent="0.2">
      <c r="E140" s="39">
        <f>IFERROR(IF(BP140="","-",RANK(S140,$S$10:$T$264,0)+RANK(Q140,$Q$10:$R$264,0)%+RANK(O140,$O$10:$P$264,0)%%+ROW()%%%),"-")</f>
        <v>12.13184</v>
      </c>
      <c r="F140" s="60"/>
      <c r="G140" s="60"/>
      <c r="H140" s="60"/>
      <c r="I140" s="40"/>
      <c r="J140" s="62">
        <f>IFERROR(IF(E140="","",RANK(E140,$E$10:$I$264,1)),"-")</f>
        <v>54</v>
      </c>
      <c r="K140" s="39" t="str">
        <f t="shared" ref="K140" si="384">BP140</f>
        <v xml:space="preserve">   </v>
      </c>
      <c r="L140" s="60"/>
      <c r="M140" s="60"/>
      <c r="N140" s="40"/>
      <c r="O140" s="39">
        <f t="shared" ref="O140" si="385">SUM(AE140-AI140)</f>
        <v>0</v>
      </c>
      <c r="P140" s="40"/>
      <c r="Q140" s="39">
        <f t="shared" ref="Q140" si="386">SUM(AL140-AP140)</f>
        <v>0</v>
      </c>
      <c r="R140" s="40"/>
      <c r="S140" s="39">
        <f t="shared" ref="S140" si="387">SUM(AS140-AW140)</f>
        <v>0</v>
      </c>
      <c r="T140" s="40"/>
      <c r="U140" s="39">
        <f>IFERROR(SMALL($E$10:$I$264,66),0)</f>
        <v>12.131864</v>
      </c>
      <c r="V140" s="60"/>
      <c r="W140" s="60"/>
      <c r="X140" s="60"/>
      <c r="Y140" s="40"/>
      <c r="Z140" s="29">
        <f>IFERROR(IF(U140="","",RANK(U140,$U$10:$Y$264,1)),0)</f>
        <v>66</v>
      </c>
      <c r="AA140" s="29" t="str">
        <f>IFERROR(INDEX($K$10:$K$264,MATCH(U140,$E$10:$E$264,0),1),0)</f>
        <v xml:space="preserve">   </v>
      </c>
      <c r="AB140" s="29"/>
      <c r="AC140" s="29"/>
      <c r="AD140" s="29"/>
      <c r="AE140" s="43"/>
      <c r="AF140" s="43"/>
      <c r="AG140" s="44"/>
      <c r="AH140" s="45" t="s">
        <v>19</v>
      </c>
      <c r="AI140" s="47"/>
      <c r="AJ140" s="43"/>
      <c r="AK140" s="43"/>
      <c r="AL140" s="43"/>
      <c r="AM140" s="43"/>
      <c r="AN140" s="44"/>
      <c r="AO140" s="45" t="s">
        <v>19</v>
      </c>
      <c r="AP140" s="47"/>
      <c r="AQ140" s="43"/>
      <c r="AR140" s="43"/>
      <c r="AS140" s="43"/>
      <c r="AT140" s="43"/>
      <c r="AU140" s="44"/>
      <c r="AV140" s="45" t="s">
        <v>19</v>
      </c>
      <c r="AW140" s="47"/>
      <c r="AX140" s="43"/>
      <c r="AY140" s="43"/>
      <c r="AZ140" s="48">
        <f>IFERROR(IF(E140="","",RANK(E140,$E$10:$I$264,1)),0)</f>
        <v>54</v>
      </c>
      <c r="BA140" s="49"/>
      <c r="BB140" s="49"/>
      <c r="BC140" s="50"/>
      <c r="BE140" s="38"/>
      <c r="BF140" s="38"/>
      <c r="BG140" s="3"/>
      <c r="BH140" s="30" t="s">
        <v>85</v>
      </c>
      <c r="BI140" s="30"/>
      <c r="BJ140" s="30"/>
      <c r="BK140" s="30"/>
      <c r="BL140" s="30"/>
      <c r="BM140" s="30"/>
      <c r="BN140" s="30"/>
      <c r="BO140" s="30"/>
      <c r="BP140" s="30" t="str">
        <f>IF(BE140&gt;0,VLOOKUP(BE140,'[3]Infos joueurs'!$B:$BT,11,FALSE)," ")&amp;" "&amp;IF(BE140&gt;0,VLOOKUP(BE140,'[3]Infos joueurs'!$B:$BT,27,FALSE)," ")</f>
        <v xml:space="preserve">   </v>
      </c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D140" s="54">
        <v>66</v>
      </c>
      <c r="CE140" s="54"/>
      <c r="CF140" s="54"/>
      <c r="CH140" s="59" t="str">
        <f t="shared" ref="CH140" si="388">AA140</f>
        <v xml:space="preserve">   </v>
      </c>
      <c r="CI140" s="59"/>
      <c r="CJ140" s="59"/>
      <c r="CK140" s="59"/>
      <c r="CL140" s="59"/>
      <c r="CM140" s="59"/>
      <c r="CN140" s="59"/>
      <c r="CO140" s="59"/>
      <c r="CP140" s="59"/>
      <c r="CQ140" s="59"/>
      <c r="CR140" s="59"/>
      <c r="CS140" s="59"/>
      <c r="CU140" s="24">
        <f t="shared" ref="CU140" si="389">IFERROR(INDEX($BE$10:$BE$269,MATCH(CH140,$BP$10:$BP$269,0)),0)</f>
        <v>0</v>
      </c>
      <c r="CV140" s="24"/>
      <c r="CW140" s="24"/>
    </row>
    <row r="141" spans="5:101" ht="7.5" customHeight="1" x14ac:dyDescent="0.2">
      <c r="E141" s="41"/>
      <c r="F141" s="61"/>
      <c r="G141" s="61"/>
      <c r="H141" s="61"/>
      <c r="I141" s="42"/>
      <c r="J141" s="63"/>
      <c r="K141" s="41"/>
      <c r="L141" s="61"/>
      <c r="M141" s="61"/>
      <c r="N141" s="42"/>
      <c r="O141" s="41"/>
      <c r="P141" s="42"/>
      <c r="Q141" s="41"/>
      <c r="R141" s="42"/>
      <c r="S141" s="41"/>
      <c r="T141" s="42"/>
      <c r="U141" s="41"/>
      <c r="V141" s="61"/>
      <c r="W141" s="61"/>
      <c r="X141" s="61"/>
      <c r="Y141" s="42"/>
      <c r="Z141" s="29"/>
      <c r="AA141" s="29"/>
      <c r="AB141" s="29"/>
      <c r="AC141" s="29"/>
      <c r="AD141" s="29"/>
      <c r="AE141" s="43"/>
      <c r="AF141" s="43"/>
      <c r="AG141" s="44"/>
      <c r="AH141" s="46"/>
      <c r="AI141" s="47"/>
      <c r="AJ141" s="43"/>
      <c r="AK141" s="43"/>
      <c r="AL141" s="43"/>
      <c r="AM141" s="43"/>
      <c r="AN141" s="44"/>
      <c r="AO141" s="46"/>
      <c r="AP141" s="47"/>
      <c r="AQ141" s="43"/>
      <c r="AR141" s="43"/>
      <c r="AS141" s="43"/>
      <c r="AT141" s="43"/>
      <c r="AU141" s="44"/>
      <c r="AV141" s="46"/>
      <c r="AW141" s="47"/>
      <c r="AX141" s="43"/>
      <c r="AY141" s="43"/>
      <c r="AZ141" s="51"/>
      <c r="BA141" s="52"/>
      <c r="BB141" s="52"/>
      <c r="BC141" s="53"/>
      <c r="BE141" s="38"/>
      <c r="BF141" s="38"/>
      <c r="BG141" s="3"/>
      <c r="BH141" s="30"/>
      <c r="BI141" s="30"/>
      <c r="BJ141" s="30"/>
      <c r="BK141" s="30"/>
      <c r="BL141" s="30"/>
      <c r="BM141" s="30"/>
      <c r="BN141" s="30"/>
      <c r="BO141" s="30"/>
      <c r="BP141" s="30"/>
      <c r="BQ141" s="30"/>
      <c r="BR141" s="30"/>
      <c r="BS141" s="30"/>
      <c r="BT141" s="30"/>
      <c r="BU141" s="30"/>
      <c r="BV141" s="30"/>
      <c r="BW141" s="30"/>
      <c r="BX141" s="30"/>
      <c r="BY141" s="30"/>
      <c r="BZ141" s="30"/>
      <c r="CA141" s="30"/>
      <c r="CD141" s="55"/>
      <c r="CE141" s="55"/>
      <c r="CF141" s="55"/>
      <c r="CH141" s="56"/>
      <c r="CI141" s="56"/>
      <c r="CJ141" s="56"/>
      <c r="CK141" s="56"/>
      <c r="CL141" s="56"/>
      <c r="CM141" s="56"/>
      <c r="CN141" s="56"/>
      <c r="CO141" s="56"/>
      <c r="CP141" s="56"/>
      <c r="CQ141" s="56"/>
      <c r="CR141" s="56"/>
      <c r="CS141" s="56"/>
      <c r="CU141" s="25"/>
      <c r="CV141" s="25"/>
      <c r="CW141" s="25"/>
    </row>
    <row r="142" spans="5:101" ht="7.5" customHeight="1" x14ac:dyDescent="0.2">
      <c r="E142" s="39">
        <f>IFERROR(IF(BP142="","-",RANK(S142,$S$10:$T$264,0)+RANK(Q142,$Q$10:$R$264,0)%+RANK(O142,$O$10:$P$264,0)%%+ROW()%%%),"-")</f>
        <v>12.131842000000001</v>
      </c>
      <c r="F142" s="60"/>
      <c r="G142" s="60"/>
      <c r="H142" s="60"/>
      <c r="I142" s="40"/>
      <c r="J142" s="62">
        <f>IFERROR(IF(E142="","",RANK(E142,$E$10:$I$264,1)),"-")</f>
        <v>55</v>
      </c>
      <c r="K142" s="39" t="str">
        <f t="shared" ref="K142" si="390">BP142</f>
        <v xml:space="preserve">   </v>
      </c>
      <c r="L142" s="60"/>
      <c r="M142" s="60"/>
      <c r="N142" s="40"/>
      <c r="O142" s="39">
        <f t="shared" ref="O142" si="391">SUM(AE142-AI142)</f>
        <v>0</v>
      </c>
      <c r="P142" s="40"/>
      <c r="Q142" s="39">
        <f t="shared" ref="Q142" si="392">SUM(AL142-AP142)</f>
        <v>0</v>
      </c>
      <c r="R142" s="40"/>
      <c r="S142" s="39">
        <f t="shared" ref="S142" si="393">SUM(AS142-AW142)</f>
        <v>0</v>
      </c>
      <c r="T142" s="40"/>
      <c r="U142" s="39">
        <f>IFERROR(SMALL($E$10:$I$264,67),0)</f>
        <v>12.131866</v>
      </c>
      <c r="V142" s="60"/>
      <c r="W142" s="60"/>
      <c r="X142" s="60"/>
      <c r="Y142" s="40"/>
      <c r="Z142" s="29">
        <f>IFERROR(IF(U142="","",RANK(U142,$U$10:$Y$264,1)),0)</f>
        <v>67</v>
      </c>
      <c r="AA142" s="29" t="str">
        <f>IFERROR(INDEX($K$10:$K$264,MATCH(U142,$E$10:$E$264,0),1),0)</f>
        <v xml:space="preserve">   </v>
      </c>
      <c r="AB142" s="29"/>
      <c r="AC142" s="29"/>
      <c r="AD142" s="29"/>
      <c r="AE142" s="43"/>
      <c r="AF142" s="43"/>
      <c r="AG142" s="44"/>
      <c r="AH142" s="45" t="s">
        <v>19</v>
      </c>
      <c r="AI142" s="47"/>
      <c r="AJ142" s="43"/>
      <c r="AK142" s="43"/>
      <c r="AL142" s="43"/>
      <c r="AM142" s="43"/>
      <c r="AN142" s="44"/>
      <c r="AO142" s="45" t="s">
        <v>19</v>
      </c>
      <c r="AP142" s="47"/>
      <c r="AQ142" s="43"/>
      <c r="AR142" s="43"/>
      <c r="AS142" s="43"/>
      <c r="AT142" s="43"/>
      <c r="AU142" s="44"/>
      <c r="AV142" s="45" t="s">
        <v>19</v>
      </c>
      <c r="AW142" s="47"/>
      <c r="AX142" s="43"/>
      <c r="AY142" s="43"/>
      <c r="AZ142" s="48">
        <f>IFERROR(IF(E142="","",RANK(E142,$E$10:$I$264,1)),0)</f>
        <v>55</v>
      </c>
      <c r="BA142" s="49"/>
      <c r="BB142" s="49"/>
      <c r="BC142" s="50"/>
      <c r="BE142" s="38"/>
      <c r="BF142" s="38"/>
      <c r="BG142" s="3"/>
      <c r="BH142" s="30" t="s">
        <v>86</v>
      </c>
      <c r="BI142" s="30"/>
      <c r="BJ142" s="30"/>
      <c r="BK142" s="30"/>
      <c r="BL142" s="30"/>
      <c r="BM142" s="30"/>
      <c r="BN142" s="30"/>
      <c r="BO142" s="30"/>
      <c r="BP142" s="30" t="str">
        <f>IF(BE142&gt;0,VLOOKUP(BE142,'[3]Infos joueurs'!$B:$BT,11,FALSE)," ")&amp;" "&amp;IF(BE142&gt;0,VLOOKUP(BE142,'[3]Infos joueurs'!$B:$BT,27,FALSE)," ")</f>
        <v xml:space="preserve">   </v>
      </c>
      <c r="BQ142" s="30"/>
      <c r="BR142" s="30"/>
      <c r="BS142" s="30"/>
      <c r="BT142" s="30"/>
      <c r="BU142" s="30"/>
      <c r="BV142" s="30"/>
      <c r="BW142" s="30"/>
      <c r="BX142" s="30"/>
      <c r="BY142" s="30"/>
      <c r="BZ142" s="30"/>
      <c r="CA142" s="30"/>
      <c r="CD142" s="54">
        <v>67</v>
      </c>
      <c r="CE142" s="54"/>
      <c r="CF142" s="54"/>
      <c r="CH142" s="59" t="str">
        <f t="shared" ref="CH142" si="394">AA142</f>
        <v xml:space="preserve">   </v>
      </c>
      <c r="CI142" s="59"/>
      <c r="CJ142" s="59"/>
      <c r="CK142" s="59"/>
      <c r="CL142" s="59"/>
      <c r="CM142" s="59"/>
      <c r="CN142" s="59"/>
      <c r="CO142" s="59"/>
      <c r="CP142" s="59"/>
      <c r="CQ142" s="59"/>
      <c r="CR142" s="59"/>
      <c r="CS142" s="59"/>
      <c r="CU142" s="24">
        <f t="shared" ref="CU142" si="395">IFERROR(INDEX($BE$10:$BE$269,MATCH(CH142,$BP$10:$BP$269,0)),0)</f>
        <v>0</v>
      </c>
      <c r="CV142" s="24"/>
      <c r="CW142" s="24"/>
    </row>
    <row r="143" spans="5:101" ht="7.5" customHeight="1" x14ac:dyDescent="0.2">
      <c r="E143" s="41"/>
      <c r="F143" s="61"/>
      <c r="G143" s="61"/>
      <c r="H143" s="61"/>
      <c r="I143" s="42"/>
      <c r="J143" s="63"/>
      <c r="K143" s="41"/>
      <c r="L143" s="61"/>
      <c r="M143" s="61"/>
      <c r="N143" s="42"/>
      <c r="O143" s="41"/>
      <c r="P143" s="42"/>
      <c r="Q143" s="41"/>
      <c r="R143" s="42"/>
      <c r="S143" s="41"/>
      <c r="T143" s="42"/>
      <c r="U143" s="41"/>
      <c r="V143" s="61"/>
      <c r="W143" s="61"/>
      <c r="X143" s="61"/>
      <c r="Y143" s="42"/>
      <c r="Z143" s="29"/>
      <c r="AA143" s="29"/>
      <c r="AB143" s="29"/>
      <c r="AC143" s="29"/>
      <c r="AD143" s="29"/>
      <c r="AE143" s="43"/>
      <c r="AF143" s="43"/>
      <c r="AG143" s="44"/>
      <c r="AH143" s="46"/>
      <c r="AI143" s="47"/>
      <c r="AJ143" s="43"/>
      <c r="AK143" s="43"/>
      <c r="AL143" s="43"/>
      <c r="AM143" s="43"/>
      <c r="AN143" s="44"/>
      <c r="AO143" s="46"/>
      <c r="AP143" s="47"/>
      <c r="AQ143" s="43"/>
      <c r="AR143" s="43"/>
      <c r="AS143" s="43"/>
      <c r="AT143" s="43"/>
      <c r="AU143" s="44"/>
      <c r="AV143" s="46"/>
      <c r="AW143" s="47"/>
      <c r="AX143" s="43"/>
      <c r="AY143" s="43"/>
      <c r="AZ143" s="51"/>
      <c r="BA143" s="52"/>
      <c r="BB143" s="52"/>
      <c r="BC143" s="53"/>
      <c r="BE143" s="38"/>
      <c r="BF143" s="38"/>
      <c r="BG143" s="3"/>
      <c r="BH143" s="30"/>
      <c r="BI143" s="30"/>
      <c r="BJ143" s="30"/>
      <c r="BK143" s="30"/>
      <c r="BL143" s="30"/>
      <c r="BM143" s="30"/>
      <c r="BN143" s="30"/>
      <c r="BO143" s="30"/>
      <c r="BP143" s="30"/>
      <c r="BQ143" s="30"/>
      <c r="BR143" s="30"/>
      <c r="BS143" s="30"/>
      <c r="BT143" s="30"/>
      <c r="BU143" s="30"/>
      <c r="BV143" s="30"/>
      <c r="BW143" s="30"/>
      <c r="BX143" s="30"/>
      <c r="BY143" s="30"/>
      <c r="BZ143" s="30"/>
      <c r="CA143" s="30"/>
      <c r="CD143" s="55"/>
      <c r="CE143" s="55"/>
      <c r="CF143" s="55"/>
      <c r="CH143" s="56"/>
      <c r="CI143" s="56"/>
      <c r="CJ143" s="56"/>
      <c r="CK143" s="56"/>
      <c r="CL143" s="56"/>
      <c r="CM143" s="56"/>
      <c r="CN143" s="56"/>
      <c r="CO143" s="56"/>
      <c r="CP143" s="56"/>
      <c r="CQ143" s="56"/>
      <c r="CR143" s="56"/>
      <c r="CS143" s="56"/>
      <c r="CU143" s="25"/>
      <c r="CV143" s="25"/>
      <c r="CW143" s="25"/>
    </row>
    <row r="144" spans="5:101" ht="7.5" customHeight="1" x14ac:dyDescent="0.2">
      <c r="E144" s="39">
        <f>IFERROR(IF(BP144="","-",RANK(S144,$S$10:$T$264,0)+RANK(Q144,$Q$10:$R$264,0)%+RANK(O144,$O$10:$P$264,0)%%+ROW()%%%),"-")</f>
        <v>12.131844000000001</v>
      </c>
      <c r="F144" s="60"/>
      <c r="G144" s="60"/>
      <c r="H144" s="60"/>
      <c r="I144" s="40"/>
      <c r="J144" s="62">
        <f>IFERROR(IF(E144="","",RANK(E144,$E$10:$I$264,1)),"-")</f>
        <v>56</v>
      </c>
      <c r="K144" s="39" t="str">
        <f t="shared" ref="K144" si="396">BP144</f>
        <v xml:space="preserve">   </v>
      </c>
      <c r="L144" s="60"/>
      <c r="M144" s="60"/>
      <c r="N144" s="40"/>
      <c r="O144" s="39">
        <f t="shared" ref="O144" si="397">SUM(AE144-AI144)</f>
        <v>0</v>
      </c>
      <c r="P144" s="40"/>
      <c r="Q144" s="39">
        <f t="shared" ref="Q144" si="398">SUM(AL144-AP144)</f>
        <v>0</v>
      </c>
      <c r="R144" s="40"/>
      <c r="S144" s="39">
        <f t="shared" ref="S144" si="399">SUM(AS144-AW144)</f>
        <v>0</v>
      </c>
      <c r="T144" s="40"/>
      <c r="U144" s="39">
        <f>IFERROR(SMALL($E$10:$I$264,68),0)</f>
        <v>12.131868000000001</v>
      </c>
      <c r="V144" s="60"/>
      <c r="W144" s="60"/>
      <c r="X144" s="60"/>
      <c r="Y144" s="40"/>
      <c r="Z144" s="29">
        <f>IFERROR(IF(U144="","",RANK(U144,$U$10:$Y$264,1)),0)</f>
        <v>68</v>
      </c>
      <c r="AA144" s="29" t="str">
        <f>IFERROR(INDEX($K$10:$K$264,MATCH(U144,$E$10:$E$264,0),1),0)</f>
        <v xml:space="preserve">   </v>
      </c>
      <c r="AB144" s="29"/>
      <c r="AC144" s="29"/>
      <c r="AD144" s="29"/>
      <c r="AE144" s="43"/>
      <c r="AF144" s="43"/>
      <c r="AG144" s="44"/>
      <c r="AH144" s="45" t="s">
        <v>19</v>
      </c>
      <c r="AI144" s="47"/>
      <c r="AJ144" s="43"/>
      <c r="AK144" s="43"/>
      <c r="AL144" s="43"/>
      <c r="AM144" s="43"/>
      <c r="AN144" s="44"/>
      <c r="AO144" s="45" t="s">
        <v>19</v>
      </c>
      <c r="AP144" s="47"/>
      <c r="AQ144" s="43"/>
      <c r="AR144" s="43"/>
      <c r="AS144" s="43"/>
      <c r="AT144" s="43"/>
      <c r="AU144" s="44"/>
      <c r="AV144" s="45" t="s">
        <v>19</v>
      </c>
      <c r="AW144" s="47"/>
      <c r="AX144" s="43"/>
      <c r="AY144" s="43"/>
      <c r="AZ144" s="48">
        <f>IFERROR(IF(E144="","",RANK(E144,$E$10:$I$264,1)),0)</f>
        <v>56</v>
      </c>
      <c r="BA144" s="49"/>
      <c r="BB144" s="49"/>
      <c r="BC144" s="50"/>
      <c r="BE144" s="38"/>
      <c r="BF144" s="38"/>
      <c r="BG144" s="3"/>
      <c r="BH144" s="30" t="s">
        <v>87</v>
      </c>
      <c r="BI144" s="30"/>
      <c r="BJ144" s="30"/>
      <c r="BK144" s="30"/>
      <c r="BL144" s="30"/>
      <c r="BM144" s="30"/>
      <c r="BN144" s="30"/>
      <c r="BO144" s="30"/>
      <c r="BP144" s="30" t="str">
        <f>IF(BE144&gt;0,VLOOKUP(BE144,'[3]Infos joueurs'!$B:$BT,11,FALSE)," ")&amp;" "&amp;IF(BE144&gt;0,VLOOKUP(BE144,'[3]Infos joueurs'!$B:$BT,27,FALSE)," ")</f>
        <v xml:space="preserve">   </v>
      </c>
      <c r="BQ144" s="30"/>
      <c r="BR144" s="30"/>
      <c r="BS144" s="30"/>
      <c r="BT144" s="30"/>
      <c r="BU144" s="30"/>
      <c r="BV144" s="30"/>
      <c r="BW144" s="30"/>
      <c r="BX144" s="30"/>
      <c r="BY144" s="30"/>
      <c r="BZ144" s="30"/>
      <c r="CA144" s="30"/>
      <c r="CD144" s="54">
        <v>68</v>
      </c>
      <c r="CE144" s="54"/>
      <c r="CF144" s="54"/>
      <c r="CH144" s="59" t="str">
        <f t="shared" ref="CH144" si="400">AA144</f>
        <v xml:space="preserve">   </v>
      </c>
      <c r="CI144" s="59"/>
      <c r="CJ144" s="59"/>
      <c r="CK144" s="59"/>
      <c r="CL144" s="59"/>
      <c r="CM144" s="59"/>
      <c r="CN144" s="59"/>
      <c r="CO144" s="59"/>
      <c r="CP144" s="59"/>
      <c r="CQ144" s="59"/>
      <c r="CR144" s="59"/>
      <c r="CS144" s="59"/>
      <c r="CU144" s="24">
        <f t="shared" ref="CU144" si="401">IFERROR(INDEX($BE$10:$BE$269,MATCH(CH144,$BP$10:$BP$269,0)),0)</f>
        <v>0</v>
      </c>
      <c r="CV144" s="24"/>
      <c r="CW144" s="24"/>
    </row>
    <row r="145" spans="5:101" ht="7.5" customHeight="1" x14ac:dyDescent="0.2">
      <c r="E145" s="41"/>
      <c r="F145" s="61"/>
      <c r="G145" s="61"/>
      <c r="H145" s="61"/>
      <c r="I145" s="42"/>
      <c r="J145" s="63"/>
      <c r="K145" s="41"/>
      <c r="L145" s="61"/>
      <c r="M145" s="61"/>
      <c r="N145" s="42"/>
      <c r="O145" s="41"/>
      <c r="P145" s="42"/>
      <c r="Q145" s="41"/>
      <c r="R145" s="42"/>
      <c r="S145" s="41"/>
      <c r="T145" s="42"/>
      <c r="U145" s="41"/>
      <c r="V145" s="61"/>
      <c r="W145" s="61"/>
      <c r="X145" s="61"/>
      <c r="Y145" s="42"/>
      <c r="Z145" s="29"/>
      <c r="AA145" s="29"/>
      <c r="AB145" s="29"/>
      <c r="AC145" s="29"/>
      <c r="AD145" s="29"/>
      <c r="AE145" s="43"/>
      <c r="AF145" s="43"/>
      <c r="AG145" s="44"/>
      <c r="AH145" s="46"/>
      <c r="AI145" s="47"/>
      <c r="AJ145" s="43"/>
      <c r="AK145" s="43"/>
      <c r="AL145" s="43"/>
      <c r="AM145" s="43"/>
      <c r="AN145" s="44"/>
      <c r="AO145" s="46"/>
      <c r="AP145" s="47"/>
      <c r="AQ145" s="43"/>
      <c r="AR145" s="43"/>
      <c r="AS145" s="43"/>
      <c r="AT145" s="43"/>
      <c r="AU145" s="44"/>
      <c r="AV145" s="46"/>
      <c r="AW145" s="47"/>
      <c r="AX145" s="43"/>
      <c r="AY145" s="43"/>
      <c r="AZ145" s="51"/>
      <c r="BA145" s="52"/>
      <c r="BB145" s="52"/>
      <c r="BC145" s="53"/>
      <c r="BE145" s="38"/>
      <c r="BF145" s="38"/>
      <c r="BG145" s="3"/>
      <c r="BH145" s="30"/>
      <c r="BI145" s="30"/>
      <c r="BJ145" s="30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30"/>
      <c r="BV145" s="30"/>
      <c r="BW145" s="30"/>
      <c r="BX145" s="30"/>
      <c r="BY145" s="30"/>
      <c r="BZ145" s="30"/>
      <c r="CA145" s="30"/>
      <c r="CD145" s="55"/>
      <c r="CE145" s="55"/>
      <c r="CF145" s="55"/>
      <c r="CH145" s="56"/>
      <c r="CI145" s="56"/>
      <c r="CJ145" s="56"/>
      <c r="CK145" s="56"/>
      <c r="CL145" s="56"/>
      <c r="CM145" s="56"/>
      <c r="CN145" s="56"/>
      <c r="CO145" s="56"/>
      <c r="CP145" s="56"/>
      <c r="CQ145" s="56"/>
      <c r="CR145" s="56"/>
      <c r="CS145" s="56"/>
      <c r="CU145" s="25"/>
      <c r="CV145" s="25"/>
      <c r="CW145" s="25"/>
    </row>
    <row r="146" spans="5:101" ht="7.5" customHeight="1" x14ac:dyDescent="0.2">
      <c r="E146" s="39">
        <f>IFERROR(IF(BP146="","-",RANK(S146,$S$10:$T$264,0)+RANK(Q146,$Q$10:$R$264,0)%+RANK(O146,$O$10:$P$264,0)%%+ROW()%%%),"-")</f>
        <v>12.131846000000001</v>
      </c>
      <c r="F146" s="60"/>
      <c r="G146" s="60"/>
      <c r="H146" s="60"/>
      <c r="I146" s="40"/>
      <c r="J146" s="62">
        <f>IFERROR(IF(E146="","",RANK(E146,$E$10:$I$264,1)),"-")</f>
        <v>57</v>
      </c>
      <c r="K146" s="39" t="str">
        <f t="shared" ref="K146" si="402">BP146</f>
        <v xml:space="preserve">   </v>
      </c>
      <c r="L146" s="60"/>
      <c r="M146" s="60"/>
      <c r="N146" s="40"/>
      <c r="O146" s="39">
        <f t="shared" ref="O146" si="403">SUM(AE146-AI146)</f>
        <v>0</v>
      </c>
      <c r="P146" s="40"/>
      <c r="Q146" s="39">
        <f t="shared" ref="Q146" si="404">SUM(AL146-AP146)</f>
        <v>0</v>
      </c>
      <c r="R146" s="40"/>
      <c r="S146" s="39">
        <f t="shared" ref="S146" si="405">SUM(AS146-AW146)</f>
        <v>0</v>
      </c>
      <c r="T146" s="40"/>
      <c r="U146" s="39">
        <f>IFERROR(SMALL($E$10:$I$264,69),0)</f>
        <v>12.131870000000001</v>
      </c>
      <c r="V146" s="60"/>
      <c r="W146" s="60"/>
      <c r="X146" s="60"/>
      <c r="Y146" s="40"/>
      <c r="Z146" s="29">
        <f>IFERROR(IF(U146="","",RANK(U146,$U$10:$Y$264,1)),0)</f>
        <v>69</v>
      </c>
      <c r="AA146" s="29" t="str">
        <f>IFERROR(INDEX($K$10:$K$264,MATCH(U146,$E$10:$E$264,0),1),0)</f>
        <v xml:space="preserve">   </v>
      </c>
      <c r="AB146" s="29"/>
      <c r="AC146" s="29"/>
      <c r="AD146" s="29"/>
      <c r="AE146" s="43"/>
      <c r="AF146" s="43"/>
      <c r="AG146" s="44"/>
      <c r="AH146" s="45" t="s">
        <v>19</v>
      </c>
      <c r="AI146" s="47"/>
      <c r="AJ146" s="43"/>
      <c r="AK146" s="43"/>
      <c r="AL146" s="43"/>
      <c r="AM146" s="43"/>
      <c r="AN146" s="44"/>
      <c r="AO146" s="45" t="s">
        <v>19</v>
      </c>
      <c r="AP146" s="47"/>
      <c r="AQ146" s="43"/>
      <c r="AR146" s="43"/>
      <c r="AS146" s="43"/>
      <c r="AT146" s="43"/>
      <c r="AU146" s="44"/>
      <c r="AV146" s="45" t="s">
        <v>19</v>
      </c>
      <c r="AW146" s="47"/>
      <c r="AX146" s="43"/>
      <c r="AY146" s="43"/>
      <c r="AZ146" s="48">
        <f>IFERROR(IF(E146="","",RANK(E146,$E$10:$I$264,1)),0)</f>
        <v>57</v>
      </c>
      <c r="BA146" s="49"/>
      <c r="BB146" s="49"/>
      <c r="BC146" s="50"/>
      <c r="BE146" s="38"/>
      <c r="BF146" s="38"/>
      <c r="BG146" s="3"/>
      <c r="BH146" s="30" t="s">
        <v>88</v>
      </c>
      <c r="BI146" s="30"/>
      <c r="BJ146" s="30"/>
      <c r="BK146" s="30"/>
      <c r="BL146" s="30"/>
      <c r="BM146" s="30"/>
      <c r="BN146" s="30"/>
      <c r="BO146" s="30"/>
      <c r="BP146" s="30" t="str">
        <f>IF(BE146&gt;0,VLOOKUP(BE146,'[3]Infos joueurs'!$B:$BT,11,FALSE)," ")&amp;" "&amp;IF(BE146&gt;0,VLOOKUP(BE146,'[3]Infos joueurs'!$B:$BT,27,FALSE)," ")</f>
        <v xml:space="preserve">   </v>
      </c>
      <c r="BQ146" s="30"/>
      <c r="BR146" s="30"/>
      <c r="BS146" s="30"/>
      <c r="BT146" s="30"/>
      <c r="BU146" s="30"/>
      <c r="BV146" s="30"/>
      <c r="BW146" s="30"/>
      <c r="BX146" s="30"/>
      <c r="BY146" s="30"/>
      <c r="BZ146" s="30"/>
      <c r="CA146" s="30"/>
      <c r="CD146" s="54">
        <v>69</v>
      </c>
      <c r="CE146" s="54"/>
      <c r="CF146" s="54"/>
      <c r="CH146" s="59" t="str">
        <f t="shared" ref="CH146" si="406">AA146</f>
        <v xml:space="preserve">   </v>
      </c>
      <c r="CI146" s="59"/>
      <c r="CJ146" s="59"/>
      <c r="CK146" s="59"/>
      <c r="CL146" s="59"/>
      <c r="CM146" s="59"/>
      <c r="CN146" s="59"/>
      <c r="CO146" s="59"/>
      <c r="CP146" s="59"/>
      <c r="CQ146" s="59"/>
      <c r="CR146" s="59"/>
      <c r="CS146" s="59"/>
      <c r="CU146" s="24">
        <f t="shared" ref="CU146" si="407">IFERROR(INDEX($BE$10:$BE$269,MATCH(CH146,$BP$10:$BP$269,0)),0)</f>
        <v>0</v>
      </c>
      <c r="CV146" s="24"/>
      <c r="CW146" s="24"/>
    </row>
    <row r="147" spans="5:101" ht="7.5" customHeight="1" x14ac:dyDescent="0.2">
      <c r="E147" s="41"/>
      <c r="F147" s="61"/>
      <c r="G147" s="61"/>
      <c r="H147" s="61"/>
      <c r="I147" s="42"/>
      <c r="J147" s="63"/>
      <c r="K147" s="41"/>
      <c r="L147" s="61"/>
      <c r="M147" s="61"/>
      <c r="N147" s="42"/>
      <c r="O147" s="41"/>
      <c r="P147" s="42"/>
      <c r="Q147" s="41"/>
      <c r="R147" s="42"/>
      <c r="S147" s="41"/>
      <c r="T147" s="42"/>
      <c r="U147" s="41"/>
      <c r="V147" s="61"/>
      <c r="W147" s="61"/>
      <c r="X147" s="61"/>
      <c r="Y147" s="42"/>
      <c r="Z147" s="29"/>
      <c r="AA147" s="29"/>
      <c r="AB147" s="29"/>
      <c r="AC147" s="29"/>
      <c r="AD147" s="29"/>
      <c r="AE147" s="43"/>
      <c r="AF147" s="43"/>
      <c r="AG147" s="44"/>
      <c r="AH147" s="46"/>
      <c r="AI147" s="47"/>
      <c r="AJ147" s="43"/>
      <c r="AK147" s="43"/>
      <c r="AL147" s="43"/>
      <c r="AM147" s="43"/>
      <c r="AN147" s="44"/>
      <c r="AO147" s="46"/>
      <c r="AP147" s="47"/>
      <c r="AQ147" s="43"/>
      <c r="AR147" s="43"/>
      <c r="AS147" s="43"/>
      <c r="AT147" s="43"/>
      <c r="AU147" s="44"/>
      <c r="AV147" s="46"/>
      <c r="AW147" s="47"/>
      <c r="AX147" s="43"/>
      <c r="AY147" s="43"/>
      <c r="AZ147" s="51"/>
      <c r="BA147" s="52"/>
      <c r="BB147" s="52"/>
      <c r="BC147" s="53"/>
      <c r="BE147" s="38"/>
      <c r="BF147" s="38"/>
      <c r="BG147" s="3"/>
      <c r="BH147" s="30"/>
      <c r="BI147" s="30"/>
      <c r="BJ147" s="30"/>
      <c r="BK147" s="30"/>
      <c r="BL147" s="30"/>
      <c r="BM147" s="30"/>
      <c r="BN147" s="30"/>
      <c r="BO147" s="30"/>
      <c r="BP147" s="30"/>
      <c r="BQ147" s="30"/>
      <c r="BR147" s="30"/>
      <c r="BS147" s="30"/>
      <c r="BT147" s="30"/>
      <c r="BU147" s="30"/>
      <c r="BV147" s="30"/>
      <c r="BW147" s="30"/>
      <c r="BX147" s="30"/>
      <c r="BY147" s="30"/>
      <c r="BZ147" s="30"/>
      <c r="CA147" s="30"/>
      <c r="CD147" s="55"/>
      <c r="CE147" s="55"/>
      <c r="CF147" s="55"/>
      <c r="CH147" s="56"/>
      <c r="CI147" s="56"/>
      <c r="CJ147" s="56"/>
      <c r="CK147" s="56"/>
      <c r="CL147" s="56"/>
      <c r="CM147" s="56"/>
      <c r="CN147" s="56"/>
      <c r="CO147" s="56"/>
      <c r="CP147" s="56"/>
      <c r="CQ147" s="56"/>
      <c r="CR147" s="56"/>
      <c r="CS147" s="56"/>
      <c r="CU147" s="25"/>
      <c r="CV147" s="25"/>
      <c r="CW147" s="25"/>
    </row>
    <row r="148" spans="5:101" ht="7.5" customHeight="1" x14ac:dyDescent="0.2">
      <c r="E148" s="39">
        <f>IFERROR(IF(BP148="","-",RANK(S148,$S$10:$T$264,0)+RANK(Q148,$Q$10:$R$264,0)%+RANK(O148,$O$10:$P$264,0)%%+ROW()%%%),"-")</f>
        <v>12.131848</v>
      </c>
      <c r="F148" s="60"/>
      <c r="G148" s="60"/>
      <c r="H148" s="60"/>
      <c r="I148" s="40"/>
      <c r="J148" s="62">
        <f>IFERROR(IF(E148="","",RANK(E148,$E$10:$I$264,1)),"-")</f>
        <v>58</v>
      </c>
      <c r="K148" s="39" t="str">
        <f t="shared" ref="K148" si="408">BP148</f>
        <v xml:space="preserve">   </v>
      </c>
      <c r="L148" s="60"/>
      <c r="M148" s="60"/>
      <c r="N148" s="40"/>
      <c r="O148" s="39">
        <f t="shared" ref="O148" si="409">SUM(AE148-AI148)</f>
        <v>0</v>
      </c>
      <c r="P148" s="40"/>
      <c r="Q148" s="39">
        <f t="shared" ref="Q148" si="410">SUM(AL148-AP148)</f>
        <v>0</v>
      </c>
      <c r="R148" s="40"/>
      <c r="S148" s="39">
        <f t="shared" ref="S148" si="411">SUM(AS148-AW148)</f>
        <v>0</v>
      </c>
      <c r="T148" s="40"/>
      <c r="U148" s="39">
        <f>IFERROR(SMALL($E$10:$I$264,70),0)</f>
        <v>12.131872</v>
      </c>
      <c r="V148" s="60"/>
      <c r="W148" s="60"/>
      <c r="X148" s="60"/>
      <c r="Y148" s="40"/>
      <c r="Z148" s="29">
        <f>IFERROR(IF(U148="","",RANK(U148,$U$10:$Y$264,1)),0)</f>
        <v>70</v>
      </c>
      <c r="AA148" s="29" t="str">
        <f>IFERROR(INDEX($K$10:$K$264,MATCH(U148,$E$10:$E$264,0),1),0)</f>
        <v xml:space="preserve">   </v>
      </c>
      <c r="AB148" s="29"/>
      <c r="AC148" s="29"/>
      <c r="AD148" s="29"/>
      <c r="AE148" s="43"/>
      <c r="AF148" s="43"/>
      <c r="AG148" s="44"/>
      <c r="AH148" s="45" t="s">
        <v>19</v>
      </c>
      <c r="AI148" s="47"/>
      <c r="AJ148" s="43"/>
      <c r="AK148" s="43"/>
      <c r="AL148" s="43"/>
      <c r="AM148" s="43"/>
      <c r="AN148" s="44"/>
      <c r="AO148" s="45" t="s">
        <v>19</v>
      </c>
      <c r="AP148" s="47"/>
      <c r="AQ148" s="43"/>
      <c r="AR148" s="43"/>
      <c r="AS148" s="43"/>
      <c r="AT148" s="43"/>
      <c r="AU148" s="44"/>
      <c r="AV148" s="45" t="s">
        <v>19</v>
      </c>
      <c r="AW148" s="47"/>
      <c r="AX148" s="43"/>
      <c r="AY148" s="43"/>
      <c r="AZ148" s="48">
        <f>IFERROR(IF(E148="","",RANK(E148,$E$10:$I$264,1)),0)</f>
        <v>58</v>
      </c>
      <c r="BA148" s="49"/>
      <c r="BB148" s="49"/>
      <c r="BC148" s="50"/>
      <c r="BE148" s="38"/>
      <c r="BF148" s="38"/>
      <c r="BG148" s="3"/>
      <c r="BH148" s="30" t="s">
        <v>89</v>
      </c>
      <c r="BI148" s="30"/>
      <c r="BJ148" s="30"/>
      <c r="BK148" s="30"/>
      <c r="BL148" s="30"/>
      <c r="BM148" s="30"/>
      <c r="BN148" s="30"/>
      <c r="BO148" s="30"/>
      <c r="BP148" s="30" t="str">
        <f>IF(BE148&gt;0,VLOOKUP(BE148,'[3]Infos joueurs'!$B:$BT,11,FALSE)," ")&amp;" "&amp;IF(BE148&gt;0,VLOOKUP(BE148,'[3]Infos joueurs'!$B:$BT,27,FALSE)," ")</f>
        <v xml:space="preserve">   </v>
      </c>
      <c r="BQ148" s="30"/>
      <c r="BR148" s="30"/>
      <c r="BS148" s="30"/>
      <c r="BT148" s="30"/>
      <c r="BU148" s="30"/>
      <c r="BV148" s="30"/>
      <c r="BW148" s="30"/>
      <c r="BX148" s="30"/>
      <c r="BY148" s="30"/>
      <c r="BZ148" s="30"/>
      <c r="CA148" s="30"/>
      <c r="CD148" s="54">
        <v>70</v>
      </c>
      <c r="CE148" s="54"/>
      <c r="CF148" s="54"/>
      <c r="CH148" s="59" t="str">
        <f t="shared" ref="CH148" si="412">AA148</f>
        <v xml:space="preserve">   </v>
      </c>
      <c r="CI148" s="59"/>
      <c r="CJ148" s="59"/>
      <c r="CK148" s="59"/>
      <c r="CL148" s="59"/>
      <c r="CM148" s="59"/>
      <c r="CN148" s="59"/>
      <c r="CO148" s="59"/>
      <c r="CP148" s="59"/>
      <c r="CQ148" s="59"/>
      <c r="CR148" s="59"/>
      <c r="CS148" s="59"/>
      <c r="CU148" s="24">
        <f t="shared" ref="CU148" si="413">IFERROR(INDEX($BE$10:$BE$269,MATCH(CH148,$BP$10:$BP$269,0)),0)</f>
        <v>0</v>
      </c>
      <c r="CV148" s="24"/>
      <c r="CW148" s="24"/>
    </row>
    <row r="149" spans="5:101" ht="7.5" customHeight="1" x14ac:dyDescent="0.2">
      <c r="E149" s="41"/>
      <c r="F149" s="61"/>
      <c r="G149" s="61"/>
      <c r="H149" s="61"/>
      <c r="I149" s="42"/>
      <c r="J149" s="63"/>
      <c r="K149" s="41"/>
      <c r="L149" s="61"/>
      <c r="M149" s="61"/>
      <c r="N149" s="42"/>
      <c r="O149" s="41"/>
      <c r="P149" s="42"/>
      <c r="Q149" s="41"/>
      <c r="R149" s="42"/>
      <c r="S149" s="41"/>
      <c r="T149" s="42"/>
      <c r="U149" s="41"/>
      <c r="V149" s="61"/>
      <c r="W149" s="61"/>
      <c r="X149" s="61"/>
      <c r="Y149" s="42"/>
      <c r="Z149" s="29"/>
      <c r="AA149" s="29"/>
      <c r="AB149" s="29"/>
      <c r="AC149" s="29"/>
      <c r="AD149" s="29"/>
      <c r="AE149" s="43"/>
      <c r="AF149" s="43"/>
      <c r="AG149" s="44"/>
      <c r="AH149" s="46"/>
      <c r="AI149" s="47"/>
      <c r="AJ149" s="43"/>
      <c r="AK149" s="43"/>
      <c r="AL149" s="43"/>
      <c r="AM149" s="43"/>
      <c r="AN149" s="44"/>
      <c r="AO149" s="46"/>
      <c r="AP149" s="47"/>
      <c r="AQ149" s="43"/>
      <c r="AR149" s="43"/>
      <c r="AS149" s="43"/>
      <c r="AT149" s="43"/>
      <c r="AU149" s="44"/>
      <c r="AV149" s="46"/>
      <c r="AW149" s="47"/>
      <c r="AX149" s="43"/>
      <c r="AY149" s="43"/>
      <c r="AZ149" s="51"/>
      <c r="BA149" s="52"/>
      <c r="BB149" s="52"/>
      <c r="BC149" s="53"/>
      <c r="BE149" s="38"/>
      <c r="BF149" s="38"/>
      <c r="BG149" s="3"/>
      <c r="BH149" s="30"/>
      <c r="BI149" s="30"/>
      <c r="BJ149" s="30"/>
      <c r="BK149" s="30"/>
      <c r="BL149" s="30"/>
      <c r="BM149" s="30"/>
      <c r="BN149" s="30"/>
      <c r="BO149" s="30"/>
      <c r="BP149" s="30"/>
      <c r="BQ149" s="30"/>
      <c r="BR149" s="30"/>
      <c r="BS149" s="30"/>
      <c r="BT149" s="30"/>
      <c r="BU149" s="30"/>
      <c r="BV149" s="30"/>
      <c r="BW149" s="30"/>
      <c r="BX149" s="30"/>
      <c r="BY149" s="30"/>
      <c r="BZ149" s="30"/>
      <c r="CA149" s="30"/>
      <c r="CD149" s="55"/>
      <c r="CE149" s="55"/>
      <c r="CF149" s="55"/>
      <c r="CH149" s="56"/>
      <c r="CI149" s="56"/>
      <c r="CJ149" s="56"/>
      <c r="CK149" s="56"/>
      <c r="CL149" s="56"/>
      <c r="CM149" s="56"/>
      <c r="CN149" s="56"/>
      <c r="CO149" s="56"/>
      <c r="CP149" s="56"/>
      <c r="CQ149" s="56"/>
      <c r="CR149" s="56"/>
      <c r="CS149" s="56"/>
      <c r="CU149" s="25"/>
      <c r="CV149" s="25"/>
      <c r="CW149" s="25"/>
    </row>
    <row r="150" spans="5:101" ht="7.5" customHeight="1" x14ac:dyDescent="0.2">
      <c r="E150" s="39">
        <f>IFERROR(IF(BP150="","-",RANK(S150,$S$10:$T$264,0)+RANK(Q150,$Q$10:$R$264,0)%+RANK(O150,$O$10:$P$264,0)%%+ROW()%%%),"-")</f>
        <v>12.13185</v>
      </c>
      <c r="F150" s="60"/>
      <c r="G150" s="60"/>
      <c r="H150" s="60"/>
      <c r="I150" s="40"/>
      <c r="J150" s="62">
        <f>IFERROR(IF(E150="","",RANK(E150,$E$10:$I$264,1)),"-")</f>
        <v>59</v>
      </c>
      <c r="K150" s="39" t="str">
        <f t="shared" ref="K150" si="414">BP150</f>
        <v xml:space="preserve">   </v>
      </c>
      <c r="L150" s="60"/>
      <c r="M150" s="60"/>
      <c r="N150" s="40"/>
      <c r="O150" s="39">
        <f t="shared" ref="O150" si="415">SUM(AE150-AI150)</f>
        <v>0</v>
      </c>
      <c r="P150" s="40"/>
      <c r="Q150" s="39">
        <f t="shared" ref="Q150" si="416">SUM(AL150-AP150)</f>
        <v>0</v>
      </c>
      <c r="R150" s="40"/>
      <c r="S150" s="39">
        <f t="shared" ref="S150" si="417">SUM(AS150-AW150)</f>
        <v>0</v>
      </c>
      <c r="T150" s="40"/>
      <c r="U150" s="39">
        <f>IFERROR(SMALL($E$10:$I$264,71),0)</f>
        <v>12.131874</v>
      </c>
      <c r="V150" s="60"/>
      <c r="W150" s="60"/>
      <c r="X150" s="60"/>
      <c r="Y150" s="40"/>
      <c r="Z150" s="29">
        <f>IFERROR(IF(U150="","",RANK(U150,$U$10:$Y$264,1)),0)</f>
        <v>71</v>
      </c>
      <c r="AA150" s="29" t="str">
        <f>IFERROR(INDEX($K$10:$K$264,MATCH(U150,$E$10:$E$264,0),1),0)</f>
        <v xml:space="preserve">   </v>
      </c>
      <c r="AB150" s="29"/>
      <c r="AC150" s="29"/>
      <c r="AD150" s="29"/>
      <c r="AE150" s="43"/>
      <c r="AF150" s="43"/>
      <c r="AG150" s="44"/>
      <c r="AH150" s="45" t="s">
        <v>19</v>
      </c>
      <c r="AI150" s="47"/>
      <c r="AJ150" s="43"/>
      <c r="AK150" s="43"/>
      <c r="AL150" s="43"/>
      <c r="AM150" s="43"/>
      <c r="AN150" s="44"/>
      <c r="AO150" s="45" t="s">
        <v>19</v>
      </c>
      <c r="AP150" s="47"/>
      <c r="AQ150" s="43"/>
      <c r="AR150" s="43"/>
      <c r="AS150" s="43"/>
      <c r="AT150" s="43"/>
      <c r="AU150" s="44"/>
      <c r="AV150" s="45" t="s">
        <v>19</v>
      </c>
      <c r="AW150" s="47"/>
      <c r="AX150" s="43"/>
      <c r="AY150" s="43"/>
      <c r="AZ150" s="48">
        <f>IFERROR(IF(E150="","",RANK(E150,$E$10:$I$264,1)),0)</f>
        <v>59</v>
      </c>
      <c r="BA150" s="49"/>
      <c r="BB150" s="49"/>
      <c r="BC150" s="50"/>
      <c r="BE150" s="38"/>
      <c r="BF150" s="38"/>
      <c r="BG150" s="3"/>
      <c r="BH150" s="30" t="s">
        <v>90</v>
      </c>
      <c r="BI150" s="30"/>
      <c r="BJ150" s="30"/>
      <c r="BK150" s="30"/>
      <c r="BL150" s="30"/>
      <c r="BM150" s="30"/>
      <c r="BN150" s="30"/>
      <c r="BO150" s="30"/>
      <c r="BP150" s="30" t="str">
        <f>IF(BE150&gt;0,VLOOKUP(BE150,'[3]Infos joueurs'!$B:$BT,11,FALSE)," ")&amp;" "&amp;IF(BE150&gt;0,VLOOKUP(BE150,'[3]Infos joueurs'!$B:$BT,27,FALSE)," ")</f>
        <v xml:space="preserve">   </v>
      </c>
      <c r="BQ150" s="30"/>
      <c r="BR150" s="30"/>
      <c r="BS150" s="30"/>
      <c r="BT150" s="30"/>
      <c r="BU150" s="30"/>
      <c r="BV150" s="30"/>
      <c r="BW150" s="30"/>
      <c r="BX150" s="30"/>
      <c r="BY150" s="30"/>
      <c r="BZ150" s="30"/>
      <c r="CA150" s="30"/>
      <c r="CD150" s="54">
        <v>71</v>
      </c>
      <c r="CE150" s="54"/>
      <c r="CF150" s="54"/>
      <c r="CH150" s="59" t="str">
        <f t="shared" ref="CH150" si="418">AA150</f>
        <v xml:space="preserve">   </v>
      </c>
      <c r="CI150" s="59"/>
      <c r="CJ150" s="59"/>
      <c r="CK150" s="59"/>
      <c r="CL150" s="59"/>
      <c r="CM150" s="59"/>
      <c r="CN150" s="59"/>
      <c r="CO150" s="59"/>
      <c r="CP150" s="59"/>
      <c r="CQ150" s="59"/>
      <c r="CR150" s="59"/>
      <c r="CS150" s="59"/>
      <c r="CU150" s="24">
        <f t="shared" ref="CU150" si="419">IFERROR(INDEX($BE$10:$BE$269,MATCH(CH150,$BP$10:$BP$269,0)),0)</f>
        <v>0</v>
      </c>
      <c r="CV150" s="24"/>
      <c r="CW150" s="24"/>
    </row>
    <row r="151" spans="5:101" ht="7.5" customHeight="1" x14ac:dyDescent="0.2">
      <c r="E151" s="41"/>
      <c r="F151" s="61"/>
      <c r="G151" s="61"/>
      <c r="H151" s="61"/>
      <c r="I151" s="42"/>
      <c r="J151" s="63"/>
      <c r="K151" s="41"/>
      <c r="L151" s="61"/>
      <c r="M151" s="61"/>
      <c r="N151" s="42"/>
      <c r="O151" s="41"/>
      <c r="P151" s="42"/>
      <c r="Q151" s="41"/>
      <c r="R151" s="42"/>
      <c r="S151" s="41"/>
      <c r="T151" s="42"/>
      <c r="U151" s="41"/>
      <c r="V151" s="61"/>
      <c r="W151" s="61"/>
      <c r="X151" s="61"/>
      <c r="Y151" s="42"/>
      <c r="Z151" s="29"/>
      <c r="AA151" s="29"/>
      <c r="AB151" s="29"/>
      <c r="AC151" s="29"/>
      <c r="AD151" s="29"/>
      <c r="AE151" s="43"/>
      <c r="AF151" s="43"/>
      <c r="AG151" s="44"/>
      <c r="AH151" s="46"/>
      <c r="AI151" s="47"/>
      <c r="AJ151" s="43"/>
      <c r="AK151" s="43"/>
      <c r="AL151" s="43"/>
      <c r="AM151" s="43"/>
      <c r="AN151" s="44"/>
      <c r="AO151" s="46"/>
      <c r="AP151" s="47"/>
      <c r="AQ151" s="43"/>
      <c r="AR151" s="43"/>
      <c r="AS151" s="43"/>
      <c r="AT151" s="43"/>
      <c r="AU151" s="44"/>
      <c r="AV151" s="46"/>
      <c r="AW151" s="47"/>
      <c r="AX151" s="43"/>
      <c r="AY151" s="43"/>
      <c r="AZ151" s="51"/>
      <c r="BA151" s="52"/>
      <c r="BB151" s="52"/>
      <c r="BC151" s="53"/>
      <c r="BE151" s="38"/>
      <c r="BF151" s="38"/>
      <c r="BG151" s="3"/>
      <c r="BH151" s="30"/>
      <c r="BI151" s="30"/>
      <c r="BJ151" s="30"/>
      <c r="BK151" s="30"/>
      <c r="BL151" s="30"/>
      <c r="BM151" s="30"/>
      <c r="BN151" s="30"/>
      <c r="BO151" s="30"/>
      <c r="BP151" s="30"/>
      <c r="BQ151" s="30"/>
      <c r="BR151" s="30"/>
      <c r="BS151" s="30"/>
      <c r="BT151" s="30"/>
      <c r="BU151" s="30"/>
      <c r="BV151" s="30"/>
      <c r="BW151" s="30"/>
      <c r="BX151" s="30"/>
      <c r="BY151" s="30"/>
      <c r="BZ151" s="30"/>
      <c r="CA151" s="30"/>
      <c r="CD151" s="55"/>
      <c r="CE151" s="55"/>
      <c r="CF151" s="55"/>
      <c r="CH151" s="56"/>
      <c r="CI151" s="56"/>
      <c r="CJ151" s="56"/>
      <c r="CK151" s="56"/>
      <c r="CL151" s="56"/>
      <c r="CM151" s="56"/>
      <c r="CN151" s="56"/>
      <c r="CO151" s="56"/>
      <c r="CP151" s="56"/>
      <c r="CQ151" s="56"/>
      <c r="CR151" s="56"/>
      <c r="CS151" s="56"/>
      <c r="CU151" s="25"/>
      <c r="CV151" s="25"/>
      <c r="CW151" s="25"/>
    </row>
    <row r="152" spans="5:101" ht="7.5" customHeight="1" x14ac:dyDescent="0.2">
      <c r="E152" s="39">
        <f>IFERROR(IF(BP152="","-",RANK(S152,$S$10:$T$264,0)+RANK(Q152,$Q$10:$R$264,0)%+RANK(O152,$O$10:$P$264,0)%%+ROW()%%%),"-")</f>
        <v>12.131852</v>
      </c>
      <c r="F152" s="60"/>
      <c r="G152" s="60"/>
      <c r="H152" s="60"/>
      <c r="I152" s="40"/>
      <c r="J152" s="62">
        <f>IFERROR(IF(E152="","",RANK(E152,$E$10:$I$264,1)),"-")</f>
        <v>60</v>
      </c>
      <c r="K152" s="39" t="str">
        <f t="shared" ref="K152" si="420">BP152</f>
        <v xml:space="preserve">   </v>
      </c>
      <c r="L152" s="60"/>
      <c r="M152" s="60"/>
      <c r="N152" s="40"/>
      <c r="O152" s="39">
        <f t="shared" ref="O152" si="421">SUM(AE152-AI152)</f>
        <v>0</v>
      </c>
      <c r="P152" s="40"/>
      <c r="Q152" s="39">
        <f t="shared" ref="Q152" si="422">SUM(AL152-AP152)</f>
        <v>0</v>
      </c>
      <c r="R152" s="40"/>
      <c r="S152" s="39">
        <f t="shared" ref="S152" si="423">SUM(AS152-AW152)</f>
        <v>0</v>
      </c>
      <c r="T152" s="40"/>
      <c r="U152" s="39">
        <f>IFERROR(SMALL($E$10:$I$264,72),0)</f>
        <v>12.131876</v>
      </c>
      <c r="V152" s="60"/>
      <c r="W152" s="60"/>
      <c r="X152" s="60"/>
      <c r="Y152" s="40"/>
      <c r="Z152" s="29">
        <f>IFERROR(IF(U152="","",RANK(U152,$U$10:$Y$264,1)),0)</f>
        <v>72</v>
      </c>
      <c r="AA152" s="29" t="str">
        <f>IFERROR(INDEX($K$10:$K$264,MATCH(U152,$E$10:$E$264,0),1),0)</f>
        <v xml:space="preserve">   </v>
      </c>
      <c r="AB152" s="29"/>
      <c r="AC152" s="29"/>
      <c r="AD152" s="29"/>
      <c r="AE152" s="43"/>
      <c r="AF152" s="43"/>
      <c r="AG152" s="44"/>
      <c r="AH152" s="45" t="s">
        <v>19</v>
      </c>
      <c r="AI152" s="47"/>
      <c r="AJ152" s="43"/>
      <c r="AK152" s="43"/>
      <c r="AL152" s="43"/>
      <c r="AM152" s="43"/>
      <c r="AN152" s="44"/>
      <c r="AO152" s="45" t="s">
        <v>19</v>
      </c>
      <c r="AP152" s="47"/>
      <c r="AQ152" s="43"/>
      <c r="AR152" s="43"/>
      <c r="AS152" s="43"/>
      <c r="AT152" s="43"/>
      <c r="AU152" s="44"/>
      <c r="AV152" s="45" t="s">
        <v>19</v>
      </c>
      <c r="AW152" s="47"/>
      <c r="AX152" s="43"/>
      <c r="AY152" s="43"/>
      <c r="AZ152" s="48">
        <f>IFERROR(IF(E152="","",RANK(E152,$E$10:$I$264,1)),0)</f>
        <v>60</v>
      </c>
      <c r="BA152" s="49"/>
      <c r="BB152" s="49"/>
      <c r="BC152" s="50"/>
      <c r="BE152" s="38"/>
      <c r="BF152" s="38"/>
      <c r="BG152" s="3"/>
      <c r="BH152" s="30" t="s">
        <v>91</v>
      </c>
      <c r="BI152" s="30"/>
      <c r="BJ152" s="30"/>
      <c r="BK152" s="30"/>
      <c r="BL152" s="30"/>
      <c r="BM152" s="30"/>
      <c r="BN152" s="30"/>
      <c r="BO152" s="30"/>
      <c r="BP152" s="30" t="str">
        <f>IF(BE152&gt;0,VLOOKUP(BE152,'[3]Infos joueurs'!$B:$BT,11,FALSE)," ")&amp;" "&amp;IF(BE152&gt;0,VLOOKUP(BE152,'[3]Infos joueurs'!$B:$BT,27,FALSE)," ")</f>
        <v xml:space="preserve">   </v>
      </c>
      <c r="BQ152" s="30"/>
      <c r="BR152" s="30"/>
      <c r="BS152" s="30"/>
      <c r="BT152" s="30"/>
      <c r="BU152" s="30"/>
      <c r="BV152" s="30"/>
      <c r="BW152" s="30"/>
      <c r="BX152" s="30"/>
      <c r="BY152" s="30"/>
      <c r="BZ152" s="30"/>
      <c r="CA152" s="30"/>
      <c r="CD152" s="54">
        <v>72</v>
      </c>
      <c r="CE152" s="54"/>
      <c r="CF152" s="54"/>
      <c r="CH152" s="59" t="str">
        <f t="shared" ref="CH152" si="424">AA152</f>
        <v xml:space="preserve">   </v>
      </c>
      <c r="CI152" s="59"/>
      <c r="CJ152" s="59"/>
      <c r="CK152" s="59"/>
      <c r="CL152" s="59"/>
      <c r="CM152" s="59"/>
      <c r="CN152" s="59"/>
      <c r="CO152" s="59"/>
      <c r="CP152" s="59"/>
      <c r="CQ152" s="59"/>
      <c r="CR152" s="59"/>
      <c r="CS152" s="59"/>
      <c r="CU152" s="24">
        <f t="shared" ref="CU152" si="425">IFERROR(INDEX($BE$10:$BE$269,MATCH(CH152,$BP$10:$BP$269,0)),0)</f>
        <v>0</v>
      </c>
      <c r="CV152" s="24"/>
      <c r="CW152" s="24"/>
    </row>
    <row r="153" spans="5:101" ht="7.5" customHeight="1" x14ac:dyDescent="0.2">
      <c r="E153" s="41"/>
      <c r="F153" s="61"/>
      <c r="G153" s="61"/>
      <c r="H153" s="61"/>
      <c r="I153" s="42"/>
      <c r="J153" s="63"/>
      <c r="K153" s="41"/>
      <c r="L153" s="61"/>
      <c r="M153" s="61"/>
      <c r="N153" s="42"/>
      <c r="O153" s="41"/>
      <c r="P153" s="42"/>
      <c r="Q153" s="41"/>
      <c r="R153" s="42"/>
      <c r="S153" s="41"/>
      <c r="T153" s="42"/>
      <c r="U153" s="41"/>
      <c r="V153" s="61"/>
      <c r="W153" s="61"/>
      <c r="X153" s="61"/>
      <c r="Y153" s="42"/>
      <c r="Z153" s="29"/>
      <c r="AA153" s="29"/>
      <c r="AB153" s="29"/>
      <c r="AC153" s="29"/>
      <c r="AD153" s="29"/>
      <c r="AE153" s="43"/>
      <c r="AF153" s="43"/>
      <c r="AG153" s="44"/>
      <c r="AH153" s="46"/>
      <c r="AI153" s="47"/>
      <c r="AJ153" s="43"/>
      <c r="AK153" s="43"/>
      <c r="AL153" s="43"/>
      <c r="AM153" s="43"/>
      <c r="AN153" s="44"/>
      <c r="AO153" s="46"/>
      <c r="AP153" s="47"/>
      <c r="AQ153" s="43"/>
      <c r="AR153" s="43"/>
      <c r="AS153" s="43"/>
      <c r="AT153" s="43"/>
      <c r="AU153" s="44"/>
      <c r="AV153" s="46"/>
      <c r="AW153" s="47"/>
      <c r="AX153" s="43"/>
      <c r="AY153" s="43"/>
      <c r="AZ153" s="51"/>
      <c r="BA153" s="52"/>
      <c r="BB153" s="52"/>
      <c r="BC153" s="53"/>
      <c r="BE153" s="38"/>
      <c r="BF153" s="38"/>
      <c r="BG153" s="3"/>
      <c r="BH153" s="30"/>
      <c r="BI153" s="30"/>
      <c r="BJ153" s="30"/>
      <c r="BK153" s="30"/>
      <c r="BL153" s="30"/>
      <c r="BM153" s="30"/>
      <c r="BN153" s="30"/>
      <c r="BO153" s="30"/>
      <c r="BP153" s="30"/>
      <c r="BQ153" s="30"/>
      <c r="BR153" s="30"/>
      <c r="BS153" s="30"/>
      <c r="BT153" s="30"/>
      <c r="BU153" s="30"/>
      <c r="BV153" s="30"/>
      <c r="BW153" s="30"/>
      <c r="BX153" s="30"/>
      <c r="BY153" s="30"/>
      <c r="BZ153" s="30"/>
      <c r="CA153" s="30"/>
      <c r="CD153" s="55"/>
      <c r="CE153" s="55"/>
      <c r="CF153" s="55"/>
      <c r="CH153" s="56"/>
      <c r="CI153" s="56"/>
      <c r="CJ153" s="56"/>
      <c r="CK153" s="56"/>
      <c r="CL153" s="56"/>
      <c r="CM153" s="56"/>
      <c r="CN153" s="56"/>
      <c r="CO153" s="56"/>
      <c r="CP153" s="56"/>
      <c r="CQ153" s="56"/>
      <c r="CR153" s="56"/>
      <c r="CS153" s="56"/>
      <c r="CU153" s="25"/>
      <c r="CV153" s="25"/>
      <c r="CW153" s="25"/>
    </row>
    <row r="154" spans="5:101" ht="7.5" customHeight="1" x14ac:dyDescent="0.2">
      <c r="E154" s="39">
        <f>IFERROR(IF(BP154="","-",RANK(S154,$S$10:$T$264,0)+RANK(Q154,$Q$10:$R$264,0)%+RANK(O154,$O$10:$P$264,0)%%+ROW()%%%),"-")</f>
        <v>12.131854000000001</v>
      </c>
      <c r="F154" s="60"/>
      <c r="G154" s="60"/>
      <c r="H154" s="60"/>
      <c r="I154" s="40"/>
      <c r="J154" s="62">
        <f>IFERROR(IF(E154="","",RANK(E154,$E$10:$I$264,1)),"-")</f>
        <v>61</v>
      </c>
      <c r="K154" s="39" t="str">
        <f t="shared" ref="K154" si="426">BP154</f>
        <v xml:space="preserve">   </v>
      </c>
      <c r="L154" s="60"/>
      <c r="M154" s="60"/>
      <c r="N154" s="40"/>
      <c r="O154" s="39">
        <f t="shared" ref="O154" si="427">SUM(AE154-AI154)</f>
        <v>0</v>
      </c>
      <c r="P154" s="40"/>
      <c r="Q154" s="39">
        <f t="shared" ref="Q154" si="428">SUM(AL154-AP154)</f>
        <v>0</v>
      </c>
      <c r="R154" s="40"/>
      <c r="S154" s="39">
        <f t="shared" ref="S154" si="429">SUM(AS154-AW154)</f>
        <v>0</v>
      </c>
      <c r="T154" s="40"/>
      <c r="U154" s="39">
        <f>IFERROR(SMALL($E$10:$I$264,73),0)</f>
        <v>12.131878</v>
      </c>
      <c r="V154" s="60"/>
      <c r="W154" s="60"/>
      <c r="X154" s="60"/>
      <c r="Y154" s="40"/>
      <c r="Z154" s="29">
        <f>IFERROR(IF(U154="","",RANK(U154,$U$10:$Y$264,1)),0)</f>
        <v>73</v>
      </c>
      <c r="AA154" s="29" t="str">
        <f>IFERROR(INDEX($K$10:$K$264,MATCH(U154,$E$10:$E$264,0),1),0)</f>
        <v xml:space="preserve">   </v>
      </c>
      <c r="AB154" s="29"/>
      <c r="AC154" s="29"/>
      <c r="AD154" s="29"/>
      <c r="AE154" s="43"/>
      <c r="AF154" s="43"/>
      <c r="AG154" s="44"/>
      <c r="AH154" s="45" t="s">
        <v>19</v>
      </c>
      <c r="AI154" s="47"/>
      <c r="AJ154" s="43"/>
      <c r="AK154" s="43"/>
      <c r="AL154" s="43"/>
      <c r="AM154" s="43"/>
      <c r="AN154" s="44"/>
      <c r="AO154" s="45" t="s">
        <v>19</v>
      </c>
      <c r="AP154" s="47"/>
      <c r="AQ154" s="43"/>
      <c r="AR154" s="43"/>
      <c r="AS154" s="43"/>
      <c r="AT154" s="43"/>
      <c r="AU154" s="44"/>
      <c r="AV154" s="45" t="s">
        <v>19</v>
      </c>
      <c r="AW154" s="47"/>
      <c r="AX154" s="43"/>
      <c r="AY154" s="43"/>
      <c r="AZ154" s="48">
        <f>IFERROR(IF(E154="","",RANK(E154,$E$10:$I$264,1)),0)</f>
        <v>61</v>
      </c>
      <c r="BA154" s="49"/>
      <c r="BB154" s="49"/>
      <c r="BC154" s="50"/>
      <c r="BE154" s="38"/>
      <c r="BF154" s="38"/>
      <c r="BG154" s="3"/>
      <c r="BH154" s="30" t="s">
        <v>92</v>
      </c>
      <c r="BI154" s="30"/>
      <c r="BJ154" s="30"/>
      <c r="BK154" s="30"/>
      <c r="BL154" s="30"/>
      <c r="BM154" s="30"/>
      <c r="BN154" s="30"/>
      <c r="BO154" s="30"/>
      <c r="BP154" s="30" t="str">
        <f>IF(BE154&gt;0,VLOOKUP(BE154,'[3]Infos joueurs'!$B:$BT,11,FALSE)," ")&amp;" "&amp;IF(BE154&gt;0,VLOOKUP(BE154,'[3]Infos joueurs'!$B:$BT,27,FALSE)," ")</f>
        <v xml:space="preserve">   </v>
      </c>
      <c r="BQ154" s="30"/>
      <c r="BR154" s="30"/>
      <c r="BS154" s="30"/>
      <c r="BT154" s="30"/>
      <c r="BU154" s="30"/>
      <c r="BV154" s="30"/>
      <c r="BW154" s="30"/>
      <c r="BX154" s="30"/>
      <c r="BY154" s="30"/>
      <c r="BZ154" s="30"/>
      <c r="CA154" s="30"/>
      <c r="CD154" s="54">
        <v>73</v>
      </c>
      <c r="CE154" s="54"/>
      <c r="CF154" s="54"/>
      <c r="CH154" s="59" t="str">
        <f t="shared" ref="CH154" si="430">AA154</f>
        <v xml:space="preserve">   </v>
      </c>
      <c r="CI154" s="59"/>
      <c r="CJ154" s="59"/>
      <c r="CK154" s="59"/>
      <c r="CL154" s="59"/>
      <c r="CM154" s="59"/>
      <c r="CN154" s="59"/>
      <c r="CO154" s="59"/>
      <c r="CP154" s="59"/>
      <c r="CQ154" s="59"/>
      <c r="CR154" s="59"/>
      <c r="CS154" s="59"/>
      <c r="CU154" s="24">
        <f t="shared" ref="CU154" si="431">IFERROR(INDEX($BE$10:$BE$269,MATCH(CH154,$BP$10:$BP$269,0)),0)</f>
        <v>0</v>
      </c>
      <c r="CV154" s="24"/>
      <c r="CW154" s="24"/>
    </row>
    <row r="155" spans="5:101" ht="7.5" customHeight="1" x14ac:dyDescent="0.2">
      <c r="E155" s="41"/>
      <c r="F155" s="61"/>
      <c r="G155" s="61"/>
      <c r="H155" s="61"/>
      <c r="I155" s="42"/>
      <c r="J155" s="63"/>
      <c r="K155" s="41"/>
      <c r="L155" s="61"/>
      <c r="M155" s="61"/>
      <c r="N155" s="42"/>
      <c r="O155" s="41"/>
      <c r="P155" s="42"/>
      <c r="Q155" s="41"/>
      <c r="R155" s="42"/>
      <c r="S155" s="41"/>
      <c r="T155" s="42"/>
      <c r="U155" s="41"/>
      <c r="V155" s="61"/>
      <c r="W155" s="61"/>
      <c r="X155" s="61"/>
      <c r="Y155" s="42"/>
      <c r="Z155" s="29"/>
      <c r="AA155" s="29"/>
      <c r="AB155" s="29"/>
      <c r="AC155" s="29"/>
      <c r="AD155" s="29"/>
      <c r="AE155" s="43"/>
      <c r="AF155" s="43"/>
      <c r="AG155" s="44"/>
      <c r="AH155" s="46"/>
      <c r="AI155" s="47"/>
      <c r="AJ155" s="43"/>
      <c r="AK155" s="43"/>
      <c r="AL155" s="43"/>
      <c r="AM155" s="43"/>
      <c r="AN155" s="44"/>
      <c r="AO155" s="46"/>
      <c r="AP155" s="47"/>
      <c r="AQ155" s="43"/>
      <c r="AR155" s="43"/>
      <c r="AS155" s="43"/>
      <c r="AT155" s="43"/>
      <c r="AU155" s="44"/>
      <c r="AV155" s="46"/>
      <c r="AW155" s="47"/>
      <c r="AX155" s="43"/>
      <c r="AY155" s="43"/>
      <c r="AZ155" s="51"/>
      <c r="BA155" s="52"/>
      <c r="BB155" s="52"/>
      <c r="BC155" s="53"/>
      <c r="BE155" s="38"/>
      <c r="BF155" s="38"/>
      <c r="BG155" s="3"/>
      <c r="BH155" s="30"/>
      <c r="BI155" s="30"/>
      <c r="BJ155" s="30"/>
      <c r="BK155" s="30"/>
      <c r="BL155" s="30"/>
      <c r="BM155" s="30"/>
      <c r="BN155" s="30"/>
      <c r="BO155" s="30"/>
      <c r="BP155" s="30"/>
      <c r="BQ155" s="30"/>
      <c r="BR155" s="30"/>
      <c r="BS155" s="30"/>
      <c r="BT155" s="30"/>
      <c r="BU155" s="30"/>
      <c r="BV155" s="30"/>
      <c r="BW155" s="30"/>
      <c r="BX155" s="30"/>
      <c r="BY155" s="30"/>
      <c r="BZ155" s="30"/>
      <c r="CA155" s="30"/>
      <c r="CD155" s="55"/>
      <c r="CE155" s="55"/>
      <c r="CF155" s="55"/>
      <c r="CH155" s="56"/>
      <c r="CI155" s="56"/>
      <c r="CJ155" s="56"/>
      <c r="CK155" s="56"/>
      <c r="CL155" s="56"/>
      <c r="CM155" s="56"/>
      <c r="CN155" s="56"/>
      <c r="CO155" s="56"/>
      <c r="CP155" s="56"/>
      <c r="CQ155" s="56"/>
      <c r="CR155" s="56"/>
      <c r="CS155" s="56"/>
      <c r="CU155" s="25"/>
      <c r="CV155" s="25"/>
      <c r="CW155" s="25"/>
    </row>
    <row r="156" spans="5:101" ht="7.5" customHeight="1" x14ac:dyDescent="0.2">
      <c r="E156" s="39">
        <f>IFERROR(IF(BP156="","-",RANK(S156,$S$10:$T$264,0)+RANK(Q156,$Q$10:$R$264,0)%+RANK(O156,$O$10:$P$264,0)%%+ROW()%%%),"-")</f>
        <v>12.131856000000001</v>
      </c>
      <c r="F156" s="60"/>
      <c r="G156" s="60"/>
      <c r="H156" s="60"/>
      <c r="I156" s="40"/>
      <c r="J156" s="62">
        <f>IFERROR(IF(E156="","",RANK(E156,$E$10:$I$264,1)),"-")</f>
        <v>62</v>
      </c>
      <c r="K156" s="39" t="str">
        <f t="shared" ref="K156" si="432">BP156</f>
        <v xml:space="preserve">   </v>
      </c>
      <c r="L156" s="60"/>
      <c r="M156" s="60"/>
      <c r="N156" s="40"/>
      <c r="O156" s="39">
        <f t="shared" ref="O156" si="433">SUM(AE156-AI156)</f>
        <v>0</v>
      </c>
      <c r="P156" s="40"/>
      <c r="Q156" s="39">
        <f t="shared" ref="Q156" si="434">SUM(AL156-AP156)</f>
        <v>0</v>
      </c>
      <c r="R156" s="40"/>
      <c r="S156" s="39">
        <f t="shared" ref="S156" si="435">SUM(AS156-AW156)</f>
        <v>0</v>
      </c>
      <c r="T156" s="40"/>
      <c r="U156" s="39">
        <f>IFERROR(SMALL($E$10:$I$264,74),0)</f>
        <v>12.131880000000001</v>
      </c>
      <c r="V156" s="60"/>
      <c r="W156" s="60"/>
      <c r="X156" s="60"/>
      <c r="Y156" s="40"/>
      <c r="Z156" s="29">
        <f>IFERROR(IF(U156="","",RANK(U156,$U$10:$Y$264,1)),0)</f>
        <v>74</v>
      </c>
      <c r="AA156" s="29" t="str">
        <f>IFERROR(INDEX($K$10:$K$264,MATCH(U156,$E$10:$E$264,0),1),0)</f>
        <v xml:space="preserve">   </v>
      </c>
      <c r="AB156" s="29"/>
      <c r="AC156" s="29"/>
      <c r="AD156" s="29"/>
      <c r="AE156" s="43"/>
      <c r="AF156" s="43"/>
      <c r="AG156" s="44"/>
      <c r="AH156" s="45" t="s">
        <v>19</v>
      </c>
      <c r="AI156" s="47"/>
      <c r="AJ156" s="43"/>
      <c r="AK156" s="43"/>
      <c r="AL156" s="43"/>
      <c r="AM156" s="43"/>
      <c r="AN156" s="44"/>
      <c r="AO156" s="45" t="s">
        <v>19</v>
      </c>
      <c r="AP156" s="47"/>
      <c r="AQ156" s="43"/>
      <c r="AR156" s="43"/>
      <c r="AS156" s="43"/>
      <c r="AT156" s="43"/>
      <c r="AU156" s="44"/>
      <c r="AV156" s="45" t="s">
        <v>19</v>
      </c>
      <c r="AW156" s="47"/>
      <c r="AX156" s="43"/>
      <c r="AY156" s="43"/>
      <c r="AZ156" s="48">
        <f>IFERROR(IF(E156="","",RANK(E156,$E$10:$I$264,1)),0)</f>
        <v>62</v>
      </c>
      <c r="BA156" s="49"/>
      <c r="BB156" s="49"/>
      <c r="BC156" s="50"/>
      <c r="BE156" s="38"/>
      <c r="BF156" s="38"/>
      <c r="BG156" s="3"/>
      <c r="BH156" s="30" t="s">
        <v>93</v>
      </c>
      <c r="BI156" s="30"/>
      <c r="BJ156" s="30"/>
      <c r="BK156" s="30"/>
      <c r="BL156" s="30"/>
      <c r="BM156" s="30"/>
      <c r="BN156" s="30"/>
      <c r="BO156" s="30"/>
      <c r="BP156" s="30" t="str">
        <f>IF(BE156&gt;0,VLOOKUP(BE156,'[3]Infos joueurs'!$B:$BT,11,FALSE)," ")&amp;" "&amp;IF(BE156&gt;0,VLOOKUP(BE156,'[3]Infos joueurs'!$B:$BT,27,FALSE)," ")</f>
        <v xml:space="preserve">   </v>
      </c>
      <c r="BQ156" s="30"/>
      <c r="BR156" s="30"/>
      <c r="BS156" s="30"/>
      <c r="BT156" s="30"/>
      <c r="BU156" s="30"/>
      <c r="BV156" s="30"/>
      <c r="BW156" s="30"/>
      <c r="BX156" s="30"/>
      <c r="BY156" s="30"/>
      <c r="BZ156" s="30"/>
      <c r="CA156" s="30"/>
      <c r="CD156" s="54">
        <v>74</v>
      </c>
      <c r="CE156" s="54"/>
      <c r="CF156" s="54"/>
      <c r="CH156" s="59" t="str">
        <f t="shared" ref="CH156" si="436">AA156</f>
        <v xml:space="preserve">   </v>
      </c>
      <c r="CI156" s="59"/>
      <c r="CJ156" s="59"/>
      <c r="CK156" s="59"/>
      <c r="CL156" s="59"/>
      <c r="CM156" s="59"/>
      <c r="CN156" s="59"/>
      <c r="CO156" s="59"/>
      <c r="CP156" s="59"/>
      <c r="CQ156" s="59"/>
      <c r="CR156" s="59"/>
      <c r="CS156" s="59"/>
      <c r="CU156" s="24">
        <f t="shared" ref="CU156" si="437">IFERROR(INDEX($BE$10:$BE$269,MATCH(CH156,$BP$10:$BP$269,0)),0)</f>
        <v>0</v>
      </c>
      <c r="CV156" s="24"/>
      <c r="CW156" s="24"/>
    </row>
    <row r="157" spans="5:101" ht="7.5" customHeight="1" x14ac:dyDescent="0.2">
      <c r="E157" s="41"/>
      <c r="F157" s="61"/>
      <c r="G157" s="61"/>
      <c r="H157" s="61"/>
      <c r="I157" s="42"/>
      <c r="J157" s="63"/>
      <c r="K157" s="41"/>
      <c r="L157" s="61"/>
      <c r="M157" s="61"/>
      <c r="N157" s="42"/>
      <c r="O157" s="41"/>
      <c r="P157" s="42"/>
      <c r="Q157" s="41"/>
      <c r="R157" s="42"/>
      <c r="S157" s="41"/>
      <c r="T157" s="42"/>
      <c r="U157" s="41"/>
      <c r="V157" s="61"/>
      <c r="W157" s="61"/>
      <c r="X157" s="61"/>
      <c r="Y157" s="42"/>
      <c r="Z157" s="29"/>
      <c r="AA157" s="29"/>
      <c r="AB157" s="29"/>
      <c r="AC157" s="29"/>
      <c r="AD157" s="29"/>
      <c r="AE157" s="43"/>
      <c r="AF157" s="43"/>
      <c r="AG157" s="44"/>
      <c r="AH157" s="46"/>
      <c r="AI157" s="47"/>
      <c r="AJ157" s="43"/>
      <c r="AK157" s="43"/>
      <c r="AL157" s="43"/>
      <c r="AM157" s="43"/>
      <c r="AN157" s="44"/>
      <c r="AO157" s="46"/>
      <c r="AP157" s="47"/>
      <c r="AQ157" s="43"/>
      <c r="AR157" s="43"/>
      <c r="AS157" s="43"/>
      <c r="AT157" s="43"/>
      <c r="AU157" s="44"/>
      <c r="AV157" s="46"/>
      <c r="AW157" s="47"/>
      <c r="AX157" s="43"/>
      <c r="AY157" s="43"/>
      <c r="AZ157" s="51"/>
      <c r="BA157" s="52"/>
      <c r="BB157" s="52"/>
      <c r="BC157" s="53"/>
      <c r="BE157" s="38"/>
      <c r="BF157" s="38"/>
      <c r="BG157" s="3"/>
      <c r="BH157" s="30"/>
      <c r="BI157" s="30"/>
      <c r="BJ157" s="30"/>
      <c r="BK157" s="30"/>
      <c r="BL157" s="30"/>
      <c r="BM157" s="30"/>
      <c r="BN157" s="30"/>
      <c r="BO157" s="30"/>
      <c r="BP157" s="30"/>
      <c r="BQ157" s="30"/>
      <c r="BR157" s="30"/>
      <c r="BS157" s="30"/>
      <c r="BT157" s="30"/>
      <c r="BU157" s="30"/>
      <c r="BV157" s="30"/>
      <c r="BW157" s="30"/>
      <c r="BX157" s="30"/>
      <c r="BY157" s="30"/>
      <c r="BZ157" s="30"/>
      <c r="CA157" s="30"/>
      <c r="CD157" s="55"/>
      <c r="CE157" s="55"/>
      <c r="CF157" s="55"/>
      <c r="CH157" s="56"/>
      <c r="CI157" s="56"/>
      <c r="CJ157" s="56"/>
      <c r="CK157" s="56"/>
      <c r="CL157" s="56"/>
      <c r="CM157" s="56"/>
      <c r="CN157" s="56"/>
      <c r="CO157" s="56"/>
      <c r="CP157" s="56"/>
      <c r="CQ157" s="56"/>
      <c r="CR157" s="56"/>
      <c r="CS157" s="56"/>
      <c r="CU157" s="25"/>
      <c r="CV157" s="25"/>
      <c r="CW157" s="25"/>
    </row>
    <row r="158" spans="5:101" ht="7.5" customHeight="1" x14ac:dyDescent="0.2">
      <c r="E158" s="39">
        <f>IFERROR(IF(BP158="","-",RANK(S158,$S$10:$T$264,0)+RANK(Q158,$Q$10:$R$264,0)%+RANK(O158,$O$10:$P$264,0)%%+ROW()%%%),"-")</f>
        <v>12.131858000000001</v>
      </c>
      <c r="F158" s="60"/>
      <c r="G158" s="60"/>
      <c r="H158" s="60"/>
      <c r="I158" s="40"/>
      <c r="J158" s="62">
        <f>IFERROR(IF(E158="","",RANK(E158,$E$10:$I$264,1)),"-")</f>
        <v>63</v>
      </c>
      <c r="K158" s="39" t="str">
        <f t="shared" ref="K158" si="438">BP158</f>
        <v xml:space="preserve">   </v>
      </c>
      <c r="L158" s="60"/>
      <c r="M158" s="60"/>
      <c r="N158" s="40"/>
      <c r="O158" s="39">
        <f t="shared" ref="O158" si="439">SUM(AE158-AI158)</f>
        <v>0</v>
      </c>
      <c r="P158" s="40"/>
      <c r="Q158" s="39">
        <f t="shared" ref="Q158" si="440">SUM(AL158-AP158)</f>
        <v>0</v>
      </c>
      <c r="R158" s="40"/>
      <c r="S158" s="39">
        <f t="shared" ref="S158" si="441">SUM(AS158-AW158)</f>
        <v>0</v>
      </c>
      <c r="T158" s="40"/>
      <c r="U158" s="39">
        <f>IFERROR(SMALL($E$10:$I$264,75),0)</f>
        <v>12.131882000000001</v>
      </c>
      <c r="V158" s="60"/>
      <c r="W158" s="60"/>
      <c r="X158" s="60"/>
      <c r="Y158" s="40"/>
      <c r="Z158" s="29">
        <f>IFERROR(IF(U158="","",RANK(U158,$U$10:$Y$264,1)),0)</f>
        <v>75</v>
      </c>
      <c r="AA158" s="29" t="str">
        <f>IFERROR(INDEX($K$10:$K$264,MATCH(U158,$E$10:$E$264,0),1),0)</f>
        <v xml:space="preserve">   </v>
      </c>
      <c r="AB158" s="29"/>
      <c r="AC158" s="29"/>
      <c r="AD158" s="29"/>
      <c r="AE158" s="43"/>
      <c r="AF158" s="43"/>
      <c r="AG158" s="44"/>
      <c r="AH158" s="45" t="s">
        <v>19</v>
      </c>
      <c r="AI158" s="47"/>
      <c r="AJ158" s="43"/>
      <c r="AK158" s="43"/>
      <c r="AL158" s="43"/>
      <c r="AM158" s="43"/>
      <c r="AN158" s="44"/>
      <c r="AO158" s="45" t="s">
        <v>19</v>
      </c>
      <c r="AP158" s="47"/>
      <c r="AQ158" s="43"/>
      <c r="AR158" s="43"/>
      <c r="AS158" s="43"/>
      <c r="AT158" s="43"/>
      <c r="AU158" s="44"/>
      <c r="AV158" s="45" t="s">
        <v>19</v>
      </c>
      <c r="AW158" s="47"/>
      <c r="AX158" s="43"/>
      <c r="AY158" s="43"/>
      <c r="AZ158" s="48">
        <f>IFERROR(IF(E158="","",RANK(E158,$E$10:$I$264,1)),0)</f>
        <v>63</v>
      </c>
      <c r="BA158" s="49"/>
      <c r="BB158" s="49"/>
      <c r="BC158" s="50"/>
      <c r="BE158" s="38"/>
      <c r="BF158" s="38"/>
      <c r="BG158" s="3"/>
      <c r="BH158" s="30" t="s">
        <v>94</v>
      </c>
      <c r="BI158" s="30"/>
      <c r="BJ158" s="30"/>
      <c r="BK158" s="30"/>
      <c r="BL158" s="30"/>
      <c r="BM158" s="30"/>
      <c r="BN158" s="30"/>
      <c r="BO158" s="30"/>
      <c r="BP158" s="30" t="str">
        <f>IF(BE158&gt;0,VLOOKUP(BE158,'[3]Infos joueurs'!$B:$BT,11,FALSE)," ")&amp;" "&amp;IF(BE158&gt;0,VLOOKUP(BE158,'[3]Infos joueurs'!$B:$BT,27,FALSE)," ")</f>
        <v xml:space="preserve">   </v>
      </c>
      <c r="BQ158" s="30"/>
      <c r="BR158" s="30"/>
      <c r="BS158" s="30"/>
      <c r="BT158" s="30"/>
      <c r="BU158" s="30"/>
      <c r="BV158" s="30"/>
      <c r="BW158" s="30"/>
      <c r="BX158" s="30"/>
      <c r="BY158" s="30"/>
      <c r="BZ158" s="30"/>
      <c r="CA158" s="30"/>
      <c r="CD158" s="54">
        <v>75</v>
      </c>
      <c r="CE158" s="54"/>
      <c r="CF158" s="54"/>
      <c r="CH158" s="59" t="str">
        <f t="shared" ref="CH158" si="442">AA158</f>
        <v xml:space="preserve">   </v>
      </c>
      <c r="CI158" s="59"/>
      <c r="CJ158" s="59"/>
      <c r="CK158" s="59"/>
      <c r="CL158" s="59"/>
      <c r="CM158" s="59"/>
      <c r="CN158" s="59"/>
      <c r="CO158" s="59"/>
      <c r="CP158" s="59"/>
      <c r="CQ158" s="59"/>
      <c r="CR158" s="59"/>
      <c r="CS158" s="59"/>
      <c r="CU158" s="24">
        <f t="shared" ref="CU158" si="443">IFERROR(INDEX($BE$10:$BE$269,MATCH(CH158,$BP$10:$BP$269,0)),0)</f>
        <v>0</v>
      </c>
      <c r="CV158" s="24"/>
      <c r="CW158" s="24"/>
    </row>
    <row r="159" spans="5:101" ht="7.5" customHeight="1" x14ac:dyDescent="0.2">
      <c r="E159" s="41"/>
      <c r="F159" s="61"/>
      <c r="G159" s="61"/>
      <c r="H159" s="61"/>
      <c r="I159" s="42"/>
      <c r="J159" s="63"/>
      <c r="K159" s="41"/>
      <c r="L159" s="61"/>
      <c r="M159" s="61"/>
      <c r="N159" s="42"/>
      <c r="O159" s="41"/>
      <c r="P159" s="42"/>
      <c r="Q159" s="41"/>
      <c r="R159" s="42"/>
      <c r="S159" s="41"/>
      <c r="T159" s="42"/>
      <c r="U159" s="41"/>
      <c r="V159" s="61"/>
      <c r="W159" s="61"/>
      <c r="X159" s="61"/>
      <c r="Y159" s="42"/>
      <c r="Z159" s="29"/>
      <c r="AA159" s="29"/>
      <c r="AB159" s="29"/>
      <c r="AC159" s="29"/>
      <c r="AD159" s="29"/>
      <c r="AE159" s="43"/>
      <c r="AF159" s="43"/>
      <c r="AG159" s="44"/>
      <c r="AH159" s="46"/>
      <c r="AI159" s="47"/>
      <c r="AJ159" s="43"/>
      <c r="AK159" s="43"/>
      <c r="AL159" s="43"/>
      <c r="AM159" s="43"/>
      <c r="AN159" s="44"/>
      <c r="AO159" s="46"/>
      <c r="AP159" s="47"/>
      <c r="AQ159" s="43"/>
      <c r="AR159" s="43"/>
      <c r="AS159" s="43"/>
      <c r="AT159" s="43"/>
      <c r="AU159" s="44"/>
      <c r="AV159" s="46"/>
      <c r="AW159" s="47"/>
      <c r="AX159" s="43"/>
      <c r="AY159" s="43"/>
      <c r="AZ159" s="51"/>
      <c r="BA159" s="52"/>
      <c r="BB159" s="52"/>
      <c r="BC159" s="53"/>
      <c r="BE159" s="38"/>
      <c r="BF159" s="38"/>
      <c r="BG159" s="3"/>
      <c r="BH159" s="30"/>
      <c r="BI159" s="30"/>
      <c r="BJ159" s="30"/>
      <c r="BK159" s="30"/>
      <c r="BL159" s="30"/>
      <c r="BM159" s="30"/>
      <c r="BN159" s="30"/>
      <c r="BO159" s="30"/>
      <c r="BP159" s="30"/>
      <c r="BQ159" s="30"/>
      <c r="BR159" s="30"/>
      <c r="BS159" s="30"/>
      <c r="BT159" s="30"/>
      <c r="BU159" s="30"/>
      <c r="BV159" s="30"/>
      <c r="BW159" s="30"/>
      <c r="BX159" s="30"/>
      <c r="BY159" s="30"/>
      <c r="BZ159" s="30"/>
      <c r="CA159" s="30"/>
      <c r="CD159" s="55"/>
      <c r="CE159" s="55"/>
      <c r="CF159" s="55"/>
      <c r="CH159" s="56"/>
      <c r="CI159" s="56"/>
      <c r="CJ159" s="56"/>
      <c r="CK159" s="56"/>
      <c r="CL159" s="56"/>
      <c r="CM159" s="56"/>
      <c r="CN159" s="56"/>
      <c r="CO159" s="56"/>
      <c r="CP159" s="56"/>
      <c r="CQ159" s="56"/>
      <c r="CR159" s="56"/>
      <c r="CS159" s="56"/>
      <c r="CU159" s="25"/>
      <c r="CV159" s="25"/>
      <c r="CW159" s="25"/>
    </row>
    <row r="160" spans="5:101" ht="7.5" customHeight="1" x14ac:dyDescent="0.2">
      <c r="E160" s="39">
        <f>IFERROR(IF(BP160="","-",RANK(S160,$S$10:$T$264,0)+RANK(Q160,$Q$10:$R$264,0)%+RANK(O160,$O$10:$P$264,0)%%+ROW()%%%),"-")</f>
        <v>12.13186</v>
      </c>
      <c r="F160" s="60"/>
      <c r="G160" s="60"/>
      <c r="H160" s="60"/>
      <c r="I160" s="40"/>
      <c r="J160" s="62">
        <f>IFERROR(IF(E160="","",RANK(E160,$E$10:$I$264,1)),"-")</f>
        <v>64</v>
      </c>
      <c r="K160" s="39" t="str">
        <f t="shared" ref="K160" si="444">BP160</f>
        <v xml:space="preserve">   </v>
      </c>
      <c r="L160" s="60"/>
      <c r="M160" s="60"/>
      <c r="N160" s="40"/>
      <c r="O160" s="39">
        <f t="shared" ref="O160" si="445">SUM(AE160-AI160)</f>
        <v>0</v>
      </c>
      <c r="P160" s="40"/>
      <c r="Q160" s="39">
        <f t="shared" ref="Q160" si="446">SUM(AL160-AP160)</f>
        <v>0</v>
      </c>
      <c r="R160" s="40"/>
      <c r="S160" s="39">
        <f t="shared" ref="S160" si="447">SUM(AS160-AW160)</f>
        <v>0</v>
      </c>
      <c r="T160" s="40"/>
      <c r="U160" s="39">
        <f>IFERROR(SMALL($E$10:$I$264,76),0)</f>
        <v>12.131884000000001</v>
      </c>
      <c r="V160" s="60"/>
      <c r="W160" s="60"/>
      <c r="X160" s="60"/>
      <c r="Y160" s="40"/>
      <c r="Z160" s="29">
        <f>IFERROR(IF(U160="","",RANK(U160,$U$10:$Y$264,1)),0)</f>
        <v>76</v>
      </c>
      <c r="AA160" s="29" t="str">
        <f>IFERROR(INDEX($K$10:$K$264,MATCH(U160,$E$10:$E$264,0),1),0)</f>
        <v xml:space="preserve">   </v>
      </c>
      <c r="AB160" s="29"/>
      <c r="AC160" s="29"/>
      <c r="AD160" s="29"/>
      <c r="AE160" s="43"/>
      <c r="AF160" s="43"/>
      <c r="AG160" s="44"/>
      <c r="AH160" s="45" t="s">
        <v>19</v>
      </c>
      <c r="AI160" s="47"/>
      <c r="AJ160" s="43"/>
      <c r="AK160" s="43"/>
      <c r="AL160" s="43"/>
      <c r="AM160" s="43"/>
      <c r="AN160" s="44"/>
      <c r="AO160" s="45" t="s">
        <v>19</v>
      </c>
      <c r="AP160" s="47"/>
      <c r="AQ160" s="43"/>
      <c r="AR160" s="43"/>
      <c r="AS160" s="43"/>
      <c r="AT160" s="43"/>
      <c r="AU160" s="44"/>
      <c r="AV160" s="45" t="s">
        <v>19</v>
      </c>
      <c r="AW160" s="47"/>
      <c r="AX160" s="43"/>
      <c r="AY160" s="43"/>
      <c r="AZ160" s="48">
        <f>IFERROR(IF(E160="","",RANK(E160,$E$10:$I$264,1)),0)</f>
        <v>64</v>
      </c>
      <c r="BA160" s="49"/>
      <c r="BB160" s="49"/>
      <c r="BC160" s="50"/>
      <c r="BE160" s="38"/>
      <c r="BF160" s="38"/>
      <c r="BG160" s="3"/>
      <c r="BH160" s="30" t="s">
        <v>95</v>
      </c>
      <c r="BI160" s="30"/>
      <c r="BJ160" s="30"/>
      <c r="BK160" s="30"/>
      <c r="BL160" s="30"/>
      <c r="BM160" s="30"/>
      <c r="BN160" s="30"/>
      <c r="BO160" s="30"/>
      <c r="BP160" s="30" t="str">
        <f>IF(BE160&gt;0,VLOOKUP(BE160,'[3]Infos joueurs'!$B:$BT,11,FALSE)," ")&amp;" "&amp;IF(BE160&gt;0,VLOOKUP(BE160,'[3]Infos joueurs'!$B:$BT,27,FALSE)," ")</f>
        <v xml:space="preserve">   </v>
      </c>
      <c r="BQ160" s="30"/>
      <c r="BR160" s="30"/>
      <c r="BS160" s="30"/>
      <c r="BT160" s="30"/>
      <c r="BU160" s="30"/>
      <c r="BV160" s="30"/>
      <c r="BW160" s="30"/>
      <c r="BX160" s="30"/>
      <c r="BY160" s="30"/>
      <c r="BZ160" s="30"/>
      <c r="CA160" s="30"/>
      <c r="CD160" s="54">
        <v>76</v>
      </c>
      <c r="CE160" s="54"/>
      <c r="CF160" s="54"/>
      <c r="CH160" s="59" t="str">
        <f t="shared" ref="CH160" si="448">AA160</f>
        <v xml:space="preserve">   </v>
      </c>
      <c r="CI160" s="59"/>
      <c r="CJ160" s="59"/>
      <c r="CK160" s="59"/>
      <c r="CL160" s="59"/>
      <c r="CM160" s="59"/>
      <c r="CN160" s="59"/>
      <c r="CO160" s="59"/>
      <c r="CP160" s="59"/>
      <c r="CQ160" s="59"/>
      <c r="CR160" s="59"/>
      <c r="CS160" s="59"/>
      <c r="CU160" s="24">
        <f t="shared" ref="CU160" si="449">IFERROR(INDEX($BE$10:$BE$269,MATCH(CH160,$BP$10:$BP$269,0)),0)</f>
        <v>0</v>
      </c>
      <c r="CV160" s="24"/>
      <c r="CW160" s="24"/>
    </row>
    <row r="161" spans="5:101" ht="7.5" customHeight="1" x14ac:dyDescent="0.2">
      <c r="E161" s="41"/>
      <c r="F161" s="61"/>
      <c r="G161" s="61"/>
      <c r="H161" s="61"/>
      <c r="I161" s="42"/>
      <c r="J161" s="63"/>
      <c r="K161" s="41"/>
      <c r="L161" s="61"/>
      <c r="M161" s="61"/>
      <c r="N161" s="42"/>
      <c r="O161" s="41"/>
      <c r="P161" s="42"/>
      <c r="Q161" s="41"/>
      <c r="R161" s="42"/>
      <c r="S161" s="41"/>
      <c r="T161" s="42"/>
      <c r="U161" s="41"/>
      <c r="V161" s="61"/>
      <c r="W161" s="61"/>
      <c r="X161" s="61"/>
      <c r="Y161" s="42"/>
      <c r="Z161" s="29"/>
      <c r="AA161" s="29"/>
      <c r="AB161" s="29"/>
      <c r="AC161" s="29"/>
      <c r="AD161" s="29"/>
      <c r="AE161" s="43"/>
      <c r="AF161" s="43"/>
      <c r="AG161" s="44"/>
      <c r="AH161" s="46"/>
      <c r="AI161" s="47"/>
      <c r="AJ161" s="43"/>
      <c r="AK161" s="43"/>
      <c r="AL161" s="43"/>
      <c r="AM161" s="43"/>
      <c r="AN161" s="44"/>
      <c r="AO161" s="46"/>
      <c r="AP161" s="47"/>
      <c r="AQ161" s="43"/>
      <c r="AR161" s="43"/>
      <c r="AS161" s="43"/>
      <c r="AT161" s="43"/>
      <c r="AU161" s="44"/>
      <c r="AV161" s="46"/>
      <c r="AW161" s="47"/>
      <c r="AX161" s="43"/>
      <c r="AY161" s="43"/>
      <c r="AZ161" s="51"/>
      <c r="BA161" s="52"/>
      <c r="BB161" s="52"/>
      <c r="BC161" s="53"/>
      <c r="BE161" s="38"/>
      <c r="BF161" s="38"/>
      <c r="BG161" s="3"/>
      <c r="BH161" s="30"/>
      <c r="BI161" s="30"/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30"/>
      <c r="BV161" s="30"/>
      <c r="BW161" s="30"/>
      <c r="BX161" s="30"/>
      <c r="BY161" s="30"/>
      <c r="BZ161" s="30"/>
      <c r="CA161" s="30"/>
      <c r="CD161" s="55"/>
      <c r="CE161" s="55"/>
      <c r="CF161" s="55"/>
      <c r="CH161" s="56"/>
      <c r="CI161" s="56"/>
      <c r="CJ161" s="56"/>
      <c r="CK161" s="56"/>
      <c r="CL161" s="56"/>
      <c r="CM161" s="56"/>
      <c r="CN161" s="56"/>
      <c r="CO161" s="56"/>
      <c r="CP161" s="56"/>
      <c r="CQ161" s="56"/>
      <c r="CR161" s="56"/>
      <c r="CS161" s="56"/>
      <c r="CU161" s="25"/>
      <c r="CV161" s="25"/>
      <c r="CW161" s="25"/>
    </row>
    <row r="162" spans="5:101" ht="7.5" customHeight="1" x14ac:dyDescent="0.2">
      <c r="E162" s="39">
        <f>IFERROR(IF(BP162="","-",RANK(S162,$S$10:$T$264,0)+RANK(Q162,$Q$10:$R$264,0)%+RANK(O162,$O$10:$P$264,0)%%+ROW()%%%),"-")</f>
        <v>12.131862</v>
      </c>
      <c r="F162" s="60"/>
      <c r="G162" s="60"/>
      <c r="H162" s="60"/>
      <c r="I162" s="40"/>
      <c r="J162" s="62">
        <f>IFERROR(IF(E162="","",RANK(E162,$E$10:$I$264,1)),"-")</f>
        <v>65</v>
      </c>
      <c r="K162" s="39" t="str">
        <f t="shared" ref="K162" si="450">BP162</f>
        <v xml:space="preserve">   </v>
      </c>
      <c r="L162" s="60"/>
      <c r="M162" s="60"/>
      <c r="N162" s="40"/>
      <c r="O162" s="39">
        <f t="shared" ref="O162" si="451">SUM(AE162-AI162)</f>
        <v>0</v>
      </c>
      <c r="P162" s="40"/>
      <c r="Q162" s="39">
        <f t="shared" ref="Q162" si="452">SUM(AL162-AP162)</f>
        <v>0</v>
      </c>
      <c r="R162" s="40"/>
      <c r="S162" s="39">
        <f t="shared" ref="S162" si="453">SUM(AS162-AW162)</f>
        <v>0</v>
      </c>
      <c r="T162" s="40"/>
      <c r="U162" s="39">
        <f>IFERROR(SMALL($E$10:$I$264,77),0)</f>
        <v>12.131886</v>
      </c>
      <c r="V162" s="60"/>
      <c r="W162" s="60"/>
      <c r="X162" s="60"/>
      <c r="Y162" s="40"/>
      <c r="Z162" s="29">
        <f>IFERROR(IF(U162="","",RANK(U162,$U$10:$Y$264,1)),0)</f>
        <v>77</v>
      </c>
      <c r="AA162" s="29" t="str">
        <f>IFERROR(INDEX($K$10:$K$264,MATCH(U162,$E$10:$E$264,0),1),0)</f>
        <v xml:space="preserve">   </v>
      </c>
      <c r="AB162" s="29"/>
      <c r="AC162" s="29"/>
      <c r="AD162" s="29"/>
      <c r="AE162" s="43"/>
      <c r="AF162" s="43"/>
      <c r="AG162" s="44"/>
      <c r="AH162" s="45" t="s">
        <v>19</v>
      </c>
      <c r="AI162" s="47"/>
      <c r="AJ162" s="43"/>
      <c r="AK162" s="43"/>
      <c r="AL162" s="43"/>
      <c r="AM162" s="43"/>
      <c r="AN162" s="44"/>
      <c r="AO162" s="45" t="s">
        <v>19</v>
      </c>
      <c r="AP162" s="47"/>
      <c r="AQ162" s="43"/>
      <c r="AR162" s="43"/>
      <c r="AS162" s="43"/>
      <c r="AT162" s="43"/>
      <c r="AU162" s="44"/>
      <c r="AV162" s="45" t="s">
        <v>19</v>
      </c>
      <c r="AW162" s="47"/>
      <c r="AX162" s="43"/>
      <c r="AY162" s="43"/>
      <c r="AZ162" s="48">
        <f>IFERROR(IF(E162="","",RANK(E162,$E$10:$I$264,1)),0)</f>
        <v>65</v>
      </c>
      <c r="BA162" s="49"/>
      <c r="BB162" s="49"/>
      <c r="BC162" s="50"/>
      <c r="BE162" s="38"/>
      <c r="BF162" s="38"/>
      <c r="BG162" s="3"/>
      <c r="BH162" s="30" t="s">
        <v>96</v>
      </c>
      <c r="BI162" s="30"/>
      <c r="BJ162" s="30"/>
      <c r="BK162" s="30"/>
      <c r="BL162" s="30"/>
      <c r="BM162" s="30"/>
      <c r="BN162" s="30"/>
      <c r="BO162" s="30"/>
      <c r="BP162" s="30" t="str">
        <f>IF(BE162&gt;0,VLOOKUP(BE162,'[3]Infos joueurs'!$B:$BT,11,FALSE)," ")&amp;" "&amp;IF(BE162&gt;0,VLOOKUP(BE162,'[3]Infos joueurs'!$B:$BT,27,FALSE)," ")</f>
        <v xml:space="preserve">   </v>
      </c>
      <c r="BQ162" s="30"/>
      <c r="BR162" s="30"/>
      <c r="BS162" s="30"/>
      <c r="BT162" s="30"/>
      <c r="BU162" s="30"/>
      <c r="BV162" s="30"/>
      <c r="BW162" s="30"/>
      <c r="BX162" s="30"/>
      <c r="BY162" s="30"/>
      <c r="BZ162" s="30"/>
      <c r="CA162" s="30"/>
      <c r="CD162" s="54">
        <v>77</v>
      </c>
      <c r="CE162" s="54"/>
      <c r="CF162" s="54"/>
      <c r="CH162" s="59" t="str">
        <f t="shared" ref="CH162" si="454">AA162</f>
        <v xml:space="preserve">   </v>
      </c>
      <c r="CI162" s="59"/>
      <c r="CJ162" s="59"/>
      <c r="CK162" s="59"/>
      <c r="CL162" s="59"/>
      <c r="CM162" s="59"/>
      <c r="CN162" s="59"/>
      <c r="CO162" s="59"/>
      <c r="CP162" s="59"/>
      <c r="CQ162" s="59"/>
      <c r="CR162" s="59"/>
      <c r="CS162" s="59"/>
      <c r="CU162" s="24">
        <f t="shared" ref="CU162" si="455">IFERROR(INDEX($BE$10:$BE$269,MATCH(CH162,$BP$10:$BP$269,0)),0)</f>
        <v>0</v>
      </c>
      <c r="CV162" s="24"/>
      <c r="CW162" s="24"/>
    </row>
    <row r="163" spans="5:101" ht="7.5" customHeight="1" x14ac:dyDescent="0.2">
      <c r="E163" s="41"/>
      <c r="F163" s="61"/>
      <c r="G163" s="61"/>
      <c r="H163" s="61"/>
      <c r="I163" s="42"/>
      <c r="J163" s="63"/>
      <c r="K163" s="41"/>
      <c r="L163" s="61"/>
      <c r="M163" s="61"/>
      <c r="N163" s="42"/>
      <c r="O163" s="41"/>
      <c r="P163" s="42"/>
      <c r="Q163" s="41"/>
      <c r="R163" s="42"/>
      <c r="S163" s="41"/>
      <c r="T163" s="42"/>
      <c r="U163" s="41"/>
      <c r="V163" s="61"/>
      <c r="W163" s="61"/>
      <c r="X163" s="61"/>
      <c r="Y163" s="42"/>
      <c r="Z163" s="29"/>
      <c r="AA163" s="29"/>
      <c r="AB163" s="29"/>
      <c r="AC163" s="29"/>
      <c r="AD163" s="29"/>
      <c r="AE163" s="43"/>
      <c r="AF163" s="43"/>
      <c r="AG163" s="44"/>
      <c r="AH163" s="46"/>
      <c r="AI163" s="47"/>
      <c r="AJ163" s="43"/>
      <c r="AK163" s="43"/>
      <c r="AL163" s="43"/>
      <c r="AM163" s="43"/>
      <c r="AN163" s="44"/>
      <c r="AO163" s="46"/>
      <c r="AP163" s="47"/>
      <c r="AQ163" s="43"/>
      <c r="AR163" s="43"/>
      <c r="AS163" s="43"/>
      <c r="AT163" s="43"/>
      <c r="AU163" s="44"/>
      <c r="AV163" s="46"/>
      <c r="AW163" s="47"/>
      <c r="AX163" s="43"/>
      <c r="AY163" s="43"/>
      <c r="AZ163" s="51"/>
      <c r="BA163" s="52"/>
      <c r="BB163" s="52"/>
      <c r="BC163" s="53"/>
      <c r="BE163" s="38"/>
      <c r="BF163" s="38"/>
      <c r="BG163" s="3"/>
      <c r="BH163" s="30"/>
      <c r="BI163" s="30"/>
      <c r="BJ163" s="30"/>
      <c r="BK163" s="30"/>
      <c r="BL163" s="30"/>
      <c r="BM163" s="30"/>
      <c r="BN163" s="30"/>
      <c r="BO163" s="30"/>
      <c r="BP163" s="30"/>
      <c r="BQ163" s="30"/>
      <c r="BR163" s="30"/>
      <c r="BS163" s="30"/>
      <c r="BT163" s="30"/>
      <c r="BU163" s="30"/>
      <c r="BV163" s="30"/>
      <c r="BW163" s="30"/>
      <c r="BX163" s="30"/>
      <c r="BY163" s="30"/>
      <c r="BZ163" s="30"/>
      <c r="CA163" s="30"/>
      <c r="CD163" s="55"/>
      <c r="CE163" s="55"/>
      <c r="CF163" s="55"/>
      <c r="CH163" s="56"/>
      <c r="CI163" s="56"/>
      <c r="CJ163" s="56"/>
      <c r="CK163" s="56"/>
      <c r="CL163" s="56"/>
      <c r="CM163" s="56"/>
      <c r="CN163" s="56"/>
      <c r="CO163" s="56"/>
      <c r="CP163" s="56"/>
      <c r="CQ163" s="56"/>
      <c r="CR163" s="56"/>
      <c r="CS163" s="56"/>
      <c r="CU163" s="25"/>
      <c r="CV163" s="25"/>
      <c r="CW163" s="25"/>
    </row>
    <row r="164" spans="5:101" ht="7.5" customHeight="1" x14ac:dyDescent="0.2">
      <c r="E164" s="39">
        <f>IFERROR(IF(BP164="","-",RANK(S164,$S$10:$T$264,0)+RANK(Q164,$Q$10:$R$264,0)%+RANK(O164,$O$10:$P$264,0)%%+ROW()%%%),"-")</f>
        <v>12.131864</v>
      </c>
      <c r="F164" s="60"/>
      <c r="G164" s="60"/>
      <c r="H164" s="60"/>
      <c r="I164" s="40"/>
      <c r="J164" s="62">
        <f>IFERROR(IF(E164="","",RANK(E164,$E$10:$I$264,1)),"-")</f>
        <v>66</v>
      </c>
      <c r="K164" s="39" t="str">
        <f t="shared" ref="K164" si="456">BP164</f>
        <v xml:space="preserve">   </v>
      </c>
      <c r="L164" s="60"/>
      <c r="M164" s="60"/>
      <c r="N164" s="40"/>
      <c r="O164" s="39">
        <f t="shared" ref="O164" si="457">SUM(AE164-AI164)</f>
        <v>0</v>
      </c>
      <c r="P164" s="40"/>
      <c r="Q164" s="39">
        <f t="shared" ref="Q164" si="458">SUM(AL164-AP164)</f>
        <v>0</v>
      </c>
      <c r="R164" s="40"/>
      <c r="S164" s="39">
        <f t="shared" ref="S164" si="459">SUM(AS164-AW164)</f>
        <v>0</v>
      </c>
      <c r="T164" s="40"/>
      <c r="U164" s="39">
        <f>IFERROR(SMALL($E$10:$I$264,78),0)</f>
        <v>12.131888</v>
      </c>
      <c r="V164" s="60"/>
      <c r="W164" s="60"/>
      <c r="X164" s="60"/>
      <c r="Y164" s="40"/>
      <c r="Z164" s="29">
        <f>IFERROR(IF(U164="","",RANK(U164,$U$10:$Y$264,1)),0)</f>
        <v>78</v>
      </c>
      <c r="AA164" s="29" t="str">
        <f>IFERROR(INDEX($K$10:$K$264,MATCH(U164,$E$10:$E$264,0),1),0)</f>
        <v xml:space="preserve">   </v>
      </c>
      <c r="AB164" s="29"/>
      <c r="AC164" s="29"/>
      <c r="AD164" s="29"/>
      <c r="AE164" s="43"/>
      <c r="AF164" s="43"/>
      <c r="AG164" s="44"/>
      <c r="AH164" s="45" t="s">
        <v>19</v>
      </c>
      <c r="AI164" s="47"/>
      <c r="AJ164" s="43"/>
      <c r="AK164" s="43"/>
      <c r="AL164" s="43"/>
      <c r="AM164" s="43"/>
      <c r="AN164" s="44"/>
      <c r="AO164" s="45" t="s">
        <v>19</v>
      </c>
      <c r="AP164" s="47"/>
      <c r="AQ164" s="43"/>
      <c r="AR164" s="43"/>
      <c r="AS164" s="43"/>
      <c r="AT164" s="43"/>
      <c r="AU164" s="44"/>
      <c r="AV164" s="45" t="s">
        <v>19</v>
      </c>
      <c r="AW164" s="47"/>
      <c r="AX164" s="43"/>
      <c r="AY164" s="43"/>
      <c r="AZ164" s="48">
        <f>IFERROR(IF(E164="","",RANK(E164,$E$10:$I$264,1)),0)</f>
        <v>66</v>
      </c>
      <c r="BA164" s="49"/>
      <c r="BB164" s="49"/>
      <c r="BC164" s="50"/>
      <c r="BE164" s="38"/>
      <c r="BF164" s="38"/>
      <c r="BG164" s="3"/>
      <c r="BH164" s="30" t="s">
        <v>97</v>
      </c>
      <c r="BI164" s="30"/>
      <c r="BJ164" s="30"/>
      <c r="BK164" s="30"/>
      <c r="BL164" s="30"/>
      <c r="BM164" s="30"/>
      <c r="BN164" s="30"/>
      <c r="BO164" s="30"/>
      <c r="BP164" s="30" t="str">
        <f>IF(BE164&gt;0,VLOOKUP(BE164,'[3]Infos joueurs'!$B:$BT,11,FALSE)," ")&amp;" "&amp;IF(BE164&gt;0,VLOOKUP(BE164,'[3]Infos joueurs'!$B:$BT,27,FALSE)," ")</f>
        <v xml:space="preserve">   </v>
      </c>
      <c r="BQ164" s="30"/>
      <c r="BR164" s="30"/>
      <c r="BS164" s="30"/>
      <c r="BT164" s="30"/>
      <c r="BU164" s="30"/>
      <c r="BV164" s="30"/>
      <c r="BW164" s="30"/>
      <c r="BX164" s="30"/>
      <c r="BY164" s="30"/>
      <c r="BZ164" s="30"/>
      <c r="CA164" s="30"/>
      <c r="CD164" s="54">
        <v>78</v>
      </c>
      <c r="CE164" s="54"/>
      <c r="CF164" s="54"/>
      <c r="CH164" s="59" t="str">
        <f t="shared" ref="CH164" si="460">AA164</f>
        <v xml:space="preserve">   </v>
      </c>
      <c r="CI164" s="59"/>
      <c r="CJ164" s="59"/>
      <c r="CK164" s="59"/>
      <c r="CL164" s="59"/>
      <c r="CM164" s="59"/>
      <c r="CN164" s="59"/>
      <c r="CO164" s="59"/>
      <c r="CP164" s="59"/>
      <c r="CQ164" s="59"/>
      <c r="CR164" s="59"/>
      <c r="CS164" s="59"/>
      <c r="CU164" s="24">
        <f t="shared" ref="CU164" si="461">IFERROR(INDEX($BE$10:$BE$269,MATCH(CH164,$BP$10:$BP$269,0)),0)</f>
        <v>0</v>
      </c>
      <c r="CV164" s="24"/>
      <c r="CW164" s="24"/>
    </row>
    <row r="165" spans="5:101" ht="7.5" customHeight="1" x14ac:dyDescent="0.2">
      <c r="E165" s="41"/>
      <c r="F165" s="61"/>
      <c r="G165" s="61"/>
      <c r="H165" s="61"/>
      <c r="I165" s="42"/>
      <c r="J165" s="63"/>
      <c r="K165" s="41"/>
      <c r="L165" s="61"/>
      <c r="M165" s="61"/>
      <c r="N165" s="42"/>
      <c r="O165" s="41"/>
      <c r="P165" s="42"/>
      <c r="Q165" s="41"/>
      <c r="R165" s="42"/>
      <c r="S165" s="41"/>
      <c r="T165" s="42"/>
      <c r="U165" s="41"/>
      <c r="V165" s="61"/>
      <c r="W165" s="61"/>
      <c r="X165" s="61"/>
      <c r="Y165" s="42"/>
      <c r="Z165" s="29"/>
      <c r="AA165" s="29"/>
      <c r="AB165" s="29"/>
      <c r="AC165" s="29"/>
      <c r="AD165" s="29"/>
      <c r="AE165" s="43"/>
      <c r="AF165" s="43"/>
      <c r="AG165" s="44"/>
      <c r="AH165" s="46"/>
      <c r="AI165" s="47"/>
      <c r="AJ165" s="43"/>
      <c r="AK165" s="43"/>
      <c r="AL165" s="43"/>
      <c r="AM165" s="43"/>
      <c r="AN165" s="44"/>
      <c r="AO165" s="46"/>
      <c r="AP165" s="47"/>
      <c r="AQ165" s="43"/>
      <c r="AR165" s="43"/>
      <c r="AS165" s="43"/>
      <c r="AT165" s="43"/>
      <c r="AU165" s="44"/>
      <c r="AV165" s="46"/>
      <c r="AW165" s="47"/>
      <c r="AX165" s="43"/>
      <c r="AY165" s="43"/>
      <c r="AZ165" s="51"/>
      <c r="BA165" s="52"/>
      <c r="BB165" s="52"/>
      <c r="BC165" s="53"/>
      <c r="BE165" s="38"/>
      <c r="BF165" s="38"/>
      <c r="BG165" s="3"/>
      <c r="BH165" s="30"/>
      <c r="BI165" s="30"/>
      <c r="BJ165" s="30"/>
      <c r="BK165" s="30"/>
      <c r="BL165" s="30"/>
      <c r="BM165" s="30"/>
      <c r="BN165" s="30"/>
      <c r="BO165" s="30"/>
      <c r="BP165" s="30"/>
      <c r="BQ165" s="30"/>
      <c r="BR165" s="30"/>
      <c r="BS165" s="30"/>
      <c r="BT165" s="30"/>
      <c r="BU165" s="30"/>
      <c r="BV165" s="30"/>
      <c r="BW165" s="30"/>
      <c r="BX165" s="30"/>
      <c r="BY165" s="30"/>
      <c r="BZ165" s="30"/>
      <c r="CA165" s="30"/>
      <c r="CD165" s="55"/>
      <c r="CE165" s="55"/>
      <c r="CF165" s="55"/>
      <c r="CH165" s="56"/>
      <c r="CI165" s="56"/>
      <c r="CJ165" s="56"/>
      <c r="CK165" s="56"/>
      <c r="CL165" s="56"/>
      <c r="CM165" s="56"/>
      <c r="CN165" s="56"/>
      <c r="CO165" s="56"/>
      <c r="CP165" s="56"/>
      <c r="CQ165" s="56"/>
      <c r="CR165" s="56"/>
      <c r="CS165" s="56"/>
      <c r="CU165" s="25"/>
      <c r="CV165" s="25"/>
      <c r="CW165" s="25"/>
    </row>
    <row r="166" spans="5:101" ht="7.5" customHeight="1" x14ac:dyDescent="0.2">
      <c r="E166" s="39">
        <f>IFERROR(IF(BP166="","-",RANK(S166,$S$10:$T$264,0)+RANK(Q166,$Q$10:$R$264,0)%+RANK(O166,$O$10:$P$264,0)%%+ROW()%%%),"-")</f>
        <v>12.131866</v>
      </c>
      <c r="F166" s="60"/>
      <c r="G166" s="60"/>
      <c r="H166" s="60"/>
      <c r="I166" s="40"/>
      <c r="J166" s="62">
        <f>IFERROR(IF(E166="","",RANK(E166,$E$10:$I$264,1)),"-")</f>
        <v>67</v>
      </c>
      <c r="K166" s="39" t="str">
        <f t="shared" ref="K166" si="462">BP166</f>
        <v xml:space="preserve">   </v>
      </c>
      <c r="L166" s="60"/>
      <c r="M166" s="60"/>
      <c r="N166" s="40"/>
      <c r="O166" s="39">
        <f t="shared" ref="O166" si="463">SUM(AE166-AI166)</f>
        <v>0</v>
      </c>
      <c r="P166" s="40"/>
      <c r="Q166" s="39">
        <f t="shared" ref="Q166" si="464">SUM(AL166-AP166)</f>
        <v>0</v>
      </c>
      <c r="R166" s="40"/>
      <c r="S166" s="39">
        <f t="shared" ref="S166" si="465">SUM(AS166-AW166)</f>
        <v>0</v>
      </c>
      <c r="T166" s="40"/>
      <c r="U166" s="39">
        <f>IFERROR(SMALL($E$10:$I$264,79),0)</f>
        <v>12.13189</v>
      </c>
      <c r="V166" s="60"/>
      <c r="W166" s="60"/>
      <c r="X166" s="60"/>
      <c r="Y166" s="40"/>
      <c r="Z166" s="29">
        <f>IFERROR(IF(U166="","",RANK(U166,$U$10:$Y$264,1)),0)</f>
        <v>79</v>
      </c>
      <c r="AA166" s="29" t="str">
        <f>IFERROR(INDEX($K$10:$K$264,MATCH(U166,$E$10:$E$264,0),1),0)</f>
        <v xml:space="preserve">   </v>
      </c>
      <c r="AB166" s="29"/>
      <c r="AC166" s="29"/>
      <c r="AD166" s="29"/>
      <c r="AE166" s="43"/>
      <c r="AF166" s="43"/>
      <c r="AG166" s="44"/>
      <c r="AH166" s="45" t="s">
        <v>19</v>
      </c>
      <c r="AI166" s="47"/>
      <c r="AJ166" s="43"/>
      <c r="AK166" s="43"/>
      <c r="AL166" s="43"/>
      <c r="AM166" s="43"/>
      <c r="AN166" s="44"/>
      <c r="AO166" s="45" t="s">
        <v>19</v>
      </c>
      <c r="AP166" s="47"/>
      <c r="AQ166" s="43"/>
      <c r="AR166" s="43"/>
      <c r="AS166" s="43"/>
      <c r="AT166" s="43"/>
      <c r="AU166" s="44"/>
      <c r="AV166" s="45" t="s">
        <v>19</v>
      </c>
      <c r="AW166" s="47"/>
      <c r="AX166" s="43"/>
      <c r="AY166" s="43"/>
      <c r="AZ166" s="48">
        <f>IFERROR(IF(E166="","",RANK(E166,$E$10:$I$264,1)),0)</f>
        <v>67</v>
      </c>
      <c r="BA166" s="49"/>
      <c r="BB166" s="49"/>
      <c r="BC166" s="50"/>
      <c r="BE166" s="38"/>
      <c r="BF166" s="38"/>
      <c r="BG166" s="3"/>
      <c r="BH166" s="30" t="s">
        <v>98</v>
      </c>
      <c r="BI166" s="30"/>
      <c r="BJ166" s="30"/>
      <c r="BK166" s="30"/>
      <c r="BL166" s="30"/>
      <c r="BM166" s="30"/>
      <c r="BN166" s="30"/>
      <c r="BO166" s="30"/>
      <c r="BP166" s="30" t="str">
        <f>IF(BE166&gt;0,VLOOKUP(BE166,'[3]Infos joueurs'!$B:$BT,11,FALSE)," ")&amp;" "&amp;IF(BE166&gt;0,VLOOKUP(BE166,'[3]Infos joueurs'!$B:$BT,27,FALSE)," ")</f>
        <v xml:space="preserve">   </v>
      </c>
      <c r="BQ166" s="30"/>
      <c r="BR166" s="30"/>
      <c r="BS166" s="30"/>
      <c r="BT166" s="30"/>
      <c r="BU166" s="30"/>
      <c r="BV166" s="30"/>
      <c r="BW166" s="30"/>
      <c r="BX166" s="30"/>
      <c r="BY166" s="30"/>
      <c r="BZ166" s="30"/>
      <c r="CA166" s="30"/>
      <c r="CD166" s="54">
        <v>79</v>
      </c>
      <c r="CE166" s="54"/>
      <c r="CF166" s="54"/>
      <c r="CH166" s="59" t="str">
        <f t="shared" ref="CH166" si="466">AA166</f>
        <v xml:space="preserve">   </v>
      </c>
      <c r="CI166" s="59"/>
      <c r="CJ166" s="59"/>
      <c r="CK166" s="59"/>
      <c r="CL166" s="59"/>
      <c r="CM166" s="59"/>
      <c r="CN166" s="59"/>
      <c r="CO166" s="59"/>
      <c r="CP166" s="59"/>
      <c r="CQ166" s="59"/>
      <c r="CR166" s="59"/>
      <c r="CS166" s="59"/>
      <c r="CU166" s="24">
        <f t="shared" ref="CU166" si="467">IFERROR(INDEX($BE$10:$BE$269,MATCH(CH166,$BP$10:$BP$269,0)),0)</f>
        <v>0</v>
      </c>
      <c r="CV166" s="24"/>
      <c r="CW166" s="24"/>
    </row>
    <row r="167" spans="5:101" ht="7.5" customHeight="1" x14ac:dyDescent="0.2">
      <c r="E167" s="41"/>
      <c r="F167" s="61"/>
      <c r="G167" s="61"/>
      <c r="H167" s="61"/>
      <c r="I167" s="42"/>
      <c r="J167" s="63"/>
      <c r="K167" s="41"/>
      <c r="L167" s="61"/>
      <c r="M167" s="61"/>
      <c r="N167" s="42"/>
      <c r="O167" s="41"/>
      <c r="P167" s="42"/>
      <c r="Q167" s="41"/>
      <c r="R167" s="42"/>
      <c r="S167" s="41"/>
      <c r="T167" s="42"/>
      <c r="U167" s="41"/>
      <c r="V167" s="61"/>
      <c r="W167" s="61"/>
      <c r="X167" s="61"/>
      <c r="Y167" s="42"/>
      <c r="Z167" s="29"/>
      <c r="AA167" s="29"/>
      <c r="AB167" s="29"/>
      <c r="AC167" s="29"/>
      <c r="AD167" s="29"/>
      <c r="AE167" s="43"/>
      <c r="AF167" s="43"/>
      <c r="AG167" s="44"/>
      <c r="AH167" s="46"/>
      <c r="AI167" s="47"/>
      <c r="AJ167" s="43"/>
      <c r="AK167" s="43"/>
      <c r="AL167" s="43"/>
      <c r="AM167" s="43"/>
      <c r="AN167" s="44"/>
      <c r="AO167" s="46"/>
      <c r="AP167" s="47"/>
      <c r="AQ167" s="43"/>
      <c r="AR167" s="43"/>
      <c r="AS167" s="43"/>
      <c r="AT167" s="43"/>
      <c r="AU167" s="44"/>
      <c r="AV167" s="46"/>
      <c r="AW167" s="47"/>
      <c r="AX167" s="43"/>
      <c r="AY167" s="43"/>
      <c r="AZ167" s="51"/>
      <c r="BA167" s="52"/>
      <c r="BB167" s="52"/>
      <c r="BC167" s="53"/>
      <c r="BE167" s="38"/>
      <c r="BF167" s="38"/>
      <c r="BG167" s="3"/>
      <c r="BH167" s="30"/>
      <c r="BI167" s="30"/>
      <c r="BJ167" s="30"/>
      <c r="BK167" s="30"/>
      <c r="BL167" s="30"/>
      <c r="BM167" s="30"/>
      <c r="BN167" s="30"/>
      <c r="BO167" s="30"/>
      <c r="BP167" s="30"/>
      <c r="BQ167" s="30"/>
      <c r="BR167" s="30"/>
      <c r="BS167" s="30"/>
      <c r="BT167" s="30"/>
      <c r="BU167" s="30"/>
      <c r="BV167" s="30"/>
      <c r="BW167" s="30"/>
      <c r="BX167" s="30"/>
      <c r="BY167" s="30"/>
      <c r="BZ167" s="30"/>
      <c r="CA167" s="30"/>
      <c r="CD167" s="55"/>
      <c r="CE167" s="55"/>
      <c r="CF167" s="55"/>
      <c r="CH167" s="56"/>
      <c r="CI167" s="56"/>
      <c r="CJ167" s="56"/>
      <c r="CK167" s="56"/>
      <c r="CL167" s="56"/>
      <c r="CM167" s="56"/>
      <c r="CN167" s="56"/>
      <c r="CO167" s="56"/>
      <c r="CP167" s="56"/>
      <c r="CQ167" s="56"/>
      <c r="CR167" s="56"/>
      <c r="CS167" s="56"/>
      <c r="CU167" s="25"/>
      <c r="CV167" s="25"/>
      <c r="CW167" s="25"/>
    </row>
    <row r="168" spans="5:101" ht="7.5" customHeight="1" x14ac:dyDescent="0.2">
      <c r="E168" s="39">
        <f>IFERROR(IF(BP168="","-",RANK(S168,$S$10:$T$264,0)+RANK(Q168,$Q$10:$R$264,0)%+RANK(O168,$O$10:$P$264,0)%%+ROW()%%%),"-")</f>
        <v>12.131868000000001</v>
      </c>
      <c r="F168" s="60"/>
      <c r="G168" s="60"/>
      <c r="H168" s="60"/>
      <c r="I168" s="40"/>
      <c r="J168" s="62">
        <f>IFERROR(IF(E168="","",RANK(E168,$E$10:$I$264,1)),"-")</f>
        <v>68</v>
      </c>
      <c r="K168" s="39" t="str">
        <f t="shared" ref="K168" si="468">BP168</f>
        <v xml:space="preserve">   </v>
      </c>
      <c r="L168" s="60"/>
      <c r="M168" s="60"/>
      <c r="N168" s="40"/>
      <c r="O168" s="39">
        <f t="shared" ref="O168" si="469">SUM(AE168-AI168)</f>
        <v>0</v>
      </c>
      <c r="P168" s="40"/>
      <c r="Q168" s="39">
        <f t="shared" ref="Q168" si="470">SUM(AL168-AP168)</f>
        <v>0</v>
      </c>
      <c r="R168" s="40"/>
      <c r="S168" s="39">
        <f t="shared" ref="S168" si="471">SUM(AS168-AW168)</f>
        <v>0</v>
      </c>
      <c r="T168" s="40"/>
      <c r="U168" s="39">
        <f>IFERROR(SMALL($E$10:$I$264,80),0)</f>
        <v>12.131892000000001</v>
      </c>
      <c r="V168" s="60"/>
      <c r="W168" s="60"/>
      <c r="X168" s="60"/>
      <c r="Y168" s="40"/>
      <c r="Z168" s="29">
        <f>IFERROR(IF(U168="","",RANK(U168,$U$10:$Y$264,1)),0)</f>
        <v>80</v>
      </c>
      <c r="AA168" s="29" t="str">
        <f>IFERROR(INDEX($K$10:$K$264,MATCH(U168,$E$10:$E$264,0),1),0)</f>
        <v xml:space="preserve">   </v>
      </c>
      <c r="AB168" s="29"/>
      <c r="AC168" s="29"/>
      <c r="AD168" s="29"/>
      <c r="AE168" s="43"/>
      <c r="AF168" s="43"/>
      <c r="AG168" s="44"/>
      <c r="AH168" s="45" t="s">
        <v>19</v>
      </c>
      <c r="AI168" s="47"/>
      <c r="AJ168" s="43"/>
      <c r="AK168" s="43"/>
      <c r="AL168" s="43"/>
      <c r="AM168" s="43"/>
      <c r="AN168" s="44"/>
      <c r="AO168" s="45" t="s">
        <v>19</v>
      </c>
      <c r="AP168" s="47"/>
      <c r="AQ168" s="43"/>
      <c r="AR168" s="43"/>
      <c r="AS168" s="43"/>
      <c r="AT168" s="43"/>
      <c r="AU168" s="44"/>
      <c r="AV168" s="45" t="s">
        <v>19</v>
      </c>
      <c r="AW168" s="47"/>
      <c r="AX168" s="43"/>
      <c r="AY168" s="43"/>
      <c r="AZ168" s="48">
        <f>IFERROR(IF(E168="","",RANK(E168,$E$10:$I$264,1)),0)</f>
        <v>68</v>
      </c>
      <c r="BA168" s="49"/>
      <c r="BB168" s="49"/>
      <c r="BC168" s="50"/>
      <c r="BE168" s="38"/>
      <c r="BF168" s="38"/>
      <c r="BG168" s="3"/>
      <c r="BH168" s="30" t="s">
        <v>99</v>
      </c>
      <c r="BI168" s="30"/>
      <c r="BJ168" s="30"/>
      <c r="BK168" s="30"/>
      <c r="BL168" s="30"/>
      <c r="BM168" s="30"/>
      <c r="BN168" s="30"/>
      <c r="BO168" s="30"/>
      <c r="BP168" s="30" t="str">
        <f>IF(BE168&gt;0,VLOOKUP(BE168,'[3]Infos joueurs'!$B:$BT,11,FALSE)," ")&amp;" "&amp;IF(BE168&gt;0,VLOOKUP(BE168,'[3]Infos joueurs'!$B:$BT,27,FALSE)," ")</f>
        <v xml:space="preserve">   </v>
      </c>
      <c r="BQ168" s="30"/>
      <c r="BR168" s="30"/>
      <c r="BS168" s="30"/>
      <c r="BT168" s="30"/>
      <c r="BU168" s="30"/>
      <c r="BV168" s="30"/>
      <c r="BW168" s="30"/>
      <c r="BX168" s="30"/>
      <c r="BY168" s="30"/>
      <c r="BZ168" s="30"/>
      <c r="CA168" s="30"/>
      <c r="CD168" s="54">
        <v>80</v>
      </c>
      <c r="CE168" s="54"/>
      <c r="CF168" s="54"/>
      <c r="CH168" s="59" t="str">
        <f t="shared" ref="CH168" si="472">AA168</f>
        <v xml:space="preserve">   </v>
      </c>
      <c r="CI168" s="59"/>
      <c r="CJ168" s="59"/>
      <c r="CK168" s="59"/>
      <c r="CL168" s="59"/>
      <c r="CM168" s="59"/>
      <c r="CN168" s="59"/>
      <c r="CO168" s="59"/>
      <c r="CP168" s="59"/>
      <c r="CQ168" s="59"/>
      <c r="CR168" s="59"/>
      <c r="CS168" s="59"/>
      <c r="CU168" s="24">
        <f t="shared" ref="CU168" si="473">IFERROR(INDEX($BE$10:$BE$269,MATCH(CH168,$BP$10:$BP$269,0)),0)</f>
        <v>0</v>
      </c>
      <c r="CV168" s="24"/>
      <c r="CW168" s="24"/>
    </row>
    <row r="169" spans="5:101" ht="7.5" customHeight="1" x14ac:dyDescent="0.2">
      <c r="E169" s="41"/>
      <c r="F169" s="61"/>
      <c r="G169" s="61"/>
      <c r="H169" s="61"/>
      <c r="I169" s="42"/>
      <c r="J169" s="63"/>
      <c r="K169" s="41"/>
      <c r="L169" s="61"/>
      <c r="M169" s="61"/>
      <c r="N169" s="42"/>
      <c r="O169" s="41"/>
      <c r="P169" s="42"/>
      <c r="Q169" s="41"/>
      <c r="R169" s="42"/>
      <c r="S169" s="41"/>
      <c r="T169" s="42"/>
      <c r="U169" s="41"/>
      <c r="V169" s="61"/>
      <c r="W169" s="61"/>
      <c r="X169" s="61"/>
      <c r="Y169" s="42"/>
      <c r="Z169" s="29"/>
      <c r="AA169" s="29"/>
      <c r="AB169" s="29"/>
      <c r="AC169" s="29"/>
      <c r="AD169" s="29"/>
      <c r="AE169" s="43"/>
      <c r="AF169" s="43"/>
      <c r="AG169" s="44"/>
      <c r="AH169" s="46"/>
      <c r="AI169" s="47"/>
      <c r="AJ169" s="43"/>
      <c r="AK169" s="43"/>
      <c r="AL169" s="43"/>
      <c r="AM169" s="43"/>
      <c r="AN169" s="44"/>
      <c r="AO169" s="46"/>
      <c r="AP169" s="47"/>
      <c r="AQ169" s="43"/>
      <c r="AR169" s="43"/>
      <c r="AS169" s="43"/>
      <c r="AT169" s="43"/>
      <c r="AU169" s="44"/>
      <c r="AV169" s="46"/>
      <c r="AW169" s="47"/>
      <c r="AX169" s="43"/>
      <c r="AY169" s="43"/>
      <c r="AZ169" s="51"/>
      <c r="BA169" s="52"/>
      <c r="BB169" s="52"/>
      <c r="BC169" s="53"/>
      <c r="BE169" s="38"/>
      <c r="BF169" s="38"/>
      <c r="BG169" s="3"/>
      <c r="BH169" s="30"/>
      <c r="BI169" s="30"/>
      <c r="BJ169" s="30"/>
      <c r="BK169" s="30"/>
      <c r="BL169" s="30"/>
      <c r="BM169" s="30"/>
      <c r="BN169" s="30"/>
      <c r="BO169" s="30"/>
      <c r="BP169" s="30"/>
      <c r="BQ169" s="30"/>
      <c r="BR169" s="30"/>
      <c r="BS169" s="30"/>
      <c r="BT169" s="30"/>
      <c r="BU169" s="30"/>
      <c r="BV169" s="30"/>
      <c r="BW169" s="30"/>
      <c r="BX169" s="30"/>
      <c r="BY169" s="30"/>
      <c r="BZ169" s="30"/>
      <c r="CA169" s="30"/>
      <c r="CD169" s="55"/>
      <c r="CE169" s="55"/>
      <c r="CF169" s="55"/>
      <c r="CH169" s="56"/>
      <c r="CI169" s="56"/>
      <c r="CJ169" s="56"/>
      <c r="CK169" s="56"/>
      <c r="CL169" s="56"/>
      <c r="CM169" s="56"/>
      <c r="CN169" s="56"/>
      <c r="CO169" s="56"/>
      <c r="CP169" s="56"/>
      <c r="CQ169" s="56"/>
      <c r="CR169" s="56"/>
      <c r="CS169" s="56"/>
      <c r="CU169" s="25"/>
      <c r="CV169" s="25"/>
      <c r="CW169" s="25"/>
    </row>
    <row r="170" spans="5:101" ht="7.5" customHeight="1" x14ac:dyDescent="0.2">
      <c r="E170" s="39">
        <f>IFERROR(IF(BP170="","-",RANK(S170,$S$10:$T$264,0)+RANK(Q170,$Q$10:$R$264,0)%+RANK(O170,$O$10:$P$264,0)%%+ROW()%%%),"-")</f>
        <v>12.131870000000001</v>
      </c>
      <c r="F170" s="60"/>
      <c r="G170" s="60"/>
      <c r="H170" s="60"/>
      <c r="I170" s="40"/>
      <c r="J170" s="62">
        <f>IFERROR(IF(E170="","",RANK(E170,$E$10:$I$264,1)),"-")</f>
        <v>69</v>
      </c>
      <c r="K170" s="39" t="str">
        <f t="shared" ref="K170" si="474">BP170</f>
        <v xml:space="preserve">   </v>
      </c>
      <c r="L170" s="60"/>
      <c r="M170" s="60"/>
      <c r="N170" s="40"/>
      <c r="O170" s="39">
        <f t="shared" ref="O170" si="475">SUM(AE170-AI170)</f>
        <v>0</v>
      </c>
      <c r="P170" s="40"/>
      <c r="Q170" s="39">
        <f t="shared" ref="Q170" si="476">SUM(AL170-AP170)</f>
        <v>0</v>
      </c>
      <c r="R170" s="40"/>
      <c r="S170" s="39">
        <f t="shared" ref="S170" si="477">SUM(AS170-AW170)</f>
        <v>0</v>
      </c>
      <c r="T170" s="40"/>
      <c r="U170" s="39">
        <f>IFERROR(SMALL($E$10:$I$264,81),0)</f>
        <v>12.131894000000001</v>
      </c>
      <c r="V170" s="60"/>
      <c r="W170" s="60"/>
      <c r="X170" s="60"/>
      <c r="Y170" s="40"/>
      <c r="Z170" s="29">
        <f>IFERROR(IF(U170="","",RANK(U170,$U$10:$Y$264,1)),0)</f>
        <v>81</v>
      </c>
      <c r="AA170" s="29" t="str">
        <f>IFERROR(INDEX($K$10:$K$264,MATCH(U170,$E$10:$E$264,0),1),0)</f>
        <v xml:space="preserve">   </v>
      </c>
      <c r="AB170" s="29"/>
      <c r="AC170" s="29"/>
      <c r="AD170" s="29"/>
      <c r="AE170" s="43"/>
      <c r="AF170" s="43"/>
      <c r="AG170" s="44"/>
      <c r="AH170" s="45" t="s">
        <v>19</v>
      </c>
      <c r="AI170" s="47"/>
      <c r="AJ170" s="43"/>
      <c r="AK170" s="43"/>
      <c r="AL170" s="43"/>
      <c r="AM170" s="43"/>
      <c r="AN170" s="44"/>
      <c r="AO170" s="45" t="s">
        <v>19</v>
      </c>
      <c r="AP170" s="47"/>
      <c r="AQ170" s="43"/>
      <c r="AR170" s="43"/>
      <c r="AS170" s="43"/>
      <c r="AT170" s="43"/>
      <c r="AU170" s="44"/>
      <c r="AV170" s="45" t="s">
        <v>19</v>
      </c>
      <c r="AW170" s="47"/>
      <c r="AX170" s="43"/>
      <c r="AY170" s="43"/>
      <c r="AZ170" s="48">
        <f>IFERROR(IF(E170="","",RANK(E170,$E$10:$I$264,1)),0)</f>
        <v>69</v>
      </c>
      <c r="BA170" s="49"/>
      <c r="BB170" s="49"/>
      <c r="BC170" s="50"/>
      <c r="BE170" s="38"/>
      <c r="BF170" s="38"/>
      <c r="BG170" s="3"/>
      <c r="BH170" s="30" t="s">
        <v>100</v>
      </c>
      <c r="BI170" s="30"/>
      <c r="BJ170" s="30"/>
      <c r="BK170" s="30"/>
      <c r="BL170" s="30"/>
      <c r="BM170" s="30"/>
      <c r="BN170" s="30"/>
      <c r="BO170" s="30"/>
      <c r="BP170" s="30" t="str">
        <f>IF(BE170&gt;0,VLOOKUP(BE170,'[3]Infos joueurs'!$B:$BT,11,FALSE)," ")&amp;" "&amp;IF(BE170&gt;0,VLOOKUP(BE170,'[3]Infos joueurs'!$B:$BT,27,FALSE)," ")</f>
        <v xml:space="preserve">   </v>
      </c>
      <c r="BQ170" s="30"/>
      <c r="BR170" s="30"/>
      <c r="BS170" s="30"/>
      <c r="BT170" s="30"/>
      <c r="BU170" s="30"/>
      <c r="BV170" s="30"/>
      <c r="BW170" s="30"/>
      <c r="BX170" s="30"/>
      <c r="BY170" s="30"/>
      <c r="BZ170" s="30"/>
      <c r="CA170" s="30"/>
      <c r="CD170" s="54">
        <v>81</v>
      </c>
      <c r="CE170" s="54"/>
      <c r="CF170" s="54"/>
      <c r="CH170" s="59" t="str">
        <f t="shared" ref="CH170" si="478">AA170</f>
        <v xml:space="preserve">   </v>
      </c>
      <c r="CI170" s="59"/>
      <c r="CJ170" s="59"/>
      <c r="CK170" s="59"/>
      <c r="CL170" s="59"/>
      <c r="CM170" s="59"/>
      <c r="CN170" s="59"/>
      <c r="CO170" s="59"/>
      <c r="CP170" s="59"/>
      <c r="CQ170" s="59"/>
      <c r="CR170" s="59"/>
      <c r="CS170" s="59"/>
      <c r="CU170" s="24">
        <f t="shared" ref="CU170" si="479">IFERROR(INDEX($BE$10:$BE$269,MATCH(CH170,$BP$10:$BP$269,0)),0)</f>
        <v>0</v>
      </c>
      <c r="CV170" s="24"/>
      <c r="CW170" s="24"/>
    </row>
    <row r="171" spans="5:101" ht="7.5" customHeight="1" x14ac:dyDescent="0.2">
      <c r="E171" s="41"/>
      <c r="F171" s="61"/>
      <c r="G171" s="61"/>
      <c r="H171" s="61"/>
      <c r="I171" s="42"/>
      <c r="J171" s="63"/>
      <c r="K171" s="41"/>
      <c r="L171" s="61"/>
      <c r="M171" s="61"/>
      <c r="N171" s="42"/>
      <c r="O171" s="41"/>
      <c r="P171" s="42"/>
      <c r="Q171" s="41"/>
      <c r="R171" s="42"/>
      <c r="S171" s="41"/>
      <c r="T171" s="42"/>
      <c r="U171" s="41"/>
      <c r="V171" s="61"/>
      <c r="W171" s="61"/>
      <c r="X171" s="61"/>
      <c r="Y171" s="42"/>
      <c r="Z171" s="29"/>
      <c r="AA171" s="29"/>
      <c r="AB171" s="29"/>
      <c r="AC171" s="29"/>
      <c r="AD171" s="29"/>
      <c r="AE171" s="43"/>
      <c r="AF171" s="43"/>
      <c r="AG171" s="44"/>
      <c r="AH171" s="46"/>
      <c r="AI171" s="47"/>
      <c r="AJ171" s="43"/>
      <c r="AK171" s="43"/>
      <c r="AL171" s="43"/>
      <c r="AM171" s="43"/>
      <c r="AN171" s="44"/>
      <c r="AO171" s="46"/>
      <c r="AP171" s="47"/>
      <c r="AQ171" s="43"/>
      <c r="AR171" s="43"/>
      <c r="AS171" s="43"/>
      <c r="AT171" s="43"/>
      <c r="AU171" s="44"/>
      <c r="AV171" s="46"/>
      <c r="AW171" s="47"/>
      <c r="AX171" s="43"/>
      <c r="AY171" s="43"/>
      <c r="AZ171" s="51"/>
      <c r="BA171" s="52"/>
      <c r="BB171" s="52"/>
      <c r="BC171" s="53"/>
      <c r="BE171" s="38"/>
      <c r="BF171" s="38"/>
      <c r="BG171" s="3"/>
      <c r="BH171" s="30"/>
      <c r="BI171" s="30"/>
      <c r="BJ171" s="30"/>
      <c r="BK171" s="30"/>
      <c r="BL171" s="30"/>
      <c r="BM171" s="30"/>
      <c r="BN171" s="30"/>
      <c r="BO171" s="30"/>
      <c r="BP171" s="30"/>
      <c r="BQ171" s="30"/>
      <c r="BR171" s="30"/>
      <c r="BS171" s="30"/>
      <c r="BT171" s="30"/>
      <c r="BU171" s="30"/>
      <c r="BV171" s="30"/>
      <c r="BW171" s="30"/>
      <c r="BX171" s="30"/>
      <c r="BY171" s="30"/>
      <c r="BZ171" s="30"/>
      <c r="CA171" s="30"/>
      <c r="CD171" s="55"/>
      <c r="CE171" s="55"/>
      <c r="CF171" s="55"/>
      <c r="CH171" s="56"/>
      <c r="CI171" s="56"/>
      <c r="CJ171" s="56"/>
      <c r="CK171" s="56"/>
      <c r="CL171" s="56"/>
      <c r="CM171" s="56"/>
      <c r="CN171" s="56"/>
      <c r="CO171" s="56"/>
      <c r="CP171" s="56"/>
      <c r="CQ171" s="56"/>
      <c r="CR171" s="56"/>
      <c r="CS171" s="56"/>
      <c r="CU171" s="25"/>
      <c r="CV171" s="25"/>
      <c r="CW171" s="25"/>
    </row>
    <row r="172" spans="5:101" ht="7.5" customHeight="1" x14ac:dyDescent="0.2">
      <c r="E172" s="39">
        <f>IFERROR(IF(BP172="","-",RANK(S172,$S$10:$T$264,0)+RANK(Q172,$Q$10:$R$264,0)%+RANK(O172,$O$10:$P$264,0)%%+ROW()%%%),"-")</f>
        <v>12.131872</v>
      </c>
      <c r="F172" s="60"/>
      <c r="G172" s="60"/>
      <c r="H172" s="60"/>
      <c r="I172" s="40"/>
      <c r="J172" s="62">
        <f>IFERROR(IF(E172="","",RANK(E172,$E$10:$I$264,1)),"-")</f>
        <v>70</v>
      </c>
      <c r="K172" s="39" t="str">
        <f t="shared" ref="K172" si="480">BP172</f>
        <v xml:space="preserve">   </v>
      </c>
      <c r="L172" s="60"/>
      <c r="M172" s="60"/>
      <c r="N172" s="40"/>
      <c r="O172" s="39">
        <f t="shared" ref="O172" si="481">SUM(AE172-AI172)</f>
        <v>0</v>
      </c>
      <c r="P172" s="40"/>
      <c r="Q172" s="39">
        <f t="shared" ref="Q172" si="482">SUM(AL172-AP172)</f>
        <v>0</v>
      </c>
      <c r="R172" s="40"/>
      <c r="S172" s="39">
        <f t="shared" ref="S172" si="483">SUM(AS172-AW172)</f>
        <v>0</v>
      </c>
      <c r="T172" s="40"/>
      <c r="U172" s="39">
        <f>IFERROR(SMALL($E$10:$I$264,82),0)</f>
        <v>12.131896000000001</v>
      </c>
      <c r="V172" s="60"/>
      <c r="W172" s="60"/>
      <c r="X172" s="60"/>
      <c r="Y172" s="40"/>
      <c r="Z172" s="29">
        <f>IFERROR(IF(U172="","",RANK(U172,$U$10:$Y$264,1)),0)</f>
        <v>82</v>
      </c>
      <c r="AA172" s="29" t="str">
        <f>IFERROR(INDEX($K$10:$K$264,MATCH(U172,$E$10:$E$264,0),1),0)</f>
        <v xml:space="preserve">   </v>
      </c>
      <c r="AB172" s="29"/>
      <c r="AC172" s="29"/>
      <c r="AD172" s="29"/>
      <c r="AE172" s="43"/>
      <c r="AF172" s="43"/>
      <c r="AG172" s="44"/>
      <c r="AH172" s="45" t="s">
        <v>19</v>
      </c>
      <c r="AI172" s="47"/>
      <c r="AJ172" s="43"/>
      <c r="AK172" s="43"/>
      <c r="AL172" s="43"/>
      <c r="AM172" s="43"/>
      <c r="AN172" s="44"/>
      <c r="AO172" s="45" t="s">
        <v>19</v>
      </c>
      <c r="AP172" s="47"/>
      <c r="AQ172" s="43"/>
      <c r="AR172" s="43"/>
      <c r="AS172" s="43"/>
      <c r="AT172" s="43"/>
      <c r="AU172" s="44"/>
      <c r="AV172" s="45" t="s">
        <v>19</v>
      </c>
      <c r="AW172" s="47"/>
      <c r="AX172" s="43"/>
      <c r="AY172" s="43"/>
      <c r="AZ172" s="48">
        <f>IFERROR(IF(E172="","",RANK(E172,$E$10:$I$264,1)),0)</f>
        <v>70</v>
      </c>
      <c r="BA172" s="49"/>
      <c r="BB172" s="49"/>
      <c r="BC172" s="50"/>
      <c r="BE172" s="38"/>
      <c r="BF172" s="38"/>
      <c r="BG172" s="3"/>
      <c r="BH172" s="30" t="s">
        <v>101</v>
      </c>
      <c r="BI172" s="30"/>
      <c r="BJ172" s="30"/>
      <c r="BK172" s="30"/>
      <c r="BL172" s="30"/>
      <c r="BM172" s="30"/>
      <c r="BN172" s="30"/>
      <c r="BO172" s="30"/>
      <c r="BP172" s="30" t="str">
        <f>IF(BE172&gt;0,VLOOKUP(BE172,'[3]Infos joueurs'!$B:$BT,11,FALSE)," ")&amp;" "&amp;IF(BE172&gt;0,VLOOKUP(BE172,'[3]Infos joueurs'!$B:$BT,27,FALSE)," ")</f>
        <v xml:space="preserve">   </v>
      </c>
      <c r="BQ172" s="30"/>
      <c r="BR172" s="30"/>
      <c r="BS172" s="30"/>
      <c r="BT172" s="30"/>
      <c r="BU172" s="30"/>
      <c r="BV172" s="30"/>
      <c r="BW172" s="30"/>
      <c r="BX172" s="30"/>
      <c r="BY172" s="30"/>
      <c r="BZ172" s="30"/>
      <c r="CA172" s="30"/>
      <c r="CD172" s="54">
        <v>82</v>
      </c>
      <c r="CE172" s="54"/>
      <c r="CF172" s="54"/>
      <c r="CH172" s="59" t="str">
        <f t="shared" ref="CH172" si="484">AA172</f>
        <v xml:space="preserve">   </v>
      </c>
      <c r="CI172" s="59"/>
      <c r="CJ172" s="59"/>
      <c r="CK172" s="59"/>
      <c r="CL172" s="59"/>
      <c r="CM172" s="59"/>
      <c r="CN172" s="59"/>
      <c r="CO172" s="59"/>
      <c r="CP172" s="59"/>
      <c r="CQ172" s="59"/>
      <c r="CR172" s="59"/>
      <c r="CS172" s="59"/>
      <c r="CU172" s="24">
        <f t="shared" ref="CU172" si="485">IFERROR(INDEX($BE$10:$BE$269,MATCH(CH172,$BP$10:$BP$269,0)),0)</f>
        <v>0</v>
      </c>
      <c r="CV172" s="24"/>
      <c r="CW172" s="24"/>
    </row>
    <row r="173" spans="5:101" ht="7.5" customHeight="1" x14ac:dyDescent="0.2">
      <c r="E173" s="41"/>
      <c r="F173" s="61"/>
      <c r="G173" s="61"/>
      <c r="H173" s="61"/>
      <c r="I173" s="42"/>
      <c r="J173" s="63"/>
      <c r="K173" s="41"/>
      <c r="L173" s="61"/>
      <c r="M173" s="61"/>
      <c r="N173" s="42"/>
      <c r="O173" s="41"/>
      <c r="P173" s="42"/>
      <c r="Q173" s="41"/>
      <c r="R173" s="42"/>
      <c r="S173" s="41"/>
      <c r="T173" s="42"/>
      <c r="U173" s="41"/>
      <c r="V173" s="61"/>
      <c r="W173" s="61"/>
      <c r="X173" s="61"/>
      <c r="Y173" s="42"/>
      <c r="Z173" s="29"/>
      <c r="AA173" s="29"/>
      <c r="AB173" s="29"/>
      <c r="AC173" s="29"/>
      <c r="AD173" s="29"/>
      <c r="AE173" s="43"/>
      <c r="AF173" s="43"/>
      <c r="AG173" s="44"/>
      <c r="AH173" s="46"/>
      <c r="AI173" s="47"/>
      <c r="AJ173" s="43"/>
      <c r="AK173" s="43"/>
      <c r="AL173" s="43"/>
      <c r="AM173" s="43"/>
      <c r="AN173" s="44"/>
      <c r="AO173" s="46"/>
      <c r="AP173" s="47"/>
      <c r="AQ173" s="43"/>
      <c r="AR173" s="43"/>
      <c r="AS173" s="43"/>
      <c r="AT173" s="43"/>
      <c r="AU173" s="44"/>
      <c r="AV173" s="46"/>
      <c r="AW173" s="47"/>
      <c r="AX173" s="43"/>
      <c r="AY173" s="43"/>
      <c r="AZ173" s="51"/>
      <c r="BA173" s="52"/>
      <c r="BB173" s="52"/>
      <c r="BC173" s="53"/>
      <c r="BE173" s="38"/>
      <c r="BF173" s="38"/>
      <c r="BG173" s="3"/>
      <c r="BH173" s="30"/>
      <c r="BI173" s="30"/>
      <c r="BJ173" s="30"/>
      <c r="BK173" s="30"/>
      <c r="BL173" s="30"/>
      <c r="BM173" s="30"/>
      <c r="BN173" s="30"/>
      <c r="BO173" s="30"/>
      <c r="BP173" s="30"/>
      <c r="BQ173" s="30"/>
      <c r="BR173" s="30"/>
      <c r="BS173" s="30"/>
      <c r="BT173" s="30"/>
      <c r="BU173" s="30"/>
      <c r="BV173" s="30"/>
      <c r="BW173" s="30"/>
      <c r="BX173" s="30"/>
      <c r="BY173" s="30"/>
      <c r="BZ173" s="30"/>
      <c r="CA173" s="30"/>
      <c r="CD173" s="55"/>
      <c r="CE173" s="55"/>
      <c r="CF173" s="55"/>
      <c r="CH173" s="56"/>
      <c r="CI173" s="56"/>
      <c r="CJ173" s="56"/>
      <c r="CK173" s="56"/>
      <c r="CL173" s="56"/>
      <c r="CM173" s="56"/>
      <c r="CN173" s="56"/>
      <c r="CO173" s="56"/>
      <c r="CP173" s="56"/>
      <c r="CQ173" s="56"/>
      <c r="CR173" s="56"/>
      <c r="CS173" s="56"/>
      <c r="CU173" s="25"/>
      <c r="CV173" s="25"/>
      <c r="CW173" s="25"/>
    </row>
    <row r="174" spans="5:101" ht="7.5" customHeight="1" x14ac:dyDescent="0.2">
      <c r="E174" s="39">
        <f>IFERROR(IF(BP174="","-",RANK(S174,$S$10:$T$264,0)+RANK(Q174,$Q$10:$R$264,0)%+RANK(O174,$O$10:$P$264,0)%%+ROW()%%%),"-")</f>
        <v>12.131874</v>
      </c>
      <c r="F174" s="60"/>
      <c r="G174" s="60"/>
      <c r="H174" s="60"/>
      <c r="I174" s="40"/>
      <c r="J174" s="62">
        <f>IFERROR(IF(E174="","",RANK(E174,$E$10:$I$264,1)),"-")</f>
        <v>71</v>
      </c>
      <c r="K174" s="39" t="str">
        <f t="shared" ref="K174" si="486">BP174</f>
        <v xml:space="preserve">   </v>
      </c>
      <c r="L174" s="60"/>
      <c r="M174" s="60"/>
      <c r="N174" s="40"/>
      <c r="O174" s="39">
        <f t="shared" ref="O174" si="487">SUM(AE174-AI174)</f>
        <v>0</v>
      </c>
      <c r="P174" s="40"/>
      <c r="Q174" s="39">
        <f t="shared" ref="Q174" si="488">SUM(AL174-AP174)</f>
        <v>0</v>
      </c>
      <c r="R174" s="40"/>
      <c r="S174" s="39">
        <f t="shared" ref="S174" si="489">SUM(AS174-AW174)</f>
        <v>0</v>
      </c>
      <c r="T174" s="40"/>
      <c r="U174" s="39">
        <f>IFERROR(SMALL($E$10:$I$264,83),0)</f>
        <v>12.131898</v>
      </c>
      <c r="V174" s="60"/>
      <c r="W174" s="60"/>
      <c r="X174" s="60"/>
      <c r="Y174" s="40"/>
      <c r="Z174" s="29">
        <f>IFERROR(IF(U174="","",RANK(U174,$U$10:$Y$264,1)),0)</f>
        <v>83</v>
      </c>
      <c r="AA174" s="29" t="str">
        <f>IFERROR(INDEX($K$10:$K$264,MATCH(U174,$E$10:$E$264,0),1),0)</f>
        <v xml:space="preserve">   </v>
      </c>
      <c r="AB174" s="29"/>
      <c r="AC174" s="29"/>
      <c r="AD174" s="29"/>
      <c r="AE174" s="43"/>
      <c r="AF174" s="43"/>
      <c r="AG174" s="44"/>
      <c r="AH174" s="45" t="s">
        <v>19</v>
      </c>
      <c r="AI174" s="47"/>
      <c r="AJ174" s="43"/>
      <c r="AK174" s="43"/>
      <c r="AL174" s="43"/>
      <c r="AM174" s="43"/>
      <c r="AN174" s="44"/>
      <c r="AO174" s="45" t="s">
        <v>19</v>
      </c>
      <c r="AP174" s="47"/>
      <c r="AQ174" s="43"/>
      <c r="AR174" s="43"/>
      <c r="AS174" s="43"/>
      <c r="AT174" s="43"/>
      <c r="AU174" s="44"/>
      <c r="AV174" s="45" t="s">
        <v>19</v>
      </c>
      <c r="AW174" s="47"/>
      <c r="AX174" s="43"/>
      <c r="AY174" s="43"/>
      <c r="AZ174" s="48">
        <f>IFERROR(IF(E174="","",RANK(E174,$E$10:$I$264,1)),0)</f>
        <v>71</v>
      </c>
      <c r="BA174" s="49"/>
      <c r="BB174" s="49"/>
      <c r="BC174" s="50"/>
      <c r="BE174" s="38"/>
      <c r="BF174" s="38"/>
      <c r="BG174" s="3"/>
      <c r="BH174" s="30" t="s">
        <v>102</v>
      </c>
      <c r="BI174" s="30"/>
      <c r="BJ174" s="30"/>
      <c r="BK174" s="30"/>
      <c r="BL174" s="30"/>
      <c r="BM174" s="30"/>
      <c r="BN174" s="30"/>
      <c r="BO174" s="30"/>
      <c r="BP174" s="30" t="str">
        <f>IF(BE174&gt;0,VLOOKUP(BE174,'[3]Infos joueurs'!$B:$BT,11,FALSE)," ")&amp;" "&amp;IF(BE174&gt;0,VLOOKUP(BE174,'[3]Infos joueurs'!$B:$BT,27,FALSE)," ")</f>
        <v xml:space="preserve">   </v>
      </c>
      <c r="BQ174" s="30"/>
      <c r="BR174" s="30"/>
      <c r="BS174" s="30"/>
      <c r="BT174" s="30"/>
      <c r="BU174" s="30"/>
      <c r="BV174" s="30"/>
      <c r="BW174" s="30"/>
      <c r="BX174" s="30"/>
      <c r="BY174" s="30"/>
      <c r="BZ174" s="30"/>
      <c r="CA174" s="30"/>
      <c r="CD174" s="54">
        <v>83</v>
      </c>
      <c r="CE174" s="54"/>
      <c r="CF174" s="54"/>
      <c r="CH174" s="59" t="str">
        <f t="shared" ref="CH174" si="490">AA174</f>
        <v xml:space="preserve">   </v>
      </c>
      <c r="CI174" s="59"/>
      <c r="CJ174" s="59"/>
      <c r="CK174" s="59"/>
      <c r="CL174" s="59"/>
      <c r="CM174" s="59"/>
      <c r="CN174" s="59"/>
      <c r="CO174" s="59"/>
      <c r="CP174" s="59"/>
      <c r="CQ174" s="59"/>
      <c r="CR174" s="59"/>
      <c r="CS174" s="59"/>
      <c r="CU174" s="24">
        <f t="shared" ref="CU174" si="491">IFERROR(INDEX($BE$10:$BE$269,MATCH(CH174,$BP$10:$BP$269,0)),0)</f>
        <v>0</v>
      </c>
      <c r="CV174" s="24"/>
      <c r="CW174" s="24"/>
    </row>
    <row r="175" spans="5:101" ht="7.5" customHeight="1" x14ac:dyDescent="0.2">
      <c r="E175" s="41"/>
      <c r="F175" s="61"/>
      <c r="G175" s="61"/>
      <c r="H175" s="61"/>
      <c r="I175" s="42"/>
      <c r="J175" s="63"/>
      <c r="K175" s="41"/>
      <c r="L175" s="61"/>
      <c r="M175" s="61"/>
      <c r="N175" s="42"/>
      <c r="O175" s="41"/>
      <c r="P175" s="42"/>
      <c r="Q175" s="41"/>
      <c r="R175" s="42"/>
      <c r="S175" s="41"/>
      <c r="T175" s="42"/>
      <c r="U175" s="41"/>
      <c r="V175" s="61"/>
      <c r="W175" s="61"/>
      <c r="X175" s="61"/>
      <c r="Y175" s="42"/>
      <c r="Z175" s="29"/>
      <c r="AA175" s="29"/>
      <c r="AB175" s="29"/>
      <c r="AC175" s="29"/>
      <c r="AD175" s="29"/>
      <c r="AE175" s="43"/>
      <c r="AF175" s="43"/>
      <c r="AG175" s="44"/>
      <c r="AH175" s="46"/>
      <c r="AI175" s="47"/>
      <c r="AJ175" s="43"/>
      <c r="AK175" s="43"/>
      <c r="AL175" s="43"/>
      <c r="AM175" s="43"/>
      <c r="AN175" s="44"/>
      <c r="AO175" s="46"/>
      <c r="AP175" s="47"/>
      <c r="AQ175" s="43"/>
      <c r="AR175" s="43"/>
      <c r="AS175" s="43"/>
      <c r="AT175" s="43"/>
      <c r="AU175" s="44"/>
      <c r="AV175" s="46"/>
      <c r="AW175" s="47"/>
      <c r="AX175" s="43"/>
      <c r="AY175" s="43"/>
      <c r="AZ175" s="51"/>
      <c r="BA175" s="52"/>
      <c r="BB175" s="52"/>
      <c r="BC175" s="53"/>
      <c r="BE175" s="38"/>
      <c r="BF175" s="38"/>
      <c r="BG175" s="3"/>
      <c r="BH175" s="30"/>
      <c r="BI175" s="30"/>
      <c r="BJ175" s="30"/>
      <c r="BK175" s="30"/>
      <c r="BL175" s="30"/>
      <c r="BM175" s="30"/>
      <c r="BN175" s="30"/>
      <c r="BO175" s="30"/>
      <c r="BP175" s="30"/>
      <c r="BQ175" s="30"/>
      <c r="BR175" s="30"/>
      <c r="BS175" s="30"/>
      <c r="BT175" s="30"/>
      <c r="BU175" s="30"/>
      <c r="BV175" s="30"/>
      <c r="BW175" s="30"/>
      <c r="BX175" s="30"/>
      <c r="BY175" s="30"/>
      <c r="BZ175" s="30"/>
      <c r="CA175" s="30"/>
      <c r="CD175" s="55"/>
      <c r="CE175" s="55"/>
      <c r="CF175" s="55"/>
      <c r="CH175" s="56"/>
      <c r="CI175" s="56"/>
      <c r="CJ175" s="56"/>
      <c r="CK175" s="56"/>
      <c r="CL175" s="56"/>
      <c r="CM175" s="56"/>
      <c r="CN175" s="56"/>
      <c r="CO175" s="56"/>
      <c r="CP175" s="56"/>
      <c r="CQ175" s="56"/>
      <c r="CR175" s="56"/>
      <c r="CS175" s="56"/>
      <c r="CU175" s="25"/>
      <c r="CV175" s="25"/>
      <c r="CW175" s="25"/>
    </row>
    <row r="176" spans="5:101" ht="7.5" customHeight="1" x14ac:dyDescent="0.2">
      <c r="E176" s="39">
        <f>IFERROR(IF(BP176="","-",RANK(S176,$S$10:$T$264,0)+RANK(Q176,$Q$10:$R$264,0)%+RANK(O176,$O$10:$P$264,0)%%+ROW()%%%),"-")</f>
        <v>12.131876</v>
      </c>
      <c r="F176" s="60"/>
      <c r="G176" s="60"/>
      <c r="H176" s="60"/>
      <c r="I176" s="40"/>
      <c r="J176" s="62">
        <f>IFERROR(IF(E176="","",RANK(E176,$E$10:$I$264,1)),"-")</f>
        <v>72</v>
      </c>
      <c r="K176" s="39" t="str">
        <f t="shared" ref="K176" si="492">BP176</f>
        <v xml:space="preserve">   </v>
      </c>
      <c r="L176" s="60"/>
      <c r="M176" s="60"/>
      <c r="N176" s="40"/>
      <c r="O176" s="39">
        <f t="shared" ref="O176" si="493">SUM(AE176-AI176)</f>
        <v>0</v>
      </c>
      <c r="P176" s="40"/>
      <c r="Q176" s="39">
        <f t="shared" ref="Q176" si="494">SUM(AL176-AP176)</f>
        <v>0</v>
      </c>
      <c r="R176" s="40"/>
      <c r="S176" s="39">
        <f t="shared" ref="S176" si="495">SUM(AS176-AW176)</f>
        <v>0</v>
      </c>
      <c r="T176" s="40"/>
      <c r="U176" s="39">
        <f>IFERROR(SMALL($E$10:$I$264,84),0)</f>
        <v>12.1319</v>
      </c>
      <c r="V176" s="60"/>
      <c r="W176" s="60"/>
      <c r="X176" s="60"/>
      <c r="Y176" s="40"/>
      <c r="Z176" s="29">
        <f>IFERROR(IF(U176="","",RANK(U176,$U$10:$Y$264,1)),0)</f>
        <v>84</v>
      </c>
      <c r="AA176" s="29" t="str">
        <f>IFERROR(INDEX($K$10:$K$264,MATCH(U176,$E$10:$E$264,0),1),0)</f>
        <v xml:space="preserve">   </v>
      </c>
      <c r="AB176" s="29"/>
      <c r="AC176" s="29"/>
      <c r="AD176" s="29"/>
      <c r="AE176" s="43"/>
      <c r="AF176" s="43"/>
      <c r="AG176" s="44"/>
      <c r="AH176" s="45" t="s">
        <v>19</v>
      </c>
      <c r="AI176" s="47"/>
      <c r="AJ176" s="43"/>
      <c r="AK176" s="43"/>
      <c r="AL176" s="43"/>
      <c r="AM176" s="43"/>
      <c r="AN176" s="44"/>
      <c r="AO176" s="45" t="s">
        <v>19</v>
      </c>
      <c r="AP176" s="47"/>
      <c r="AQ176" s="43"/>
      <c r="AR176" s="43"/>
      <c r="AS176" s="43"/>
      <c r="AT176" s="43"/>
      <c r="AU176" s="44"/>
      <c r="AV176" s="45" t="s">
        <v>19</v>
      </c>
      <c r="AW176" s="47"/>
      <c r="AX176" s="43"/>
      <c r="AY176" s="43"/>
      <c r="AZ176" s="48">
        <f>IFERROR(IF(E176="","",RANK(E176,$E$10:$I$264,1)),0)</f>
        <v>72</v>
      </c>
      <c r="BA176" s="49"/>
      <c r="BB176" s="49"/>
      <c r="BC176" s="50"/>
      <c r="BE176" s="38"/>
      <c r="BF176" s="38"/>
      <c r="BG176" s="3"/>
      <c r="BH176" s="30" t="s">
        <v>103</v>
      </c>
      <c r="BI176" s="30"/>
      <c r="BJ176" s="30"/>
      <c r="BK176" s="30"/>
      <c r="BL176" s="30"/>
      <c r="BM176" s="30"/>
      <c r="BN176" s="30"/>
      <c r="BO176" s="30"/>
      <c r="BP176" s="30" t="str">
        <f>IF(BE176&gt;0,VLOOKUP(BE176,'[3]Infos joueurs'!$B:$BT,11,FALSE)," ")&amp;" "&amp;IF(BE176&gt;0,VLOOKUP(BE176,'[3]Infos joueurs'!$B:$BT,27,FALSE)," ")</f>
        <v xml:space="preserve">   </v>
      </c>
      <c r="BQ176" s="30"/>
      <c r="BR176" s="30"/>
      <c r="BS176" s="30"/>
      <c r="BT176" s="30"/>
      <c r="BU176" s="30"/>
      <c r="BV176" s="30"/>
      <c r="BW176" s="30"/>
      <c r="BX176" s="30"/>
      <c r="BY176" s="30"/>
      <c r="BZ176" s="30"/>
      <c r="CA176" s="30"/>
      <c r="CD176" s="54">
        <v>84</v>
      </c>
      <c r="CE176" s="54"/>
      <c r="CF176" s="54"/>
      <c r="CH176" s="59" t="str">
        <f t="shared" ref="CH176" si="496">AA176</f>
        <v xml:space="preserve">   </v>
      </c>
      <c r="CI176" s="59"/>
      <c r="CJ176" s="59"/>
      <c r="CK176" s="59"/>
      <c r="CL176" s="59"/>
      <c r="CM176" s="59"/>
      <c r="CN176" s="59"/>
      <c r="CO176" s="59"/>
      <c r="CP176" s="59"/>
      <c r="CQ176" s="59"/>
      <c r="CR176" s="59"/>
      <c r="CS176" s="59"/>
      <c r="CU176" s="24">
        <f t="shared" ref="CU176" si="497">IFERROR(INDEX($BE$10:$BE$269,MATCH(CH176,$BP$10:$BP$269,0)),0)</f>
        <v>0</v>
      </c>
      <c r="CV176" s="24"/>
      <c r="CW176" s="24"/>
    </row>
    <row r="177" spans="5:101" ht="7.5" customHeight="1" x14ac:dyDescent="0.2">
      <c r="E177" s="41"/>
      <c r="F177" s="61"/>
      <c r="G177" s="61"/>
      <c r="H177" s="61"/>
      <c r="I177" s="42"/>
      <c r="J177" s="63"/>
      <c r="K177" s="41"/>
      <c r="L177" s="61"/>
      <c r="M177" s="61"/>
      <c r="N177" s="42"/>
      <c r="O177" s="41"/>
      <c r="P177" s="42"/>
      <c r="Q177" s="41"/>
      <c r="R177" s="42"/>
      <c r="S177" s="41"/>
      <c r="T177" s="42"/>
      <c r="U177" s="41"/>
      <c r="V177" s="61"/>
      <c r="W177" s="61"/>
      <c r="X177" s="61"/>
      <c r="Y177" s="42"/>
      <c r="Z177" s="29"/>
      <c r="AA177" s="29"/>
      <c r="AB177" s="29"/>
      <c r="AC177" s="29"/>
      <c r="AD177" s="29"/>
      <c r="AE177" s="43"/>
      <c r="AF177" s="43"/>
      <c r="AG177" s="44"/>
      <c r="AH177" s="46"/>
      <c r="AI177" s="47"/>
      <c r="AJ177" s="43"/>
      <c r="AK177" s="43"/>
      <c r="AL177" s="43"/>
      <c r="AM177" s="43"/>
      <c r="AN177" s="44"/>
      <c r="AO177" s="46"/>
      <c r="AP177" s="47"/>
      <c r="AQ177" s="43"/>
      <c r="AR177" s="43"/>
      <c r="AS177" s="43"/>
      <c r="AT177" s="43"/>
      <c r="AU177" s="44"/>
      <c r="AV177" s="46"/>
      <c r="AW177" s="47"/>
      <c r="AX177" s="43"/>
      <c r="AY177" s="43"/>
      <c r="AZ177" s="51"/>
      <c r="BA177" s="52"/>
      <c r="BB177" s="52"/>
      <c r="BC177" s="53"/>
      <c r="BE177" s="38"/>
      <c r="BF177" s="38"/>
      <c r="BG177" s="3"/>
      <c r="BH177" s="30"/>
      <c r="BI177" s="30"/>
      <c r="BJ177" s="30"/>
      <c r="BK177" s="30"/>
      <c r="BL177" s="30"/>
      <c r="BM177" s="30"/>
      <c r="BN177" s="30"/>
      <c r="BO177" s="30"/>
      <c r="BP177" s="30"/>
      <c r="BQ177" s="30"/>
      <c r="BR177" s="30"/>
      <c r="BS177" s="30"/>
      <c r="BT177" s="30"/>
      <c r="BU177" s="30"/>
      <c r="BV177" s="30"/>
      <c r="BW177" s="30"/>
      <c r="BX177" s="30"/>
      <c r="BY177" s="30"/>
      <c r="BZ177" s="30"/>
      <c r="CA177" s="30"/>
      <c r="CD177" s="55"/>
      <c r="CE177" s="55"/>
      <c r="CF177" s="55"/>
      <c r="CH177" s="56"/>
      <c r="CI177" s="56"/>
      <c r="CJ177" s="56"/>
      <c r="CK177" s="56"/>
      <c r="CL177" s="56"/>
      <c r="CM177" s="56"/>
      <c r="CN177" s="56"/>
      <c r="CO177" s="56"/>
      <c r="CP177" s="56"/>
      <c r="CQ177" s="56"/>
      <c r="CR177" s="56"/>
      <c r="CS177" s="56"/>
      <c r="CU177" s="25"/>
      <c r="CV177" s="25"/>
      <c r="CW177" s="25"/>
    </row>
    <row r="178" spans="5:101" ht="7.5" customHeight="1" x14ac:dyDescent="0.2">
      <c r="E178" s="39">
        <f>IFERROR(IF(BP178="","-",RANK(S178,$S$10:$T$264,0)+RANK(Q178,$Q$10:$R$264,0)%+RANK(O178,$O$10:$P$264,0)%%+ROW()%%%),"-")</f>
        <v>12.131878</v>
      </c>
      <c r="F178" s="60"/>
      <c r="G178" s="60"/>
      <c r="H178" s="60"/>
      <c r="I178" s="40"/>
      <c r="J178" s="62">
        <f>IFERROR(IF(E178="","",RANK(E178,$E$10:$I$264,1)),"-")</f>
        <v>73</v>
      </c>
      <c r="K178" s="39" t="str">
        <f t="shared" ref="K178" si="498">BP178</f>
        <v xml:space="preserve">   </v>
      </c>
      <c r="L178" s="60"/>
      <c r="M178" s="60"/>
      <c r="N178" s="40"/>
      <c r="O178" s="39">
        <f t="shared" ref="O178" si="499">SUM(AE178-AI178)</f>
        <v>0</v>
      </c>
      <c r="P178" s="40"/>
      <c r="Q178" s="39">
        <f t="shared" ref="Q178" si="500">SUM(AL178-AP178)</f>
        <v>0</v>
      </c>
      <c r="R178" s="40"/>
      <c r="S178" s="39">
        <f t="shared" ref="S178" si="501">SUM(AS178-AW178)</f>
        <v>0</v>
      </c>
      <c r="T178" s="40"/>
      <c r="U178" s="39">
        <f>IFERROR(SMALL($E$10:$I$264,85),0)</f>
        <v>12.131902</v>
      </c>
      <c r="V178" s="60"/>
      <c r="W178" s="60"/>
      <c r="X178" s="60"/>
      <c r="Y178" s="40"/>
      <c r="Z178" s="29">
        <f>IFERROR(IF(U178="","",RANK(U178,$U$10:$Y$264,1)),0)</f>
        <v>85</v>
      </c>
      <c r="AA178" s="29" t="str">
        <f>IFERROR(INDEX($K$10:$K$264,MATCH(U178,$E$10:$E$264,0),1),0)</f>
        <v xml:space="preserve">   </v>
      </c>
      <c r="AB178" s="29"/>
      <c r="AC178" s="29"/>
      <c r="AD178" s="29"/>
      <c r="AE178" s="43"/>
      <c r="AF178" s="43"/>
      <c r="AG178" s="44"/>
      <c r="AH178" s="45" t="s">
        <v>19</v>
      </c>
      <c r="AI178" s="47"/>
      <c r="AJ178" s="43"/>
      <c r="AK178" s="43"/>
      <c r="AL178" s="43"/>
      <c r="AM178" s="43"/>
      <c r="AN178" s="44"/>
      <c r="AO178" s="45" t="s">
        <v>19</v>
      </c>
      <c r="AP178" s="47"/>
      <c r="AQ178" s="43"/>
      <c r="AR178" s="43"/>
      <c r="AS178" s="43"/>
      <c r="AT178" s="43"/>
      <c r="AU178" s="44"/>
      <c r="AV178" s="45" t="s">
        <v>19</v>
      </c>
      <c r="AW178" s="47"/>
      <c r="AX178" s="43"/>
      <c r="AY178" s="43"/>
      <c r="AZ178" s="48">
        <f>IFERROR(IF(E178="","",RANK(E178,$E$10:$I$264,1)),0)</f>
        <v>73</v>
      </c>
      <c r="BA178" s="49"/>
      <c r="BB178" s="49"/>
      <c r="BC178" s="50"/>
      <c r="BE178" s="38"/>
      <c r="BF178" s="38"/>
      <c r="BG178" s="3"/>
      <c r="BH178" s="30" t="s">
        <v>104</v>
      </c>
      <c r="BI178" s="30"/>
      <c r="BJ178" s="30"/>
      <c r="BK178" s="30"/>
      <c r="BL178" s="30"/>
      <c r="BM178" s="30"/>
      <c r="BN178" s="30"/>
      <c r="BO178" s="30"/>
      <c r="BP178" s="30" t="str">
        <f>IF(BE178&gt;0,VLOOKUP(BE178,'[3]Infos joueurs'!$B:$BT,11,FALSE)," ")&amp;" "&amp;IF(BE178&gt;0,VLOOKUP(BE178,'[3]Infos joueurs'!$B:$BT,27,FALSE)," ")</f>
        <v xml:space="preserve">   </v>
      </c>
      <c r="BQ178" s="30"/>
      <c r="BR178" s="30"/>
      <c r="BS178" s="30"/>
      <c r="BT178" s="30"/>
      <c r="BU178" s="30"/>
      <c r="BV178" s="30"/>
      <c r="BW178" s="30"/>
      <c r="BX178" s="30"/>
      <c r="BY178" s="30"/>
      <c r="BZ178" s="30"/>
      <c r="CA178" s="30"/>
      <c r="CD178" s="54">
        <v>85</v>
      </c>
      <c r="CE178" s="54"/>
      <c r="CF178" s="54"/>
      <c r="CH178" s="59" t="str">
        <f t="shared" ref="CH178" si="502">AA178</f>
        <v xml:space="preserve">   </v>
      </c>
      <c r="CI178" s="59"/>
      <c r="CJ178" s="59"/>
      <c r="CK178" s="59"/>
      <c r="CL178" s="59"/>
      <c r="CM178" s="59"/>
      <c r="CN178" s="59"/>
      <c r="CO178" s="59"/>
      <c r="CP178" s="59"/>
      <c r="CQ178" s="59"/>
      <c r="CR178" s="59"/>
      <c r="CS178" s="59"/>
      <c r="CU178" s="24">
        <f t="shared" ref="CU178" si="503">IFERROR(INDEX($BE$10:$BE$269,MATCH(CH178,$BP$10:$BP$269,0)),0)</f>
        <v>0</v>
      </c>
      <c r="CV178" s="24"/>
      <c r="CW178" s="24"/>
    </row>
    <row r="179" spans="5:101" ht="7.5" customHeight="1" x14ac:dyDescent="0.2">
      <c r="E179" s="41"/>
      <c r="F179" s="61"/>
      <c r="G179" s="61"/>
      <c r="H179" s="61"/>
      <c r="I179" s="42"/>
      <c r="J179" s="63"/>
      <c r="K179" s="41"/>
      <c r="L179" s="61"/>
      <c r="M179" s="61"/>
      <c r="N179" s="42"/>
      <c r="O179" s="41"/>
      <c r="P179" s="42"/>
      <c r="Q179" s="41"/>
      <c r="R179" s="42"/>
      <c r="S179" s="41"/>
      <c r="T179" s="42"/>
      <c r="U179" s="41"/>
      <c r="V179" s="61"/>
      <c r="W179" s="61"/>
      <c r="X179" s="61"/>
      <c r="Y179" s="42"/>
      <c r="Z179" s="29"/>
      <c r="AA179" s="29"/>
      <c r="AB179" s="29"/>
      <c r="AC179" s="29"/>
      <c r="AD179" s="29"/>
      <c r="AE179" s="43"/>
      <c r="AF179" s="43"/>
      <c r="AG179" s="44"/>
      <c r="AH179" s="46"/>
      <c r="AI179" s="47"/>
      <c r="AJ179" s="43"/>
      <c r="AK179" s="43"/>
      <c r="AL179" s="43"/>
      <c r="AM179" s="43"/>
      <c r="AN179" s="44"/>
      <c r="AO179" s="46"/>
      <c r="AP179" s="47"/>
      <c r="AQ179" s="43"/>
      <c r="AR179" s="43"/>
      <c r="AS179" s="43"/>
      <c r="AT179" s="43"/>
      <c r="AU179" s="44"/>
      <c r="AV179" s="46"/>
      <c r="AW179" s="47"/>
      <c r="AX179" s="43"/>
      <c r="AY179" s="43"/>
      <c r="AZ179" s="51"/>
      <c r="BA179" s="52"/>
      <c r="BB179" s="52"/>
      <c r="BC179" s="53"/>
      <c r="BE179" s="38"/>
      <c r="BF179" s="38"/>
      <c r="BG179" s="3"/>
      <c r="BH179" s="30"/>
      <c r="BI179" s="30"/>
      <c r="BJ179" s="30"/>
      <c r="BK179" s="30"/>
      <c r="BL179" s="30"/>
      <c r="BM179" s="30"/>
      <c r="BN179" s="30"/>
      <c r="BO179" s="30"/>
      <c r="BP179" s="30"/>
      <c r="BQ179" s="30"/>
      <c r="BR179" s="30"/>
      <c r="BS179" s="30"/>
      <c r="BT179" s="30"/>
      <c r="BU179" s="30"/>
      <c r="BV179" s="30"/>
      <c r="BW179" s="30"/>
      <c r="BX179" s="30"/>
      <c r="BY179" s="30"/>
      <c r="BZ179" s="30"/>
      <c r="CA179" s="30"/>
      <c r="CD179" s="55"/>
      <c r="CE179" s="55"/>
      <c r="CF179" s="55"/>
      <c r="CH179" s="56"/>
      <c r="CI179" s="56"/>
      <c r="CJ179" s="56"/>
      <c r="CK179" s="56"/>
      <c r="CL179" s="56"/>
      <c r="CM179" s="56"/>
      <c r="CN179" s="56"/>
      <c r="CO179" s="56"/>
      <c r="CP179" s="56"/>
      <c r="CQ179" s="56"/>
      <c r="CR179" s="56"/>
      <c r="CS179" s="56"/>
      <c r="CU179" s="25"/>
      <c r="CV179" s="25"/>
      <c r="CW179" s="25"/>
    </row>
    <row r="180" spans="5:101" ht="7.5" customHeight="1" x14ac:dyDescent="0.2">
      <c r="E180" s="39">
        <f>IFERROR(IF(BP180="","-",RANK(S180,$S$10:$T$264,0)+RANK(Q180,$Q$10:$R$264,0)%+RANK(O180,$O$10:$P$264,0)%%+ROW()%%%),"-")</f>
        <v>12.131880000000001</v>
      </c>
      <c r="F180" s="60"/>
      <c r="G180" s="60"/>
      <c r="H180" s="60"/>
      <c r="I180" s="40"/>
      <c r="J180" s="62">
        <f>IFERROR(IF(E180="","",RANK(E180,$E$10:$I$264,1)),"-")</f>
        <v>74</v>
      </c>
      <c r="K180" s="39" t="str">
        <f t="shared" ref="K180" si="504">BP180</f>
        <v xml:space="preserve">   </v>
      </c>
      <c r="L180" s="60"/>
      <c r="M180" s="60"/>
      <c r="N180" s="40"/>
      <c r="O180" s="39">
        <f t="shared" ref="O180" si="505">SUM(AE180-AI180)</f>
        <v>0</v>
      </c>
      <c r="P180" s="40"/>
      <c r="Q180" s="39">
        <f t="shared" ref="Q180" si="506">SUM(AL180-AP180)</f>
        <v>0</v>
      </c>
      <c r="R180" s="40"/>
      <c r="S180" s="39">
        <f t="shared" ref="S180" si="507">SUM(AS180-AW180)</f>
        <v>0</v>
      </c>
      <c r="T180" s="40"/>
      <c r="U180" s="39">
        <f>IFERROR(SMALL($E$10:$I$264,86),0)</f>
        <v>12.131904</v>
      </c>
      <c r="V180" s="60"/>
      <c r="W180" s="60"/>
      <c r="X180" s="60"/>
      <c r="Y180" s="40"/>
      <c r="Z180" s="29">
        <f>IFERROR(IF(U180="","",RANK(U180,$U$10:$Y$264,1)),0)</f>
        <v>86</v>
      </c>
      <c r="AA180" s="29" t="str">
        <f>IFERROR(INDEX($K$10:$K$264,MATCH(U180,$E$10:$E$264,0),1),0)</f>
        <v xml:space="preserve">   </v>
      </c>
      <c r="AB180" s="29"/>
      <c r="AC180" s="29"/>
      <c r="AD180" s="29"/>
      <c r="AE180" s="43"/>
      <c r="AF180" s="43"/>
      <c r="AG180" s="44"/>
      <c r="AH180" s="45" t="s">
        <v>19</v>
      </c>
      <c r="AI180" s="47"/>
      <c r="AJ180" s="43"/>
      <c r="AK180" s="43"/>
      <c r="AL180" s="43"/>
      <c r="AM180" s="43"/>
      <c r="AN180" s="44"/>
      <c r="AO180" s="45" t="s">
        <v>19</v>
      </c>
      <c r="AP180" s="47"/>
      <c r="AQ180" s="43"/>
      <c r="AR180" s="43"/>
      <c r="AS180" s="43"/>
      <c r="AT180" s="43"/>
      <c r="AU180" s="44"/>
      <c r="AV180" s="45" t="s">
        <v>19</v>
      </c>
      <c r="AW180" s="47"/>
      <c r="AX180" s="43"/>
      <c r="AY180" s="43"/>
      <c r="AZ180" s="48">
        <f>IFERROR(IF(E180="","",RANK(E180,$E$10:$I$264,1)),0)</f>
        <v>74</v>
      </c>
      <c r="BA180" s="49"/>
      <c r="BB180" s="49"/>
      <c r="BC180" s="50"/>
      <c r="BE180" s="38"/>
      <c r="BF180" s="38"/>
      <c r="BG180" s="3"/>
      <c r="BH180" s="30" t="s">
        <v>105</v>
      </c>
      <c r="BI180" s="30"/>
      <c r="BJ180" s="30"/>
      <c r="BK180" s="30"/>
      <c r="BL180" s="30"/>
      <c r="BM180" s="30"/>
      <c r="BN180" s="30"/>
      <c r="BO180" s="30"/>
      <c r="BP180" s="30" t="str">
        <f>IF(BE180&gt;0,VLOOKUP(BE180,'[3]Infos joueurs'!$B:$BT,11,FALSE)," ")&amp;" "&amp;IF(BE180&gt;0,VLOOKUP(BE180,'[3]Infos joueurs'!$B:$BT,27,FALSE)," ")</f>
        <v xml:space="preserve">   </v>
      </c>
      <c r="BQ180" s="30"/>
      <c r="BR180" s="30"/>
      <c r="BS180" s="30"/>
      <c r="BT180" s="30"/>
      <c r="BU180" s="30"/>
      <c r="BV180" s="30"/>
      <c r="BW180" s="30"/>
      <c r="BX180" s="30"/>
      <c r="BY180" s="30"/>
      <c r="BZ180" s="30"/>
      <c r="CA180" s="30"/>
      <c r="CD180" s="54">
        <v>86</v>
      </c>
      <c r="CE180" s="54"/>
      <c r="CF180" s="54"/>
      <c r="CH180" s="59" t="str">
        <f t="shared" ref="CH180" si="508">AA180</f>
        <v xml:space="preserve">   </v>
      </c>
      <c r="CI180" s="59"/>
      <c r="CJ180" s="59"/>
      <c r="CK180" s="59"/>
      <c r="CL180" s="59"/>
      <c r="CM180" s="59"/>
      <c r="CN180" s="59"/>
      <c r="CO180" s="59"/>
      <c r="CP180" s="59"/>
      <c r="CQ180" s="59"/>
      <c r="CR180" s="59"/>
      <c r="CS180" s="59"/>
      <c r="CU180" s="24">
        <f t="shared" ref="CU180" si="509">IFERROR(INDEX($BE$10:$BE$269,MATCH(CH180,$BP$10:$BP$269,0)),0)</f>
        <v>0</v>
      </c>
      <c r="CV180" s="24"/>
      <c r="CW180" s="24"/>
    </row>
    <row r="181" spans="5:101" ht="7.5" customHeight="1" x14ac:dyDescent="0.2">
      <c r="E181" s="41"/>
      <c r="F181" s="61"/>
      <c r="G181" s="61"/>
      <c r="H181" s="61"/>
      <c r="I181" s="42"/>
      <c r="J181" s="63"/>
      <c r="K181" s="41"/>
      <c r="L181" s="61"/>
      <c r="M181" s="61"/>
      <c r="N181" s="42"/>
      <c r="O181" s="41"/>
      <c r="P181" s="42"/>
      <c r="Q181" s="41"/>
      <c r="R181" s="42"/>
      <c r="S181" s="41"/>
      <c r="T181" s="42"/>
      <c r="U181" s="41"/>
      <c r="V181" s="61"/>
      <c r="W181" s="61"/>
      <c r="X181" s="61"/>
      <c r="Y181" s="42"/>
      <c r="Z181" s="29"/>
      <c r="AA181" s="29"/>
      <c r="AB181" s="29"/>
      <c r="AC181" s="29"/>
      <c r="AD181" s="29"/>
      <c r="AE181" s="43"/>
      <c r="AF181" s="43"/>
      <c r="AG181" s="44"/>
      <c r="AH181" s="46"/>
      <c r="AI181" s="47"/>
      <c r="AJ181" s="43"/>
      <c r="AK181" s="43"/>
      <c r="AL181" s="43"/>
      <c r="AM181" s="43"/>
      <c r="AN181" s="44"/>
      <c r="AO181" s="46"/>
      <c r="AP181" s="47"/>
      <c r="AQ181" s="43"/>
      <c r="AR181" s="43"/>
      <c r="AS181" s="43"/>
      <c r="AT181" s="43"/>
      <c r="AU181" s="44"/>
      <c r="AV181" s="46"/>
      <c r="AW181" s="47"/>
      <c r="AX181" s="43"/>
      <c r="AY181" s="43"/>
      <c r="AZ181" s="51"/>
      <c r="BA181" s="52"/>
      <c r="BB181" s="52"/>
      <c r="BC181" s="53"/>
      <c r="BE181" s="38"/>
      <c r="BF181" s="38"/>
      <c r="BG181" s="3"/>
      <c r="BH181" s="30"/>
      <c r="BI181" s="30"/>
      <c r="BJ181" s="30"/>
      <c r="BK181" s="30"/>
      <c r="BL181" s="30"/>
      <c r="BM181" s="30"/>
      <c r="BN181" s="30"/>
      <c r="BO181" s="30"/>
      <c r="BP181" s="30"/>
      <c r="BQ181" s="30"/>
      <c r="BR181" s="30"/>
      <c r="BS181" s="30"/>
      <c r="BT181" s="30"/>
      <c r="BU181" s="30"/>
      <c r="BV181" s="30"/>
      <c r="BW181" s="30"/>
      <c r="BX181" s="30"/>
      <c r="BY181" s="30"/>
      <c r="BZ181" s="30"/>
      <c r="CA181" s="30"/>
      <c r="CD181" s="55"/>
      <c r="CE181" s="55"/>
      <c r="CF181" s="55"/>
      <c r="CH181" s="56"/>
      <c r="CI181" s="56"/>
      <c r="CJ181" s="56"/>
      <c r="CK181" s="56"/>
      <c r="CL181" s="56"/>
      <c r="CM181" s="56"/>
      <c r="CN181" s="56"/>
      <c r="CO181" s="56"/>
      <c r="CP181" s="56"/>
      <c r="CQ181" s="56"/>
      <c r="CR181" s="56"/>
      <c r="CS181" s="56"/>
      <c r="CU181" s="25"/>
      <c r="CV181" s="25"/>
      <c r="CW181" s="25"/>
    </row>
    <row r="182" spans="5:101" ht="7.5" customHeight="1" x14ac:dyDescent="0.2">
      <c r="E182" s="39">
        <f>IFERROR(IF(BP182="","-",RANK(S182,$S$10:$T$264,0)+RANK(Q182,$Q$10:$R$264,0)%+RANK(O182,$O$10:$P$264,0)%%+ROW()%%%),"-")</f>
        <v>12.131882000000001</v>
      </c>
      <c r="F182" s="60"/>
      <c r="G182" s="60"/>
      <c r="H182" s="60"/>
      <c r="I182" s="40"/>
      <c r="J182" s="62">
        <f>IFERROR(IF(E182="","",RANK(E182,$E$10:$I$264,1)),"-")</f>
        <v>75</v>
      </c>
      <c r="K182" s="39" t="str">
        <f t="shared" ref="K182" si="510">BP182</f>
        <v xml:space="preserve">   </v>
      </c>
      <c r="L182" s="60"/>
      <c r="M182" s="60"/>
      <c r="N182" s="40"/>
      <c r="O182" s="39">
        <f t="shared" ref="O182" si="511">SUM(AE182-AI182)</f>
        <v>0</v>
      </c>
      <c r="P182" s="40"/>
      <c r="Q182" s="39">
        <f t="shared" ref="Q182" si="512">SUM(AL182-AP182)</f>
        <v>0</v>
      </c>
      <c r="R182" s="40"/>
      <c r="S182" s="39">
        <f t="shared" ref="S182" si="513">SUM(AS182-AW182)</f>
        <v>0</v>
      </c>
      <c r="T182" s="40"/>
      <c r="U182" s="39">
        <f>IFERROR(SMALL($E$10:$I$264,87),0)</f>
        <v>12.131906000000001</v>
      </c>
      <c r="V182" s="60"/>
      <c r="W182" s="60"/>
      <c r="X182" s="60"/>
      <c r="Y182" s="40"/>
      <c r="Z182" s="29">
        <f>IFERROR(IF(U182="","",RANK(U182,$U$10:$Y$264,1)),0)</f>
        <v>87</v>
      </c>
      <c r="AA182" s="29" t="str">
        <f>IFERROR(INDEX($K$10:$K$264,MATCH(U182,$E$10:$E$264,0),1),0)</f>
        <v xml:space="preserve">   </v>
      </c>
      <c r="AB182" s="29"/>
      <c r="AC182" s="29"/>
      <c r="AD182" s="29"/>
      <c r="AE182" s="43"/>
      <c r="AF182" s="43"/>
      <c r="AG182" s="44"/>
      <c r="AH182" s="45" t="s">
        <v>19</v>
      </c>
      <c r="AI182" s="47"/>
      <c r="AJ182" s="43"/>
      <c r="AK182" s="43"/>
      <c r="AL182" s="43"/>
      <c r="AM182" s="43"/>
      <c r="AN182" s="44"/>
      <c r="AO182" s="45" t="s">
        <v>19</v>
      </c>
      <c r="AP182" s="47"/>
      <c r="AQ182" s="43"/>
      <c r="AR182" s="43"/>
      <c r="AS182" s="43"/>
      <c r="AT182" s="43"/>
      <c r="AU182" s="44"/>
      <c r="AV182" s="45" t="s">
        <v>19</v>
      </c>
      <c r="AW182" s="47"/>
      <c r="AX182" s="43"/>
      <c r="AY182" s="43"/>
      <c r="AZ182" s="48">
        <f>IFERROR(IF(E182="","",RANK(E182,$E$10:$I$264,1)),0)</f>
        <v>75</v>
      </c>
      <c r="BA182" s="49"/>
      <c r="BB182" s="49"/>
      <c r="BC182" s="50"/>
      <c r="BE182" s="38"/>
      <c r="BF182" s="38"/>
      <c r="BG182" s="3"/>
      <c r="BH182" s="30" t="s">
        <v>106</v>
      </c>
      <c r="BI182" s="30"/>
      <c r="BJ182" s="30"/>
      <c r="BK182" s="30"/>
      <c r="BL182" s="30"/>
      <c r="BM182" s="30"/>
      <c r="BN182" s="30"/>
      <c r="BO182" s="30"/>
      <c r="BP182" s="30" t="str">
        <f>IF(BE182&gt;0,VLOOKUP(BE182,'[3]Infos joueurs'!$B:$BT,11,FALSE)," ")&amp;" "&amp;IF(BE182&gt;0,VLOOKUP(BE182,'[3]Infos joueurs'!$B:$BT,27,FALSE)," ")</f>
        <v xml:space="preserve">   </v>
      </c>
      <c r="BQ182" s="30"/>
      <c r="BR182" s="30"/>
      <c r="BS182" s="30"/>
      <c r="BT182" s="30"/>
      <c r="BU182" s="30"/>
      <c r="BV182" s="30"/>
      <c r="BW182" s="30"/>
      <c r="BX182" s="30"/>
      <c r="BY182" s="30"/>
      <c r="BZ182" s="30"/>
      <c r="CA182" s="30"/>
      <c r="CD182" s="54">
        <v>87</v>
      </c>
      <c r="CE182" s="54"/>
      <c r="CF182" s="54"/>
      <c r="CH182" s="59" t="str">
        <f t="shared" ref="CH182" si="514">AA182</f>
        <v xml:space="preserve">   </v>
      </c>
      <c r="CI182" s="59"/>
      <c r="CJ182" s="59"/>
      <c r="CK182" s="59"/>
      <c r="CL182" s="59"/>
      <c r="CM182" s="59"/>
      <c r="CN182" s="59"/>
      <c r="CO182" s="59"/>
      <c r="CP182" s="59"/>
      <c r="CQ182" s="59"/>
      <c r="CR182" s="59"/>
      <c r="CS182" s="59"/>
      <c r="CU182" s="24">
        <f t="shared" ref="CU182" si="515">IFERROR(INDEX($BE$10:$BE$269,MATCH(CH182,$BP$10:$BP$269,0)),0)</f>
        <v>0</v>
      </c>
      <c r="CV182" s="24"/>
      <c r="CW182" s="24"/>
    </row>
    <row r="183" spans="5:101" ht="7.5" customHeight="1" x14ac:dyDescent="0.2">
      <c r="E183" s="41"/>
      <c r="F183" s="61"/>
      <c r="G183" s="61"/>
      <c r="H183" s="61"/>
      <c r="I183" s="42"/>
      <c r="J183" s="63"/>
      <c r="K183" s="41"/>
      <c r="L183" s="61"/>
      <c r="M183" s="61"/>
      <c r="N183" s="42"/>
      <c r="O183" s="41"/>
      <c r="P183" s="42"/>
      <c r="Q183" s="41"/>
      <c r="R183" s="42"/>
      <c r="S183" s="41"/>
      <c r="T183" s="42"/>
      <c r="U183" s="41"/>
      <c r="V183" s="61"/>
      <c r="W183" s="61"/>
      <c r="X183" s="61"/>
      <c r="Y183" s="42"/>
      <c r="Z183" s="29"/>
      <c r="AA183" s="29"/>
      <c r="AB183" s="29"/>
      <c r="AC183" s="29"/>
      <c r="AD183" s="29"/>
      <c r="AE183" s="43"/>
      <c r="AF183" s="43"/>
      <c r="AG183" s="44"/>
      <c r="AH183" s="46"/>
      <c r="AI183" s="47"/>
      <c r="AJ183" s="43"/>
      <c r="AK183" s="43"/>
      <c r="AL183" s="43"/>
      <c r="AM183" s="43"/>
      <c r="AN183" s="44"/>
      <c r="AO183" s="46"/>
      <c r="AP183" s="47"/>
      <c r="AQ183" s="43"/>
      <c r="AR183" s="43"/>
      <c r="AS183" s="43"/>
      <c r="AT183" s="43"/>
      <c r="AU183" s="44"/>
      <c r="AV183" s="46"/>
      <c r="AW183" s="47"/>
      <c r="AX183" s="43"/>
      <c r="AY183" s="43"/>
      <c r="AZ183" s="51"/>
      <c r="BA183" s="52"/>
      <c r="BB183" s="52"/>
      <c r="BC183" s="53"/>
      <c r="BE183" s="38"/>
      <c r="BF183" s="38"/>
      <c r="BG183" s="3"/>
      <c r="BH183" s="30"/>
      <c r="BI183" s="30"/>
      <c r="BJ183" s="30"/>
      <c r="BK183" s="30"/>
      <c r="BL183" s="30"/>
      <c r="BM183" s="30"/>
      <c r="BN183" s="30"/>
      <c r="BO183" s="30"/>
      <c r="BP183" s="30"/>
      <c r="BQ183" s="30"/>
      <c r="BR183" s="30"/>
      <c r="BS183" s="30"/>
      <c r="BT183" s="30"/>
      <c r="BU183" s="30"/>
      <c r="BV183" s="30"/>
      <c r="BW183" s="30"/>
      <c r="BX183" s="30"/>
      <c r="BY183" s="30"/>
      <c r="BZ183" s="30"/>
      <c r="CA183" s="30"/>
      <c r="CD183" s="55"/>
      <c r="CE183" s="55"/>
      <c r="CF183" s="55"/>
      <c r="CH183" s="56"/>
      <c r="CI183" s="56"/>
      <c r="CJ183" s="56"/>
      <c r="CK183" s="56"/>
      <c r="CL183" s="56"/>
      <c r="CM183" s="56"/>
      <c r="CN183" s="56"/>
      <c r="CO183" s="56"/>
      <c r="CP183" s="56"/>
      <c r="CQ183" s="56"/>
      <c r="CR183" s="56"/>
      <c r="CS183" s="56"/>
      <c r="CU183" s="25"/>
      <c r="CV183" s="25"/>
      <c r="CW183" s="25"/>
    </row>
    <row r="184" spans="5:101" ht="7.5" customHeight="1" x14ac:dyDescent="0.2">
      <c r="E184" s="39">
        <f>IFERROR(IF(BP184="","-",RANK(S184,$S$10:$T$264,0)+RANK(Q184,$Q$10:$R$264,0)%+RANK(O184,$O$10:$P$264,0)%%+ROW()%%%),"-")</f>
        <v>12.131884000000001</v>
      </c>
      <c r="F184" s="60"/>
      <c r="G184" s="60"/>
      <c r="H184" s="60"/>
      <c r="I184" s="40"/>
      <c r="J184" s="62">
        <f>IFERROR(IF(E184="","",RANK(E184,$E$10:$I$264,1)),"-")</f>
        <v>76</v>
      </c>
      <c r="K184" s="39" t="str">
        <f t="shared" ref="K184" si="516">BP184</f>
        <v xml:space="preserve">   </v>
      </c>
      <c r="L184" s="60"/>
      <c r="M184" s="60"/>
      <c r="N184" s="40"/>
      <c r="O184" s="39">
        <f t="shared" ref="O184" si="517">SUM(AE184-AI184)</f>
        <v>0</v>
      </c>
      <c r="P184" s="40"/>
      <c r="Q184" s="39">
        <f t="shared" ref="Q184" si="518">SUM(AL184-AP184)</f>
        <v>0</v>
      </c>
      <c r="R184" s="40"/>
      <c r="S184" s="39">
        <f t="shared" ref="S184" si="519">SUM(AS184-AW184)</f>
        <v>0</v>
      </c>
      <c r="T184" s="40"/>
      <c r="U184" s="39">
        <f>IFERROR(SMALL($E$10:$I$264,88),0)</f>
        <v>12.131908000000001</v>
      </c>
      <c r="V184" s="60"/>
      <c r="W184" s="60"/>
      <c r="X184" s="60"/>
      <c r="Y184" s="40"/>
      <c r="Z184" s="29">
        <f>IFERROR(IF(U184="","",RANK(U184,$U$10:$Y$264,1)),0)</f>
        <v>88</v>
      </c>
      <c r="AA184" s="29" t="str">
        <f>IFERROR(INDEX($K$10:$K$264,MATCH(U184,$E$10:$E$264,0),1),0)</f>
        <v xml:space="preserve">   </v>
      </c>
      <c r="AB184" s="29"/>
      <c r="AC184" s="29"/>
      <c r="AD184" s="29"/>
      <c r="AE184" s="43"/>
      <c r="AF184" s="43"/>
      <c r="AG184" s="44"/>
      <c r="AH184" s="45" t="s">
        <v>19</v>
      </c>
      <c r="AI184" s="47"/>
      <c r="AJ184" s="43"/>
      <c r="AK184" s="43"/>
      <c r="AL184" s="43"/>
      <c r="AM184" s="43"/>
      <c r="AN184" s="44"/>
      <c r="AO184" s="45" t="s">
        <v>19</v>
      </c>
      <c r="AP184" s="47"/>
      <c r="AQ184" s="43"/>
      <c r="AR184" s="43"/>
      <c r="AS184" s="43"/>
      <c r="AT184" s="43"/>
      <c r="AU184" s="44"/>
      <c r="AV184" s="45" t="s">
        <v>19</v>
      </c>
      <c r="AW184" s="47"/>
      <c r="AX184" s="43"/>
      <c r="AY184" s="43"/>
      <c r="AZ184" s="48">
        <f>IFERROR(IF(E184="","",RANK(E184,$E$10:$I$264,1)),0)</f>
        <v>76</v>
      </c>
      <c r="BA184" s="49"/>
      <c r="BB184" s="49"/>
      <c r="BC184" s="50"/>
      <c r="BE184" s="38"/>
      <c r="BF184" s="38"/>
      <c r="BG184" s="3"/>
      <c r="BH184" s="30" t="s">
        <v>107</v>
      </c>
      <c r="BI184" s="30"/>
      <c r="BJ184" s="30"/>
      <c r="BK184" s="30"/>
      <c r="BL184" s="30"/>
      <c r="BM184" s="30"/>
      <c r="BN184" s="30"/>
      <c r="BO184" s="30"/>
      <c r="BP184" s="30" t="str">
        <f>IF(BE184&gt;0,VLOOKUP(BE184,'[3]Infos joueurs'!$B:$BT,11,FALSE)," ")&amp;" "&amp;IF(BE184&gt;0,VLOOKUP(BE184,'[3]Infos joueurs'!$B:$BT,27,FALSE)," ")</f>
        <v xml:space="preserve">   </v>
      </c>
      <c r="BQ184" s="30"/>
      <c r="BR184" s="30"/>
      <c r="BS184" s="30"/>
      <c r="BT184" s="30"/>
      <c r="BU184" s="30"/>
      <c r="BV184" s="30"/>
      <c r="BW184" s="30"/>
      <c r="BX184" s="30"/>
      <c r="BY184" s="30"/>
      <c r="BZ184" s="30"/>
      <c r="CA184" s="30"/>
      <c r="CD184" s="54">
        <v>88</v>
      </c>
      <c r="CE184" s="54"/>
      <c r="CF184" s="54"/>
      <c r="CH184" s="59" t="str">
        <f t="shared" ref="CH184" si="520">AA184</f>
        <v xml:space="preserve">   </v>
      </c>
      <c r="CI184" s="59"/>
      <c r="CJ184" s="59"/>
      <c r="CK184" s="59"/>
      <c r="CL184" s="59"/>
      <c r="CM184" s="59"/>
      <c r="CN184" s="59"/>
      <c r="CO184" s="59"/>
      <c r="CP184" s="59"/>
      <c r="CQ184" s="59"/>
      <c r="CR184" s="59"/>
      <c r="CS184" s="59"/>
      <c r="CU184" s="24">
        <f t="shared" ref="CU184" si="521">IFERROR(INDEX($BE$10:$BE$269,MATCH(CH184,$BP$10:$BP$269,0)),0)</f>
        <v>0</v>
      </c>
      <c r="CV184" s="24"/>
      <c r="CW184" s="24"/>
    </row>
    <row r="185" spans="5:101" ht="7.5" customHeight="1" x14ac:dyDescent="0.2">
      <c r="E185" s="41"/>
      <c r="F185" s="61"/>
      <c r="G185" s="61"/>
      <c r="H185" s="61"/>
      <c r="I185" s="42"/>
      <c r="J185" s="63"/>
      <c r="K185" s="41"/>
      <c r="L185" s="61"/>
      <c r="M185" s="61"/>
      <c r="N185" s="42"/>
      <c r="O185" s="41"/>
      <c r="P185" s="42"/>
      <c r="Q185" s="41"/>
      <c r="R185" s="42"/>
      <c r="S185" s="41"/>
      <c r="T185" s="42"/>
      <c r="U185" s="41"/>
      <c r="V185" s="61"/>
      <c r="W185" s="61"/>
      <c r="X185" s="61"/>
      <c r="Y185" s="42"/>
      <c r="Z185" s="29"/>
      <c r="AA185" s="29"/>
      <c r="AB185" s="29"/>
      <c r="AC185" s="29"/>
      <c r="AD185" s="29"/>
      <c r="AE185" s="43"/>
      <c r="AF185" s="43"/>
      <c r="AG185" s="44"/>
      <c r="AH185" s="46"/>
      <c r="AI185" s="47"/>
      <c r="AJ185" s="43"/>
      <c r="AK185" s="43"/>
      <c r="AL185" s="43"/>
      <c r="AM185" s="43"/>
      <c r="AN185" s="44"/>
      <c r="AO185" s="46"/>
      <c r="AP185" s="47"/>
      <c r="AQ185" s="43"/>
      <c r="AR185" s="43"/>
      <c r="AS185" s="43"/>
      <c r="AT185" s="43"/>
      <c r="AU185" s="44"/>
      <c r="AV185" s="46"/>
      <c r="AW185" s="47"/>
      <c r="AX185" s="43"/>
      <c r="AY185" s="43"/>
      <c r="AZ185" s="51"/>
      <c r="BA185" s="52"/>
      <c r="BB185" s="52"/>
      <c r="BC185" s="53"/>
      <c r="BE185" s="38"/>
      <c r="BF185" s="38"/>
      <c r="BG185" s="3"/>
      <c r="BH185" s="30"/>
      <c r="BI185" s="30"/>
      <c r="BJ185" s="30"/>
      <c r="BK185" s="30"/>
      <c r="BL185" s="30"/>
      <c r="BM185" s="30"/>
      <c r="BN185" s="30"/>
      <c r="BO185" s="30"/>
      <c r="BP185" s="30"/>
      <c r="BQ185" s="30"/>
      <c r="BR185" s="30"/>
      <c r="BS185" s="30"/>
      <c r="BT185" s="30"/>
      <c r="BU185" s="30"/>
      <c r="BV185" s="30"/>
      <c r="BW185" s="30"/>
      <c r="BX185" s="30"/>
      <c r="BY185" s="30"/>
      <c r="BZ185" s="30"/>
      <c r="CA185" s="30"/>
      <c r="CD185" s="55"/>
      <c r="CE185" s="55"/>
      <c r="CF185" s="55"/>
      <c r="CH185" s="56"/>
      <c r="CI185" s="56"/>
      <c r="CJ185" s="56"/>
      <c r="CK185" s="56"/>
      <c r="CL185" s="56"/>
      <c r="CM185" s="56"/>
      <c r="CN185" s="56"/>
      <c r="CO185" s="56"/>
      <c r="CP185" s="56"/>
      <c r="CQ185" s="56"/>
      <c r="CR185" s="56"/>
      <c r="CS185" s="56"/>
      <c r="CU185" s="25"/>
      <c r="CV185" s="25"/>
      <c r="CW185" s="25"/>
    </row>
    <row r="186" spans="5:101" ht="7.5" customHeight="1" x14ac:dyDescent="0.2">
      <c r="E186" s="39">
        <f>IFERROR(IF(BP186="","-",RANK(S186,$S$10:$T$264,0)+RANK(Q186,$Q$10:$R$264,0)%+RANK(O186,$O$10:$P$264,0)%%+ROW()%%%),"-")</f>
        <v>12.131886</v>
      </c>
      <c r="F186" s="60"/>
      <c r="G186" s="60"/>
      <c r="H186" s="60"/>
      <c r="I186" s="40"/>
      <c r="J186" s="62">
        <f>IFERROR(IF(E186="","",RANK(E186,$E$10:$I$264,1)),"-")</f>
        <v>77</v>
      </c>
      <c r="K186" s="39" t="str">
        <f t="shared" ref="K186" si="522">BP186</f>
        <v xml:space="preserve">   </v>
      </c>
      <c r="L186" s="60"/>
      <c r="M186" s="60"/>
      <c r="N186" s="40"/>
      <c r="O186" s="39">
        <f t="shared" ref="O186" si="523">SUM(AE186-AI186)</f>
        <v>0</v>
      </c>
      <c r="P186" s="40"/>
      <c r="Q186" s="39">
        <f t="shared" ref="Q186" si="524">SUM(AL186-AP186)</f>
        <v>0</v>
      </c>
      <c r="R186" s="40"/>
      <c r="S186" s="39">
        <f t="shared" ref="S186" si="525">SUM(AS186-AW186)</f>
        <v>0</v>
      </c>
      <c r="T186" s="40"/>
      <c r="U186" s="39">
        <f>IFERROR(SMALL($E$10:$I$264,89),0)</f>
        <v>12.13191</v>
      </c>
      <c r="V186" s="60"/>
      <c r="W186" s="60"/>
      <c r="X186" s="60"/>
      <c r="Y186" s="40"/>
      <c r="Z186" s="29">
        <f>IFERROR(IF(U186="","",RANK(U186,$U$10:$Y$264,1)),0)</f>
        <v>89</v>
      </c>
      <c r="AA186" s="29" t="str">
        <f>IFERROR(INDEX($K$10:$K$264,MATCH(U186,$E$10:$E$264,0),1),0)</f>
        <v xml:space="preserve">   </v>
      </c>
      <c r="AB186" s="29"/>
      <c r="AC186" s="29"/>
      <c r="AD186" s="29"/>
      <c r="AE186" s="43"/>
      <c r="AF186" s="43"/>
      <c r="AG186" s="44"/>
      <c r="AH186" s="45" t="s">
        <v>19</v>
      </c>
      <c r="AI186" s="47"/>
      <c r="AJ186" s="43"/>
      <c r="AK186" s="43"/>
      <c r="AL186" s="43"/>
      <c r="AM186" s="43"/>
      <c r="AN186" s="44"/>
      <c r="AO186" s="45" t="s">
        <v>19</v>
      </c>
      <c r="AP186" s="47"/>
      <c r="AQ186" s="43"/>
      <c r="AR186" s="43"/>
      <c r="AS186" s="43"/>
      <c r="AT186" s="43"/>
      <c r="AU186" s="44"/>
      <c r="AV186" s="45" t="s">
        <v>19</v>
      </c>
      <c r="AW186" s="47"/>
      <c r="AX186" s="43"/>
      <c r="AY186" s="43"/>
      <c r="AZ186" s="48">
        <f>IFERROR(IF(E186="","",RANK(E186,$E$10:$I$264,1)),0)</f>
        <v>77</v>
      </c>
      <c r="BA186" s="49"/>
      <c r="BB186" s="49"/>
      <c r="BC186" s="50"/>
      <c r="BE186" s="38"/>
      <c r="BF186" s="38"/>
      <c r="BG186" s="3"/>
      <c r="BH186" s="30" t="s">
        <v>108</v>
      </c>
      <c r="BI186" s="30"/>
      <c r="BJ186" s="30"/>
      <c r="BK186" s="30"/>
      <c r="BL186" s="30"/>
      <c r="BM186" s="30"/>
      <c r="BN186" s="30"/>
      <c r="BO186" s="30"/>
      <c r="BP186" s="30" t="str">
        <f>IF(BE186&gt;0,VLOOKUP(BE186,'[3]Infos joueurs'!$B:$BT,11,FALSE)," ")&amp;" "&amp;IF(BE186&gt;0,VLOOKUP(BE186,'[3]Infos joueurs'!$B:$BT,27,FALSE)," ")</f>
        <v xml:space="preserve">   </v>
      </c>
      <c r="BQ186" s="30"/>
      <c r="BR186" s="30"/>
      <c r="BS186" s="30"/>
      <c r="BT186" s="30"/>
      <c r="BU186" s="30"/>
      <c r="BV186" s="30"/>
      <c r="BW186" s="30"/>
      <c r="BX186" s="30"/>
      <c r="BY186" s="30"/>
      <c r="BZ186" s="30"/>
      <c r="CA186" s="30"/>
      <c r="CD186" s="54">
        <v>89</v>
      </c>
      <c r="CE186" s="54"/>
      <c r="CF186" s="54"/>
      <c r="CH186" s="59" t="str">
        <f t="shared" ref="CH186" si="526">AA186</f>
        <v xml:space="preserve">   </v>
      </c>
      <c r="CI186" s="59"/>
      <c r="CJ186" s="59"/>
      <c r="CK186" s="59"/>
      <c r="CL186" s="59"/>
      <c r="CM186" s="59"/>
      <c r="CN186" s="59"/>
      <c r="CO186" s="59"/>
      <c r="CP186" s="59"/>
      <c r="CQ186" s="59"/>
      <c r="CR186" s="59"/>
      <c r="CS186" s="59"/>
      <c r="CU186" s="24">
        <f t="shared" ref="CU186" si="527">IFERROR(INDEX($BE$10:$BE$269,MATCH(CH186,$BP$10:$BP$269,0)),0)</f>
        <v>0</v>
      </c>
      <c r="CV186" s="24"/>
      <c r="CW186" s="24"/>
    </row>
    <row r="187" spans="5:101" ht="7.5" customHeight="1" x14ac:dyDescent="0.2">
      <c r="E187" s="41"/>
      <c r="F187" s="61"/>
      <c r="G187" s="61"/>
      <c r="H187" s="61"/>
      <c r="I187" s="42"/>
      <c r="J187" s="63"/>
      <c r="K187" s="41"/>
      <c r="L187" s="61"/>
      <c r="M187" s="61"/>
      <c r="N187" s="42"/>
      <c r="O187" s="41"/>
      <c r="P187" s="42"/>
      <c r="Q187" s="41"/>
      <c r="R187" s="42"/>
      <c r="S187" s="41"/>
      <c r="T187" s="42"/>
      <c r="U187" s="41"/>
      <c r="V187" s="61"/>
      <c r="W187" s="61"/>
      <c r="X187" s="61"/>
      <c r="Y187" s="42"/>
      <c r="Z187" s="29"/>
      <c r="AA187" s="29"/>
      <c r="AB187" s="29"/>
      <c r="AC187" s="29"/>
      <c r="AD187" s="29"/>
      <c r="AE187" s="43"/>
      <c r="AF187" s="43"/>
      <c r="AG187" s="44"/>
      <c r="AH187" s="46"/>
      <c r="AI187" s="47"/>
      <c r="AJ187" s="43"/>
      <c r="AK187" s="43"/>
      <c r="AL187" s="43"/>
      <c r="AM187" s="43"/>
      <c r="AN187" s="44"/>
      <c r="AO187" s="46"/>
      <c r="AP187" s="47"/>
      <c r="AQ187" s="43"/>
      <c r="AR187" s="43"/>
      <c r="AS187" s="43"/>
      <c r="AT187" s="43"/>
      <c r="AU187" s="44"/>
      <c r="AV187" s="46"/>
      <c r="AW187" s="47"/>
      <c r="AX187" s="43"/>
      <c r="AY187" s="43"/>
      <c r="AZ187" s="51"/>
      <c r="BA187" s="52"/>
      <c r="BB187" s="52"/>
      <c r="BC187" s="53"/>
      <c r="BE187" s="38"/>
      <c r="BF187" s="38"/>
      <c r="BG187" s="3"/>
      <c r="BH187" s="30"/>
      <c r="BI187" s="30"/>
      <c r="BJ187" s="30"/>
      <c r="BK187" s="30"/>
      <c r="BL187" s="30"/>
      <c r="BM187" s="30"/>
      <c r="BN187" s="30"/>
      <c r="BO187" s="30"/>
      <c r="BP187" s="30"/>
      <c r="BQ187" s="30"/>
      <c r="BR187" s="30"/>
      <c r="BS187" s="30"/>
      <c r="BT187" s="30"/>
      <c r="BU187" s="30"/>
      <c r="BV187" s="30"/>
      <c r="BW187" s="30"/>
      <c r="BX187" s="30"/>
      <c r="BY187" s="30"/>
      <c r="BZ187" s="30"/>
      <c r="CA187" s="30"/>
      <c r="CD187" s="55"/>
      <c r="CE187" s="55"/>
      <c r="CF187" s="55"/>
      <c r="CH187" s="56"/>
      <c r="CI187" s="56"/>
      <c r="CJ187" s="56"/>
      <c r="CK187" s="56"/>
      <c r="CL187" s="56"/>
      <c r="CM187" s="56"/>
      <c r="CN187" s="56"/>
      <c r="CO187" s="56"/>
      <c r="CP187" s="56"/>
      <c r="CQ187" s="56"/>
      <c r="CR187" s="56"/>
      <c r="CS187" s="56"/>
      <c r="CU187" s="25"/>
      <c r="CV187" s="25"/>
      <c r="CW187" s="25"/>
    </row>
    <row r="188" spans="5:101" ht="7.5" customHeight="1" x14ac:dyDescent="0.2">
      <c r="E188" s="39">
        <f>IFERROR(IF(BP188="","-",RANK(S188,$S$10:$T$264,0)+RANK(Q188,$Q$10:$R$264,0)%+RANK(O188,$O$10:$P$264,0)%%+ROW()%%%),"-")</f>
        <v>12.131888</v>
      </c>
      <c r="F188" s="60"/>
      <c r="G188" s="60"/>
      <c r="H188" s="60"/>
      <c r="I188" s="40"/>
      <c r="J188" s="62">
        <f>IFERROR(IF(E188="","",RANK(E188,$E$10:$I$264,1)),"-")</f>
        <v>78</v>
      </c>
      <c r="K188" s="39" t="str">
        <f t="shared" ref="K188" si="528">BP188</f>
        <v xml:space="preserve">   </v>
      </c>
      <c r="L188" s="60"/>
      <c r="M188" s="60"/>
      <c r="N188" s="40"/>
      <c r="O188" s="39">
        <f t="shared" ref="O188" si="529">SUM(AE188-AI188)</f>
        <v>0</v>
      </c>
      <c r="P188" s="40"/>
      <c r="Q188" s="39">
        <f t="shared" ref="Q188" si="530">SUM(AL188-AP188)</f>
        <v>0</v>
      </c>
      <c r="R188" s="40"/>
      <c r="S188" s="39">
        <f t="shared" ref="S188" si="531">SUM(AS188-AW188)</f>
        <v>0</v>
      </c>
      <c r="T188" s="40"/>
      <c r="U188" s="39">
        <f>IFERROR(SMALL($E$10:$I$264,90),0)</f>
        <v>12.131912</v>
      </c>
      <c r="V188" s="60"/>
      <c r="W188" s="60"/>
      <c r="X188" s="60"/>
      <c r="Y188" s="40"/>
      <c r="Z188" s="29">
        <f>IFERROR(IF(U188="","",RANK(U188,$U$10:$Y$264,1)),0)</f>
        <v>90</v>
      </c>
      <c r="AA188" s="29" t="str">
        <f>IFERROR(INDEX($K$10:$K$264,MATCH(U188,$E$10:$E$264,0),1),0)</f>
        <v xml:space="preserve">   </v>
      </c>
      <c r="AB188" s="29"/>
      <c r="AC188" s="29"/>
      <c r="AD188" s="29"/>
      <c r="AE188" s="43"/>
      <c r="AF188" s="43"/>
      <c r="AG188" s="44"/>
      <c r="AH188" s="45" t="s">
        <v>19</v>
      </c>
      <c r="AI188" s="47"/>
      <c r="AJ188" s="43"/>
      <c r="AK188" s="43"/>
      <c r="AL188" s="43"/>
      <c r="AM188" s="43"/>
      <c r="AN188" s="44"/>
      <c r="AO188" s="45" t="s">
        <v>19</v>
      </c>
      <c r="AP188" s="47"/>
      <c r="AQ188" s="43"/>
      <c r="AR188" s="43"/>
      <c r="AS188" s="43"/>
      <c r="AT188" s="43"/>
      <c r="AU188" s="44"/>
      <c r="AV188" s="45" t="s">
        <v>19</v>
      </c>
      <c r="AW188" s="47"/>
      <c r="AX188" s="43"/>
      <c r="AY188" s="43"/>
      <c r="AZ188" s="48">
        <f>IFERROR(IF(E188="","",RANK(E188,$E$10:$I$264,1)),0)</f>
        <v>78</v>
      </c>
      <c r="BA188" s="49"/>
      <c r="BB188" s="49"/>
      <c r="BC188" s="50"/>
      <c r="BE188" s="38"/>
      <c r="BF188" s="38"/>
      <c r="BG188" s="3"/>
      <c r="BH188" s="30" t="s">
        <v>109</v>
      </c>
      <c r="BI188" s="30"/>
      <c r="BJ188" s="30"/>
      <c r="BK188" s="30"/>
      <c r="BL188" s="30"/>
      <c r="BM188" s="30"/>
      <c r="BN188" s="30"/>
      <c r="BO188" s="30"/>
      <c r="BP188" s="30" t="str">
        <f>IF(BE188&gt;0,VLOOKUP(BE188,'[3]Infos joueurs'!$B:$BT,11,FALSE)," ")&amp;" "&amp;IF(BE188&gt;0,VLOOKUP(BE188,'[3]Infos joueurs'!$B:$BT,27,FALSE)," ")</f>
        <v xml:space="preserve">   </v>
      </c>
      <c r="BQ188" s="30"/>
      <c r="BR188" s="30"/>
      <c r="BS188" s="30"/>
      <c r="BT188" s="30"/>
      <c r="BU188" s="30"/>
      <c r="BV188" s="30"/>
      <c r="BW188" s="30"/>
      <c r="BX188" s="30"/>
      <c r="BY188" s="30"/>
      <c r="BZ188" s="30"/>
      <c r="CA188" s="30"/>
      <c r="CD188" s="54">
        <v>90</v>
      </c>
      <c r="CE188" s="54"/>
      <c r="CF188" s="54"/>
      <c r="CH188" s="59" t="str">
        <f t="shared" ref="CH188" si="532">AA188</f>
        <v xml:space="preserve">   </v>
      </c>
      <c r="CI188" s="59"/>
      <c r="CJ188" s="59"/>
      <c r="CK188" s="59"/>
      <c r="CL188" s="59"/>
      <c r="CM188" s="59"/>
      <c r="CN188" s="59"/>
      <c r="CO188" s="59"/>
      <c r="CP188" s="59"/>
      <c r="CQ188" s="59"/>
      <c r="CR188" s="59"/>
      <c r="CS188" s="59"/>
      <c r="CU188" s="24">
        <f t="shared" ref="CU188" si="533">IFERROR(INDEX($BE$10:$BE$269,MATCH(CH188,$BP$10:$BP$269,0)),0)</f>
        <v>0</v>
      </c>
      <c r="CV188" s="24"/>
      <c r="CW188" s="24"/>
    </row>
    <row r="189" spans="5:101" ht="7.5" customHeight="1" x14ac:dyDescent="0.2">
      <c r="E189" s="41"/>
      <c r="F189" s="61"/>
      <c r="G189" s="61"/>
      <c r="H189" s="61"/>
      <c r="I189" s="42"/>
      <c r="J189" s="63"/>
      <c r="K189" s="41"/>
      <c r="L189" s="61"/>
      <c r="M189" s="61"/>
      <c r="N189" s="42"/>
      <c r="O189" s="41"/>
      <c r="P189" s="42"/>
      <c r="Q189" s="41"/>
      <c r="R189" s="42"/>
      <c r="S189" s="41"/>
      <c r="T189" s="42"/>
      <c r="U189" s="41"/>
      <c r="V189" s="61"/>
      <c r="W189" s="61"/>
      <c r="X189" s="61"/>
      <c r="Y189" s="42"/>
      <c r="Z189" s="29"/>
      <c r="AA189" s="29"/>
      <c r="AB189" s="29"/>
      <c r="AC189" s="29"/>
      <c r="AD189" s="29"/>
      <c r="AE189" s="43"/>
      <c r="AF189" s="43"/>
      <c r="AG189" s="44"/>
      <c r="AH189" s="46"/>
      <c r="AI189" s="47"/>
      <c r="AJ189" s="43"/>
      <c r="AK189" s="43"/>
      <c r="AL189" s="43"/>
      <c r="AM189" s="43"/>
      <c r="AN189" s="44"/>
      <c r="AO189" s="46"/>
      <c r="AP189" s="47"/>
      <c r="AQ189" s="43"/>
      <c r="AR189" s="43"/>
      <c r="AS189" s="43"/>
      <c r="AT189" s="43"/>
      <c r="AU189" s="44"/>
      <c r="AV189" s="46"/>
      <c r="AW189" s="47"/>
      <c r="AX189" s="43"/>
      <c r="AY189" s="43"/>
      <c r="AZ189" s="51"/>
      <c r="BA189" s="52"/>
      <c r="BB189" s="52"/>
      <c r="BC189" s="53"/>
      <c r="BE189" s="38"/>
      <c r="BF189" s="38"/>
      <c r="BG189" s="3"/>
      <c r="BH189" s="30"/>
      <c r="BI189" s="30"/>
      <c r="BJ189" s="30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30"/>
      <c r="BV189" s="30"/>
      <c r="BW189" s="30"/>
      <c r="BX189" s="30"/>
      <c r="BY189" s="30"/>
      <c r="BZ189" s="30"/>
      <c r="CA189" s="30"/>
      <c r="CD189" s="55"/>
      <c r="CE189" s="55"/>
      <c r="CF189" s="55"/>
      <c r="CH189" s="56"/>
      <c r="CI189" s="56"/>
      <c r="CJ189" s="56"/>
      <c r="CK189" s="56"/>
      <c r="CL189" s="56"/>
      <c r="CM189" s="56"/>
      <c r="CN189" s="56"/>
      <c r="CO189" s="56"/>
      <c r="CP189" s="56"/>
      <c r="CQ189" s="56"/>
      <c r="CR189" s="56"/>
      <c r="CS189" s="56"/>
      <c r="CU189" s="25"/>
      <c r="CV189" s="25"/>
      <c r="CW189" s="25"/>
    </row>
    <row r="190" spans="5:101" ht="7.5" customHeight="1" x14ac:dyDescent="0.2">
      <c r="E190" s="39">
        <f>IFERROR(IF(BP190="","-",RANK(S190,$S$10:$T$264,0)+RANK(Q190,$Q$10:$R$264,0)%+RANK(O190,$O$10:$P$264,0)%%+ROW()%%%),"-")</f>
        <v>12.13189</v>
      </c>
      <c r="F190" s="60"/>
      <c r="G190" s="60"/>
      <c r="H190" s="60"/>
      <c r="I190" s="40"/>
      <c r="J190" s="62">
        <f>IFERROR(IF(E190="","",RANK(E190,$E$10:$I$264,1)),"-")</f>
        <v>79</v>
      </c>
      <c r="K190" s="39" t="str">
        <f t="shared" ref="K190" si="534">BP190</f>
        <v xml:space="preserve">   </v>
      </c>
      <c r="L190" s="60"/>
      <c r="M190" s="60"/>
      <c r="N190" s="40"/>
      <c r="O190" s="39">
        <f t="shared" ref="O190" si="535">SUM(AE190-AI190)</f>
        <v>0</v>
      </c>
      <c r="P190" s="40"/>
      <c r="Q190" s="39">
        <f t="shared" ref="Q190" si="536">SUM(AL190-AP190)</f>
        <v>0</v>
      </c>
      <c r="R190" s="40"/>
      <c r="S190" s="39">
        <f t="shared" ref="S190" si="537">SUM(AS190-AW190)</f>
        <v>0</v>
      </c>
      <c r="T190" s="40"/>
      <c r="U190" s="39">
        <f>IFERROR(SMALL($E$10:$I$264,91),0)</f>
        <v>12.131914</v>
      </c>
      <c r="V190" s="60"/>
      <c r="W190" s="60"/>
      <c r="X190" s="60"/>
      <c r="Y190" s="40"/>
      <c r="Z190" s="29">
        <f>IFERROR(IF(U190="","",RANK(U190,$U$10:$Y$264,1)),0)</f>
        <v>91</v>
      </c>
      <c r="AA190" s="29" t="str">
        <f>IFERROR(INDEX($K$10:$K$264,MATCH(U190,$E$10:$E$264,0),1),0)</f>
        <v xml:space="preserve">   </v>
      </c>
      <c r="AB190" s="29"/>
      <c r="AC190" s="29"/>
      <c r="AD190" s="29"/>
      <c r="AE190" s="43"/>
      <c r="AF190" s="43"/>
      <c r="AG190" s="44"/>
      <c r="AH190" s="45" t="s">
        <v>19</v>
      </c>
      <c r="AI190" s="47"/>
      <c r="AJ190" s="43"/>
      <c r="AK190" s="43"/>
      <c r="AL190" s="43"/>
      <c r="AM190" s="43"/>
      <c r="AN190" s="44"/>
      <c r="AO190" s="45" t="s">
        <v>19</v>
      </c>
      <c r="AP190" s="47"/>
      <c r="AQ190" s="43"/>
      <c r="AR190" s="43"/>
      <c r="AS190" s="43"/>
      <c r="AT190" s="43"/>
      <c r="AU190" s="44"/>
      <c r="AV190" s="45" t="s">
        <v>19</v>
      </c>
      <c r="AW190" s="47"/>
      <c r="AX190" s="43"/>
      <c r="AY190" s="43"/>
      <c r="AZ190" s="48">
        <f>IFERROR(IF(E190="","",RANK(E190,$E$10:$I$264,1)),0)</f>
        <v>79</v>
      </c>
      <c r="BA190" s="49"/>
      <c r="BB190" s="49"/>
      <c r="BC190" s="50"/>
      <c r="BE190" s="38"/>
      <c r="BF190" s="38"/>
      <c r="BG190" s="3"/>
      <c r="BH190" s="30" t="s">
        <v>110</v>
      </c>
      <c r="BI190" s="30"/>
      <c r="BJ190" s="30"/>
      <c r="BK190" s="30"/>
      <c r="BL190" s="30"/>
      <c r="BM190" s="30"/>
      <c r="BN190" s="30"/>
      <c r="BO190" s="30"/>
      <c r="BP190" s="30" t="str">
        <f>IF(BE190&gt;0,VLOOKUP(BE190,'[3]Infos joueurs'!$B:$BT,11,FALSE)," ")&amp;" "&amp;IF(BE190&gt;0,VLOOKUP(BE190,'[3]Infos joueurs'!$B:$BT,27,FALSE)," ")</f>
        <v xml:space="preserve">   </v>
      </c>
      <c r="BQ190" s="30"/>
      <c r="BR190" s="30"/>
      <c r="BS190" s="30"/>
      <c r="BT190" s="30"/>
      <c r="BU190" s="30"/>
      <c r="BV190" s="30"/>
      <c r="BW190" s="30"/>
      <c r="BX190" s="30"/>
      <c r="BY190" s="30"/>
      <c r="BZ190" s="30"/>
      <c r="CA190" s="30"/>
      <c r="CD190" s="54">
        <v>91</v>
      </c>
      <c r="CE190" s="54"/>
      <c r="CF190" s="54"/>
      <c r="CH190" s="59" t="str">
        <f t="shared" ref="CH190" si="538">AA190</f>
        <v xml:space="preserve">   </v>
      </c>
      <c r="CI190" s="59"/>
      <c r="CJ190" s="59"/>
      <c r="CK190" s="59"/>
      <c r="CL190" s="59"/>
      <c r="CM190" s="59"/>
      <c r="CN190" s="59"/>
      <c r="CO190" s="59"/>
      <c r="CP190" s="59"/>
      <c r="CQ190" s="59"/>
      <c r="CR190" s="59"/>
      <c r="CS190" s="59"/>
      <c r="CU190" s="24">
        <f t="shared" ref="CU190" si="539">IFERROR(INDEX($BE$10:$BE$269,MATCH(CH190,$BP$10:$BP$269,0)),0)</f>
        <v>0</v>
      </c>
      <c r="CV190" s="24"/>
      <c r="CW190" s="24"/>
    </row>
    <row r="191" spans="5:101" ht="7.5" customHeight="1" x14ac:dyDescent="0.2">
      <c r="E191" s="41"/>
      <c r="F191" s="61"/>
      <c r="G191" s="61"/>
      <c r="H191" s="61"/>
      <c r="I191" s="42"/>
      <c r="J191" s="63"/>
      <c r="K191" s="41"/>
      <c r="L191" s="61"/>
      <c r="M191" s="61"/>
      <c r="N191" s="42"/>
      <c r="O191" s="41"/>
      <c r="P191" s="42"/>
      <c r="Q191" s="41"/>
      <c r="R191" s="42"/>
      <c r="S191" s="41"/>
      <c r="T191" s="42"/>
      <c r="U191" s="41"/>
      <c r="V191" s="61"/>
      <c r="W191" s="61"/>
      <c r="X191" s="61"/>
      <c r="Y191" s="42"/>
      <c r="Z191" s="29"/>
      <c r="AA191" s="29"/>
      <c r="AB191" s="29"/>
      <c r="AC191" s="29"/>
      <c r="AD191" s="29"/>
      <c r="AE191" s="43"/>
      <c r="AF191" s="43"/>
      <c r="AG191" s="44"/>
      <c r="AH191" s="46"/>
      <c r="AI191" s="47"/>
      <c r="AJ191" s="43"/>
      <c r="AK191" s="43"/>
      <c r="AL191" s="43"/>
      <c r="AM191" s="43"/>
      <c r="AN191" s="44"/>
      <c r="AO191" s="46"/>
      <c r="AP191" s="47"/>
      <c r="AQ191" s="43"/>
      <c r="AR191" s="43"/>
      <c r="AS191" s="43"/>
      <c r="AT191" s="43"/>
      <c r="AU191" s="44"/>
      <c r="AV191" s="46"/>
      <c r="AW191" s="47"/>
      <c r="AX191" s="43"/>
      <c r="AY191" s="43"/>
      <c r="AZ191" s="51"/>
      <c r="BA191" s="52"/>
      <c r="BB191" s="52"/>
      <c r="BC191" s="53"/>
      <c r="BE191" s="38"/>
      <c r="BF191" s="38"/>
      <c r="BG191" s="3"/>
      <c r="BH191" s="30"/>
      <c r="BI191" s="30"/>
      <c r="BJ191" s="30"/>
      <c r="BK191" s="30"/>
      <c r="BL191" s="30"/>
      <c r="BM191" s="30"/>
      <c r="BN191" s="30"/>
      <c r="BO191" s="30"/>
      <c r="BP191" s="30"/>
      <c r="BQ191" s="30"/>
      <c r="BR191" s="30"/>
      <c r="BS191" s="30"/>
      <c r="BT191" s="30"/>
      <c r="BU191" s="30"/>
      <c r="BV191" s="30"/>
      <c r="BW191" s="30"/>
      <c r="BX191" s="30"/>
      <c r="BY191" s="30"/>
      <c r="BZ191" s="30"/>
      <c r="CA191" s="30"/>
      <c r="CD191" s="55"/>
      <c r="CE191" s="55"/>
      <c r="CF191" s="55"/>
      <c r="CH191" s="56"/>
      <c r="CI191" s="56"/>
      <c r="CJ191" s="56"/>
      <c r="CK191" s="56"/>
      <c r="CL191" s="56"/>
      <c r="CM191" s="56"/>
      <c r="CN191" s="56"/>
      <c r="CO191" s="56"/>
      <c r="CP191" s="56"/>
      <c r="CQ191" s="56"/>
      <c r="CR191" s="56"/>
      <c r="CS191" s="56"/>
      <c r="CU191" s="25"/>
      <c r="CV191" s="25"/>
      <c r="CW191" s="25"/>
    </row>
    <row r="192" spans="5:101" ht="7.5" customHeight="1" x14ac:dyDescent="0.2">
      <c r="E192" s="39">
        <f>IFERROR(IF(BP192="","-",RANK(S192,$S$10:$T$264,0)+RANK(Q192,$Q$10:$R$264,0)%+RANK(O192,$O$10:$P$264,0)%%+ROW()%%%),"-")</f>
        <v>12.131892000000001</v>
      </c>
      <c r="F192" s="60"/>
      <c r="G192" s="60"/>
      <c r="H192" s="60"/>
      <c r="I192" s="40"/>
      <c r="J192" s="62">
        <f>IFERROR(IF(E192="","",RANK(E192,$E$10:$I$264,1)),"-")</f>
        <v>80</v>
      </c>
      <c r="K192" s="39" t="str">
        <f t="shared" ref="K192" si="540">BP192</f>
        <v xml:space="preserve">   </v>
      </c>
      <c r="L192" s="60"/>
      <c r="M192" s="60"/>
      <c r="N192" s="40"/>
      <c r="O192" s="39">
        <f t="shared" ref="O192" si="541">SUM(AE192-AI192)</f>
        <v>0</v>
      </c>
      <c r="P192" s="40"/>
      <c r="Q192" s="39">
        <f t="shared" ref="Q192" si="542">SUM(AL192-AP192)</f>
        <v>0</v>
      </c>
      <c r="R192" s="40"/>
      <c r="S192" s="39">
        <f t="shared" ref="S192" si="543">SUM(AS192-AW192)</f>
        <v>0</v>
      </c>
      <c r="T192" s="40"/>
      <c r="U192" s="39">
        <f>IFERROR(SMALL($E$10:$I$264,92),0)</f>
        <v>12.131916</v>
      </c>
      <c r="V192" s="60"/>
      <c r="W192" s="60"/>
      <c r="X192" s="60"/>
      <c r="Y192" s="40"/>
      <c r="Z192" s="29">
        <f>IFERROR(IF(U192="","",RANK(U192,$U$10:$Y$264,1)),0)</f>
        <v>92</v>
      </c>
      <c r="AA192" s="29" t="str">
        <f>IFERROR(INDEX($K$10:$K$264,MATCH(U192,$E$10:$E$264,0),1),0)</f>
        <v xml:space="preserve">   </v>
      </c>
      <c r="AB192" s="29"/>
      <c r="AC192" s="29"/>
      <c r="AD192" s="29"/>
      <c r="AE192" s="43"/>
      <c r="AF192" s="43"/>
      <c r="AG192" s="44"/>
      <c r="AH192" s="45" t="s">
        <v>19</v>
      </c>
      <c r="AI192" s="47"/>
      <c r="AJ192" s="43"/>
      <c r="AK192" s="43"/>
      <c r="AL192" s="43"/>
      <c r="AM192" s="43"/>
      <c r="AN192" s="44"/>
      <c r="AO192" s="45" t="s">
        <v>19</v>
      </c>
      <c r="AP192" s="47"/>
      <c r="AQ192" s="43"/>
      <c r="AR192" s="43"/>
      <c r="AS192" s="43"/>
      <c r="AT192" s="43"/>
      <c r="AU192" s="44"/>
      <c r="AV192" s="45" t="s">
        <v>19</v>
      </c>
      <c r="AW192" s="47"/>
      <c r="AX192" s="43"/>
      <c r="AY192" s="43"/>
      <c r="AZ192" s="48">
        <f>IFERROR(IF(E192="","",RANK(E192,$E$10:$I$264,1)),0)</f>
        <v>80</v>
      </c>
      <c r="BA192" s="49"/>
      <c r="BB192" s="49"/>
      <c r="BC192" s="50"/>
      <c r="BE192" s="38"/>
      <c r="BF192" s="38"/>
      <c r="BG192" s="3"/>
      <c r="BH192" s="30" t="s">
        <v>111</v>
      </c>
      <c r="BI192" s="30"/>
      <c r="BJ192" s="30"/>
      <c r="BK192" s="30"/>
      <c r="BL192" s="30"/>
      <c r="BM192" s="30"/>
      <c r="BN192" s="30"/>
      <c r="BO192" s="30"/>
      <c r="BP192" s="30" t="str">
        <f>IF(BE192&gt;0,VLOOKUP(BE192,'[3]Infos joueurs'!$B:$BT,11,FALSE)," ")&amp;" "&amp;IF(BE192&gt;0,VLOOKUP(BE192,'[3]Infos joueurs'!$B:$BT,27,FALSE)," ")</f>
        <v xml:space="preserve">   </v>
      </c>
      <c r="BQ192" s="30"/>
      <c r="BR192" s="30"/>
      <c r="BS192" s="30"/>
      <c r="BT192" s="30"/>
      <c r="BU192" s="30"/>
      <c r="BV192" s="30"/>
      <c r="BW192" s="30"/>
      <c r="BX192" s="30"/>
      <c r="BY192" s="30"/>
      <c r="BZ192" s="30"/>
      <c r="CA192" s="30"/>
      <c r="CD192" s="54">
        <v>92</v>
      </c>
      <c r="CE192" s="54"/>
      <c r="CF192" s="54"/>
      <c r="CH192" s="59" t="str">
        <f t="shared" ref="CH192" si="544">AA192</f>
        <v xml:space="preserve">   </v>
      </c>
      <c r="CI192" s="59"/>
      <c r="CJ192" s="59"/>
      <c r="CK192" s="59"/>
      <c r="CL192" s="59"/>
      <c r="CM192" s="59"/>
      <c r="CN192" s="59"/>
      <c r="CO192" s="59"/>
      <c r="CP192" s="59"/>
      <c r="CQ192" s="59"/>
      <c r="CR192" s="59"/>
      <c r="CS192" s="59"/>
      <c r="CU192" s="24">
        <f t="shared" ref="CU192" si="545">IFERROR(INDEX($BE$10:$BE$269,MATCH(CH192,$BP$10:$BP$269,0)),0)</f>
        <v>0</v>
      </c>
      <c r="CV192" s="24"/>
      <c r="CW192" s="24"/>
    </row>
    <row r="193" spans="5:101" ht="7.5" customHeight="1" x14ac:dyDescent="0.2">
      <c r="E193" s="41"/>
      <c r="F193" s="61"/>
      <c r="G193" s="61"/>
      <c r="H193" s="61"/>
      <c r="I193" s="42"/>
      <c r="J193" s="63"/>
      <c r="K193" s="41"/>
      <c r="L193" s="61"/>
      <c r="M193" s="61"/>
      <c r="N193" s="42"/>
      <c r="O193" s="41"/>
      <c r="P193" s="42"/>
      <c r="Q193" s="41"/>
      <c r="R193" s="42"/>
      <c r="S193" s="41"/>
      <c r="T193" s="42"/>
      <c r="U193" s="41"/>
      <c r="V193" s="61"/>
      <c r="W193" s="61"/>
      <c r="X193" s="61"/>
      <c r="Y193" s="42"/>
      <c r="Z193" s="29"/>
      <c r="AA193" s="29"/>
      <c r="AB193" s="29"/>
      <c r="AC193" s="29"/>
      <c r="AD193" s="29"/>
      <c r="AE193" s="43"/>
      <c r="AF193" s="43"/>
      <c r="AG193" s="44"/>
      <c r="AH193" s="46"/>
      <c r="AI193" s="47"/>
      <c r="AJ193" s="43"/>
      <c r="AK193" s="43"/>
      <c r="AL193" s="43"/>
      <c r="AM193" s="43"/>
      <c r="AN193" s="44"/>
      <c r="AO193" s="46"/>
      <c r="AP193" s="47"/>
      <c r="AQ193" s="43"/>
      <c r="AR193" s="43"/>
      <c r="AS193" s="43"/>
      <c r="AT193" s="43"/>
      <c r="AU193" s="44"/>
      <c r="AV193" s="46"/>
      <c r="AW193" s="47"/>
      <c r="AX193" s="43"/>
      <c r="AY193" s="43"/>
      <c r="AZ193" s="51"/>
      <c r="BA193" s="52"/>
      <c r="BB193" s="52"/>
      <c r="BC193" s="53"/>
      <c r="BE193" s="38"/>
      <c r="BF193" s="38"/>
      <c r="BG193" s="3"/>
      <c r="BH193" s="30"/>
      <c r="BI193" s="30"/>
      <c r="BJ193" s="30"/>
      <c r="BK193" s="30"/>
      <c r="BL193" s="30"/>
      <c r="BM193" s="30"/>
      <c r="BN193" s="30"/>
      <c r="BO193" s="30"/>
      <c r="BP193" s="30"/>
      <c r="BQ193" s="30"/>
      <c r="BR193" s="30"/>
      <c r="BS193" s="30"/>
      <c r="BT193" s="30"/>
      <c r="BU193" s="30"/>
      <c r="BV193" s="30"/>
      <c r="BW193" s="30"/>
      <c r="BX193" s="30"/>
      <c r="BY193" s="30"/>
      <c r="BZ193" s="30"/>
      <c r="CA193" s="30"/>
      <c r="CD193" s="55"/>
      <c r="CE193" s="55"/>
      <c r="CF193" s="55"/>
      <c r="CH193" s="56"/>
      <c r="CI193" s="56"/>
      <c r="CJ193" s="56"/>
      <c r="CK193" s="56"/>
      <c r="CL193" s="56"/>
      <c r="CM193" s="56"/>
      <c r="CN193" s="56"/>
      <c r="CO193" s="56"/>
      <c r="CP193" s="56"/>
      <c r="CQ193" s="56"/>
      <c r="CR193" s="56"/>
      <c r="CS193" s="56"/>
      <c r="CU193" s="25"/>
      <c r="CV193" s="25"/>
      <c r="CW193" s="25"/>
    </row>
    <row r="194" spans="5:101" ht="7.5" customHeight="1" x14ac:dyDescent="0.2">
      <c r="E194" s="39">
        <f>IFERROR(IF(BP194="","-",RANK(S194,$S$10:$T$264,0)+RANK(Q194,$Q$10:$R$264,0)%+RANK(O194,$O$10:$P$264,0)%%+ROW()%%%),"-")</f>
        <v>12.131894000000001</v>
      </c>
      <c r="F194" s="60"/>
      <c r="G194" s="60"/>
      <c r="H194" s="60"/>
      <c r="I194" s="40"/>
      <c r="J194" s="62">
        <f>IFERROR(IF(E194="","",RANK(E194,$E$10:$I$264,1)),"-")</f>
        <v>81</v>
      </c>
      <c r="K194" s="39" t="str">
        <f t="shared" ref="K194" si="546">BP194</f>
        <v xml:space="preserve">   </v>
      </c>
      <c r="L194" s="60"/>
      <c r="M194" s="60"/>
      <c r="N194" s="40"/>
      <c r="O194" s="39">
        <f t="shared" ref="O194" si="547">SUM(AE194-AI194)</f>
        <v>0</v>
      </c>
      <c r="P194" s="40"/>
      <c r="Q194" s="39">
        <f t="shared" ref="Q194" si="548">SUM(AL194-AP194)</f>
        <v>0</v>
      </c>
      <c r="R194" s="40"/>
      <c r="S194" s="39">
        <f t="shared" ref="S194" si="549">SUM(AS194-AW194)</f>
        <v>0</v>
      </c>
      <c r="T194" s="40"/>
      <c r="U194" s="39">
        <f>IFERROR(SMALL($E$10:$I$264,93),0)</f>
        <v>12.131918000000001</v>
      </c>
      <c r="V194" s="60"/>
      <c r="W194" s="60"/>
      <c r="X194" s="60"/>
      <c r="Y194" s="40"/>
      <c r="Z194" s="29">
        <f>IFERROR(IF(U194="","",RANK(U194,$U$10:$Y$264,1)),0)</f>
        <v>93</v>
      </c>
      <c r="AA194" s="29" t="str">
        <f>IFERROR(INDEX($K$10:$K$264,MATCH(U194,$E$10:$E$264,0),1),0)</f>
        <v xml:space="preserve">   </v>
      </c>
      <c r="AB194" s="29"/>
      <c r="AC194" s="29"/>
      <c r="AD194" s="29"/>
      <c r="AE194" s="43"/>
      <c r="AF194" s="43"/>
      <c r="AG194" s="44"/>
      <c r="AH194" s="45" t="s">
        <v>19</v>
      </c>
      <c r="AI194" s="47"/>
      <c r="AJ194" s="43"/>
      <c r="AK194" s="43"/>
      <c r="AL194" s="43"/>
      <c r="AM194" s="43"/>
      <c r="AN194" s="44"/>
      <c r="AO194" s="45" t="s">
        <v>19</v>
      </c>
      <c r="AP194" s="47"/>
      <c r="AQ194" s="43"/>
      <c r="AR194" s="43"/>
      <c r="AS194" s="43"/>
      <c r="AT194" s="43"/>
      <c r="AU194" s="44"/>
      <c r="AV194" s="45" t="s">
        <v>19</v>
      </c>
      <c r="AW194" s="47"/>
      <c r="AX194" s="43"/>
      <c r="AY194" s="43"/>
      <c r="AZ194" s="48">
        <f>IFERROR(IF(E194="","",RANK(E194,$E$10:$I$264,1)),0)</f>
        <v>81</v>
      </c>
      <c r="BA194" s="49"/>
      <c r="BB194" s="49"/>
      <c r="BC194" s="50"/>
      <c r="BE194" s="38"/>
      <c r="BF194" s="38"/>
      <c r="BG194" s="3"/>
      <c r="BH194" s="30" t="s">
        <v>112</v>
      </c>
      <c r="BI194" s="30"/>
      <c r="BJ194" s="30"/>
      <c r="BK194" s="30"/>
      <c r="BL194" s="30"/>
      <c r="BM194" s="30"/>
      <c r="BN194" s="30"/>
      <c r="BO194" s="30"/>
      <c r="BP194" s="30" t="str">
        <f>IF(BE194&gt;0,VLOOKUP(BE194,'[3]Infos joueurs'!$B:$BT,11,FALSE)," ")&amp;" "&amp;IF(BE194&gt;0,VLOOKUP(BE194,'[3]Infos joueurs'!$B:$BT,27,FALSE)," ")</f>
        <v xml:space="preserve">   </v>
      </c>
      <c r="BQ194" s="30"/>
      <c r="BR194" s="30"/>
      <c r="BS194" s="30"/>
      <c r="BT194" s="30"/>
      <c r="BU194" s="30"/>
      <c r="BV194" s="30"/>
      <c r="BW194" s="30"/>
      <c r="BX194" s="30"/>
      <c r="BY194" s="30"/>
      <c r="BZ194" s="30"/>
      <c r="CA194" s="30"/>
      <c r="CD194" s="54">
        <v>93</v>
      </c>
      <c r="CE194" s="54"/>
      <c r="CF194" s="54"/>
      <c r="CH194" s="59" t="str">
        <f t="shared" ref="CH194" si="550">AA194</f>
        <v xml:space="preserve">   </v>
      </c>
      <c r="CI194" s="59"/>
      <c r="CJ194" s="59"/>
      <c r="CK194" s="59"/>
      <c r="CL194" s="59"/>
      <c r="CM194" s="59"/>
      <c r="CN194" s="59"/>
      <c r="CO194" s="59"/>
      <c r="CP194" s="59"/>
      <c r="CQ194" s="59"/>
      <c r="CR194" s="59"/>
      <c r="CS194" s="59"/>
      <c r="CU194" s="24">
        <f t="shared" ref="CU194" si="551">IFERROR(INDEX($BE$10:$BE$269,MATCH(CH194,$BP$10:$BP$269,0)),0)</f>
        <v>0</v>
      </c>
      <c r="CV194" s="24"/>
      <c r="CW194" s="24"/>
    </row>
    <row r="195" spans="5:101" ht="7.5" customHeight="1" x14ac:dyDescent="0.2">
      <c r="E195" s="41"/>
      <c r="F195" s="61"/>
      <c r="G195" s="61"/>
      <c r="H195" s="61"/>
      <c r="I195" s="42"/>
      <c r="J195" s="63"/>
      <c r="K195" s="41"/>
      <c r="L195" s="61"/>
      <c r="M195" s="61"/>
      <c r="N195" s="42"/>
      <c r="O195" s="41"/>
      <c r="P195" s="42"/>
      <c r="Q195" s="41"/>
      <c r="R195" s="42"/>
      <c r="S195" s="41"/>
      <c r="T195" s="42"/>
      <c r="U195" s="41"/>
      <c r="V195" s="61"/>
      <c r="W195" s="61"/>
      <c r="X195" s="61"/>
      <c r="Y195" s="42"/>
      <c r="Z195" s="29"/>
      <c r="AA195" s="29"/>
      <c r="AB195" s="29"/>
      <c r="AC195" s="29"/>
      <c r="AD195" s="29"/>
      <c r="AE195" s="43"/>
      <c r="AF195" s="43"/>
      <c r="AG195" s="44"/>
      <c r="AH195" s="46"/>
      <c r="AI195" s="47"/>
      <c r="AJ195" s="43"/>
      <c r="AK195" s="43"/>
      <c r="AL195" s="43"/>
      <c r="AM195" s="43"/>
      <c r="AN195" s="44"/>
      <c r="AO195" s="46"/>
      <c r="AP195" s="47"/>
      <c r="AQ195" s="43"/>
      <c r="AR195" s="43"/>
      <c r="AS195" s="43"/>
      <c r="AT195" s="43"/>
      <c r="AU195" s="44"/>
      <c r="AV195" s="46"/>
      <c r="AW195" s="47"/>
      <c r="AX195" s="43"/>
      <c r="AY195" s="43"/>
      <c r="AZ195" s="51"/>
      <c r="BA195" s="52"/>
      <c r="BB195" s="52"/>
      <c r="BC195" s="53"/>
      <c r="BE195" s="38"/>
      <c r="BF195" s="38"/>
      <c r="BG195" s="3"/>
      <c r="BH195" s="30"/>
      <c r="BI195" s="30"/>
      <c r="BJ195" s="30"/>
      <c r="BK195" s="30"/>
      <c r="BL195" s="30"/>
      <c r="BM195" s="30"/>
      <c r="BN195" s="30"/>
      <c r="BO195" s="30"/>
      <c r="BP195" s="30"/>
      <c r="BQ195" s="30"/>
      <c r="BR195" s="30"/>
      <c r="BS195" s="30"/>
      <c r="BT195" s="30"/>
      <c r="BU195" s="30"/>
      <c r="BV195" s="30"/>
      <c r="BW195" s="30"/>
      <c r="BX195" s="30"/>
      <c r="BY195" s="30"/>
      <c r="BZ195" s="30"/>
      <c r="CA195" s="30"/>
      <c r="CD195" s="55"/>
      <c r="CE195" s="55"/>
      <c r="CF195" s="55"/>
      <c r="CH195" s="56"/>
      <c r="CI195" s="56"/>
      <c r="CJ195" s="56"/>
      <c r="CK195" s="56"/>
      <c r="CL195" s="56"/>
      <c r="CM195" s="56"/>
      <c r="CN195" s="56"/>
      <c r="CO195" s="56"/>
      <c r="CP195" s="56"/>
      <c r="CQ195" s="56"/>
      <c r="CR195" s="56"/>
      <c r="CS195" s="56"/>
      <c r="CU195" s="25"/>
      <c r="CV195" s="25"/>
      <c r="CW195" s="25"/>
    </row>
    <row r="196" spans="5:101" ht="7.5" customHeight="1" x14ac:dyDescent="0.2">
      <c r="E196" s="39">
        <f>IFERROR(IF(BP196="","-",RANK(S196,$S$10:$T$264,0)+RANK(Q196,$Q$10:$R$264,0)%+RANK(O196,$O$10:$P$264,0)%%+ROW()%%%),"-")</f>
        <v>12.131896000000001</v>
      </c>
      <c r="F196" s="60"/>
      <c r="G196" s="60"/>
      <c r="H196" s="60"/>
      <c r="I196" s="40"/>
      <c r="J196" s="62">
        <f>IFERROR(IF(E196="","",RANK(E196,$E$10:$I$264,1)),"-")</f>
        <v>82</v>
      </c>
      <c r="K196" s="39" t="str">
        <f t="shared" ref="K196" si="552">BP196</f>
        <v xml:space="preserve">   </v>
      </c>
      <c r="L196" s="60"/>
      <c r="M196" s="60"/>
      <c r="N196" s="40"/>
      <c r="O196" s="39">
        <f t="shared" ref="O196" si="553">SUM(AE196-AI196)</f>
        <v>0</v>
      </c>
      <c r="P196" s="40"/>
      <c r="Q196" s="39">
        <f t="shared" ref="Q196" si="554">SUM(AL196-AP196)</f>
        <v>0</v>
      </c>
      <c r="R196" s="40"/>
      <c r="S196" s="39">
        <f t="shared" ref="S196" si="555">SUM(AS196-AW196)</f>
        <v>0</v>
      </c>
      <c r="T196" s="40"/>
      <c r="U196" s="39">
        <f>IFERROR(SMALL($E$10:$I$264,94),0)</f>
        <v>12.131920000000001</v>
      </c>
      <c r="V196" s="60"/>
      <c r="W196" s="60"/>
      <c r="X196" s="60"/>
      <c r="Y196" s="40"/>
      <c r="Z196" s="29">
        <f>IFERROR(IF(U196="","",RANK(U196,$U$10:$Y$264,1)),0)</f>
        <v>94</v>
      </c>
      <c r="AA196" s="29" t="str">
        <f>IFERROR(INDEX($K$10:$K$264,MATCH(U196,$E$10:$E$264,0),1),0)</f>
        <v xml:space="preserve">   </v>
      </c>
      <c r="AB196" s="29"/>
      <c r="AC196" s="29"/>
      <c r="AD196" s="29"/>
      <c r="AE196" s="43"/>
      <c r="AF196" s="43"/>
      <c r="AG196" s="44"/>
      <c r="AH196" s="45" t="s">
        <v>19</v>
      </c>
      <c r="AI196" s="47"/>
      <c r="AJ196" s="43"/>
      <c r="AK196" s="43"/>
      <c r="AL196" s="43"/>
      <c r="AM196" s="43"/>
      <c r="AN196" s="44"/>
      <c r="AO196" s="45" t="s">
        <v>19</v>
      </c>
      <c r="AP196" s="47"/>
      <c r="AQ196" s="43"/>
      <c r="AR196" s="43"/>
      <c r="AS196" s="43"/>
      <c r="AT196" s="43"/>
      <c r="AU196" s="44"/>
      <c r="AV196" s="45" t="s">
        <v>19</v>
      </c>
      <c r="AW196" s="47"/>
      <c r="AX196" s="43"/>
      <c r="AY196" s="43"/>
      <c r="AZ196" s="48">
        <f>IFERROR(IF(E196="","",RANK(E196,$E$10:$I$264,1)),0)</f>
        <v>82</v>
      </c>
      <c r="BA196" s="49"/>
      <c r="BB196" s="49"/>
      <c r="BC196" s="50"/>
      <c r="BE196" s="38"/>
      <c r="BF196" s="38"/>
      <c r="BG196" s="3"/>
      <c r="BH196" s="30" t="s">
        <v>113</v>
      </c>
      <c r="BI196" s="30"/>
      <c r="BJ196" s="30"/>
      <c r="BK196" s="30"/>
      <c r="BL196" s="30"/>
      <c r="BM196" s="30"/>
      <c r="BN196" s="30"/>
      <c r="BO196" s="30"/>
      <c r="BP196" s="30" t="str">
        <f>IF(BE196&gt;0,VLOOKUP(BE196,'[3]Infos joueurs'!$B:$BT,11,FALSE)," ")&amp;" "&amp;IF(BE196&gt;0,VLOOKUP(BE196,'[3]Infos joueurs'!$B:$BT,27,FALSE)," ")</f>
        <v xml:space="preserve">   </v>
      </c>
      <c r="BQ196" s="30"/>
      <c r="BR196" s="30"/>
      <c r="BS196" s="30"/>
      <c r="BT196" s="30"/>
      <c r="BU196" s="30"/>
      <c r="BV196" s="30"/>
      <c r="BW196" s="30"/>
      <c r="BX196" s="30"/>
      <c r="BY196" s="30"/>
      <c r="BZ196" s="30"/>
      <c r="CA196" s="30"/>
      <c r="CD196" s="54">
        <v>94</v>
      </c>
      <c r="CE196" s="54"/>
      <c r="CF196" s="54"/>
      <c r="CH196" s="59" t="str">
        <f t="shared" ref="CH196" si="556">AA196</f>
        <v xml:space="preserve">   </v>
      </c>
      <c r="CI196" s="59"/>
      <c r="CJ196" s="59"/>
      <c r="CK196" s="59"/>
      <c r="CL196" s="59"/>
      <c r="CM196" s="59"/>
      <c r="CN196" s="59"/>
      <c r="CO196" s="59"/>
      <c r="CP196" s="59"/>
      <c r="CQ196" s="59"/>
      <c r="CR196" s="59"/>
      <c r="CS196" s="59"/>
      <c r="CU196" s="24">
        <f t="shared" ref="CU196" si="557">IFERROR(INDEX($BE$10:$BE$269,MATCH(CH196,$BP$10:$BP$269,0)),0)</f>
        <v>0</v>
      </c>
      <c r="CV196" s="24"/>
      <c r="CW196" s="24"/>
    </row>
    <row r="197" spans="5:101" ht="7.5" customHeight="1" x14ac:dyDescent="0.2">
      <c r="E197" s="41"/>
      <c r="F197" s="61"/>
      <c r="G197" s="61"/>
      <c r="H197" s="61"/>
      <c r="I197" s="42"/>
      <c r="J197" s="63"/>
      <c r="K197" s="41"/>
      <c r="L197" s="61"/>
      <c r="M197" s="61"/>
      <c r="N197" s="42"/>
      <c r="O197" s="41"/>
      <c r="P197" s="42"/>
      <c r="Q197" s="41"/>
      <c r="R197" s="42"/>
      <c r="S197" s="41"/>
      <c r="T197" s="42"/>
      <c r="U197" s="41"/>
      <c r="V197" s="61"/>
      <c r="W197" s="61"/>
      <c r="X197" s="61"/>
      <c r="Y197" s="42"/>
      <c r="Z197" s="29"/>
      <c r="AA197" s="29"/>
      <c r="AB197" s="29"/>
      <c r="AC197" s="29"/>
      <c r="AD197" s="29"/>
      <c r="AE197" s="43"/>
      <c r="AF197" s="43"/>
      <c r="AG197" s="44"/>
      <c r="AH197" s="46"/>
      <c r="AI197" s="47"/>
      <c r="AJ197" s="43"/>
      <c r="AK197" s="43"/>
      <c r="AL197" s="43"/>
      <c r="AM197" s="43"/>
      <c r="AN197" s="44"/>
      <c r="AO197" s="46"/>
      <c r="AP197" s="47"/>
      <c r="AQ197" s="43"/>
      <c r="AR197" s="43"/>
      <c r="AS197" s="43"/>
      <c r="AT197" s="43"/>
      <c r="AU197" s="44"/>
      <c r="AV197" s="46"/>
      <c r="AW197" s="47"/>
      <c r="AX197" s="43"/>
      <c r="AY197" s="43"/>
      <c r="AZ197" s="51"/>
      <c r="BA197" s="52"/>
      <c r="BB197" s="52"/>
      <c r="BC197" s="53"/>
      <c r="BE197" s="38"/>
      <c r="BF197" s="38"/>
      <c r="BG197" s="3"/>
      <c r="BH197" s="30"/>
      <c r="BI197" s="30"/>
      <c r="BJ197" s="30"/>
      <c r="BK197" s="30"/>
      <c r="BL197" s="30"/>
      <c r="BM197" s="30"/>
      <c r="BN197" s="30"/>
      <c r="BO197" s="30"/>
      <c r="BP197" s="30"/>
      <c r="BQ197" s="30"/>
      <c r="BR197" s="30"/>
      <c r="BS197" s="30"/>
      <c r="BT197" s="30"/>
      <c r="BU197" s="30"/>
      <c r="BV197" s="30"/>
      <c r="BW197" s="30"/>
      <c r="BX197" s="30"/>
      <c r="BY197" s="30"/>
      <c r="BZ197" s="30"/>
      <c r="CA197" s="30"/>
      <c r="CD197" s="55"/>
      <c r="CE197" s="55"/>
      <c r="CF197" s="55"/>
      <c r="CH197" s="56"/>
      <c r="CI197" s="56"/>
      <c r="CJ197" s="56"/>
      <c r="CK197" s="56"/>
      <c r="CL197" s="56"/>
      <c r="CM197" s="56"/>
      <c r="CN197" s="56"/>
      <c r="CO197" s="56"/>
      <c r="CP197" s="56"/>
      <c r="CQ197" s="56"/>
      <c r="CR197" s="56"/>
      <c r="CS197" s="56"/>
      <c r="CU197" s="25"/>
      <c r="CV197" s="25"/>
      <c r="CW197" s="25"/>
    </row>
    <row r="198" spans="5:101" ht="7.5" customHeight="1" x14ac:dyDescent="0.2">
      <c r="E198" s="39">
        <f>IFERROR(IF(BP198="","-",RANK(S198,$S$10:$T$264,0)+RANK(Q198,$Q$10:$R$264,0)%+RANK(O198,$O$10:$P$264,0)%%+ROW()%%%),"-")</f>
        <v>12.131898</v>
      </c>
      <c r="F198" s="60"/>
      <c r="G198" s="60"/>
      <c r="H198" s="60"/>
      <c r="I198" s="40"/>
      <c r="J198" s="62">
        <f>IFERROR(IF(E198="","",RANK(E198,$E$10:$I$264,1)),"-")</f>
        <v>83</v>
      </c>
      <c r="K198" s="39" t="str">
        <f t="shared" ref="K198" si="558">BP198</f>
        <v xml:space="preserve">   </v>
      </c>
      <c r="L198" s="60"/>
      <c r="M198" s="60"/>
      <c r="N198" s="40"/>
      <c r="O198" s="39">
        <f t="shared" ref="O198" si="559">SUM(AE198-AI198)</f>
        <v>0</v>
      </c>
      <c r="P198" s="40"/>
      <c r="Q198" s="39">
        <f t="shared" ref="Q198" si="560">SUM(AL198-AP198)</f>
        <v>0</v>
      </c>
      <c r="R198" s="40"/>
      <c r="S198" s="39">
        <f t="shared" ref="S198" si="561">SUM(AS198-AW198)</f>
        <v>0</v>
      </c>
      <c r="T198" s="40"/>
      <c r="U198" s="39">
        <f>IFERROR(SMALL($E$10:$I$264,95),0)</f>
        <v>12.131922000000001</v>
      </c>
      <c r="V198" s="60"/>
      <c r="W198" s="60"/>
      <c r="X198" s="60"/>
      <c r="Y198" s="40"/>
      <c r="Z198" s="29">
        <f>IFERROR(IF(U198="","",RANK(U198,$U$10:$Y$264,1)),0)</f>
        <v>95</v>
      </c>
      <c r="AA198" s="29" t="str">
        <f>IFERROR(INDEX($K$10:$K$264,MATCH(U198,$E$10:$E$264,0),1),0)</f>
        <v xml:space="preserve">   </v>
      </c>
      <c r="AB198" s="29"/>
      <c r="AC198" s="29"/>
      <c r="AD198" s="29"/>
      <c r="AE198" s="43"/>
      <c r="AF198" s="43"/>
      <c r="AG198" s="44"/>
      <c r="AH198" s="45" t="s">
        <v>19</v>
      </c>
      <c r="AI198" s="47"/>
      <c r="AJ198" s="43"/>
      <c r="AK198" s="43"/>
      <c r="AL198" s="43"/>
      <c r="AM198" s="43"/>
      <c r="AN198" s="44"/>
      <c r="AO198" s="45" t="s">
        <v>19</v>
      </c>
      <c r="AP198" s="47"/>
      <c r="AQ198" s="43"/>
      <c r="AR198" s="43"/>
      <c r="AS198" s="43"/>
      <c r="AT198" s="43"/>
      <c r="AU198" s="44"/>
      <c r="AV198" s="45" t="s">
        <v>19</v>
      </c>
      <c r="AW198" s="47"/>
      <c r="AX198" s="43"/>
      <c r="AY198" s="43"/>
      <c r="AZ198" s="48">
        <f>IFERROR(IF(E198="","",RANK(E198,$E$10:$I$264,1)),0)</f>
        <v>83</v>
      </c>
      <c r="BA198" s="49"/>
      <c r="BB198" s="49"/>
      <c r="BC198" s="50"/>
      <c r="BE198" s="38"/>
      <c r="BF198" s="38"/>
      <c r="BG198" s="3"/>
      <c r="BH198" s="30" t="s">
        <v>114</v>
      </c>
      <c r="BI198" s="30"/>
      <c r="BJ198" s="30"/>
      <c r="BK198" s="30"/>
      <c r="BL198" s="30"/>
      <c r="BM198" s="30"/>
      <c r="BN198" s="30"/>
      <c r="BO198" s="30"/>
      <c r="BP198" s="30" t="str">
        <f>IF(BE198&gt;0,VLOOKUP(BE198,'[3]Infos joueurs'!$B:$BT,11,FALSE)," ")&amp;" "&amp;IF(BE198&gt;0,VLOOKUP(BE198,'[3]Infos joueurs'!$B:$BT,27,FALSE)," ")</f>
        <v xml:space="preserve">   </v>
      </c>
      <c r="BQ198" s="30"/>
      <c r="BR198" s="30"/>
      <c r="BS198" s="30"/>
      <c r="BT198" s="30"/>
      <c r="BU198" s="30"/>
      <c r="BV198" s="30"/>
      <c r="BW198" s="30"/>
      <c r="BX198" s="30"/>
      <c r="BY198" s="30"/>
      <c r="BZ198" s="30"/>
      <c r="CA198" s="30"/>
      <c r="CD198" s="54">
        <v>95</v>
      </c>
      <c r="CE198" s="54"/>
      <c r="CF198" s="54"/>
      <c r="CH198" s="59" t="str">
        <f t="shared" ref="CH198" si="562">AA198</f>
        <v xml:space="preserve">   </v>
      </c>
      <c r="CI198" s="59"/>
      <c r="CJ198" s="59"/>
      <c r="CK198" s="59"/>
      <c r="CL198" s="59"/>
      <c r="CM198" s="59"/>
      <c r="CN198" s="59"/>
      <c r="CO198" s="59"/>
      <c r="CP198" s="59"/>
      <c r="CQ198" s="59"/>
      <c r="CR198" s="59"/>
      <c r="CS198" s="59"/>
      <c r="CU198" s="24">
        <f t="shared" ref="CU198" si="563">IFERROR(INDEX($BE$10:$BE$269,MATCH(CH198,$BP$10:$BP$269,0)),0)</f>
        <v>0</v>
      </c>
      <c r="CV198" s="24"/>
      <c r="CW198" s="24"/>
    </row>
    <row r="199" spans="5:101" ht="7.5" customHeight="1" x14ac:dyDescent="0.2">
      <c r="E199" s="41"/>
      <c r="F199" s="61"/>
      <c r="G199" s="61"/>
      <c r="H199" s="61"/>
      <c r="I199" s="42"/>
      <c r="J199" s="63"/>
      <c r="K199" s="41"/>
      <c r="L199" s="61"/>
      <c r="M199" s="61"/>
      <c r="N199" s="42"/>
      <c r="O199" s="41"/>
      <c r="P199" s="42"/>
      <c r="Q199" s="41"/>
      <c r="R199" s="42"/>
      <c r="S199" s="41"/>
      <c r="T199" s="42"/>
      <c r="U199" s="41"/>
      <c r="V199" s="61"/>
      <c r="W199" s="61"/>
      <c r="X199" s="61"/>
      <c r="Y199" s="42"/>
      <c r="Z199" s="29"/>
      <c r="AA199" s="29"/>
      <c r="AB199" s="29"/>
      <c r="AC199" s="29"/>
      <c r="AD199" s="29"/>
      <c r="AE199" s="43"/>
      <c r="AF199" s="43"/>
      <c r="AG199" s="44"/>
      <c r="AH199" s="46"/>
      <c r="AI199" s="47"/>
      <c r="AJ199" s="43"/>
      <c r="AK199" s="43"/>
      <c r="AL199" s="43"/>
      <c r="AM199" s="43"/>
      <c r="AN199" s="44"/>
      <c r="AO199" s="46"/>
      <c r="AP199" s="47"/>
      <c r="AQ199" s="43"/>
      <c r="AR199" s="43"/>
      <c r="AS199" s="43"/>
      <c r="AT199" s="43"/>
      <c r="AU199" s="44"/>
      <c r="AV199" s="46"/>
      <c r="AW199" s="47"/>
      <c r="AX199" s="43"/>
      <c r="AY199" s="43"/>
      <c r="AZ199" s="51"/>
      <c r="BA199" s="52"/>
      <c r="BB199" s="52"/>
      <c r="BC199" s="53"/>
      <c r="BE199" s="38"/>
      <c r="BF199" s="38"/>
      <c r="BG199" s="3"/>
      <c r="BH199" s="30"/>
      <c r="BI199" s="30"/>
      <c r="BJ199" s="30"/>
      <c r="BK199" s="30"/>
      <c r="BL199" s="30"/>
      <c r="BM199" s="30"/>
      <c r="BN199" s="30"/>
      <c r="BO199" s="30"/>
      <c r="BP199" s="30"/>
      <c r="BQ199" s="30"/>
      <c r="BR199" s="30"/>
      <c r="BS199" s="30"/>
      <c r="BT199" s="30"/>
      <c r="BU199" s="30"/>
      <c r="BV199" s="30"/>
      <c r="BW199" s="30"/>
      <c r="BX199" s="30"/>
      <c r="BY199" s="30"/>
      <c r="BZ199" s="30"/>
      <c r="CA199" s="30"/>
      <c r="CD199" s="55"/>
      <c r="CE199" s="55"/>
      <c r="CF199" s="55"/>
      <c r="CH199" s="56"/>
      <c r="CI199" s="56"/>
      <c r="CJ199" s="56"/>
      <c r="CK199" s="56"/>
      <c r="CL199" s="56"/>
      <c r="CM199" s="56"/>
      <c r="CN199" s="56"/>
      <c r="CO199" s="56"/>
      <c r="CP199" s="56"/>
      <c r="CQ199" s="56"/>
      <c r="CR199" s="56"/>
      <c r="CS199" s="56"/>
      <c r="CU199" s="25"/>
      <c r="CV199" s="25"/>
      <c r="CW199" s="25"/>
    </row>
    <row r="200" spans="5:101" ht="7.5" customHeight="1" x14ac:dyDescent="0.2">
      <c r="E200" s="39">
        <f>IFERROR(IF(BP200="","-",RANK(S200,$S$10:$T$264,0)+RANK(Q200,$Q$10:$R$264,0)%+RANK(O200,$O$10:$P$264,0)%%+ROW()%%%),"-")</f>
        <v>12.1319</v>
      </c>
      <c r="F200" s="60"/>
      <c r="G200" s="60"/>
      <c r="H200" s="60"/>
      <c r="I200" s="40"/>
      <c r="J200" s="62">
        <f>IFERROR(IF(E200="","",RANK(E200,$E$10:$I$264,1)),"-")</f>
        <v>84</v>
      </c>
      <c r="K200" s="39" t="str">
        <f t="shared" ref="K200" si="564">BP200</f>
        <v xml:space="preserve">   </v>
      </c>
      <c r="L200" s="60"/>
      <c r="M200" s="60"/>
      <c r="N200" s="40"/>
      <c r="O200" s="39">
        <f t="shared" ref="O200" si="565">SUM(AE200-AI200)</f>
        <v>0</v>
      </c>
      <c r="P200" s="40"/>
      <c r="Q200" s="39">
        <f t="shared" ref="Q200" si="566">SUM(AL200-AP200)</f>
        <v>0</v>
      </c>
      <c r="R200" s="40"/>
      <c r="S200" s="39">
        <f t="shared" ref="S200" si="567">SUM(AS200-AW200)</f>
        <v>0</v>
      </c>
      <c r="T200" s="40"/>
      <c r="U200" s="39">
        <f>IFERROR(SMALL($E$10:$I$264,96),0)</f>
        <v>12.131924</v>
      </c>
      <c r="V200" s="60"/>
      <c r="W200" s="60"/>
      <c r="X200" s="60"/>
      <c r="Y200" s="40"/>
      <c r="Z200" s="29">
        <f>IFERROR(IF(U200="","",RANK(U200,$U$10:$Y$264,1)),0)</f>
        <v>96</v>
      </c>
      <c r="AA200" s="29" t="str">
        <f>IFERROR(INDEX($K$10:$K$264,MATCH(U200,$E$10:$E$264,0),1),0)</f>
        <v xml:space="preserve">   </v>
      </c>
      <c r="AB200" s="29"/>
      <c r="AC200" s="29"/>
      <c r="AD200" s="29"/>
      <c r="AE200" s="43"/>
      <c r="AF200" s="43"/>
      <c r="AG200" s="44"/>
      <c r="AH200" s="45" t="s">
        <v>19</v>
      </c>
      <c r="AI200" s="47"/>
      <c r="AJ200" s="43"/>
      <c r="AK200" s="43"/>
      <c r="AL200" s="43"/>
      <c r="AM200" s="43"/>
      <c r="AN200" s="44"/>
      <c r="AO200" s="45" t="s">
        <v>19</v>
      </c>
      <c r="AP200" s="47"/>
      <c r="AQ200" s="43"/>
      <c r="AR200" s="43"/>
      <c r="AS200" s="43"/>
      <c r="AT200" s="43"/>
      <c r="AU200" s="44"/>
      <c r="AV200" s="45" t="s">
        <v>19</v>
      </c>
      <c r="AW200" s="47"/>
      <c r="AX200" s="43"/>
      <c r="AY200" s="43"/>
      <c r="AZ200" s="48">
        <f>IFERROR(IF(E200="","",RANK(E200,$E$10:$I$264,1)),0)</f>
        <v>84</v>
      </c>
      <c r="BA200" s="49"/>
      <c r="BB200" s="49"/>
      <c r="BC200" s="50"/>
      <c r="BE200" s="38"/>
      <c r="BF200" s="38"/>
      <c r="BG200" s="3"/>
      <c r="BH200" s="30" t="s">
        <v>115</v>
      </c>
      <c r="BI200" s="30"/>
      <c r="BJ200" s="30"/>
      <c r="BK200" s="30"/>
      <c r="BL200" s="30"/>
      <c r="BM200" s="30"/>
      <c r="BN200" s="30"/>
      <c r="BO200" s="30"/>
      <c r="BP200" s="30" t="str">
        <f>IF(BE200&gt;0,VLOOKUP(BE200,'[3]Infos joueurs'!$B:$BT,11,FALSE)," ")&amp;" "&amp;IF(BE200&gt;0,VLOOKUP(BE200,'[3]Infos joueurs'!$B:$BT,27,FALSE)," ")</f>
        <v xml:space="preserve">   </v>
      </c>
      <c r="BQ200" s="30"/>
      <c r="BR200" s="30"/>
      <c r="BS200" s="30"/>
      <c r="BT200" s="30"/>
      <c r="BU200" s="30"/>
      <c r="BV200" s="30"/>
      <c r="BW200" s="30"/>
      <c r="BX200" s="30"/>
      <c r="BY200" s="30"/>
      <c r="BZ200" s="30"/>
      <c r="CA200" s="30"/>
      <c r="CD200" s="54">
        <v>96</v>
      </c>
      <c r="CE200" s="54"/>
      <c r="CF200" s="54"/>
      <c r="CH200" s="59" t="str">
        <f t="shared" ref="CH200" si="568">AA200</f>
        <v xml:space="preserve">   </v>
      </c>
      <c r="CI200" s="59"/>
      <c r="CJ200" s="59"/>
      <c r="CK200" s="59"/>
      <c r="CL200" s="59"/>
      <c r="CM200" s="59"/>
      <c r="CN200" s="59"/>
      <c r="CO200" s="59"/>
      <c r="CP200" s="59"/>
      <c r="CQ200" s="59"/>
      <c r="CR200" s="59"/>
      <c r="CS200" s="59"/>
      <c r="CU200" s="24">
        <f t="shared" ref="CU200" si="569">IFERROR(INDEX($BE$10:$BE$269,MATCH(CH200,$BP$10:$BP$269,0)),0)</f>
        <v>0</v>
      </c>
      <c r="CV200" s="24"/>
      <c r="CW200" s="24"/>
    </row>
    <row r="201" spans="5:101" ht="7.5" customHeight="1" x14ac:dyDescent="0.2">
      <c r="E201" s="41"/>
      <c r="F201" s="61"/>
      <c r="G201" s="61"/>
      <c r="H201" s="61"/>
      <c r="I201" s="42"/>
      <c r="J201" s="63"/>
      <c r="K201" s="41"/>
      <c r="L201" s="61"/>
      <c r="M201" s="61"/>
      <c r="N201" s="42"/>
      <c r="O201" s="41"/>
      <c r="P201" s="42"/>
      <c r="Q201" s="41"/>
      <c r="R201" s="42"/>
      <c r="S201" s="41"/>
      <c r="T201" s="42"/>
      <c r="U201" s="41"/>
      <c r="V201" s="61"/>
      <c r="W201" s="61"/>
      <c r="X201" s="61"/>
      <c r="Y201" s="42"/>
      <c r="Z201" s="29"/>
      <c r="AA201" s="29"/>
      <c r="AB201" s="29"/>
      <c r="AC201" s="29"/>
      <c r="AD201" s="29"/>
      <c r="AE201" s="43"/>
      <c r="AF201" s="43"/>
      <c r="AG201" s="44"/>
      <c r="AH201" s="46"/>
      <c r="AI201" s="47"/>
      <c r="AJ201" s="43"/>
      <c r="AK201" s="43"/>
      <c r="AL201" s="43"/>
      <c r="AM201" s="43"/>
      <c r="AN201" s="44"/>
      <c r="AO201" s="46"/>
      <c r="AP201" s="47"/>
      <c r="AQ201" s="43"/>
      <c r="AR201" s="43"/>
      <c r="AS201" s="43"/>
      <c r="AT201" s="43"/>
      <c r="AU201" s="44"/>
      <c r="AV201" s="46"/>
      <c r="AW201" s="47"/>
      <c r="AX201" s="43"/>
      <c r="AY201" s="43"/>
      <c r="AZ201" s="51"/>
      <c r="BA201" s="52"/>
      <c r="BB201" s="52"/>
      <c r="BC201" s="53"/>
      <c r="BE201" s="38"/>
      <c r="BF201" s="38"/>
      <c r="BG201" s="3"/>
      <c r="BH201" s="30"/>
      <c r="BI201" s="30"/>
      <c r="BJ201" s="30"/>
      <c r="BK201" s="30"/>
      <c r="BL201" s="30"/>
      <c r="BM201" s="30"/>
      <c r="BN201" s="30"/>
      <c r="BO201" s="30"/>
      <c r="BP201" s="30"/>
      <c r="BQ201" s="30"/>
      <c r="BR201" s="30"/>
      <c r="BS201" s="30"/>
      <c r="BT201" s="30"/>
      <c r="BU201" s="30"/>
      <c r="BV201" s="30"/>
      <c r="BW201" s="30"/>
      <c r="BX201" s="30"/>
      <c r="BY201" s="30"/>
      <c r="BZ201" s="30"/>
      <c r="CA201" s="30"/>
      <c r="CD201" s="55"/>
      <c r="CE201" s="55"/>
      <c r="CF201" s="55"/>
      <c r="CH201" s="56"/>
      <c r="CI201" s="56"/>
      <c r="CJ201" s="56"/>
      <c r="CK201" s="56"/>
      <c r="CL201" s="56"/>
      <c r="CM201" s="56"/>
      <c r="CN201" s="56"/>
      <c r="CO201" s="56"/>
      <c r="CP201" s="56"/>
      <c r="CQ201" s="56"/>
      <c r="CR201" s="56"/>
      <c r="CS201" s="56"/>
      <c r="CU201" s="25"/>
      <c r="CV201" s="25"/>
      <c r="CW201" s="25"/>
    </row>
    <row r="202" spans="5:101" ht="7.5" customHeight="1" x14ac:dyDescent="0.2">
      <c r="E202" s="39">
        <f>IFERROR(IF(BP202="","-",RANK(S202,$S$10:$T$264,0)+RANK(Q202,$Q$10:$R$264,0)%+RANK(O202,$O$10:$P$264,0)%%+ROW()%%%),"-")</f>
        <v>12.131902</v>
      </c>
      <c r="F202" s="60"/>
      <c r="G202" s="60"/>
      <c r="H202" s="60"/>
      <c r="I202" s="40"/>
      <c r="J202" s="62">
        <f>IFERROR(IF(E202="","",RANK(E202,$E$10:$I$264,1)),"-")</f>
        <v>85</v>
      </c>
      <c r="K202" s="39" t="str">
        <f t="shared" ref="K202" si="570">BP202</f>
        <v xml:space="preserve">   </v>
      </c>
      <c r="L202" s="60"/>
      <c r="M202" s="60"/>
      <c r="N202" s="40"/>
      <c r="O202" s="39">
        <f t="shared" ref="O202" si="571">SUM(AE202-AI202)</f>
        <v>0</v>
      </c>
      <c r="P202" s="40"/>
      <c r="Q202" s="39">
        <f t="shared" ref="Q202" si="572">SUM(AL202-AP202)</f>
        <v>0</v>
      </c>
      <c r="R202" s="40"/>
      <c r="S202" s="39">
        <f t="shared" ref="S202" si="573">SUM(AS202-AW202)</f>
        <v>0</v>
      </c>
      <c r="T202" s="40"/>
      <c r="U202" s="39">
        <f>IFERROR(SMALL($E$10:$I$264,97),0)</f>
        <v>12.131926</v>
      </c>
      <c r="V202" s="60"/>
      <c r="W202" s="60"/>
      <c r="X202" s="60"/>
      <c r="Y202" s="40"/>
      <c r="Z202" s="29">
        <f>IFERROR(IF(U202="","",RANK(U202,$U$10:$Y$264,1)),0)</f>
        <v>97</v>
      </c>
      <c r="AA202" s="29" t="str">
        <f>IFERROR(INDEX($K$10:$K$264,MATCH(U202,$E$10:$E$264,0),1),0)</f>
        <v xml:space="preserve">   </v>
      </c>
      <c r="AB202" s="29"/>
      <c r="AC202" s="29"/>
      <c r="AD202" s="29"/>
      <c r="AE202" s="43"/>
      <c r="AF202" s="43"/>
      <c r="AG202" s="44"/>
      <c r="AH202" s="45" t="s">
        <v>19</v>
      </c>
      <c r="AI202" s="47"/>
      <c r="AJ202" s="43"/>
      <c r="AK202" s="43"/>
      <c r="AL202" s="43"/>
      <c r="AM202" s="43"/>
      <c r="AN202" s="44"/>
      <c r="AO202" s="45" t="s">
        <v>19</v>
      </c>
      <c r="AP202" s="47"/>
      <c r="AQ202" s="43"/>
      <c r="AR202" s="43"/>
      <c r="AS202" s="43"/>
      <c r="AT202" s="43"/>
      <c r="AU202" s="44"/>
      <c r="AV202" s="45" t="s">
        <v>19</v>
      </c>
      <c r="AW202" s="47"/>
      <c r="AX202" s="43"/>
      <c r="AY202" s="43"/>
      <c r="AZ202" s="48">
        <f>IFERROR(IF(E202="","",RANK(E202,$E$10:$I$264,1)),0)</f>
        <v>85</v>
      </c>
      <c r="BA202" s="49"/>
      <c r="BB202" s="49"/>
      <c r="BC202" s="50"/>
      <c r="BE202" s="38"/>
      <c r="BF202" s="38"/>
      <c r="BG202" s="3"/>
      <c r="BH202" s="30" t="s">
        <v>116</v>
      </c>
      <c r="BI202" s="30"/>
      <c r="BJ202" s="30"/>
      <c r="BK202" s="30"/>
      <c r="BL202" s="30"/>
      <c r="BM202" s="30"/>
      <c r="BN202" s="30"/>
      <c r="BO202" s="30"/>
      <c r="BP202" s="30" t="str">
        <f>IF(BE202&gt;0,VLOOKUP(BE202,'[3]Infos joueurs'!$B:$BT,11,FALSE)," ")&amp;" "&amp;IF(BE202&gt;0,VLOOKUP(BE202,'[3]Infos joueurs'!$B:$BT,27,FALSE)," ")</f>
        <v xml:space="preserve">   </v>
      </c>
      <c r="BQ202" s="30"/>
      <c r="BR202" s="30"/>
      <c r="BS202" s="30"/>
      <c r="BT202" s="30"/>
      <c r="BU202" s="30"/>
      <c r="BV202" s="30"/>
      <c r="BW202" s="30"/>
      <c r="BX202" s="30"/>
      <c r="BY202" s="30"/>
      <c r="BZ202" s="30"/>
      <c r="CA202" s="30"/>
      <c r="CD202" s="54">
        <v>97</v>
      </c>
      <c r="CE202" s="54"/>
      <c r="CF202" s="54"/>
      <c r="CH202" s="59" t="str">
        <f t="shared" ref="CH202" si="574">AA202</f>
        <v xml:space="preserve">   </v>
      </c>
      <c r="CI202" s="59"/>
      <c r="CJ202" s="59"/>
      <c r="CK202" s="59"/>
      <c r="CL202" s="59"/>
      <c r="CM202" s="59"/>
      <c r="CN202" s="59"/>
      <c r="CO202" s="59"/>
      <c r="CP202" s="59"/>
      <c r="CQ202" s="59"/>
      <c r="CR202" s="59"/>
      <c r="CS202" s="59"/>
      <c r="CU202" s="24">
        <f t="shared" ref="CU202" si="575">IFERROR(INDEX($BE$10:$BE$269,MATCH(CH202,$BP$10:$BP$269,0)),0)</f>
        <v>0</v>
      </c>
      <c r="CV202" s="24"/>
      <c r="CW202" s="24"/>
    </row>
    <row r="203" spans="5:101" ht="7.5" customHeight="1" x14ac:dyDescent="0.2">
      <c r="E203" s="41"/>
      <c r="F203" s="61"/>
      <c r="G203" s="61"/>
      <c r="H203" s="61"/>
      <c r="I203" s="42"/>
      <c r="J203" s="63"/>
      <c r="K203" s="41"/>
      <c r="L203" s="61"/>
      <c r="M203" s="61"/>
      <c r="N203" s="42"/>
      <c r="O203" s="41"/>
      <c r="P203" s="42"/>
      <c r="Q203" s="41"/>
      <c r="R203" s="42"/>
      <c r="S203" s="41"/>
      <c r="T203" s="42"/>
      <c r="U203" s="41"/>
      <c r="V203" s="61"/>
      <c r="W203" s="61"/>
      <c r="X203" s="61"/>
      <c r="Y203" s="42"/>
      <c r="Z203" s="29"/>
      <c r="AA203" s="29"/>
      <c r="AB203" s="29"/>
      <c r="AC203" s="29"/>
      <c r="AD203" s="29"/>
      <c r="AE203" s="43"/>
      <c r="AF203" s="43"/>
      <c r="AG203" s="44"/>
      <c r="AH203" s="46"/>
      <c r="AI203" s="47"/>
      <c r="AJ203" s="43"/>
      <c r="AK203" s="43"/>
      <c r="AL203" s="43"/>
      <c r="AM203" s="43"/>
      <c r="AN203" s="44"/>
      <c r="AO203" s="46"/>
      <c r="AP203" s="47"/>
      <c r="AQ203" s="43"/>
      <c r="AR203" s="43"/>
      <c r="AS203" s="43"/>
      <c r="AT203" s="43"/>
      <c r="AU203" s="44"/>
      <c r="AV203" s="46"/>
      <c r="AW203" s="47"/>
      <c r="AX203" s="43"/>
      <c r="AY203" s="43"/>
      <c r="AZ203" s="51"/>
      <c r="BA203" s="52"/>
      <c r="BB203" s="52"/>
      <c r="BC203" s="53"/>
      <c r="BE203" s="38"/>
      <c r="BF203" s="38"/>
      <c r="BG203" s="3"/>
      <c r="BH203" s="30"/>
      <c r="BI203" s="30"/>
      <c r="BJ203" s="30"/>
      <c r="BK203" s="30"/>
      <c r="BL203" s="30"/>
      <c r="BM203" s="30"/>
      <c r="BN203" s="30"/>
      <c r="BO203" s="30"/>
      <c r="BP203" s="30"/>
      <c r="BQ203" s="30"/>
      <c r="BR203" s="30"/>
      <c r="BS203" s="30"/>
      <c r="BT203" s="30"/>
      <c r="BU203" s="30"/>
      <c r="BV203" s="30"/>
      <c r="BW203" s="30"/>
      <c r="BX203" s="30"/>
      <c r="BY203" s="30"/>
      <c r="BZ203" s="30"/>
      <c r="CA203" s="30"/>
      <c r="CD203" s="55"/>
      <c r="CE203" s="55"/>
      <c r="CF203" s="55"/>
      <c r="CH203" s="56"/>
      <c r="CI203" s="56"/>
      <c r="CJ203" s="56"/>
      <c r="CK203" s="56"/>
      <c r="CL203" s="56"/>
      <c r="CM203" s="56"/>
      <c r="CN203" s="56"/>
      <c r="CO203" s="56"/>
      <c r="CP203" s="56"/>
      <c r="CQ203" s="56"/>
      <c r="CR203" s="56"/>
      <c r="CS203" s="56"/>
      <c r="CU203" s="25"/>
      <c r="CV203" s="25"/>
      <c r="CW203" s="25"/>
    </row>
    <row r="204" spans="5:101" ht="7.5" customHeight="1" x14ac:dyDescent="0.2">
      <c r="E204" s="39">
        <f>IFERROR(IF(BP204="","-",RANK(S204,$S$10:$T$264,0)+RANK(Q204,$Q$10:$R$264,0)%+RANK(O204,$O$10:$P$264,0)%%+ROW()%%%),"-")</f>
        <v>12.131904</v>
      </c>
      <c r="F204" s="60"/>
      <c r="G204" s="60"/>
      <c r="H204" s="60"/>
      <c r="I204" s="40"/>
      <c r="J204" s="62">
        <f>IFERROR(IF(E204="","",RANK(E204,$E$10:$I$264,1)),"-")</f>
        <v>86</v>
      </c>
      <c r="K204" s="39" t="str">
        <f t="shared" ref="K204" si="576">BP204</f>
        <v xml:space="preserve">   </v>
      </c>
      <c r="L204" s="60"/>
      <c r="M204" s="60"/>
      <c r="N204" s="40"/>
      <c r="O204" s="39">
        <f t="shared" ref="O204" si="577">SUM(AE204-AI204)</f>
        <v>0</v>
      </c>
      <c r="P204" s="40"/>
      <c r="Q204" s="39">
        <f t="shared" ref="Q204" si="578">SUM(AL204-AP204)</f>
        <v>0</v>
      </c>
      <c r="R204" s="40"/>
      <c r="S204" s="39">
        <f t="shared" ref="S204" si="579">SUM(AS204-AW204)</f>
        <v>0</v>
      </c>
      <c r="T204" s="40"/>
      <c r="U204" s="39">
        <f>IFERROR(SMALL($E$10:$I$264,98),0)</f>
        <v>12.131928</v>
      </c>
      <c r="V204" s="60"/>
      <c r="W204" s="60"/>
      <c r="X204" s="60"/>
      <c r="Y204" s="40"/>
      <c r="Z204" s="29">
        <f>IFERROR(IF(U204="","",RANK(U204,$U$10:$Y$264,1)),0)</f>
        <v>98</v>
      </c>
      <c r="AA204" s="29" t="str">
        <f>IFERROR(INDEX($K$10:$K$264,MATCH(U204,$E$10:$E$264,0),1),0)</f>
        <v xml:space="preserve">   </v>
      </c>
      <c r="AB204" s="29"/>
      <c r="AC204" s="29"/>
      <c r="AD204" s="29"/>
      <c r="AE204" s="43"/>
      <c r="AF204" s="43"/>
      <c r="AG204" s="44"/>
      <c r="AH204" s="45" t="s">
        <v>19</v>
      </c>
      <c r="AI204" s="47"/>
      <c r="AJ204" s="43"/>
      <c r="AK204" s="43"/>
      <c r="AL204" s="43"/>
      <c r="AM204" s="43"/>
      <c r="AN204" s="44"/>
      <c r="AO204" s="45" t="s">
        <v>19</v>
      </c>
      <c r="AP204" s="47"/>
      <c r="AQ204" s="43"/>
      <c r="AR204" s="43"/>
      <c r="AS204" s="43"/>
      <c r="AT204" s="43"/>
      <c r="AU204" s="44"/>
      <c r="AV204" s="45" t="s">
        <v>19</v>
      </c>
      <c r="AW204" s="47"/>
      <c r="AX204" s="43"/>
      <c r="AY204" s="43"/>
      <c r="AZ204" s="48">
        <f>IFERROR(IF(E204="","",RANK(E204,$E$10:$I$264,1)),0)</f>
        <v>86</v>
      </c>
      <c r="BA204" s="49"/>
      <c r="BB204" s="49"/>
      <c r="BC204" s="50"/>
      <c r="BE204" s="38"/>
      <c r="BF204" s="38"/>
      <c r="BG204" s="3"/>
      <c r="BH204" s="30" t="s">
        <v>117</v>
      </c>
      <c r="BI204" s="30"/>
      <c r="BJ204" s="30"/>
      <c r="BK204" s="30"/>
      <c r="BL204" s="30"/>
      <c r="BM204" s="30"/>
      <c r="BN204" s="30"/>
      <c r="BO204" s="30"/>
      <c r="BP204" s="30" t="str">
        <f>IF(BE204&gt;0,VLOOKUP(BE204,'[3]Infos joueurs'!$B:$BT,11,FALSE)," ")&amp;" "&amp;IF(BE204&gt;0,VLOOKUP(BE204,'[3]Infos joueurs'!$B:$BT,27,FALSE)," ")</f>
        <v xml:space="preserve">   </v>
      </c>
      <c r="BQ204" s="30"/>
      <c r="BR204" s="30"/>
      <c r="BS204" s="30"/>
      <c r="BT204" s="30"/>
      <c r="BU204" s="30"/>
      <c r="BV204" s="30"/>
      <c r="BW204" s="30"/>
      <c r="BX204" s="30"/>
      <c r="BY204" s="30"/>
      <c r="BZ204" s="30"/>
      <c r="CA204" s="30"/>
      <c r="CD204" s="54">
        <v>98</v>
      </c>
      <c r="CE204" s="54"/>
      <c r="CF204" s="54"/>
      <c r="CH204" s="59" t="str">
        <f t="shared" ref="CH204" si="580">AA204</f>
        <v xml:space="preserve">   </v>
      </c>
      <c r="CI204" s="59"/>
      <c r="CJ204" s="59"/>
      <c r="CK204" s="59"/>
      <c r="CL204" s="59"/>
      <c r="CM204" s="59"/>
      <c r="CN204" s="59"/>
      <c r="CO204" s="59"/>
      <c r="CP204" s="59"/>
      <c r="CQ204" s="59"/>
      <c r="CR204" s="59"/>
      <c r="CS204" s="59"/>
      <c r="CU204" s="24">
        <f t="shared" ref="CU204" si="581">IFERROR(INDEX($BE$10:$BE$269,MATCH(CH204,$BP$10:$BP$269,0)),0)</f>
        <v>0</v>
      </c>
      <c r="CV204" s="24"/>
      <c r="CW204" s="24"/>
    </row>
    <row r="205" spans="5:101" ht="7.5" customHeight="1" x14ac:dyDescent="0.2">
      <c r="E205" s="41"/>
      <c r="F205" s="61"/>
      <c r="G205" s="61"/>
      <c r="H205" s="61"/>
      <c r="I205" s="42"/>
      <c r="J205" s="63"/>
      <c r="K205" s="41"/>
      <c r="L205" s="61"/>
      <c r="M205" s="61"/>
      <c r="N205" s="42"/>
      <c r="O205" s="41"/>
      <c r="P205" s="42"/>
      <c r="Q205" s="41"/>
      <c r="R205" s="42"/>
      <c r="S205" s="41"/>
      <c r="T205" s="42"/>
      <c r="U205" s="41"/>
      <c r="V205" s="61"/>
      <c r="W205" s="61"/>
      <c r="X205" s="61"/>
      <c r="Y205" s="42"/>
      <c r="Z205" s="29"/>
      <c r="AA205" s="29"/>
      <c r="AB205" s="29"/>
      <c r="AC205" s="29"/>
      <c r="AD205" s="29"/>
      <c r="AE205" s="43"/>
      <c r="AF205" s="43"/>
      <c r="AG205" s="44"/>
      <c r="AH205" s="46"/>
      <c r="AI205" s="47"/>
      <c r="AJ205" s="43"/>
      <c r="AK205" s="43"/>
      <c r="AL205" s="43"/>
      <c r="AM205" s="43"/>
      <c r="AN205" s="44"/>
      <c r="AO205" s="46"/>
      <c r="AP205" s="47"/>
      <c r="AQ205" s="43"/>
      <c r="AR205" s="43"/>
      <c r="AS205" s="43"/>
      <c r="AT205" s="43"/>
      <c r="AU205" s="44"/>
      <c r="AV205" s="46"/>
      <c r="AW205" s="47"/>
      <c r="AX205" s="43"/>
      <c r="AY205" s="43"/>
      <c r="AZ205" s="51"/>
      <c r="BA205" s="52"/>
      <c r="BB205" s="52"/>
      <c r="BC205" s="53"/>
      <c r="BE205" s="38"/>
      <c r="BF205" s="38"/>
      <c r="BG205" s="3"/>
      <c r="BH205" s="30"/>
      <c r="BI205" s="30"/>
      <c r="BJ205" s="30"/>
      <c r="BK205" s="30"/>
      <c r="BL205" s="30"/>
      <c r="BM205" s="30"/>
      <c r="BN205" s="30"/>
      <c r="BO205" s="30"/>
      <c r="BP205" s="30"/>
      <c r="BQ205" s="30"/>
      <c r="BR205" s="30"/>
      <c r="BS205" s="30"/>
      <c r="BT205" s="30"/>
      <c r="BU205" s="30"/>
      <c r="BV205" s="30"/>
      <c r="BW205" s="30"/>
      <c r="BX205" s="30"/>
      <c r="BY205" s="30"/>
      <c r="BZ205" s="30"/>
      <c r="CA205" s="30"/>
      <c r="CD205" s="55"/>
      <c r="CE205" s="55"/>
      <c r="CF205" s="55"/>
      <c r="CH205" s="56"/>
      <c r="CI205" s="56"/>
      <c r="CJ205" s="56"/>
      <c r="CK205" s="56"/>
      <c r="CL205" s="56"/>
      <c r="CM205" s="56"/>
      <c r="CN205" s="56"/>
      <c r="CO205" s="56"/>
      <c r="CP205" s="56"/>
      <c r="CQ205" s="56"/>
      <c r="CR205" s="56"/>
      <c r="CS205" s="56"/>
      <c r="CU205" s="25"/>
      <c r="CV205" s="25"/>
      <c r="CW205" s="25"/>
    </row>
    <row r="206" spans="5:101" ht="7.5" customHeight="1" x14ac:dyDescent="0.2">
      <c r="E206" s="39">
        <f>IFERROR(IF(BP206="","-",RANK(S206,$S$10:$T$264,0)+RANK(Q206,$Q$10:$R$264,0)%+RANK(O206,$O$10:$P$264,0)%%+ROW()%%%),"-")</f>
        <v>12.131906000000001</v>
      </c>
      <c r="F206" s="60"/>
      <c r="G206" s="60"/>
      <c r="H206" s="60"/>
      <c r="I206" s="40"/>
      <c r="J206" s="62">
        <f>IFERROR(IF(E206="","",RANK(E206,$E$10:$I$264,1)),"-")</f>
        <v>87</v>
      </c>
      <c r="K206" s="39" t="str">
        <f t="shared" ref="K206" si="582">BP206</f>
        <v xml:space="preserve">   </v>
      </c>
      <c r="L206" s="60"/>
      <c r="M206" s="60"/>
      <c r="N206" s="40"/>
      <c r="O206" s="39">
        <f t="shared" ref="O206" si="583">SUM(AE206-AI206)</f>
        <v>0</v>
      </c>
      <c r="P206" s="40"/>
      <c r="Q206" s="39">
        <f t="shared" ref="Q206" si="584">SUM(AL206-AP206)</f>
        <v>0</v>
      </c>
      <c r="R206" s="40"/>
      <c r="S206" s="39">
        <f t="shared" ref="S206" si="585">SUM(AS206-AW206)</f>
        <v>0</v>
      </c>
      <c r="T206" s="40"/>
      <c r="U206" s="39">
        <f>IFERROR(SMALL($E$10:$I$264,99),0)</f>
        <v>12.131930000000001</v>
      </c>
      <c r="V206" s="60"/>
      <c r="W206" s="60"/>
      <c r="X206" s="60"/>
      <c r="Y206" s="40"/>
      <c r="Z206" s="29">
        <f>IFERROR(IF(U206="","",RANK(U206,$U$10:$Y$264,1)),0)</f>
        <v>99</v>
      </c>
      <c r="AA206" s="29" t="str">
        <f>IFERROR(INDEX($K$10:$K$264,MATCH(U206,$E$10:$E$264,0),1),0)</f>
        <v xml:space="preserve">   </v>
      </c>
      <c r="AB206" s="29"/>
      <c r="AC206" s="29"/>
      <c r="AD206" s="29"/>
      <c r="AE206" s="43"/>
      <c r="AF206" s="43"/>
      <c r="AG206" s="44"/>
      <c r="AH206" s="45" t="s">
        <v>19</v>
      </c>
      <c r="AI206" s="47"/>
      <c r="AJ206" s="43"/>
      <c r="AK206" s="43"/>
      <c r="AL206" s="43"/>
      <c r="AM206" s="43"/>
      <c r="AN206" s="44"/>
      <c r="AO206" s="45" t="s">
        <v>19</v>
      </c>
      <c r="AP206" s="47"/>
      <c r="AQ206" s="43"/>
      <c r="AR206" s="43"/>
      <c r="AS206" s="43"/>
      <c r="AT206" s="43"/>
      <c r="AU206" s="44"/>
      <c r="AV206" s="45" t="s">
        <v>19</v>
      </c>
      <c r="AW206" s="47"/>
      <c r="AX206" s="43"/>
      <c r="AY206" s="43"/>
      <c r="AZ206" s="48">
        <f>IFERROR(IF(E206="","",RANK(E206,$E$10:$I$264,1)),0)</f>
        <v>87</v>
      </c>
      <c r="BA206" s="49"/>
      <c r="BB206" s="49"/>
      <c r="BC206" s="50"/>
      <c r="BE206" s="38"/>
      <c r="BF206" s="38"/>
      <c r="BH206" s="30" t="s">
        <v>118</v>
      </c>
      <c r="BI206" s="30"/>
      <c r="BJ206" s="30"/>
      <c r="BK206" s="30"/>
      <c r="BL206" s="30"/>
      <c r="BM206" s="30"/>
      <c r="BN206" s="30"/>
      <c r="BO206" s="30"/>
      <c r="BP206" s="30" t="str">
        <f>IF(BE206&gt;0,VLOOKUP(BE206,'[3]Infos joueurs'!$B:$BT,11,FALSE)," ")&amp;" "&amp;IF(BE206&gt;0,VLOOKUP(BE206,'[3]Infos joueurs'!$B:$BT,27,FALSE)," ")</f>
        <v xml:space="preserve">   </v>
      </c>
      <c r="BQ206" s="30"/>
      <c r="BR206" s="30"/>
      <c r="BS206" s="30"/>
      <c r="BT206" s="30"/>
      <c r="BU206" s="30"/>
      <c r="BV206" s="30"/>
      <c r="BW206" s="30"/>
      <c r="BX206" s="30"/>
      <c r="BY206" s="30"/>
      <c r="BZ206" s="30"/>
      <c r="CA206" s="30"/>
      <c r="CD206" s="54">
        <v>99</v>
      </c>
      <c r="CE206" s="54"/>
      <c r="CF206" s="54"/>
      <c r="CH206" s="59" t="str">
        <f t="shared" ref="CH206" si="586">AA206</f>
        <v xml:space="preserve">   </v>
      </c>
      <c r="CI206" s="59"/>
      <c r="CJ206" s="59"/>
      <c r="CK206" s="59"/>
      <c r="CL206" s="59"/>
      <c r="CM206" s="59"/>
      <c r="CN206" s="59"/>
      <c r="CO206" s="59"/>
      <c r="CP206" s="59"/>
      <c r="CQ206" s="59"/>
      <c r="CR206" s="59"/>
      <c r="CS206" s="59"/>
      <c r="CU206" s="24">
        <f t="shared" ref="CU206" si="587">IFERROR(INDEX($BE$10:$BE$269,MATCH(CH206,$BP$10:$BP$269,0)),0)</f>
        <v>0</v>
      </c>
      <c r="CV206" s="24"/>
      <c r="CW206" s="24"/>
    </row>
    <row r="207" spans="5:101" ht="7.5" customHeight="1" x14ac:dyDescent="0.2">
      <c r="E207" s="41"/>
      <c r="F207" s="61"/>
      <c r="G207" s="61"/>
      <c r="H207" s="61"/>
      <c r="I207" s="42"/>
      <c r="J207" s="63"/>
      <c r="K207" s="41"/>
      <c r="L207" s="61"/>
      <c r="M207" s="61"/>
      <c r="N207" s="42"/>
      <c r="O207" s="41"/>
      <c r="P207" s="42"/>
      <c r="Q207" s="41"/>
      <c r="R207" s="42"/>
      <c r="S207" s="41"/>
      <c r="T207" s="42"/>
      <c r="U207" s="41"/>
      <c r="V207" s="61"/>
      <c r="W207" s="61"/>
      <c r="X207" s="61"/>
      <c r="Y207" s="42"/>
      <c r="Z207" s="29"/>
      <c r="AA207" s="29"/>
      <c r="AB207" s="29"/>
      <c r="AC207" s="29"/>
      <c r="AD207" s="29"/>
      <c r="AE207" s="43"/>
      <c r="AF207" s="43"/>
      <c r="AG207" s="44"/>
      <c r="AH207" s="46"/>
      <c r="AI207" s="47"/>
      <c r="AJ207" s="43"/>
      <c r="AK207" s="43"/>
      <c r="AL207" s="43"/>
      <c r="AM207" s="43"/>
      <c r="AN207" s="44"/>
      <c r="AO207" s="46"/>
      <c r="AP207" s="47"/>
      <c r="AQ207" s="43"/>
      <c r="AR207" s="43"/>
      <c r="AS207" s="43"/>
      <c r="AT207" s="43"/>
      <c r="AU207" s="44"/>
      <c r="AV207" s="46"/>
      <c r="AW207" s="47"/>
      <c r="AX207" s="43"/>
      <c r="AY207" s="43"/>
      <c r="AZ207" s="51"/>
      <c r="BA207" s="52"/>
      <c r="BB207" s="52"/>
      <c r="BC207" s="53"/>
      <c r="BE207" s="38"/>
      <c r="BF207" s="38"/>
      <c r="BH207" s="30"/>
      <c r="BI207" s="30"/>
      <c r="BJ207" s="30"/>
      <c r="BK207" s="30"/>
      <c r="BL207" s="30"/>
      <c r="BM207" s="30"/>
      <c r="BN207" s="30"/>
      <c r="BO207" s="30"/>
      <c r="BP207" s="30"/>
      <c r="BQ207" s="30"/>
      <c r="BR207" s="30"/>
      <c r="BS207" s="30"/>
      <c r="BT207" s="30"/>
      <c r="BU207" s="30"/>
      <c r="BV207" s="30"/>
      <c r="BW207" s="30"/>
      <c r="BX207" s="30"/>
      <c r="BY207" s="30"/>
      <c r="BZ207" s="30"/>
      <c r="CA207" s="30"/>
      <c r="CD207" s="55"/>
      <c r="CE207" s="55"/>
      <c r="CF207" s="55"/>
      <c r="CH207" s="56"/>
      <c r="CI207" s="56"/>
      <c r="CJ207" s="56"/>
      <c r="CK207" s="56"/>
      <c r="CL207" s="56"/>
      <c r="CM207" s="56"/>
      <c r="CN207" s="56"/>
      <c r="CO207" s="56"/>
      <c r="CP207" s="56"/>
      <c r="CQ207" s="56"/>
      <c r="CR207" s="56"/>
      <c r="CS207" s="56"/>
      <c r="CU207" s="25"/>
      <c r="CV207" s="25"/>
      <c r="CW207" s="25"/>
    </row>
    <row r="208" spans="5:101" ht="7.5" customHeight="1" x14ac:dyDescent="0.2">
      <c r="E208" s="39">
        <f>IFERROR(IF(BP208="","-",RANK(S208,$S$10:$T$264,0)+RANK(Q208,$Q$10:$R$264,0)%+RANK(O208,$O$10:$P$264,0)%%+ROW()%%%),"-")</f>
        <v>12.131908000000001</v>
      </c>
      <c r="F208" s="60"/>
      <c r="G208" s="60"/>
      <c r="H208" s="60"/>
      <c r="I208" s="40"/>
      <c r="J208" s="62">
        <f>IFERROR(IF(E208="","",RANK(E208,$E$10:$I$264,1)),"-")</f>
        <v>88</v>
      </c>
      <c r="K208" s="39" t="str">
        <f t="shared" ref="K208" si="588">BP208</f>
        <v xml:space="preserve">   </v>
      </c>
      <c r="L208" s="60"/>
      <c r="M208" s="60"/>
      <c r="N208" s="40"/>
      <c r="O208" s="39">
        <f t="shared" ref="O208" si="589">SUM(AE208-AI208)</f>
        <v>0</v>
      </c>
      <c r="P208" s="40"/>
      <c r="Q208" s="39">
        <f t="shared" ref="Q208" si="590">SUM(AL208-AP208)</f>
        <v>0</v>
      </c>
      <c r="R208" s="40"/>
      <c r="S208" s="39">
        <f t="shared" ref="S208" si="591">SUM(AS208-AW208)</f>
        <v>0</v>
      </c>
      <c r="T208" s="40"/>
      <c r="U208" s="39">
        <f>IFERROR(SMALL($E$10:$I$264,100),0)</f>
        <v>12.131932000000001</v>
      </c>
      <c r="V208" s="60"/>
      <c r="W208" s="60"/>
      <c r="X208" s="60"/>
      <c r="Y208" s="40"/>
      <c r="Z208" s="29">
        <f>IFERROR(IF(U208="","",RANK(U208,$U$10:$Y$264,1)),0)</f>
        <v>100</v>
      </c>
      <c r="AA208" s="29" t="str">
        <f>IFERROR(INDEX($K$10:$K$264,MATCH(U208,$E$10:$E$264,0),1),0)</f>
        <v xml:space="preserve">   </v>
      </c>
      <c r="AB208" s="29"/>
      <c r="AC208" s="29"/>
      <c r="AD208" s="29"/>
      <c r="AE208" s="43"/>
      <c r="AF208" s="43"/>
      <c r="AG208" s="44"/>
      <c r="AH208" s="45" t="s">
        <v>19</v>
      </c>
      <c r="AI208" s="47"/>
      <c r="AJ208" s="43"/>
      <c r="AK208" s="43"/>
      <c r="AL208" s="43"/>
      <c r="AM208" s="43"/>
      <c r="AN208" s="44"/>
      <c r="AO208" s="45" t="s">
        <v>19</v>
      </c>
      <c r="AP208" s="47"/>
      <c r="AQ208" s="43"/>
      <c r="AR208" s="43"/>
      <c r="AS208" s="43"/>
      <c r="AT208" s="43"/>
      <c r="AU208" s="44"/>
      <c r="AV208" s="45" t="s">
        <v>19</v>
      </c>
      <c r="AW208" s="47"/>
      <c r="AX208" s="43"/>
      <c r="AY208" s="43"/>
      <c r="AZ208" s="48">
        <f>IFERROR(IF(E208="","",RANK(E208,$E$10:$I$264,1)),0)</f>
        <v>88</v>
      </c>
      <c r="BA208" s="49"/>
      <c r="BB208" s="49"/>
      <c r="BC208" s="50"/>
      <c r="BE208" s="38"/>
      <c r="BF208" s="38"/>
      <c r="BH208" s="30" t="s">
        <v>119</v>
      </c>
      <c r="BI208" s="30"/>
      <c r="BJ208" s="30"/>
      <c r="BK208" s="30"/>
      <c r="BL208" s="30"/>
      <c r="BM208" s="30"/>
      <c r="BN208" s="30"/>
      <c r="BO208" s="30"/>
      <c r="BP208" s="30" t="str">
        <f>IF(BE208&gt;0,VLOOKUP(BE208,'[3]Infos joueurs'!$B:$BT,11,FALSE)," ")&amp;" "&amp;IF(BE208&gt;0,VLOOKUP(BE208,'[3]Infos joueurs'!$B:$BT,27,FALSE)," ")</f>
        <v xml:space="preserve">   </v>
      </c>
      <c r="BQ208" s="30"/>
      <c r="BR208" s="30"/>
      <c r="BS208" s="30"/>
      <c r="BT208" s="30"/>
      <c r="BU208" s="30"/>
      <c r="BV208" s="30"/>
      <c r="BW208" s="30"/>
      <c r="BX208" s="30"/>
      <c r="BY208" s="30"/>
      <c r="BZ208" s="30"/>
      <c r="CA208" s="30"/>
      <c r="CD208" s="54">
        <v>100</v>
      </c>
      <c r="CE208" s="54"/>
      <c r="CF208" s="54"/>
      <c r="CH208" s="59" t="str">
        <f t="shared" ref="CH208" si="592">AA208</f>
        <v xml:space="preserve">   </v>
      </c>
      <c r="CI208" s="59"/>
      <c r="CJ208" s="59"/>
      <c r="CK208" s="59"/>
      <c r="CL208" s="59"/>
      <c r="CM208" s="59"/>
      <c r="CN208" s="59"/>
      <c r="CO208" s="59"/>
      <c r="CP208" s="59"/>
      <c r="CQ208" s="59"/>
      <c r="CR208" s="59"/>
      <c r="CS208" s="59"/>
      <c r="CU208" s="24">
        <f t="shared" ref="CU208" si="593">IFERROR(INDEX($BE$10:$BE$269,MATCH(CH208,$BP$10:$BP$269,0)),0)</f>
        <v>0</v>
      </c>
      <c r="CV208" s="24"/>
      <c r="CW208" s="24"/>
    </row>
    <row r="209" spans="5:101" ht="7.5" customHeight="1" x14ac:dyDescent="0.2">
      <c r="E209" s="41"/>
      <c r="F209" s="61"/>
      <c r="G209" s="61"/>
      <c r="H209" s="61"/>
      <c r="I209" s="42"/>
      <c r="J209" s="63"/>
      <c r="K209" s="41"/>
      <c r="L209" s="61"/>
      <c r="M209" s="61"/>
      <c r="N209" s="42"/>
      <c r="O209" s="41"/>
      <c r="P209" s="42"/>
      <c r="Q209" s="41"/>
      <c r="R209" s="42"/>
      <c r="S209" s="41"/>
      <c r="T209" s="42"/>
      <c r="U209" s="41"/>
      <c r="V209" s="61"/>
      <c r="W209" s="61"/>
      <c r="X209" s="61"/>
      <c r="Y209" s="42"/>
      <c r="Z209" s="29"/>
      <c r="AA209" s="29"/>
      <c r="AB209" s="29"/>
      <c r="AC209" s="29"/>
      <c r="AD209" s="29"/>
      <c r="AE209" s="43"/>
      <c r="AF209" s="43"/>
      <c r="AG209" s="44"/>
      <c r="AH209" s="46"/>
      <c r="AI209" s="47"/>
      <c r="AJ209" s="43"/>
      <c r="AK209" s="43"/>
      <c r="AL209" s="43"/>
      <c r="AM209" s="43"/>
      <c r="AN209" s="44"/>
      <c r="AO209" s="46"/>
      <c r="AP209" s="47"/>
      <c r="AQ209" s="43"/>
      <c r="AR209" s="43"/>
      <c r="AS209" s="43"/>
      <c r="AT209" s="43"/>
      <c r="AU209" s="44"/>
      <c r="AV209" s="46"/>
      <c r="AW209" s="47"/>
      <c r="AX209" s="43"/>
      <c r="AY209" s="43"/>
      <c r="AZ209" s="51"/>
      <c r="BA209" s="52"/>
      <c r="BB209" s="52"/>
      <c r="BC209" s="53"/>
      <c r="BE209" s="38"/>
      <c r="BF209" s="38"/>
      <c r="BH209" s="30"/>
      <c r="BI209" s="30"/>
      <c r="BJ209" s="30"/>
      <c r="BK209" s="30"/>
      <c r="BL209" s="30"/>
      <c r="BM209" s="30"/>
      <c r="BN209" s="30"/>
      <c r="BO209" s="30"/>
      <c r="BP209" s="30"/>
      <c r="BQ209" s="30"/>
      <c r="BR209" s="30"/>
      <c r="BS209" s="30"/>
      <c r="BT209" s="30"/>
      <c r="BU209" s="30"/>
      <c r="BV209" s="30"/>
      <c r="BW209" s="30"/>
      <c r="BX209" s="30"/>
      <c r="BY209" s="30"/>
      <c r="BZ209" s="30"/>
      <c r="CA209" s="30"/>
      <c r="CD209" s="55"/>
      <c r="CE209" s="55"/>
      <c r="CF209" s="55"/>
      <c r="CH209" s="56"/>
      <c r="CI209" s="56"/>
      <c r="CJ209" s="56"/>
      <c r="CK209" s="56"/>
      <c r="CL209" s="56"/>
      <c r="CM209" s="56"/>
      <c r="CN209" s="56"/>
      <c r="CO209" s="56"/>
      <c r="CP209" s="56"/>
      <c r="CQ209" s="56"/>
      <c r="CR209" s="56"/>
      <c r="CS209" s="56"/>
      <c r="CU209" s="25"/>
      <c r="CV209" s="25"/>
      <c r="CW209" s="25"/>
    </row>
    <row r="210" spans="5:101" ht="7.5" customHeight="1" x14ac:dyDescent="0.2">
      <c r="E210" s="39">
        <f>IFERROR(IF(BP210="","-",RANK(S210,$S$10:$T$264,0)+RANK(Q210,$Q$10:$R$264,0)%+RANK(O210,$O$10:$P$264,0)%%+ROW()%%%),"-")</f>
        <v>12.13191</v>
      </c>
      <c r="F210" s="60"/>
      <c r="G210" s="60"/>
      <c r="H210" s="60"/>
      <c r="I210" s="40"/>
      <c r="J210" s="62">
        <f>IFERROR(IF(E210="","",RANK(E210,$E$10:$I$264,1)),"-")</f>
        <v>89</v>
      </c>
      <c r="K210" s="39" t="str">
        <f t="shared" ref="K210" si="594">BP210</f>
        <v xml:space="preserve">   </v>
      </c>
      <c r="L210" s="60"/>
      <c r="M210" s="60"/>
      <c r="N210" s="40"/>
      <c r="O210" s="39">
        <f t="shared" ref="O210" si="595">SUM(AE210-AI210)</f>
        <v>0</v>
      </c>
      <c r="P210" s="40"/>
      <c r="Q210" s="39">
        <f t="shared" ref="Q210" si="596">SUM(AL210-AP210)</f>
        <v>0</v>
      </c>
      <c r="R210" s="40"/>
      <c r="S210" s="39">
        <f t="shared" ref="S210" si="597">SUM(AS210-AW210)</f>
        <v>0</v>
      </c>
      <c r="T210" s="40"/>
      <c r="U210" s="39">
        <f>IFERROR(SMALL($E$10:$I$264,101),0)</f>
        <v>12.131934000000001</v>
      </c>
      <c r="V210" s="60"/>
      <c r="W210" s="60"/>
      <c r="X210" s="60"/>
      <c r="Y210" s="40"/>
      <c r="Z210" s="29">
        <f>IFERROR(IF(U210="","",RANK(U210,$U$10:$Y$264,1)),0)</f>
        <v>101</v>
      </c>
      <c r="AA210" s="29" t="str">
        <f>IFERROR(INDEX($K$10:$K$264,MATCH(U210,$E$10:$E$264,0),1),0)</f>
        <v xml:space="preserve">   </v>
      </c>
      <c r="AB210" s="29"/>
      <c r="AC210" s="29"/>
      <c r="AD210" s="29"/>
      <c r="AE210" s="43"/>
      <c r="AF210" s="43"/>
      <c r="AG210" s="44"/>
      <c r="AH210" s="45" t="s">
        <v>19</v>
      </c>
      <c r="AI210" s="47"/>
      <c r="AJ210" s="43"/>
      <c r="AK210" s="43"/>
      <c r="AL210" s="43"/>
      <c r="AM210" s="43"/>
      <c r="AN210" s="44"/>
      <c r="AO210" s="45" t="s">
        <v>19</v>
      </c>
      <c r="AP210" s="47"/>
      <c r="AQ210" s="43"/>
      <c r="AR210" s="43"/>
      <c r="AS210" s="43"/>
      <c r="AT210" s="43"/>
      <c r="AU210" s="44"/>
      <c r="AV210" s="45" t="s">
        <v>19</v>
      </c>
      <c r="AW210" s="47"/>
      <c r="AX210" s="43"/>
      <c r="AY210" s="43"/>
      <c r="AZ210" s="48">
        <f>IFERROR(IF(E210="","",RANK(E210,$E$10:$I$264,1)),0)</f>
        <v>89</v>
      </c>
      <c r="BA210" s="49"/>
      <c r="BB210" s="49"/>
      <c r="BC210" s="50"/>
      <c r="BE210" s="38"/>
      <c r="BF210" s="38"/>
      <c r="BH210" s="30" t="s">
        <v>120</v>
      </c>
      <c r="BI210" s="30"/>
      <c r="BJ210" s="30"/>
      <c r="BK210" s="30"/>
      <c r="BL210" s="30"/>
      <c r="BM210" s="30"/>
      <c r="BN210" s="30"/>
      <c r="BO210" s="30"/>
      <c r="BP210" s="30" t="str">
        <f>IF(BE210&gt;0,VLOOKUP(BE210,'[3]Infos joueurs'!$B:$BT,11,FALSE)," ")&amp;" "&amp;IF(BE210&gt;0,VLOOKUP(BE210,'[3]Infos joueurs'!$B:$BT,27,FALSE)," ")</f>
        <v xml:space="preserve">   </v>
      </c>
      <c r="BQ210" s="30"/>
      <c r="BR210" s="30"/>
      <c r="BS210" s="30"/>
      <c r="BT210" s="30"/>
      <c r="BU210" s="30"/>
      <c r="BV210" s="30"/>
      <c r="BW210" s="30"/>
      <c r="BX210" s="30"/>
      <c r="BY210" s="30"/>
      <c r="BZ210" s="30"/>
      <c r="CA210" s="30"/>
      <c r="CD210" s="54">
        <v>101</v>
      </c>
      <c r="CE210" s="54"/>
      <c r="CF210" s="54"/>
      <c r="CH210" s="59" t="str">
        <f t="shared" ref="CH210" si="598">AA210</f>
        <v xml:space="preserve">   </v>
      </c>
      <c r="CI210" s="59"/>
      <c r="CJ210" s="59"/>
      <c r="CK210" s="59"/>
      <c r="CL210" s="59"/>
      <c r="CM210" s="59"/>
      <c r="CN210" s="59"/>
      <c r="CO210" s="59"/>
      <c r="CP210" s="59"/>
      <c r="CQ210" s="59"/>
      <c r="CR210" s="59"/>
      <c r="CS210" s="59"/>
      <c r="CU210" s="24">
        <f t="shared" ref="CU210" si="599">IFERROR(INDEX($BE$10:$BE$269,MATCH(CH210,$BP$10:$BP$269,0)),0)</f>
        <v>0</v>
      </c>
      <c r="CV210" s="24"/>
      <c r="CW210" s="24"/>
    </row>
    <row r="211" spans="5:101" ht="7.5" customHeight="1" x14ac:dyDescent="0.2">
      <c r="E211" s="41"/>
      <c r="F211" s="61"/>
      <c r="G211" s="61"/>
      <c r="H211" s="61"/>
      <c r="I211" s="42"/>
      <c r="J211" s="63"/>
      <c r="K211" s="41"/>
      <c r="L211" s="61"/>
      <c r="M211" s="61"/>
      <c r="N211" s="42"/>
      <c r="O211" s="41"/>
      <c r="P211" s="42"/>
      <c r="Q211" s="41"/>
      <c r="R211" s="42"/>
      <c r="S211" s="41"/>
      <c r="T211" s="42"/>
      <c r="U211" s="41"/>
      <c r="V211" s="61"/>
      <c r="W211" s="61"/>
      <c r="X211" s="61"/>
      <c r="Y211" s="42"/>
      <c r="Z211" s="29"/>
      <c r="AA211" s="29"/>
      <c r="AB211" s="29"/>
      <c r="AC211" s="29"/>
      <c r="AD211" s="29"/>
      <c r="AE211" s="43"/>
      <c r="AF211" s="43"/>
      <c r="AG211" s="44"/>
      <c r="AH211" s="46"/>
      <c r="AI211" s="47"/>
      <c r="AJ211" s="43"/>
      <c r="AK211" s="43"/>
      <c r="AL211" s="43"/>
      <c r="AM211" s="43"/>
      <c r="AN211" s="44"/>
      <c r="AO211" s="46"/>
      <c r="AP211" s="47"/>
      <c r="AQ211" s="43"/>
      <c r="AR211" s="43"/>
      <c r="AS211" s="43"/>
      <c r="AT211" s="43"/>
      <c r="AU211" s="44"/>
      <c r="AV211" s="46"/>
      <c r="AW211" s="47"/>
      <c r="AX211" s="43"/>
      <c r="AY211" s="43"/>
      <c r="AZ211" s="51"/>
      <c r="BA211" s="52"/>
      <c r="BB211" s="52"/>
      <c r="BC211" s="53"/>
      <c r="BE211" s="38"/>
      <c r="BF211" s="38"/>
      <c r="BH211" s="30"/>
      <c r="BI211" s="30"/>
      <c r="BJ211" s="30"/>
      <c r="BK211" s="30"/>
      <c r="BL211" s="30"/>
      <c r="BM211" s="30"/>
      <c r="BN211" s="30"/>
      <c r="BO211" s="30"/>
      <c r="BP211" s="30"/>
      <c r="BQ211" s="30"/>
      <c r="BR211" s="30"/>
      <c r="BS211" s="30"/>
      <c r="BT211" s="30"/>
      <c r="BU211" s="30"/>
      <c r="BV211" s="30"/>
      <c r="BW211" s="30"/>
      <c r="BX211" s="30"/>
      <c r="BY211" s="30"/>
      <c r="BZ211" s="30"/>
      <c r="CA211" s="30"/>
      <c r="CD211" s="55"/>
      <c r="CE211" s="55"/>
      <c r="CF211" s="55"/>
      <c r="CH211" s="56"/>
      <c r="CI211" s="56"/>
      <c r="CJ211" s="56"/>
      <c r="CK211" s="56"/>
      <c r="CL211" s="56"/>
      <c r="CM211" s="56"/>
      <c r="CN211" s="56"/>
      <c r="CO211" s="56"/>
      <c r="CP211" s="56"/>
      <c r="CQ211" s="56"/>
      <c r="CR211" s="56"/>
      <c r="CS211" s="56"/>
      <c r="CU211" s="25"/>
      <c r="CV211" s="25"/>
      <c r="CW211" s="25"/>
    </row>
    <row r="212" spans="5:101" ht="7.5" customHeight="1" x14ac:dyDescent="0.2">
      <c r="E212" s="39">
        <f>IFERROR(IF(BP212="","-",RANK(S212,$S$10:$T$264,0)+RANK(Q212,$Q$10:$R$264,0)%+RANK(O212,$O$10:$P$264,0)%%+ROW()%%%),"-")</f>
        <v>12.131912</v>
      </c>
      <c r="F212" s="60"/>
      <c r="G212" s="60"/>
      <c r="H212" s="60"/>
      <c r="I212" s="40"/>
      <c r="J212" s="62">
        <f>IFERROR(IF(E212="","",RANK(E212,$E$10:$I$264,1)),"-")</f>
        <v>90</v>
      </c>
      <c r="K212" s="39" t="str">
        <f t="shared" ref="K212" si="600">BP212</f>
        <v xml:space="preserve">   </v>
      </c>
      <c r="L212" s="60"/>
      <c r="M212" s="60"/>
      <c r="N212" s="40"/>
      <c r="O212" s="39">
        <f t="shared" ref="O212" si="601">SUM(AE212-AI212)</f>
        <v>0</v>
      </c>
      <c r="P212" s="40"/>
      <c r="Q212" s="39">
        <f t="shared" ref="Q212" si="602">SUM(AL212-AP212)</f>
        <v>0</v>
      </c>
      <c r="R212" s="40"/>
      <c r="S212" s="39">
        <f t="shared" ref="S212" si="603">SUM(AS212-AW212)</f>
        <v>0</v>
      </c>
      <c r="T212" s="40"/>
      <c r="U212" s="39">
        <f>IFERROR(SMALL($E$10:$I$264,102),0)</f>
        <v>12.131936</v>
      </c>
      <c r="V212" s="60"/>
      <c r="W212" s="60"/>
      <c r="X212" s="60"/>
      <c r="Y212" s="40"/>
      <c r="Z212" s="29">
        <f>IFERROR(IF(U212="","",RANK(U212,$U$10:$Y$264,1)),0)</f>
        <v>102</v>
      </c>
      <c r="AA212" s="29" t="str">
        <f>IFERROR(INDEX($K$10:$K$264,MATCH(U212,$E$10:$E$264,0),1),0)</f>
        <v xml:space="preserve">   </v>
      </c>
      <c r="AB212" s="29"/>
      <c r="AC212" s="29"/>
      <c r="AD212" s="29"/>
      <c r="AE212" s="43"/>
      <c r="AF212" s="43"/>
      <c r="AG212" s="44"/>
      <c r="AH212" s="45" t="s">
        <v>19</v>
      </c>
      <c r="AI212" s="47"/>
      <c r="AJ212" s="43"/>
      <c r="AK212" s="43"/>
      <c r="AL212" s="43"/>
      <c r="AM212" s="43"/>
      <c r="AN212" s="44"/>
      <c r="AO212" s="45" t="s">
        <v>19</v>
      </c>
      <c r="AP212" s="47"/>
      <c r="AQ212" s="43"/>
      <c r="AR212" s="43"/>
      <c r="AS212" s="43"/>
      <c r="AT212" s="43"/>
      <c r="AU212" s="44"/>
      <c r="AV212" s="45" t="s">
        <v>19</v>
      </c>
      <c r="AW212" s="47"/>
      <c r="AX212" s="43"/>
      <c r="AY212" s="43"/>
      <c r="AZ212" s="48">
        <f>IFERROR(IF(E212="","",RANK(E212,$E$10:$I$264,1)),0)</f>
        <v>90</v>
      </c>
      <c r="BA212" s="49"/>
      <c r="BB212" s="49"/>
      <c r="BC212" s="50"/>
      <c r="BE212" s="38"/>
      <c r="BF212" s="38"/>
      <c r="BH212" s="30" t="s">
        <v>121</v>
      </c>
      <c r="BI212" s="30"/>
      <c r="BJ212" s="30"/>
      <c r="BK212" s="30"/>
      <c r="BL212" s="30"/>
      <c r="BM212" s="30"/>
      <c r="BN212" s="30"/>
      <c r="BO212" s="30"/>
      <c r="BP212" s="30" t="str">
        <f>IF(BE212&gt;0,VLOOKUP(BE212,'[3]Infos joueurs'!$B:$BT,11,FALSE)," ")&amp;" "&amp;IF(BE212&gt;0,VLOOKUP(BE212,'[3]Infos joueurs'!$B:$BT,27,FALSE)," ")</f>
        <v xml:space="preserve">   </v>
      </c>
      <c r="BQ212" s="30"/>
      <c r="BR212" s="30"/>
      <c r="BS212" s="30"/>
      <c r="BT212" s="30"/>
      <c r="BU212" s="30"/>
      <c r="BV212" s="30"/>
      <c r="BW212" s="30"/>
      <c r="BX212" s="30"/>
      <c r="BY212" s="30"/>
      <c r="BZ212" s="30"/>
      <c r="CA212" s="30"/>
      <c r="CD212" s="54">
        <v>102</v>
      </c>
      <c r="CE212" s="54"/>
      <c r="CF212" s="54"/>
      <c r="CH212" s="59" t="str">
        <f t="shared" ref="CH212" si="604">AA212</f>
        <v xml:space="preserve">   </v>
      </c>
      <c r="CI212" s="59"/>
      <c r="CJ212" s="59"/>
      <c r="CK212" s="59"/>
      <c r="CL212" s="59"/>
      <c r="CM212" s="59"/>
      <c r="CN212" s="59"/>
      <c r="CO212" s="59"/>
      <c r="CP212" s="59"/>
      <c r="CQ212" s="59"/>
      <c r="CR212" s="59"/>
      <c r="CS212" s="59"/>
      <c r="CU212" s="24">
        <f t="shared" ref="CU212" si="605">IFERROR(INDEX($BE$10:$BE$269,MATCH(CH212,$BP$10:$BP$269,0)),0)</f>
        <v>0</v>
      </c>
      <c r="CV212" s="24"/>
      <c r="CW212" s="24"/>
    </row>
    <row r="213" spans="5:101" ht="7.5" customHeight="1" x14ac:dyDescent="0.2">
      <c r="E213" s="41"/>
      <c r="F213" s="61"/>
      <c r="G213" s="61"/>
      <c r="H213" s="61"/>
      <c r="I213" s="42"/>
      <c r="J213" s="63"/>
      <c r="K213" s="41"/>
      <c r="L213" s="61"/>
      <c r="M213" s="61"/>
      <c r="N213" s="42"/>
      <c r="O213" s="41"/>
      <c r="P213" s="42"/>
      <c r="Q213" s="41"/>
      <c r="R213" s="42"/>
      <c r="S213" s="41"/>
      <c r="T213" s="42"/>
      <c r="U213" s="41"/>
      <c r="V213" s="61"/>
      <c r="W213" s="61"/>
      <c r="X213" s="61"/>
      <c r="Y213" s="42"/>
      <c r="Z213" s="29"/>
      <c r="AA213" s="29"/>
      <c r="AB213" s="29"/>
      <c r="AC213" s="29"/>
      <c r="AD213" s="29"/>
      <c r="AE213" s="43"/>
      <c r="AF213" s="43"/>
      <c r="AG213" s="44"/>
      <c r="AH213" s="46"/>
      <c r="AI213" s="47"/>
      <c r="AJ213" s="43"/>
      <c r="AK213" s="43"/>
      <c r="AL213" s="43"/>
      <c r="AM213" s="43"/>
      <c r="AN213" s="44"/>
      <c r="AO213" s="46"/>
      <c r="AP213" s="47"/>
      <c r="AQ213" s="43"/>
      <c r="AR213" s="43"/>
      <c r="AS213" s="43"/>
      <c r="AT213" s="43"/>
      <c r="AU213" s="44"/>
      <c r="AV213" s="46"/>
      <c r="AW213" s="47"/>
      <c r="AX213" s="43"/>
      <c r="AY213" s="43"/>
      <c r="AZ213" s="51"/>
      <c r="BA213" s="52"/>
      <c r="BB213" s="52"/>
      <c r="BC213" s="53"/>
      <c r="BE213" s="38"/>
      <c r="BF213" s="38"/>
      <c r="BH213" s="30"/>
      <c r="BI213" s="30"/>
      <c r="BJ213" s="30"/>
      <c r="BK213" s="30"/>
      <c r="BL213" s="30"/>
      <c r="BM213" s="30"/>
      <c r="BN213" s="30"/>
      <c r="BO213" s="30"/>
      <c r="BP213" s="30"/>
      <c r="BQ213" s="30"/>
      <c r="BR213" s="30"/>
      <c r="BS213" s="30"/>
      <c r="BT213" s="30"/>
      <c r="BU213" s="30"/>
      <c r="BV213" s="30"/>
      <c r="BW213" s="30"/>
      <c r="BX213" s="30"/>
      <c r="BY213" s="30"/>
      <c r="BZ213" s="30"/>
      <c r="CA213" s="30"/>
      <c r="CD213" s="55"/>
      <c r="CE213" s="55"/>
      <c r="CF213" s="55"/>
      <c r="CH213" s="56"/>
      <c r="CI213" s="56"/>
      <c r="CJ213" s="56"/>
      <c r="CK213" s="56"/>
      <c r="CL213" s="56"/>
      <c r="CM213" s="56"/>
      <c r="CN213" s="56"/>
      <c r="CO213" s="56"/>
      <c r="CP213" s="56"/>
      <c r="CQ213" s="56"/>
      <c r="CR213" s="56"/>
      <c r="CS213" s="56"/>
      <c r="CU213" s="25"/>
      <c r="CV213" s="25"/>
      <c r="CW213" s="25"/>
    </row>
    <row r="214" spans="5:101" ht="7.5" customHeight="1" x14ac:dyDescent="0.2">
      <c r="E214" s="39">
        <f>IFERROR(IF(BP214="","-",RANK(S214,$S$10:$T$264,0)+RANK(Q214,$Q$10:$R$264,0)%+RANK(O214,$O$10:$P$264,0)%%+ROW()%%%),"-")</f>
        <v>12.131914</v>
      </c>
      <c r="F214" s="60"/>
      <c r="G214" s="60"/>
      <c r="H214" s="60"/>
      <c r="I214" s="40"/>
      <c r="J214" s="62">
        <f>IFERROR(IF(E214="","",RANK(E214,$E$10:$I$264,1)),"-")</f>
        <v>91</v>
      </c>
      <c r="K214" s="39" t="str">
        <f t="shared" ref="K214" si="606">BP214</f>
        <v xml:space="preserve">   </v>
      </c>
      <c r="L214" s="60"/>
      <c r="M214" s="60"/>
      <c r="N214" s="40"/>
      <c r="O214" s="39">
        <f t="shared" ref="O214" si="607">SUM(AE214-AI214)</f>
        <v>0</v>
      </c>
      <c r="P214" s="40"/>
      <c r="Q214" s="39">
        <f t="shared" ref="Q214" si="608">SUM(AL214-AP214)</f>
        <v>0</v>
      </c>
      <c r="R214" s="40"/>
      <c r="S214" s="39">
        <f t="shared" ref="S214" si="609">SUM(AS214-AW214)</f>
        <v>0</v>
      </c>
      <c r="T214" s="40"/>
      <c r="U214" s="39">
        <f>IFERROR(SMALL($E$10:$I$264,103),0)</f>
        <v>12.131938</v>
      </c>
      <c r="V214" s="60"/>
      <c r="W214" s="60"/>
      <c r="X214" s="60"/>
      <c r="Y214" s="40"/>
      <c r="Z214" s="29">
        <f>IFERROR(IF(U214="","",RANK(U214,$U$10:$Y$264,1)),0)</f>
        <v>103</v>
      </c>
      <c r="AA214" s="29" t="str">
        <f>IFERROR(INDEX($K$10:$K$264,MATCH(U214,$E$10:$E$264,0),1),0)</f>
        <v xml:space="preserve">   </v>
      </c>
      <c r="AB214" s="29"/>
      <c r="AC214" s="29"/>
      <c r="AD214" s="29"/>
      <c r="AE214" s="43"/>
      <c r="AF214" s="43"/>
      <c r="AG214" s="44"/>
      <c r="AH214" s="45" t="s">
        <v>19</v>
      </c>
      <c r="AI214" s="47"/>
      <c r="AJ214" s="43"/>
      <c r="AK214" s="43"/>
      <c r="AL214" s="43"/>
      <c r="AM214" s="43"/>
      <c r="AN214" s="44"/>
      <c r="AO214" s="45" t="s">
        <v>19</v>
      </c>
      <c r="AP214" s="47"/>
      <c r="AQ214" s="43"/>
      <c r="AR214" s="43"/>
      <c r="AS214" s="43"/>
      <c r="AT214" s="43"/>
      <c r="AU214" s="44"/>
      <c r="AV214" s="45" t="s">
        <v>19</v>
      </c>
      <c r="AW214" s="47"/>
      <c r="AX214" s="43"/>
      <c r="AY214" s="43"/>
      <c r="AZ214" s="48">
        <f>IFERROR(IF(E214="","",RANK(E214,$E$10:$I$264,1)),0)</f>
        <v>91</v>
      </c>
      <c r="BA214" s="49"/>
      <c r="BB214" s="49"/>
      <c r="BC214" s="50"/>
      <c r="BE214" s="38"/>
      <c r="BF214" s="38"/>
      <c r="BH214" s="30" t="s">
        <v>122</v>
      </c>
      <c r="BI214" s="30"/>
      <c r="BJ214" s="30"/>
      <c r="BK214" s="30"/>
      <c r="BL214" s="30"/>
      <c r="BM214" s="30"/>
      <c r="BN214" s="30"/>
      <c r="BO214" s="30"/>
      <c r="BP214" s="30" t="str">
        <f>IF(BE214&gt;0,VLOOKUP(BE214,'[3]Infos joueurs'!$B:$BT,11,FALSE)," ")&amp;" "&amp;IF(BE214&gt;0,VLOOKUP(BE214,'[3]Infos joueurs'!$B:$BT,27,FALSE)," ")</f>
        <v xml:space="preserve">   </v>
      </c>
      <c r="BQ214" s="30"/>
      <c r="BR214" s="30"/>
      <c r="BS214" s="30"/>
      <c r="BT214" s="30"/>
      <c r="BU214" s="30"/>
      <c r="BV214" s="30"/>
      <c r="BW214" s="30"/>
      <c r="BX214" s="30"/>
      <c r="BY214" s="30"/>
      <c r="BZ214" s="30"/>
      <c r="CA214" s="30"/>
      <c r="CD214" s="54">
        <v>103</v>
      </c>
      <c r="CE214" s="54"/>
      <c r="CF214" s="54"/>
      <c r="CH214" s="59" t="str">
        <f t="shared" ref="CH214" si="610">AA214</f>
        <v xml:space="preserve">   </v>
      </c>
      <c r="CI214" s="59"/>
      <c r="CJ214" s="59"/>
      <c r="CK214" s="59"/>
      <c r="CL214" s="59"/>
      <c r="CM214" s="59"/>
      <c r="CN214" s="59"/>
      <c r="CO214" s="59"/>
      <c r="CP214" s="59"/>
      <c r="CQ214" s="59"/>
      <c r="CR214" s="59"/>
      <c r="CS214" s="59"/>
      <c r="CU214" s="24">
        <f t="shared" ref="CU214" si="611">IFERROR(INDEX($BE$10:$BE$269,MATCH(CH214,$BP$10:$BP$269,0)),0)</f>
        <v>0</v>
      </c>
      <c r="CV214" s="24"/>
      <c r="CW214" s="24"/>
    </row>
    <row r="215" spans="5:101" ht="7.5" customHeight="1" x14ac:dyDescent="0.2">
      <c r="E215" s="41"/>
      <c r="F215" s="61"/>
      <c r="G215" s="61"/>
      <c r="H215" s="61"/>
      <c r="I215" s="42"/>
      <c r="J215" s="63"/>
      <c r="K215" s="41"/>
      <c r="L215" s="61"/>
      <c r="M215" s="61"/>
      <c r="N215" s="42"/>
      <c r="O215" s="41"/>
      <c r="P215" s="42"/>
      <c r="Q215" s="41"/>
      <c r="R215" s="42"/>
      <c r="S215" s="41"/>
      <c r="T215" s="42"/>
      <c r="U215" s="41"/>
      <c r="V215" s="61"/>
      <c r="W215" s="61"/>
      <c r="X215" s="61"/>
      <c r="Y215" s="42"/>
      <c r="Z215" s="29"/>
      <c r="AA215" s="29"/>
      <c r="AB215" s="29"/>
      <c r="AC215" s="29"/>
      <c r="AD215" s="29"/>
      <c r="AE215" s="43"/>
      <c r="AF215" s="43"/>
      <c r="AG215" s="44"/>
      <c r="AH215" s="46"/>
      <c r="AI215" s="47"/>
      <c r="AJ215" s="43"/>
      <c r="AK215" s="43"/>
      <c r="AL215" s="43"/>
      <c r="AM215" s="43"/>
      <c r="AN215" s="44"/>
      <c r="AO215" s="46"/>
      <c r="AP215" s="47"/>
      <c r="AQ215" s="43"/>
      <c r="AR215" s="43"/>
      <c r="AS215" s="43"/>
      <c r="AT215" s="43"/>
      <c r="AU215" s="44"/>
      <c r="AV215" s="46"/>
      <c r="AW215" s="47"/>
      <c r="AX215" s="43"/>
      <c r="AY215" s="43"/>
      <c r="AZ215" s="51"/>
      <c r="BA215" s="52"/>
      <c r="BB215" s="52"/>
      <c r="BC215" s="53"/>
      <c r="BE215" s="38"/>
      <c r="BF215" s="38"/>
      <c r="BH215" s="30"/>
      <c r="BI215" s="30"/>
      <c r="BJ215" s="30"/>
      <c r="BK215" s="30"/>
      <c r="BL215" s="30"/>
      <c r="BM215" s="30"/>
      <c r="BN215" s="30"/>
      <c r="BO215" s="30"/>
      <c r="BP215" s="30"/>
      <c r="BQ215" s="30"/>
      <c r="BR215" s="30"/>
      <c r="BS215" s="30"/>
      <c r="BT215" s="30"/>
      <c r="BU215" s="30"/>
      <c r="BV215" s="30"/>
      <c r="BW215" s="30"/>
      <c r="BX215" s="30"/>
      <c r="BY215" s="30"/>
      <c r="BZ215" s="30"/>
      <c r="CA215" s="30"/>
      <c r="CD215" s="55"/>
      <c r="CE215" s="55"/>
      <c r="CF215" s="55"/>
      <c r="CH215" s="56"/>
      <c r="CI215" s="56"/>
      <c r="CJ215" s="56"/>
      <c r="CK215" s="56"/>
      <c r="CL215" s="56"/>
      <c r="CM215" s="56"/>
      <c r="CN215" s="56"/>
      <c r="CO215" s="56"/>
      <c r="CP215" s="56"/>
      <c r="CQ215" s="56"/>
      <c r="CR215" s="56"/>
      <c r="CS215" s="56"/>
      <c r="CU215" s="25"/>
      <c r="CV215" s="25"/>
      <c r="CW215" s="25"/>
    </row>
    <row r="216" spans="5:101" ht="7.5" customHeight="1" x14ac:dyDescent="0.2">
      <c r="E216" s="39">
        <f>IFERROR(IF(BP216="","-",RANK(S216,$S$10:$T$264,0)+RANK(Q216,$Q$10:$R$264,0)%+RANK(O216,$O$10:$P$264,0)%%+ROW()%%%),"-")</f>
        <v>12.131916</v>
      </c>
      <c r="F216" s="60"/>
      <c r="G216" s="60"/>
      <c r="H216" s="60"/>
      <c r="I216" s="40"/>
      <c r="J216" s="62">
        <f>IFERROR(IF(E216="","",RANK(E216,$E$10:$I$264,1)),"-")</f>
        <v>92</v>
      </c>
      <c r="K216" s="39" t="str">
        <f t="shared" ref="K216" si="612">BP216</f>
        <v xml:space="preserve">   </v>
      </c>
      <c r="L216" s="60"/>
      <c r="M216" s="60"/>
      <c r="N216" s="40"/>
      <c r="O216" s="39">
        <f t="shared" ref="O216" si="613">SUM(AE216-AI216)</f>
        <v>0</v>
      </c>
      <c r="P216" s="40"/>
      <c r="Q216" s="39">
        <f t="shared" ref="Q216" si="614">SUM(AL216-AP216)</f>
        <v>0</v>
      </c>
      <c r="R216" s="40"/>
      <c r="S216" s="39">
        <f t="shared" ref="S216" si="615">SUM(AS216-AW216)</f>
        <v>0</v>
      </c>
      <c r="T216" s="40"/>
      <c r="U216" s="39">
        <f>IFERROR(SMALL($E$10:$I$264,104),0)</f>
        <v>12.13194</v>
      </c>
      <c r="V216" s="60"/>
      <c r="W216" s="60"/>
      <c r="X216" s="60"/>
      <c r="Y216" s="40"/>
      <c r="Z216" s="29">
        <f>IFERROR(IF(U216="","",RANK(U216,$U$10:$Y$264,1)),0)</f>
        <v>104</v>
      </c>
      <c r="AA216" s="29" t="str">
        <f>IFERROR(INDEX($K$10:$K$264,MATCH(U216,$E$10:$E$264,0),1),0)</f>
        <v xml:space="preserve">   </v>
      </c>
      <c r="AB216" s="29"/>
      <c r="AC216" s="29"/>
      <c r="AD216" s="29"/>
      <c r="AE216" s="43"/>
      <c r="AF216" s="43"/>
      <c r="AG216" s="44"/>
      <c r="AH216" s="45" t="s">
        <v>19</v>
      </c>
      <c r="AI216" s="47"/>
      <c r="AJ216" s="43"/>
      <c r="AK216" s="43"/>
      <c r="AL216" s="43"/>
      <c r="AM216" s="43"/>
      <c r="AN216" s="44"/>
      <c r="AO216" s="45" t="s">
        <v>19</v>
      </c>
      <c r="AP216" s="47"/>
      <c r="AQ216" s="43"/>
      <c r="AR216" s="43"/>
      <c r="AS216" s="43"/>
      <c r="AT216" s="43"/>
      <c r="AU216" s="44"/>
      <c r="AV216" s="45" t="s">
        <v>19</v>
      </c>
      <c r="AW216" s="47"/>
      <c r="AX216" s="43"/>
      <c r="AY216" s="43"/>
      <c r="AZ216" s="48">
        <f>IFERROR(IF(E216="","",RANK(E216,$E$10:$I$264,1)),0)</f>
        <v>92</v>
      </c>
      <c r="BA216" s="49"/>
      <c r="BB216" s="49"/>
      <c r="BC216" s="50"/>
      <c r="BE216" s="38"/>
      <c r="BF216" s="38"/>
      <c r="BH216" s="30" t="s">
        <v>123</v>
      </c>
      <c r="BI216" s="30"/>
      <c r="BJ216" s="30"/>
      <c r="BK216" s="30"/>
      <c r="BL216" s="30"/>
      <c r="BM216" s="30"/>
      <c r="BN216" s="30"/>
      <c r="BO216" s="30"/>
      <c r="BP216" s="30" t="str">
        <f>IF(BE216&gt;0,VLOOKUP(BE216,'[3]Infos joueurs'!$B:$BT,11,FALSE)," ")&amp;" "&amp;IF(BE216&gt;0,VLOOKUP(BE216,'[3]Infos joueurs'!$B:$BT,27,FALSE)," ")</f>
        <v xml:space="preserve">   </v>
      </c>
      <c r="BQ216" s="30"/>
      <c r="BR216" s="30"/>
      <c r="BS216" s="30"/>
      <c r="BT216" s="30"/>
      <c r="BU216" s="30"/>
      <c r="BV216" s="30"/>
      <c r="BW216" s="30"/>
      <c r="BX216" s="30"/>
      <c r="BY216" s="30"/>
      <c r="BZ216" s="30"/>
      <c r="CA216" s="30"/>
      <c r="CD216" s="54">
        <v>104</v>
      </c>
      <c r="CE216" s="54"/>
      <c r="CF216" s="54"/>
      <c r="CH216" s="59" t="str">
        <f t="shared" ref="CH216" si="616">AA216</f>
        <v xml:space="preserve">   </v>
      </c>
      <c r="CI216" s="59"/>
      <c r="CJ216" s="59"/>
      <c r="CK216" s="59"/>
      <c r="CL216" s="59"/>
      <c r="CM216" s="59"/>
      <c r="CN216" s="59"/>
      <c r="CO216" s="59"/>
      <c r="CP216" s="59"/>
      <c r="CQ216" s="59"/>
      <c r="CR216" s="59"/>
      <c r="CS216" s="59"/>
      <c r="CU216" s="24">
        <f t="shared" ref="CU216" si="617">IFERROR(INDEX($BE$10:$BE$269,MATCH(CH216,$BP$10:$BP$269,0)),0)</f>
        <v>0</v>
      </c>
      <c r="CV216" s="24"/>
      <c r="CW216" s="24"/>
    </row>
    <row r="217" spans="5:101" ht="7.5" customHeight="1" x14ac:dyDescent="0.2">
      <c r="E217" s="41"/>
      <c r="F217" s="61"/>
      <c r="G217" s="61"/>
      <c r="H217" s="61"/>
      <c r="I217" s="42"/>
      <c r="J217" s="63"/>
      <c r="K217" s="41"/>
      <c r="L217" s="61"/>
      <c r="M217" s="61"/>
      <c r="N217" s="42"/>
      <c r="O217" s="41"/>
      <c r="P217" s="42"/>
      <c r="Q217" s="41"/>
      <c r="R217" s="42"/>
      <c r="S217" s="41"/>
      <c r="T217" s="42"/>
      <c r="U217" s="41"/>
      <c r="V217" s="61"/>
      <c r="W217" s="61"/>
      <c r="X217" s="61"/>
      <c r="Y217" s="42"/>
      <c r="Z217" s="29"/>
      <c r="AA217" s="29"/>
      <c r="AB217" s="29"/>
      <c r="AC217" s="29"/>
      <c r="AD217" s="29"/>
      <c r="AE217" s="43"/>
      <c r="AF217" s="43"/>
      <c r="AG217" s="44"/>
      <c r="AH217" s="46"/>
      <c r="AI217" s="47"/>
      <c r="AJ217" s="43"/>
      <c r="AK217" s="43"/>
      <c r="AL217" s="43"/>
      <c r="AM217" s="43"/>
      <c r="AN217" s="44"/>
      <c r="AO217" s="46"/>
      <c r="AP217" s="47"/>
      <c r="AQ217" s="43"/>
      <c r="AR217" s="43"/>
      <c r="AS217" s="43"/>
      <c r="AT217" s="43"/>
      <c r="AU217" s="44"/>
      <c r="AV217" s="46"/>
      <c r="AW217" s="47"/>
      <c r="AX217" s="43"/>
      <c r="AY217" s="43"/>
      <c r="AZ217" s="51"/>
      <c r="BA217" s="52"/>
      <c r="BB217" s="52"/>
      <c r="BC217" s="53"/>
      <c r="BE217" s="38"/>
      <c r="BF217" s="38"/>
      <c r="BH217" s="30"/>
      <c r="BI217" s="30"/>
      <c r="BJ217" s="30"/>
      <c r="BK217" s="30"/>
      <c r="BL217" s="30"/>
      <c r="BM217" s="30"/>
      <c r="BN217" s="30"/>
      <c r="BO217" s="30"/>
      <c r="BP217" s="30"/>
      <c r="BQ217" s="30"/>
      <c r="BR217" s="30"/>
      <c r="BS217" s="30"/>
      <c r="BT217" s="30"/>
      <c r="BU217" s="30"/>
      <c r="BV217" s="30"/>
      <c r="BW217" s="30"/>
      <c r="BX217" s="30"/>
      <c r="BY217" s="30"/>
      <c r="BZ217" s="30"/>
      <c r="CA217" s="30"/>
      <c r="CD217" s="55"/>
      <c r="CE217" s="55"/>
      <c r="CF217" s="55"/>
      <c r="CH217" s="56"/>
      <c r="CI217" s="56"/>
      <c r="CJ217" s="56"/>
      <c r="CK217" s="56"/>
      <c r="CL217" s="56"/>
      <c r="CM217" s="56"/>
      <c r="CN217" s="56"/>
      <c r="CO217" s="56"/>
      <c r="CP217" s="56"/>
      <c r="CQ217" s="56"/>
      <c r="CR217" s="56"/>
      <c r="CS217" s="56"/>
      <c r="CU217" s="25"/>
      <c r="CV217" s="25"/>
      <c r="CW217" s="25"/>
    </row>
    <row r="218" spans="5:101" ht="7.5" customHeight="1" x14ac:dyDescent="0.2">
      <c r="E218" s="39">
        <f>IFERROR(IF(BP218="","-",RANK(S218,$S$10:$T$264,0)+RANK(Q218,$Q$10:$R$264,0)%+RANK(O218,$O$10:$P$264,0)%%+ROW()%%%),"-")</f>
        <v>12.131918000000001</v>
      </c>
      <c r="F218" s="60"/>
      <c r="G218" s="60"/>
      <c r="H218" s="60"/>
      <c r="I218" s="40"/>
      <c r="J218" s="62">
        <f>IFERROR(IF(E218="","",RANK(E218,$E$10:$I$264,1)),"-")</f>
        <v>93</v>
      </c>
      <c r="K218" s="39" t="str">
        <f t="shared" ref="K218" si="618">BP218</f>
        <v xml:space="preserve">   </v>
      </c>
      <c r="L218" s="60"/>
      <c r="M218" s="60"/>
      <c r="N218" s="40"/>
      <c r="O218" s="39">
        <f t="shared" ref="O218" si="619">SUM(AE218-AI218)</f>
        <v>0</v>
      </c>
      <c r="P218" s="40"/>
      <c r="Q218" s="39">
        <f t="shared" ref="Q218" si="620">SUM(AL218-AP218)</f>
        <v>0</v>
      </c>
      <c r="R218" s="40"/>
      <c r="S218" s="39">
        <f t="shared" ref="S218" si="621">SUM(AS218-AW218)</f>
        <v>0</v>
      </c>
      <c r="T218" s="40"/>
      <c r="U218" s="39">
        <f>IFERROR(SMALL($E$10:$I$264,105),0)</f>
        <v>12.131942</v>
      </c>
      <c r="V218" s="60"/>
      <c r="W218" s="60"/>
      <c r="X218" s="60"/>
      <c r="Y218" s="40"/>
      <c r="Z218" s="29">
        <f>IFERROR(IF(U218="","",RANK(U218,$U$10:$Y$264,1)),0)</f>
        <v>105</v>
      </c>
      <c r="AA218" s="29" t="str">
        <f>IFERROR(INDEX($K$10:$K$264,MATCH(U218,$E$10:$E$264,0),1),0)</f>
        <v xml:space="preserve">   </v>
      </c>
      <c r="AB218" s="29"/>
      <c r="AC218" s="29"/>
      <c r="AD218" s="29"/>
      <c r="AE218" s="43"/>
      <c r="AF218" s="43"/>
      <c r="AG218" s="44"/>
      <c r="AH218" s="45" t="s">
        <v>19</v>
      </c>
      <c r="AI218" s="47"/>
      <c r="AJ218" s="43"/>
      <c r="AK218" s="43"/>
      <c r="AL218" s="43"/>
      <c r="AM218" s="43"/>
      <c r="AN218" s="44"/>
      <c r="AO218" s="45" t="s">
        <v>19</v>
      </c>
      <c r="AP218" s="47"/>
      <c r="AQ218" s="43"/>
      <c r="AR218" s="43"/>
      <c r="AS218" s="43"/>
      <c r="AT218" s="43"/>
      <c r="AU218" s="44"/>
      <c r="AV218" s="45" t="s">
        <v>19</v>
      </c>
      <c r="AW218" s="47"/>
      <c r="AX218" s="43"/>
      <c r="AY218" s="43"/>
      <c r="AZ218" s="48">
        <f>IFERROR(IF(E218="","",RANK(E218,$E$10:$I$264,1)),0)</f>
        <v>93</v>
      </c>
      <c r="BA218" s="49"/>
      <c r="BB218" s="49"/>
      <c r="BC218" s="50"/>
      <c r="BE218" s="38"/>
      <c r="BF218" s="38"/>
      <c r="BH218" s="30" t="s">
        <v>124</v>
      </c>
      <c r="BI218" s="30"/>
      <c r="BJ218" s="30"/>
      <c r="BK218" s="30"/>
      <c r="BL218" s="30"/>
      <c r="BM218" s="30"/>
      <c r="BN218" s="30"/>
      <c r="BO218" s="30"/>
      <c r="BP218" s="30" t="str">
        <f>IF(BE218&gt;0,VLOOKUP(BE218,'[3]Infos joueurs'!$B:$BT,11,FALSE)," ")&amp;" "&amp;IF(BE218&gt;0,VLOOKUP(BE218,'[3]Infos joueurs'!$B:$BT,27,FALSE)," ")</f>
        <v xml:space="preserve">   </v>
      </c>
      <c r="BQ218" s="30"/>
      <c r="BR218" s="30"/>
      <c r="BS218" s="30"/>
      <c r="BT218" s="30"/>
      <c r="BU218" s="30"/>
      <c r="BV218" s="30"/>
      <c r="BW218" s="30"/>
      <c r="BX218" s="30"/>
      <c r="BY218" s="30"/>
      <c r="BZ218" s="30"/>
      <c r="CA218" s="30"/>
      <c r="CD218" s="54">
        <v>105</v>
      </c>
      <c r="CE218" s="54"/>
      <c r="CF218" s="54"/>
      <c r="CH218" s="59" t="str">
        <f t="shared" ref="CH218" si="622">AA218</f>
        <v xml:space="preserve">   </v>
      </c>
      <c r="CI218" s="59"/>
      <c r="CJ218" s="59"/>
      <c r="CK218" s="59"/>
      <c r="CL218" s="59"/>
      <c r="CM218" s="59"/>
      <c r="CN218" s="59"/>
      <c r="CO218" s="59"/>
      <c r="CP218" s="59"/>
      <c r="CQ218" s="59"/>
      <c r="CR218" s="59"/>
      <c r="CS218" s="59"/>
      <c r="CU218" s="24">
        <f t="shared" ref="CU218" si="623">IFERROR(INDEX($BE$10:$BE$269,MATCH(CH218,$BP$10:$BP$269,0)),0)</f>
        <v>0</v>
      </c>
      <c r="CV218" s="24"/>
      <c r="CW218" s="24"/>
    </row>
    <row r="219" spans="5:101" ht="7.5" customHeight="1" x14ac:dyDescent="0.2">
      <c r="E219" s="41"/>
      <c r="F219" s="61"/>
      <c r="G219" s="61"/>
      <c r="H219" s="61"/>
      <c r="I219" s="42"/>
      <c r="J219" s="63"/>
      <c r="K219" s="41"/>
      <c r="L219" s="61"/>
      <c r="M219" s="61"/>
      <c r="N219" s="42"/>
      <c r="O219" s="41"/>
      <c r="P219" s="42"/>
      <c r="Q219" s="41"/>
      <c r="R219" s="42"/>
      <c r="S219" s="41"/>
      <c r="T219" s="42"/>
      <c r="U219" s="41"/>
      <c r="V219" s="61"/>
      <c r="W219" s="61"/>
      <c r="X219" s="61"/>
      <c r="Y219" s="42"/>
      <c r="Z219" s="29"/>
      <c r="AA219" s="29"/>
      <c r="AB219" s="29"/>
      <c r="AC219" s="29"/>
      <c r="AD219" s="29"/>
      <c r="AE219" s="43"/>
      <c r="AF219" s="43"/>
      <c r="AG219" s="44"/>
      <c r="AH219" s="46"/>
      <c r="AI219" s="47"/>
      <c r="AJ219" s="43"/>
      <c r="AK219" s="43"/>
      <c r="AL219" s="43"/>
      <c r="AM219" s="43"/>
      <c r="AN219" s="44"/>
      <c r="AO219" s="46"/>
      <c r="AP219" s="47"/>
      <c r="AQ219" s="43"/>
      <c r="AR219" s="43"/>
      <c r="AS219" s="43"/>
      <c r="AT219" s="43"/>
      <c r="AU219" s="44"/>
      <c r="AV219" s="46"/>
      <c r="AW219" s="47"/>
      <c r="AX219" s="43"/>
      <c r="AY219" s="43"/>
      <c r="AZ219" s="51"/>
      <c r="BA219" s="52"/>
      <c r="BB219" s="52"/>
      <c r="BC219" s="53"/>
      <c r="BE219" s="38"/>
      <c r="BF219" s="38"/>
      <c r="BH219" s="30"/>
      <c r="BI219" s="30"/>
      <c r="BJ219" s="30"/>
      <c r="BK219" s="30"/>
      <c r="BL219" s="30"/>
      <c r="BM219" s="30"/>
      <c r="BN219" s="30"/>
      <c r="BO219" s="30"/>
      <c r="BP219" s="30"/>
      <c r="BQ219" s="30"/>
      <c r="BR219" s="30"/>
      <c r="BS219" s="30"/>
      <c r="BT219" s="30"/>
      <c r="BU219" s="30"/>
      <c r="BV219" s="30"/>
      <c r="BW219" s="30"/>
      <c r="BX219" s="30"/>
      <c r="BY219" s="30"/>
      <c r="BZ219" s="30"/>
      <c r="CA219" s="30"/>
      <c r="CD219" s="55"/>
      <c r="CE219" s="55"/>
      <c r="CF219" s="55"/>
      <c r="CH219" s="56"/>
      <c r="CI219" s="56"/>
      <c r="CJ219" s="56"/>
      <c r="CK219" s="56"/>
      <c r="CL219" s="56"/>
      <c r="CM219" s="56"/>
      <c r="CN219" s="56"/>
      <c r="CO219" s="56"/>
      <c r="CP219" s="56"/>
      <c r="CQ219" s="56"/>
      <c r="CR219" s="56"/>
      <c r="CS219" s="56"/>
      <c r="CU219" s="25"/>
      <c r="CV219" s="25"/>
      <c r="CW219" s="25"/>
    </row>
    <row r="220" spans="5:101" ht="7.5" customHeight="1" x14ac:dyDescent="0.2">
      <c r="E220" s="39">
        <f>IFERROR(IF(BP220="","-",RANK(S220,$S$10:$T$264,0)+RANK(Q220,$Q$10:$R$264,0)%+RANK(O220,$O$10:$P$264,0)%%+ROW()%%%),"-")</f>
        <v>12.131920000000001</v>
      </c>
      <c r="F220" s="60"/>
      <c r="G220" s="60"/>
      <c r="H220" s="60"/>
      <c r="I220" s="40"/>
      <c r="J220" s="62">
        <f>IFERROR(IF(E220="","",RANK(E220,$E$10:$I$264,1)),"-")</f>
        <v>94</v>
      </c>
      <c r="K220" s="39" t="str">
        <f t="shared" ref="K220" si="624">BP220</f>
        <v xml:space="preserve">   </v>
      </c>
      <c r="L220" s="60"/>
      <c r="M220" s="60"/>
      <c r="N220" s="40"/>
      <c r="O220" s="39">
        <f t="shared" ref="O220" si="625">SUM(AE220-AI220)</f>
        <v>0</v>
      </c>
      <c r="P220" s="40"/>
      <c r="Q220" s="39">
        <f t="shared" ref="Q220" si="626">SUM(AL220-AP220)</f>
        <v>0</v>
      </c>
      <c r="R220" s="40"/>
      <c r="S220" s="39">
        <f t="shared" ref="S220" si="627">SUM(AS220-AW220)</f>
        <v>0</v>
      </c>
      <c r="T220" s="40"/>
      <c r="U220" s="39">
        <f>IFERROR(SMALL($E$10:$I$264,106),0)</f>
        <v>12.131944000000001</v>
      </c>
      <c r="V220" s="60"/>
      <c r="W220" s="60"/>
      <c r="X220" s="60"/>
      <c r="Y220" s="40"/>
      <c r="Z220" s="29">
        <f>IFERROR(IF(U220="","",RANK(U220,$U$10:$Y$264,1)),0)</f>
        <v>106</v>
      </c>
      <c r="AA220" s="29" t="str">
        <f>IFERROR(INDEX($K$10:$K$264,MATCH(U220,$E$10:$E$264,0),1),0)</f>
        <v xml:space="preserve">   </v>
      </c>
      <c r="AB220" s="29"/>
      <c r="AC220" s="29"/>
      <c r="AD220" s="29"/>
      <c r="AE220" s="43"/>
      <c r="AF220" s="43"/>
      <c r="AG220" s="44"/>
      <c r="AH220" s="45" t="s">
        <v>19</v>
      </c>
      <c r="AI220" s="47"/>
      <c r="AJ220" s="43"/>
      <c r="AK220" s="43"/>
      <c r="AL220" s="43"/>
      <c r="AM220" s="43"/>
      <c r="AN220" s="44"/>
      <c r="AO220" s="45" t="s">
        <v>19</v>
      </c>
      <c r="AP220" s="47"/>
      <c r="AQ220" s="43"/>
      <c r="AR220" s="43"/>
      <c r="AS220" s="43"/>
      <c r="AT220" s="43"/>
      <c r="AU220" s="44"/>
      <c r="AV220" s="45" t="s">
        <v>19</v>
      </c>
      <c r="AW220" s="47"/>
      <c r="AX220" s="43"/>
      <c r="AY220" s="43"/>
      <c r="AZ220" s="48">
        <f>IFERROR(IF(E220="","",RANK(E220,$E$10:$I$264,1)),0)</f>
        <v>94</v>
      </c>
      <c r="BA220" s="49"/>
      <c r="BB220" s="49"/>
      <c r="BC220" s="50"/>
      <c r="BE220" s="38"/>
      <c r="BF220" s="38"/>
      <c r="BH220" s="30" t="s">
        <v>125</v>
      </c>
      <c r="BI220" s="30"/>
      <c r="BJ220" s="30"/>
      <c r="BK220" s="30"/>
      <c r="BL220" s="30"/>
      <c r="BM220" s="30"/>
      <c r="BN220" s="30"/>
      <c r="BO220" s="30"/>
      <c r="BP220" s="30" t="str">
        <f>IF(BE220&gt;0,VLOOKUP(BE220,'[3]Infos joueurs'!$B:$BT,11,FALSE)," ")&amp;" "&amp;IF(BE220&gt;0,VLOOKUP(BE220,'[3]Infos joueurs'!$B:$BT,27,FALSE)," ")</f>
        <v xml:space="preserve">   </v>
      </c>
      <c r="BQ220" s="30"/>
      <c r="BR220" s="30"/>
      <c r="BS220" s="30"/>
      <c r="BT220" s="30"/>
      <c r="BU220" s="30"/>
      <c r="BV220" s="30"/>
      <c r="BW220" s="30"/>
      <c r="BX220" s="30"/>
      <c r="BY220" s="30"/>
      <c r="BZ220" s="30"/>
      <c r="CA220" s="30"/>
      <c r="CD220" s="54">
        <v>106</v>
      </c>
      <c r="CE220" s="54"/>
      <c r="CF220" s="54"/>
      <c r="CH220" s="59" t="str">
        <f t="shared" ref="CH220" si="628">AA220</f>
        <v xml:space="preserve">   </v>
      </c>
      <c r="CI220" s="59"/>
      <c r="CJ220" s="59"/>
      <c r="CK220" s="59"/>
      <c r="CL220" s="59"/>
      <c r="CM220" s="59"/>
      <c r="CN220" s="59"/>
      <c r="CO220" s="59"/>
      <c r="CP220" s="59"/>
      <c r="CQ220" s="59"/>
      <c r="CR220" s="59"/>
      <c r="CS220" s="59"/>
      <c r="CU220" s="24">
        <f t="shared" ref="CU220" si="629">IFERROR(INDEX($BE$10:$BE$269,MATCH(CH220,$BP$10:$BP$269,0)),0)</f>
        <v>0</v>
      </c>
      <c r="CV220" s="24"/>
      <c r="CW220" s="24"/>
    </row>
    <row r="221" spans="5:101" ht="7.5" customHeight="1" x14ac:dyDescent="0.2">
      <c r="E221" s="41"/>
      <c r="F221" s="61"/>
      <c r="G221" s="61"/>
      <c r="H221" s="61"/>
      <c r="I221" s="42"/>
      <c r="J221" s="63"/>
      <c r="K221" s="41"/>
      <c r="L221" s="61"/>
      <c r="M221" s="61"/>
      <c r="N221" s="42"/>
      <c r="O221" s="41"/>
      <c r="P221" s="42"/>
      <c r="Q221" s="41"/>
      <c r="R221" s="42"/>
      <c r="S221" s="41"/>
      <c r="T221" s="42"/>
      <c r="U221" s="41"/>
      <c r="V221" s="61"/>
      <c r="W221" s="61"/>
      <c r="X221" s="61"/>
      <c r="Y221" s="42"/>
      <c r="Z221" s="29"/>
      <c r="AA221" s="29"/>
      <c r="AB221" s="29"/>
      <c r="AC221" s="29"/>
      <c r="AD221" s="29"/>
      <c r="AE221" s="43"/>
      <c r="AF221" s="43"/>
      <c r="AG221" s="44"/>
      <c r="AH221" s="46"/>
      <c r="AI221" s="47"/>
      <c r="AJ221" s="43"/>
      <c r="AK221" s="43"/>
      <c r="AL221" s="43"/>
      <c r="AM221" s="43"/>
      <c r="AN221" s="44"/>
      <c r="AO221" s="46"/>
      <c r="AP221" s="47"/>
      <c r="AQ221" s="43"/>
      <c r="AR221" s="43"/>
      <c r="AS221" s="43"/>
      <c r="AT221" s="43"/>
      <c r="AU221" s="44"/>
      <c r="AV221" s="46"/>
      <c r="AW221" s="47"/>
      <c r="AX221" s="43"/>
      <c r="AY221" s="43"/>
      <c r="AZ221" s="51"/>
      <c r="BA221" s="52"/>
      <c r="BB221" s="52"/>
      <c r="BC221" s="53"/>
      <c r="BE221" s="38"/>
      <c r="BF221" s="38"/>
      <c r="BH221" s="30"/>
      <c r="BI221" s="30"/>
      <c r="BJ221" s="30"/>
      <c r="BK221" s="30"/>
      <c r="BL221" s="30"/>
      <c r="BM221" s="30"/>
      <c r="BN221" s="30"/>
      <c r="BO221" s="30"/>
      <c r="BP221" s="30"/>
      <c r="BQ221" s="30"/>
      <c r="BR221" s="30"/>
      <c r="BS221" s="30"/>
      <c r="BT221" s="30"/>
      <c r="BU221" s="30"/>
      <c r="BV221" s="30"/>
      <c r="BW221" s="30"/>
      <c r="BX221" s="30"/>
      <c r="BY221" s="30"/>
      <c r="BZ221" s="30"/>
      <c r="CA221" s="30"/>
      <c r="CD221" s="55"/>
      <c r="CE221" s="55"/>
      <c r="CF221" s="55"/>
      <c r="CH221" s="56"/>
      <c r="CI221" s="56"/>
      <c r="CJ221" s="56"/>
      <c r="CK221" s="56"/>
      <c r="CL221" s="56"/>
      <c r="CM221" s="56"/>
      <c r="CN221" s="56"/>
      <c r="CO221" s="56"/>
      <c r="CP221" s="56"/>
      <c r="CQ221" s="56"/>
      <c r="CR221" s="56"/>
      <c r="CS221" s="56"/>
      <c r="CU221" s="25"/>
      <c r="CV221" s="25"/>
      <c r="CW221" s="25"/>
    </row>
    <row r="222" spans="5:101" ht="7.5" customHeight="1" x14ac:dyDescent="0.2">
      <c r="E222" s="39">
        <f>IFERROR(IF(BP222="","-",RANK(S222,$S$10:$T$264,0)+RANK(Q222,$Q$10:$R$264,0)%+RANK(O222,$O$10:$P$264,0)%%+ROW()%%%),"-")</f>
        <v>12.131922000000001</v>
      </c>
      <c r="F222" s="60"/>
      <c r="G222" s="60"/>
      <c r="H222" s="60"/>
      <c r="I222" s="40"/>
      <c r="J222" s="62">
        <f>IFERROR(IF(E222="","",RANK(E222,$E$10:$I$264,1)),"-")</f>
        <v>95</v>
      </c>
      <c r="K222" s="39" t="str">
        <f t="shared" ref="K222" si="630">BP222</f>
        <v xml:space="preserve">   </v>
      </c>
      <c r="L222" s="60"/>
      <c r="M222" s="60"/>
      <c r="N222" s="40"/>
      <c r="O222" s="39">
        <f t="shared" ref="O222" si="631">SUM(AE222-AI222)</f>
        <v>0</v>
      </c>
      <c r="P222" s="40"/>
      <c r="Q222" s="39">
        <f t="shared" ref="Q222" si="632">SUM(AL222-AP222)</f>
        <v>0</v>
      </c>
      <c r="R222" s="40"/>
      <c r="S222" s="39">
        <f t="shared" ref="S222" si="633">SUM(AS222-AW222)</f>
        <v>0</v>
      </c>
      <c r="T222" s="40"/>
      <c r="U222" s="39">
        <f>IFERROR(SMALL($E$10:$I$264,107),0)</f>
        <v>12.131946000000001</v>
      </c>
      <c r="V222" s="60"/>
      <c r="W222" s="60"/>
      <c r="X222" s="60"/>
      <c r="Y222" s="40"/>
      <c r="Z222" s="29">
        <f>IFERROR(IF(U222="","",RANK(U222,$U$10:$Y$264,1)),0)</f>
        <v>107</v>
      </c>
      <c r="AA222" s="29" t="str">
        <f>IFERROR(INDEX($K$10:$K$264,MATCH(U222,$E$10:$E$264,0),1),0)</f>
        <v xml:space="preserve">   </v>
      </c>
      <c r="AB222" s="29"/>
      <c r="AC222" s="29"/>
      <c r="AD222" s="29"/>
      <c r="AE222" s="43"/>
      <c r="AF222" s="43"/>
      <c r="AG222" s="44"/>
      <c r="AH222" s="45" t="s">
        <v>19</v>
      </c>
      <c r="AI222" s="47"/>
      <c r="AJ222" s="43"/>
      <c r="AK222" s="43"/>
      <c r="AL222" s="43"/>
      <c r="AM222" s="43"/>
      <c r="AN222" s="44"/>
      <c r="AO222" s="45" t="s">
        <v>19</v>
      </c>
      <c r="AP222" s="47"/>
      <c r="AQ222" s="43"/>
      <c r="AR222" s="43"/>
      <c r="AS222" s="43"/>
      <c r="AT222" s="43"/>
      <c r="AU222" s="44"/>
      <c r="AV222" s="45" t="s">
        <v>19</v>
      </c>
      <c r="AW222" s="47"/>
      <c r="AX222" s="43"/>
      <c r="AY222" s="43"/>
      <c r="AZ222" s="48">
        <f>IFERROR(IF(E222="","",RANK(E222,$E$10:$I$264,1)),0)</f>
        <v>95</v>
      </c>
      <c r="BA222" s="49"/>
      <c r="BB222" s="49"/>
      <c r="BC222" s="50"/>
      <c r="BE222" s="38"/>
      <c r="BF222" s="38"/>
      <c r="BH222" s="30" t="s">
        <v>126</v>
      </c>
      <c r="BI222" s="30"/>
      <c r="BJ222" s="30"/>
      <c r="BK222" s="30"/>
      <c r="BL222" s="30"/>
      <c r="BM222" s="30"/>
      <c r="BN222" s="30"/>
      <c r="BO222" s="30"/>
      <c r="BP222" s="30" t="str">
        <f>IF(BE222&gt;0,VLOOKUP(BE222,'[3]Infos joueurs'!$B:$BT,11,FALSE)," ")&amp;" "&amp;IF(BE222&gt;0,VLOOKUP(BE222,'[3]Infos joueurs'!$B:$BT,27,FALSE)," ")</f>
        <v xml:space="preserve">   </v>
      </c>
      <c r="BQ222" s="30"/>
      <c r="BR222" s="30"/>
      <c r="BS222" s="30"/>
      <c r="BT222" s="30"/>
      <c r="BU222" s="30"/>
      <c r="BV222" s="30"/>
      <c r="BW222" s="30"/>
      <c r="BX222" s="30"/>
      <c r="BY222" s="30"/>
      <c r="BZ222" s="30"/>
      <c r="CA222" s="30"/>
      <c r="CD222" s="54">
        <v>107</v>
      </c>
      <c r="CE222" s="54"/>
      <c r="CF222" s="54"/>
      <c r="CH222" s="59" t="str">
        <f t="shared" ref="CH222" si="634">AA222</f>
        <v xml:space="preserve">   </v>
      </c>
      <c r="CI222" s="59"/>
      <c r="CJ222" s="59"/>
      <c r="CK222" s="59"/>
      <c r="CL222" s="59"/>
      <c r="CM222" s="59"/>
      <c r="CN222" s="59"/>
      <c r="CO222" s="59"/>
      <c r="CP222" s="59"/>
      <c r="CQ222" s="59"/>
      <c r="CR222" s="59"/>
      <c r="CS222" s="59"/>
      <c r="CU222" s="24">
        <f t="shared" ref="CU222" si="635">IFERROR(INDEX($BE$10:$BE$269,MATCH(CH222,$BP$10:$BP$269,0)),0)</f>
        <v>0</v>
      </c>
      <c r="CV222" s="24"/>
      <c r="CW222" s="24"/>
    </row>
    <row r="223" spans="5:101" ht="7.5" customHeight="1" x14ac:dyDescent="0.2">
      <c r="E223" s="41"/>
      <c r="F223" s="61"/>
      <c r="G223" s="61"/>
      <c r="H223" s="61"/>
      <c r="I223" s="42"/>
      <c r="J223" s="63"/>
      <c r="K223" s="41"/>
      <c r="L223" s="61"/>
      <c r="M223" s="61"/>
      <c r="N223" s="42"/>
      <c r="O223" s="41"/>
      <c r="P223" s="42"/>
      <c r="Q223" s="41"/>
      <c r="R223" s="42"/>
      <c r="S223" s="41"/>
      <c r="T223" s="42"/>
      <c r="U223" s="41"/>
      <c r="V223" s="61"/>
      <c r="W223" s="61"/>
      <c r="X223" s="61"/>
      <c r="Y223" s="42"/>
      <c r="Z223" s="29"/>
      <c r="AA223" s="29"/>
      <c r="AB223" s="29"/>
      <c r="AC223" s="29"/>
      <c r="AD223" s="29"/>
      <c r="AE223" s="43"/>
      <c r="AF223" s="43"/>
      <c r="AG223" s="44"/>
      <c r="AH223" s="46"/>
      <c r="AI223" s="47"/>
      <c r="AJ223" s="43"/>
      <c r="AK223" s="43"/>
      <c r="AL223" s="43"/>
      <c r="AM223" s="43"/>
      <c r="AN223" s="44"/>
      <c r="AO223" s="46"/>
      <c r="AP223" s="47"/>
      <c r="AQ223" s="43"/>
      <c r="AR223" s="43"/>
      <c r="AS223" s="43"/>
      <c r="AT223" s="43"/>
      <c r="AU223" s="44"/>
      <c r="AV223" s="46"/>
      <c r="AW223" s="47"/>
      <c r="AX223" s="43"/>
      <c r="AY223" s="43"/>
      <c r="AZ223" s="51"/>
      <c r="BA223" s="52"/>
      <c r="BB223" s="52"/>
      <c r="BC223" s="53"/>
      <c r="BE223" s="38"/>
      <c r="BF223" s="38"/>
      <c r="BH223" s="30"/>
      <c r="BI223" s="30"/>
      <c r="BJ223" s="30"/>
      <c r="BK223" s="30"/>
      <c r="BL223" s="30"/>
      <c r="BM223" s="30"/>
      <c r="BN223" s="30"/>
      <c r="BO223" s="30"/>
      <c r="BP223" s="30"/>
      <c r="BQ223" s="30"/>
      <c r="BR223" s="30"/>
      <c r="BS223" s="30"/>
      <c r="BT223" s="30"/>
      <c r="BU223" s="30"/>
      <c r="BV223" s="30"/>
      <c r="BW223" s="30"/>
      <c r="BX223" s="30"/>
      <c r="BY223" s="30"/>
      <c r="BZ223" s="30"/>
      <c r="CA223" s="30"/>
      <c r="CD223" s="55"/>
      <c r="CE223" s="55"/>
      <c r="CF223" s="55"/>
      <c r="CH223" s="56"/>
      <c r="CI223" s="56"/>
      <c r="CJ223" s="56"/>
      <c r="CK223" s="56"/>
      <c r="CL223" s="56"/>
      <c r="CM223" s="56"/>
      <c r="CN223" s="56"/>
      <c r="CO223" s="56"/>
      <c r="CP223" s="56"/>
      <c r="CQ223" s="56"/>
      <c r="CR223" s="56"/>
      <c r="CS223" s="56"/>
      <c r="CU223" s="25"/>
      <c r="CV223" s="25"/>
      <c r="CW223" s="25"/>
    </row>
    <row r="224" spans="5:101" ht="7.5" customHeight="1" x14ac:dyDescent="0.2">
      <c r="E224" s="39">
        <f>IFERROR(IF(BP224="","-",RANK(S224,$S$10:$T$264,0)+RANK(Q224,$Q$10:$R$264,0)%+RANK(O224,$O$10:$P$264,0)%%+ROW()%%%),"-")</f>
        <v>12.131924</v>
      </c>
      <c r="F224" s="60"/>
      <c r="G224" s="60"/>
      <c r="H224" s="60"/>
      <c r="I224" s="40"/>
      <c r="J224" s="62">
        <f>IFERROR(IF(E224="","",RANK(E224,$E$10:$I$264,1)),"-")</f>
        <v>96</v>
      </c>
      <c r="K224" s="39" t="str">
        <f t="shared" ref="K224" si="636">BP224</f>
        <v xml:space="preserve">   </v>
      </c>
      <c r="L224" s="60"/>
      <c r="M224" s="60"/>
      <c r="N224" s="40"/>
      <c r="O224" s="39">
        <f t="shared" ref="O224" si="637">SUM(AE224-AI224)</f>
        <v>0</v>
      </c>
      <c r="P224" s="40"/>
      <c r="Q224" s="39">
        <f t="shared" ref="Q224" si="638">SUM(AL224-AP224)</f>
        <v>0</v>
      </c>
      <c r="R224" s="40"/>
      <c r="S224" s="39">
        <f t="shared" ref="S224" si="639">SUM(AS224-AW224)</f>
        <v>0</v>
      </c>
      <c r="T224" s="40"/>
      <c r="U224" s="39">
        <f>IFERROR(SMALL($E$10:$I$264,108),0)</f>
        <v>12.131948</v>
      </c>
      <c r="V224" s="60"/>
      <c r="W224" s="60"/>
      <c r="X224" s="60"/>
      <c r="Y224" s="40"/>
      <c r="Z224" s="29">
        <f>IFERROR(IF(U224="","",RANK(U224,$U$10:$Y$264,1)),0)</f>
        <v>108</v>
      </c>
      <c r="AA224" s="29" t="str">
        <f>IFERROR(INDEX($K$10:$K$264,MATCH(U224,$E$10:$E$264,0),1),0)</f>
        <v xml:space="preserve">   </v>
      </c>
      <c r="AB224" s="29"/>
      <c r="AC224" s="29"/>
      <c r="AD224" s="29"/>
      <c r="AE224" s="43"/>
      <c r="AF224" s="43"/>
      <c r="AG224" s="44"/>
      <c r="AH224" s="45" t="s">
        <v>19</v>
      </c>
      <c r="AI224" s="47"/>
      <c r="AJ224" s="43"/>
      <c r="AK224" s="43"/>
      <c r="AL224" s="43"/>
      <c r="AM224" s="43"/>
      <c r="AN224" s="44"/>
      <c r="AO224" s="45" t="s">
        <v>19</v>
      </c>
      <c r="AP224" s="47"/>
      <c r="AQ224" s="43"/>
      <c r="AR224" s="43"/>
      <c r="AS224" s="43"/>
      <c r="AT224" s="43"/>
      <c r="AU224" s="44"/>
      <c r="AV224" s="45" t="s">
        <v>19</v>
      </c>
      <c r="AW224" s="47"/>
      <c r="AX224" s="43"/>
      <c r="AY224" s="43"/>
      <c r="AZ224" s="48">
        <f>IFERROR(IF(E224="","",RANK(E224,$E$10:$I$264,1)),0)</f>
        <v>96</v>
      </c>
      <c r="BA224" s="49"/>
      <c r="BB224" s="49"/>
      <c r="BC224" s="50"/>
      <c r="BE224" s="38"/>
      <c r="BF224" s="38"/>
      <c r="BH224" s="30" t="s">
        <v>127</v>
      </c>
      <c r="BI224" s="30"/>
      <c r="BJ224" s="30"/>
      <c r="BK224" s="30"/>
      <c r="BL224" s="30"/>
      <c r="BM224" s="30"/>
      <c r="BN224" s="30"/>
      <c r="BO224" s="30"/>
      <c r="BP224" s="30" t="str">
        <f>IF(BE224&gt;0,VLOOKUP(BE224,'[3]Infos joueurs'!$B:$BT,11,FALSE)," ")&amp;" "&amp;IF(BE224&gt;0,VLOOKUP(BE224,'[3]Infos joueurs'!$B:$BT,27,FALSE)," ")</f>
        <v xml:space="preserve">   </v>
      </c>
      <c r="BQ224" s="30"/>
      <c r="BR224" s="30"/>
      <c r="BS224" s="30"/>
      <c r="BT224" s="30"/>
      <c r="BU224" s="30"/>
      <c r="BV224" s="30"/>
      <c r="BW224" s="30"/>
      <c r="BX224" s="30"/>
      <c r="BY224" s="30"/>
      <c r="BZ224" s="30"/>
      <c r="CA224" s="30"/>
      <c r="CD224" s="54">
        <v>108</v>
      </c>
      <c r="CE224" s="54"/>
      <c r="CF224" s="54"/>
      <c r="CH224" s="59" t="str">
        <f t="shared" ref="CH224" si="640">AA224</f>
        <v xml:space="preserve">   </v>
      </c>
      <c r="CI224" s="59"/>
      <c r="CJ224" s="59"/>
      <c r="CK224" s="59"/>
      <c r="CL224" s="59"/>
      <c r="CM224" s="59"/>
      <c r="CN224" s="59"/>
      <c r="CO224" s="59"/>
      <c r="CP224" s="59"/>
      <c r="CQ224" s="59"/>
      <c r="CR224" s="59"/>
      <c r="CS224" s="59"/>
      <c r="CU224" s="24">
        <f t="shared" ref="CU224" si="641">IFERROR(INDEX($BE$10:$BE$269,MATCH(CH224,$BP$10:$BP$269,0)),0)</f>
        <v>0</v>
      </c>
      <c r="CV224" s="24"/>
      <c r="CW224" s="24"/>
    </row>
    <row r="225" spans="5:101" ht="7.5" customHeight="1" x14ac:dyDescent="0.2">
      <c r="E225" s="41"/>
      <c r="F225" s="61"/>
      <c r="G225" s="61"/>
      <c r="H225" s="61"/>
      <c r="I225" s="42"/>
      <c r="J225" s="63"/>
      <c r="K225" s="41"/>
      <c r="L225" s="61"/>
      <c r="M225" s="61"/>
      <c r="N225" s="42"/>
      <c r="O225" s="41"/>
      <c r="P225" s="42"/>
      <c r="Q225" s="41"/>
      <c r="R225" s="42"/>
      <c r="S225" s="41"/>
      <c r="T225" s="42"/>
      <c r="U225" s="41"/>
      <c r="V225" s="61"/>
      <c r="W225" s="61"/>
      <c r="X225" s="61"/>
      <c r="Y225" s="42"/>
      <c r="Z225" s="29"/>
      <c r="AA225" s="29"/>
      <c r="AB225" s="29"/>
      <c r="AC225" s="29"/>
      <c r="AD225" s="29"/>
      <c r="AE225" s="43"/>
      <c r="AF225" s="43"/>
      <c r="AG225" s="44"/>
      <c r="AH225" s="46"/>
      <c r="AI225" s="47"/>
      <c r="AJ225" s="43"/>
      <c r="AK225" s="43"/>
      <c r="AL225" s="43"/>
      <c r="AM225" s="43"/>
      <c r="AN225" s="44"/>
      <c r="AO225" s="46"/>
      <c r="AP225" s="47"/>
      <c r="AQ225" s="43"/>
      <c r="AR225" s="43"/>
      <c r="AS225" s="43"/>
      <c r="AT225" s="43"/>
      <c r="AU225" s="44"/>
      <c r="AV225" s="46"/>
      <c r="AW225" s="47"/>
      <c r="AX225" s="43"/>
      <c r="AY225" s="43"/>
      <c r="AZ225" s="51"/>
      <c r="BA225" s="52"/>
      <c r="BB225" s="52"/>
      <c r="BC225" s="53"/>
      <c r="BE225" s="38"/>
      <c r="BF225" s="38"/>
      <c r="BH225" s="30"/>
      <c r="BI225" s="30"/>
      <c r="BJ225" s="30"/>
      <c r="BK225" s="30"/>
      <c r="BL225" s="30"/>
      <c r="BM225" s="30"/>
      <c r="BN225" s="30"/>
      <c r="BO225" s="30"/>
      <c r="BP225" s="30"/>
      <c r="BQ225" s="30"/>
      <c r="BR225" s="30"/>
      <c r="BS225" s="30"/>
      <c r="BT225" s="30"/>
      <c r="BU225" s="30"/>
      <c r="BV225" s="30"/>
      <c r="BW225" s="30"/>
      <c r="BX225" s="30"/>
      <c r="BY225" s="30"/>
      <c r="BZ225" s="30"/>
      <c r="CA225" s="30"/>
      <c r="CD225" s="55"/>
      <c r="CE225" s="55"/>
      <c r="CF225" s="55"/>
      <c r="CH225" s="56"/>
      <c r="CI225" s="56"/>
      <c r="CJ225" s="56"/>
      <c r="CK225" s="56"/>
      <c r="CL225" s="56"/>
      <c r="CM225" s="56"/>
      <c r="CN225" s="56"/>
      <c r="CO225" s="56"/>
      <c r="CP225" s="56"/>
      <c r="CQ225" s="56"/>
      <c r="CR225" s="56"/>
      <c r="CS225" s="56"/>
      <c r="CU225" s="25"/>
      <c r="CV225" s="25"/>
      <c r="CW225" s="25"/>
    </row>
    <row r="226" spans="5:101" ht="7.5" customHeight="1" x14ac:dyDescent="0.2">
      <c r="E226" s="39">
        <f>IFERROR(IF(BP226="","-",RANK(S226,$S$10:$T$264,0)+RANK(Q226,$Q$10:$R$264,0)%+RANK(O226,$O$10:$P$264,0)%%+ROW()%%%),"-")</f>
        <v>12.131926</v>
      </c>
      <c r="F226" s="60"/>
      <c r="G226" s="60"/>
      <c r="H226" s="60"/>
      <c r="I226" s="40"/>
      <c r="J226" s="62">
        <f>IFERROR(IF(E226="","",RANK(E226,$E$10:$I$264,1)),"-")</f>
        <v>97</v>
      </c>
      <c r="K226" s="39" t="str">
        <f t="shared" ref="K226" si="642">BP226</f>
        <v xml:space="preserve">   </v>
      </c>
      <c r="L226" s="60"/>
      <c r="M226" s="60"/>
      <c r="N226" s="40"/>
      <c r="O226" s="39">
        <f t="shared" ref="O226" si="643">SUM(AE226-AI226)</f>
        <v>0</v>
      </c>
      <c r="P226" s="40"/>
      <c r="Q226" s="39">
        <f t="shared" ref="Q226" si="644">SUM(AL226-AP226)</f>
        <v>0</v>
      </c>
      <c r="R226" s="40"/>
      <c r="S226" s="39">
        <f t="shared" ref="S226" si="645">SUM(AS226-AW226)</f>
        <v>0</v>
      </c>
      <c r="T226" s="40"/>
      <c r="U226" s="39">
        <f>IFERROR(SMALL($E$10:$I$264,109),0)</f>
        <v>12.13195</v>
      </c>
      <c r="V226" s="60"/>
      <c r="W226" s="60"/>
      <c r="X226" s="60"/>
      <c r="Y226" s="40"/>
      <c r="Z226" s="29">
        <f>IFERROR(IF(U226="","",RANK(U226,$U$10:$Y$264,1)),0)</f>
        <v>109</v>
      </c>
      <c r="AA226" s="29" t="str">
        <f>IFERROR(INDEX($K$10:$K$264,MATCH(U226,$E$10:$E$264,0),1),0)</f>
        <v xml:space="preserve">   </v>
      </c>
      <c r="AB226" s="29"/>
      <c r="AC226" s="29"/>
      <c r="AD226" s="29"/>
      <c r="AE226" s="43"/>
      <c r="AF226" s="43"/>
      <c r="AG226" s="44"/>
      <c r="AH226" s="45" t="s">
        <v>19</v>
      </c>
      <c r="AI226" s="47"/>
      <c r="AJ226" s="43"/>
      <c r="AK226" s="43"/>
      <c r="AL226" s="43"/>
      <c r="AM226" s="43"/>
      <c r="AN226" s="44"/>
      <c r="AO226" s="45" t="s">
        <v>19</v>
      </c>
      <c r="AP226" s="47"/>
      <c r="AQ226" s="43"/>
      <c r="AR226" s="43"/>
      <c r="AS226" s="43"/>
      <c r="AT226" s="43"/>
      <c r="AU226" s="44"/>
      <c r="AV226" s="45" t="s">
        <v>19</v>
      </c>
      <c r="AW226" s="47"/>
      <c r="AX226" s="43"/>
      <c r="AY226" s="43"/>
      <c r="AZ226" s="48">
        <f>IFERROR(IF(E226="","",RANK(E226,$E$10:$I$264,1)),0)</f>
        <v>97</v>
      </c>
      <c r="BA226" s="49"/>
      <c r="BB226" s="49"/>
      <c r="BC226" s="50"/>
      <c r="BE226" s="38"/>
      <c r="BF226" s="38"/>
      <c r="BH226" s="30" t="s">
        <v>128</v>
      </c>
      <c r="BI226" s="30"/>
      <c r="BJ226" s="30"/>
      <c r="BK226" s="30"/>
      <c r="BL226" s="30"/>
      <c r="BM226" s="30"/>
      <c r="BN226" s="30"/>
      <c r="BO226" s="30"/>
      <c r="BP226" s="30" t="str">
        <f>IF(BE226&gt;0,VLOOKUP(BE226,'[3]Infos joueurs'!$B:$BT,11,FALSE)," ")&amp;" "&amp;IF(BE226&gt;0,VLOOKUP(BE226,'[3]Infos joueurs'!$B:$BT,27,FALSE)," ")</f>
        <v xml:space="preserve">   </v>
      </c>
      <c r="BQ226" s="30"/>
      <c r="BR226" s="30"/>
      <c r="BS226" s="30"/>
      <c r="BT226" s="30"/>
      <c r="BU226" s="30"/>
      <c r="BV226" s="30"/>
      <c r="BW226" s="30"/>
      <c r="BX226" s="30"/>
      <c r="BY226" s="30"/>
      <c r="BZ226" s="30"/>
      <c r="CA226" s="30"/>
      <c r="CD226" s="54">
        <v>109</v>
      </c>
      <c r="CE226" s="54"/>
      <c r="CF226" s="54"/>
      <c r="CH226" s="59" t="str">
        <f t="shared" ref="CH226" si="646">AA226</f>
        <v xml:space="preserve">   </v>
      </c>
      <c r="CI226" s="59"/>
      <c r="CJ226" s="59"/>
      <c r="CK226" s="59"/>
      <c r="CL226" s="59"/>
      <c r="CM226" s="59"/>
      <c r="CN226" s="59"/>
      <c r="CO226" s="59"/>
      <c r="CP226" s="59"/>
      <c r="CQ226" s="59"/>
      <c r="CR226" s="59"/>
      <c r="CS226" s="59"/>
      <c r="CU226" s="24">
        <f t="shared" ref="CU226" si="647">IFERROR(INDEX($BE$10:$BE$269,MATCH(CH226,$BP$10:$BP$269,0)),0)</f>
        <v>0</v>
      </c>
      <c r="CV226" s="24"/>
      <c r="CW226" s="24"/>
    </row>
    <row r="227" spans="5:101" ht="7.5" customHeight="1" x14ac:dyDescent="0.2">
      <c r="E227" s="41"/>
      <c r="F227" s="61"/>
      <c r="G227" s="61"/>
      <c r="H227" s="61"/>
      <c r="I227" s="42"/>
      <c r="J227" s="63"/>
      <c r="K227" s="41"/>
      <c r="L227" s="61"/>
      <c r="M227" s="61"/>
      <c r="N227" s="42"/>
      <c r="O227" s="41"/>
      <c r="P227" s="42"/>
      <c r="Q227" s="41"/>
      <c r="R227" s="42"/>
      <c r="S227" s="41"/>
      <c r="T227" s="42"/>
      <c r="U227" s="41"/>
      <c r="V227" s="61"/>
      <c r="W227" s="61"/>
      <c r="X227" s="61"/>
      <c r="Y227" s="42"/>
      <c r="Z227" s="29"/>
      <c r="AA227" s="29"/>
      <c r="AB227" s="29"/>
      <c r="AC227" s="29"/>
      <c r="AD227" s="29"/>
      <c r="AE227" s="43"/>
      <c r="AF227" s="43"/>
      <c r="AG227" s="44"/>
      <c r="AH227" s="46"/>
      <c r="AI227" s="47"/>
      <c r="AJ227" s="43"/>
      <c r="AK227" s="43"/>
      <c r="AL227" s="43"/>
      <c r="AM227" s="43"/>
      <c r="AN227" s="44"/>
      <c r="AO227" s="46"/>
      <c r="AP227" s="47"/>
      <c r="AQ227" s="43"/>
      <c r="AR227" s="43"/>
      <c r="AS227" s="43"/>
      <c r="AT227" s="43"/>
      <c r="AU227" s="44"/>
      <c r="AV227" s="46"/>
      <c r="AW227" s="47"/>
      <c r="AX227" s="43"/>
      <c r="AY227" s="43"/>
      <c r="AZ227" s="51"/>
      <c r="BA227" s="52"/>
      <c r="BB227" s="52"/>
      <c r="BC227" s="53"/>
      <c r="BE227" s="38"/>
      <c r="BF227" s="38"/>
      <c r="BH227" s="30"/>
      <c r="BI227" s="30"/>
      <c r="BJ227" s="30"/>
      <c r="BK227" s="30"/>
      <c r="BL227" s="30"/>
      <c r="BM227" s="30"/>
      <c r="BN227" s="30"/>
      <c r="BO227" s="30"/>
      <c r="BP227" s="30"/>
      <c r="BQ227" s="30"/>
      <c r="BR227" s="30"/>
      <c r="BS227" s="30"/>
      <c r="BT227" s="30"/>
      <c r="BU227" s="30"/>
      <c r="BV227" s="30"/>
      <c r="BW227" s="30"/>
      <c r="BX227" s="30"/>
      <c r="BY227" s="30"/>
      <c r="BZ227" s="30"/>
      <c r="CA227" s="30"/>
      <c r="CD227" s="55"/>
      <c r="CE227" s="55"/>
      <c r="CF227" s="55"/>
      <c r="CH227" s="56"/>
      <c r="CI227" s="56"/>
      <c r="CJ227" s="56"/>
      <c r="CK227" s="56"/>
      <c r="CL227" s="56"/>
      <c r="CM227" s="56"/>
      <c r="CN227" s="56"/>
      <c r="CO227" s="56"/>
      <c r="CP227" s="56"/>
      <c r="CQ227" s="56"/>
      <c r="CR227" s="56"/>
      <c r="CS227" s="56"/>
      <c r="CU227" s="25"/>
      <c r="CV227" s="25"/>
      <c r="CW227" s="25"/>
    </row>
    <row r="228" spans="5:101" ht="7.5" customHeight="1" x14ac:dyDescent="0.2">
      <c r="E228" s="39">
        <f>IFERROR(IF(BP228="","-",RANK(S228,$S$10:$T$264,0)+RANK(Q228,$Q$10:$R$264,0)%+RANK(O228,$O$10:$P$264,0)%%+ROW()%%%),"-")</f>
        <v>12.131928</v>
      </c>
      <c r="F228" s="60"/>
      <c r="G228" s="60"/>
      <c r="H228" s="60"/>
      <c r="I228" s="40"/>
      <c r="J228" s="62">
        <f>IFERROR(IF(E228="","",RANK(E228,$E$10:$I$264,1)),"-")</f>
        <v>98</v>
      </c>
      <c r="K228" s="39" t="str">
        <f t="shared" ref="K228" si="648">BP228</f>
        <v xml:space="preserve">   </v>
      </c>
      <c r="L228" s="60"/>
      <c r="M228" s="60"/>
      <c r="N228" s="40"/>
      <c r="O228" s="39">
        <f t="shared" ref="O228" si="649">SUM(AE228-AI228)</f>
        <v>0</v>
      </c>
      <c r="P228" s="40"/>
      <c r="Q228" s="39">
        <f t="shared" ref="Q228" si="650">SUM(AL228-AP228)</f>
        <v>0</v>
      </c>
      <c r="R228" s="40"/>
      <c r="S228" s="39">
        <f t="shared" ref="S228" si="651">SUM(AS228-AW228)</f>
        <v>0</v>
      </c>
      <c r="T228" s="40"/>
      <c r="U228" s="39">
        <f>IFERROR(SMALL($E$10:$I$264,110),0)</f>
        <v>12.131952</v>
      </c>
      <c r="V228" s="60"/>
      <c r="W228" s="60"/>
      <c r="X228" s="60"/>
      <c r="Y228" s="40"/>
      <c r="Z228" s="29">
        <f>IFERROR(IF(U228="","",RANK(U228,$U$10:$Y$264,1)),0)</f>
        <v>110</v>
      </c>
      <c r="AA228" s="29" t="str">
        <f>IFERROR(INDEX($K$10:$K$264,MATCH(U228,$E$10:$E$264,0),1),0)</f>
        <v xml:space="preserve">   </v>
      </c>
      <c r="AB228" s="29"/>
      <c r="AC228" s="29"/>
      <c r="AD228" s="29"/>
      <c r="AE228" s="43"/>
      <c r="AF228" s="43"/>
      <c r="AG228" s="44"/>
      <c r="AH228" s="45" t="s">
        <v>19</v>
      </c>
      <c r="AI228" s="47"/>
      <c r="AJ228" s="43"/>
      <c r="AK228" s="43"/>
      <c r="AL228" s="43"/>
      <c r="AM228" s="43"/>
      <c r="AN228" s="44"/>
      <c r="AO228" s="45" t="s">
        <v>19</v>
      </c>
      <c r="AP228" s="47"/>
      <c r="AQ228" s="43"/>
      <c r="AR228" s="43"/>
      <c r="AS228" s="43"/>
      <c r="AT228" s="43"/>
      <c r="AU228" s="44"/>
      <c r="AV228" s="45" t="s">
        <v>19</v>
      </c>
      <c r="AW228" s="47"/>
      <c r="AX228" s="43"/>
      <c r="AY228" s="43"/>
      <c r="AZ228" s="48">
        <f>IFERROR(IF(E228="","",RANK(E228,$E$10:$I$264,1)),0)</f>
        <v>98</v>
      </c>
      <c r="BA228" s="49"/>
      <c r="BB228" s="49"/>
      <c r="BC228" s="50"/>
      <c r="BE228" s="38"/>
      <c r="BF228" s="38"/>
      <c r="BH228" s="30" t="s">
        <v>129</v>
      </c>
      <c r="BI228" s="30"/>
      <c r="BJ228" s="30"/>
      <c r="BK228" s="30"/>
      <c r="BL228" s="30"/>
      <c r="BM228" s="30"/>
      <c r="BN228" s="30"/>
      <c r="BO228" s="30"/>
      <c r="BP228" s="30" t="str">
        <f>IF(BE228&gt;0,VLOOKUP(BE228,'[3]Infos joueurs'!$B:$BT,11,FALSE)," ")&amp;" "&amp;IF(BE228&gt;0,VLOOKUP(BE228,'[3]Infos joueurs'!$B:$BT,27,FALSE)," ")</f>
        <v xml:space="preserve">   </v>
      </c>
      <c r="BQ228" s="30"/>
      <c r="BR228" s="30"/>
      <c r="BS228" s="30"/>
      <c r="BT228" s="30"/>
      <c r="BU228" s="30"/>
      <c r="BV228" s="30"/>
      <c r="BW228" s="30"/>
      <c r="BX228" s="30"/>
      <c r="BY228" s="30"/>
      <c r="BZ228" s="30"/>
      <c r="CA228" s="30"/>
      <c r="CD228" s="54">
        <v>110</v>
      </c>
      <c r="CE228" s="54"/>
      <c r="CF228" s="54"/>
      <c r="CH228" s="59" t="str">
        <f t="shared" ref="CH228" si="652">AA228</f>
        <v xml:space="preserve">   </v>
      </c>
      <c r="CI228" s="59"/>
      <c r="CJ228" s="59"/>
      <c r="CK228" s="59"/>
      <c r="CL228" s="59"/>
      <c r="CM228" s="59"/>
      <c r="CN228" s="59"/>
      <c r="CO228" s="59"/>
      <c r="CP228" s="59"/>
      <c r="CQ228" s="59"/>
      <c r="CR228" s="59"/>
      <c r="CS228" s="59"/>
      <c r="CU228" s="24">
        <f t="shared" ref="CU228" si="653">IFERROR(INDEX($BE$10:$BE$269,MATCH(CH228,$BP$10:$BP$269,0)),0)</f>
        <v>0</v>
      </c>
      <c r="CV228" s="24"/>
      <c r="CW228" s="24"/>
    </row>
    <row r="229" spans="5:101" ht="7.5" customHeight="1" x14ac:dyDescent="0.2">
      <c r="E229" s="41"/>
      <c r="F229" s="61"/>
      <c r="G229" s="61"/>
      <c r="H229" s="61"/>
      <c r="I229" s="42"/>
      <c r="J229" s="63"/>
      <c r="K229" s="41"/>
      <c r="L229" s="61"/>
      <c r="M229" s="61"/>
      <c r="N229" s="42"/>
      <c r="O229" s="41"/>
      <c r="P229" s="42"/>
      <c r="Q229" s="41"/>
      <c r="R229" s="42"/>
      <c r="S229" s="41"/>
      <c r="T229" s="42"/>
      <c r="U229" s="41"/>
      <c r="V229" s="61"/>
      <c r="W229" s="61"/>
      <c r="X229" s="61"/>
      <c r="Y229" s="42"/>
      <c r="Z229" s="29"/>
      <c r="AA229" s="29"/>
      <c r="AB229" s="29"/>
      <c r="AC229" s="29"/>
      <c r="AD229" s="29"/>
      <c r="AE229" s="43"/>
      <c r="AF229" s="43"/>
      <c r="AG229" s="44"/>
      <c r="AH229" s="46"/>
      <c r="AI229" s="47"/>
      <c r="AJ229" s="43"/>
      <c r="AK229" s="43"/>
      <c r="AL229" s="43"/>
      <c r="AM229" s="43"/>
      <c r="AN229" s="44"/>
      <c r="AO229" s="46"/>
      <c r="AP229" s="47"/>
      <c r="AQ229" s="43"/>
      <c r="AR229" s="43"/>
      <c r="AS229" s="43"/>
      <c r="AT229" s="43"/>
      <c r="AU229" s="44"/>
      <c r="AV229" s="46"/>
      <c r="AW229" s="47"/>
      <c r="AX229" s="43"/>
      <c r="AY229" s="43"/>
      <c r="AZ229" s="51"/>
      <c r="BA229" s="52"/>
      <c r="BB229" s="52"/>
      <c r="BC229" s="53"/>
      <c r="BE229" s="38"/>
      <c r="BF229" s="38"/>
      <c r="BH229" s="30"/>
      <c r="BI229" s="30"/>
      <c r="BJ229" s="30"/>
      <c r="BK229" s="30"/>
      <c r="BL229" s="30"/>
      <c r="BM229" s="30"/>
      <c r="BN229" s="30"/>
      <c r="BO229" s="30"/>
      <c r="BP229" s="30"/>
      <c r="BQ229" s="30"/>
      <c r="BR229" s="30"/>
      <c r="BS229" s="30"/>
      <c r="BT229" s="30"/>
      <c r="BU229" s="30"/>
      <c r="BV229" s="30"/>
      <c r="BW229" s="30"/>
      <c r="BX229" s="30"/>
      <c r="BY229" s="30"/>
      <c r="BZ229" s="30"/>
      <c r="CA229" s="30"/>
      <c r="CD229" s="55"/>
      <c r="CE229" s="55"/>
      <c r="CF229" s="55"/>
      <c r="CH229" s="56"/>
      <c r="CI229" s="56"/>
      <c r="CJ229" s="56"/>
      <c r="CK229" s="56"/>
      <c r="CL229" s="56"/>
      <c r="CM229" s="56"/>
      <c r="CN229" s="56"/>
      <c r="CO229" s="56"/>
      <c r="CP229" s="56"/>
      <c r="CQ229" s="56"/>
      <c r="CR229" s="56"/>
      <c r="CS229" s="56"/>
      <c r="CU229" s="25"/>
      <c r="CV229" s="25"/>
      <c r="CW229" s="25"/>
    </row>
    <row r="230" spans="5:101" ht="7.5" customHeight="1" x14ac:dyDescent="0.2">
      <c r="E230" s="39">
        <f>IFERROR(IF(BP230="","-",RANK(S230,$S$10:$T$264,0)+RANK(Q230,$Q$10:$R$264,0)%+RANK(O230,$O$10:$P$264,0)%%+ROW()%%%),"-")</f>
        <v>12.131930000000001</v>
      </c>
      <c r="F230" s="60"/>
      <c r="G230" s="60"/>
      <c r="H230" s="60"/>
      <c r="I230" s="40"/>
      <c r="J230" s="62">
        <f>IFERROR(IF(E230="","",RANK(E230,$E$10:$I$264,1)),"-")</f>
        <v>99</v>
      </c>
      <c r="K230" s="39" t="str">
        <f t="shared" ref="K230" si="654">BP230</f>
        <v xml:space="preserve">   </v>
      </c>
      <c r="L230" s="60"/>
      <c r="M230" s="60"/>
      <c r="N230" s="40"/>
      <c r="O230" s="39">
        <f t="shared" ref="O230" si="655">SUM(AE230-AI230)</f>
        <v>0</v>
      </c>
      <c r="P230" s="40"/>
      <c r="Q230" s="39">
        <f t="shared" ref="Q230" si="656">SUM(AL230-AP230)</f>
        <v>0</v>
      </c>
      <c r="R230" s="40"/>
      <c r="S230" s="39">
        <f t="shared" ref="S230" si="657">SUM(AS230-AW230)</f>
        <v>0</v>
      </c>
      <c r="T230" s="40"/>
      <c r="U230" s="39">
        <f>IFERROR(SMALL($E$10:$I$264,111),0)</f>
        <v>12.131954</v>
      </c>
      <c r="V230" s="60"/>
      <c r="W230" s="60"/>
      <c r="X230" s="60"/>
      <c r="Y230" s="40"/>
      <c r="Z230" s="29">
        <f>IFERROR(IF(U230="","",RANK(U230,$U$10:$Y$264,1)),0)</f>
        <v>111</v>
      </c>
      <c r="AA230" s="29" t="str">
        <f>IFERROR(INDEX($K$10:$K$264,MATCH(U230,$E$10:$E$264,0),1),0)</f>
        <v xml:space="preserve">   </v>
      </c>
      <c r="AB230" s="29"/>
      <c r="AC230" s="29"/>
      <c r="AD230" s="29"/>
      <c r="AE230" s="43"/>
      <c r="AF230" s="43"/>
      <c r="AG230" s="44"/>
      <c r="AH230" s="45" t="s">
        <v>19</v>
      </c>
      <c r="AI230" s="47"/>
      <c r="AJ230" s="43"/>
      <c r="AK230" s="43"/>
      <c r="AL230" s="43"/>
      <c r="AM230" s="43"/>
      <c r="AN230" s="44"/>
      <c r="AO230" s="45" t="s">
        <v>19</v>
      </c>
      <c r="AP230" s="47"/>
      <c r="AQ230" s="43"/>
      <c r="AR230" s="43"/>
      <c r="AS230" s="43"/>
      <c r="AT230" s="43"/>
      <c r="AU230" s="44"/>
      <c r="AV230" s="45" t="s">
        <v>19</v>
      </c>
      <c r="AW230" s="47"/>
      <c r="AX230" s="43"/>
      <c r="AY230" s="43"/>
      <c r="AZ230" s="48">
        <f>IFERROR(IF(E230="","",RANK(E230,$E$10:$I$264,1)),0)</f>
        <v>99</v>
      </c>
      <c r="BA230" s="49"/>
      <c r="BB230" s="49"/>
      <c r="BC230" s="50"/>
      <c r="BE230" s="38"/>
      <c r="BF230" s="38"/>
      <c r="BH230" s="30" t="s">
        <v>130</v>
      </c>
      <c r="BI230" s="30"/>
      <c r="BJ230" s="30"/>
      <c r="BK230" s="30"/>
      <c r="BL230" s="30"/>
      <c r="BM230" s="30"/>
      <c r="BN230" s="30"/>
      <c r="BO230" s="30"/>
      <c r="BP230" s="30" t="str">
        <f>IF(BE230&gt;0,VLOOKUP(BE230,'[3]Infos joueurs'!$B:$BT,11,FALSE)," ")&amp;" "&amp;IF(BE230&gt;0,VLOOKUP(BE230,'[3]Infos joueurs'!$B:$BT,27,FALSE)," ")</f>
        <v xml:space="preserve">   </v>
      </c>
      <c r="BQ230" s="30"/>
      <c r="BR230" s="30"/>
      <c r="BS230" s="30"/>
      <c r="BT230" s="30"/>
      <c r="BU230" s="30"/>
      <c r="BV230" s="30"/>
      <c r="BW230" s="30"/>
      <c r="BX230" s="30"/>
      <c r="BY230" s="30"/>
      <c r="BZ230" s="30"/>
      <c r="CA230" s="30"/>
      <c r="CD230" s="54">
        <v>111</v>
      </c>
      <c r="CE230" s="54"/>
      <c r="CF230" s="54"/>
      <c r="CH230" s="59" t="str">
        <f t="shared" ref="CH230" si="658">AA230</f>
        <v xml:space="preserve">   </v>
      </c>
      <c r="CI230" s="59"/>
      <c r="CJ230" s="59"/>
      <c r="CK230" s="59"/>
      <c r="CL230" s="59"/>
      <c r="CM230" s="59"/>
      <c r="CN230" s="59"/>
      <c r="CO230" s="59"/>
      <c r="CP230" s="59"/>
      <c r="CQ230" s="59"/>
      <c r="CR230" s="59"/>
      <c r="CS230" s="59"/>
      <c r="CU230" s="24">
        <f t="shared" ref="CU230" si="659">IFERROR(INDEX($BE$10:$BE$269,MATCH(CH230,$BP$10:$BP$269,0)),0)</f>
        <v>0</v>
      </c>
      <c r="CV230" s="24"/>
      <c r="CW230" s="24"/>
    </row>
    <row r="231" spans="5:101" ht="7.5" customHeight="1" x14ac:dyDescent="0.2">
      <c r="E231" s="41"/>
      <c r="F231" s="61"/>
      <c r="G231" s="61"/>
      <c r="H231" s="61"/>
      <c r="I231" s="42"/>
      <c r="J231" s="63"/>
      <c r="K231" s="41"/>
      <c r="L231" s="61"/>
      <c r="M231" s="61"/>
      <c r="N231" s="42"/>
      <c r="O231" s="41"/>
      <c r="P231" s="42"/>
      <c r="Q231" s="41"/>
      <c r="R231" s="42"/>
      <c r="S231" s="41"/>
      <c r="T231" s="42"/>
      <c r="U231" s="41"/>
      <c r="V231" s="61"/>
      <c r="W231" s="61"/>
      <c r="X231" s="61"/>
      <c r="Y231" s="42"/>
      <c r="Z231" s="29"/>
      <c r="AA231" s="29"/>
      <c r="AB231" s="29"/>
      <c r="AC231" s="29"/>
      <c r="AD231" s="29"/>
      <c r="AE231" s="43"/>
      <c r="AF231" s="43"/>
      <c r="AG231" s="44"/>
      <c r="AH231" s="46"/>
      <c r="AI231" s="47"/>
      <c r="AJ231" s="43"/>
      <c r="AK231" s="43"/>
      <c r="AL231" s="43"/>
      <c r="AM231" s="43"/>
      <c r="AN231" s="44"/>
      <c r="AO231" s="46"/>
      <c r="AP231" s="47"/>
      <c r="AQ231" s="43"/>
      <c r="AR231" s="43"/>
      <c r="AS231" s="43"/>
      <c r="AT231" s="43"/>
      <c r="AU231" s="44"/>
      <c r="AV231" s="46"/>
      <c r="AW231" s="47"/>
      <c r="AX231" s="43"/>
      <c r="AY231" s="43"/>
      <c r="AZ231" s="51"/>
      <c r="BA231" s="52"/>
      <c r="BB231" s="52"/>
      <c r="BC231" s="53"/>
      <c r="BE231" s="38"/>
      <c r="BF231" s="38"/>
      <c r="BH231" s="30"/>
      <c r="BI231" s="30"/>
      <c r="BJ231" s="30"/>
      <c r="BK231" s="30"/>
      <c r="BL231" s="30"/>
      <c r="BM231" s="30"/>
      <c r="BN231" s="30"/>
      <c r="BO231" s="30"/>
      <c r="BP231" s="30"/>
      <c r="BQ231" s="30"/>
      <c r="BR231" s="30"/>
      <c r="BS231" s="30"/>
      <c r="BT231" s="30"/>
      <c r="BU231" s="30"/>
      <c r="BV231" s="30"/>
      <c r="BW231" s="30"/>
      <c r="BX231" s="30"/>
      <c r="BY231" s="30"/>
      <c r="BZ231" s="30"/>
      <c r="CA231" s="30"/>
      <c r="CD231" s="55"/>
      <c r="CE231" s="55"/>
      <c r="CF231" s="55"/>
      <c r="CH231" s="56"/>
      <c r="CI231" s="56"/>
      <c r="CJ231" s="56"/>
      <c r="CK231" s="56"/>
      <c r="CL231" s="56"/>
      <c r="CM231" s="56"/>
      <c r="CN231" s="56"/>
      <c r="CO231" s="56"/>
      <c r="CP231" s="56"/>
      <c r="CQ231" s="56"/>
      <c r="CR231" s="56"/>
      <c r="CS231" s="56"/>
      <c r="CU231" s="25"/>
      <c r="CV231" s="25"/>
      <c r="CW231" s="25"/>
    </row>
    <row r="232" spans="5:101" ht="7.5" customHeight="1" x14ac:dyDescent="0.2">
      <c r="E232" s="39">
        <f>IFERROR(IF(BP232="","-",RANK(S232,$S$10:$T$264,0)+RANK(Q232,$Q$10:$R$264,0)%+RANK(O232,$O$10:$P$264,0)%%+ROW()%%%),"-")</f>
        <v>12.131932000000001</v>
      </c>
      <c r="F232" s="60"/>
      <c r="G232" s="60"/>
      <c r="H232" s="60"/>
      <c r="I232" s="40"/>
      <c r="J232" s="62">
        <f>IFERROR(IF(E232="","",RANK(E232,$E$10:$I$264,1)),"-")</f>
        <v>100</v>
      </c>
      <c r="K232" s="39" t="str">
        <f t="shared" ref="K232" si="660">BP232</f>
        <v xml:space="preserve">   </v>
      </c>
      <c r="L232" s="60"/>
      <c r="M232" s="60"/>
      <c r="N232" s="40"/>
      <c r="O232" s="39">
        <f t="shared" ref="O232" si="661">SUM(AE232-AI232)</f>
        <v>0</v>
      </c>
      <c r="P232" s="40"/>
      <c r="Q232" s="39">
        <f t="shared" ref="Q232" si="662">SUM(AL232-AP232)</f>
        <v>0</v>
      </c>
      <c r="R232" s="40"/>
      <c r="S232" s="39">
        <f t="shared" ref="S232" si="663">SUM(AS232-AW232)</f>
        <v>0</v>
      </c>
      <c r="T232" s="40"/>
      <c r="U232" s="39">
        <f>IFERROR(SMALL($E$10:$I$264,112),0)</f>
        <v>12.131956000000001</v>
      </c>
      <c r="V232" s="60"/>
      <c r="W232" s="60"/>
      <c r="X232" s="60"/>
      <c r="Y232" s="40"/>
      <c r="Z232" s="29">
        <f>IFERROR(IF(U232="","",RANK(U232,$U$10:$Y$264,1)),0)</f>
        <v>112</v>
      </c>
      <c r="AA232" s="29" t="str">
        <f>IFERROR(INDEX($K$10:$K$264,MATCH(U232,$E$10:$E$264,0),1),0)</f>
        <v xml:space="preserve">   </v>
      </c>
      <c r="AB232" s="29"/>
      <c r="AC232" s="29"/>
      <c r="AD232" s="29"/>
      <c r="AE232" s="43"/>
      <c r="AF232" s="43"/>
      <c r="AG232" s="44"/>
      <c r="AH232" s="45" t="s">
        <v>19</v>
      </c>
      <c r="AI232" s="47"/>
      <c r="AJ232" s="43"/>
      <c r="AK232" s="43"/>
      <c r="AL232" s="43"/>
      <c r="AM232" s="43"/>
      <c r="AN232" s="44"/>
      <c r="AO232" s="45" t="s">
        <v>19</v>
      </c>
      <c r="AP232" s="47"/>
      <c r="AQ232" s="43"/>
      <c r="AR232" s="43"/>
      <c r="AS232" s="43"/>
      <c r="AT232" s="43"/>
      <c r="AU232" s="44"/>
      <c r="AV232" s="45" t="s">
        <v>19</v>
      </c>
      <c r="AW232" s="47"/>
      <c r="AX232" s="43"/>
      <c r="AY232" s="43"/>
      <c r="AZ232" s="48">
        <f>IFERROR(IF(E232="","",RANK(E232,$E$10:$I$264,1)),0)</f>
        <v>100</v>
      </c>
      <c r="BA232" s="49"/>
      <c r="BB232" s="49"/>
      <c r="BC232" s="50"/>
      <c r="BE232" s="38"/>
      <c r="BF232" s="38"/>
      <c r="BH232" s="30" t="s">
        <v>131</v>
      </c>
      <c r="BI232" s="30"/>
      <c r="BJ232" s="30"/>
      <c r="BK232" s="30"/>
      <c r="BL232" s="30"/>
      <c r="BM232" s="30"/>
      <c r="BN232" s="30"/>
      <c r="BO232" s="30"/>
      <c r="BP232" s="30" t="str">
        <f>IF(BE232&gt;0,VLOOKUP(BE232,'[3]Infos joueurs'!$B:$BT,11,FALSE)," ")&amp;" "&amp;IF(BE232&gt;0,VLOOKUP(BE232,'[3]Infos joueurs'!$B:$BT,27,FALSE)," ")</f>
        <v xml:space="preserve">   </v>
      </c>
      <c r="BQ232" s="30"/>
      <c r="BR232" s="30"/>
      <c r="BS232" s="30"/>
      <c r="BT232" s="30"/>
      <c r="BU232" s="30"/>
      <c r="BV232" s="30"/>
      <c r="BW232" s="30"/>
      <c r="BX232" s="30"/>
      <c r="BY232" s="30"/>
      <c r="BZ232" s="30"/>
      <c r="CA232" s="30"/>
      <c r="CD232" s="54">
        <v>112</v>
      </c>
      <c r="CE232" s="54"/>
      <c r="CF232" s="54"/>
      <c r="CH232" s="59" t="str">
        <f t="shared" ref="CH232" si="664">AA232</f>
        <v xml:space="preserve">   </v>
      </c>
      <c r="CI232" s="59"/>
      <c r="CJ232" s="59"/>
      <c r="CK232" s="59"/>
      <c r="CL232" s="59"/>
      <c r="CM232" s="59"/>
      <c r="CN232" s="59"/>
      <c r="CO232" s="59"/>
      <c r="CP232" s="59"/>
      <c r="CQ232" s="59"/>
      <c r="CR232" s="59"/>
      <c r="CS232" s="59"/>
      <c r="CU232" s="24">
        <f t="shared" ref="CU232" si="665">IFERROR(INDEX($BE$10:$BE$269,MATCH(CH232,$BP$10:$BP$269,0)),0)</f>
        <v>0</v>
      </c>
      <c r="CV232" s="24"/>
      <c r="CW232" s="24"/>
    </row>
    <row r="233" spans="5:101" ht="7.5" customHeight="1" x14ac:dyDescent="0.2">
      <c r="E233" s="41"/>
      <c r="F233" s="61"/>
      <c r="G233" s="61"/>
      <c r="H233" s="61"/>
      <c r="I233" s="42"/>
      <c r="J233" s="63"/>
      <c r="K233" s="41"/>
      <c r="L233" s="61"/>
      <c r="M233" s="61"/>
      <c r="N233" s="42"/>
      <c r="O233" s="41"/>
      <c r="P233" s="42"/>
      <c r="Q233" s="41"/>
      <c r="R233" s="42"/>
      <c r="S233" s="41"/>
      <c r="T233" s="42"/>
      <c r="U233" s="41"/>
      <c r="V233" s="61"/>
      <c r="W233" s="61"/>
      <c r="X233" s="61"/>
      <c r="Y233" s="42"/>
      <c r="Z233" s="29"/>
      <c r="AA233" s="29"/>
      <c r="AB233" s="29"/>
      <c r="AC233" s="29"/>
      <c r="AD233" s="29"/>
      <c r="AE233" s="43"/>
      <c r="AF233" s="43"/>
      <c r="AG233" s="44"/>
      <c r="AH233" s="46"/>
      <c r="AI233" s="47"/>
      <c r="AJ233" s="43"/>
      <c r="AK233" s="43"/>
      <c r="AL233" s="43"/>
      <c r="AM233" s="43"/>
      <c r="AN233" s="44"/>
      <c r="AO233" s="46"/>
      <c r="AP233" s="47"/>
      <c r="AQ233" s="43"/>
      <c r="AR233" s="43"/>
      <c r="AS233" s="43"/>
      <c r="AT233" s="43"/>
      <c r="AU233" s="44"/>
      <c r="AV233" s="46"/>
      <c r="AW233" s="47"/>
      <c r="AX233" s="43"/>
      <c r="AY233" s="43"/>
      <c r="AZ233" s="51"/>
      <c r="BA233" s="52"/>
      <c r="BB233" s="52"/>
      <c r="BC233" s="53"/>
      <c r="BE233" s="38"/>
      <c r="BF233" s="38"/>
      <c r="BH233" s="30"/>
      <c r="BI233" s="30"/>
      <c r="BJ233" s="30"/>
      <c r="BK233" s="30"/>
      <c r="BL233" s="30"/>
      <c r="BM233" s="30"/>
      <c r="BN233" s="30"/>
      <c r="BO233" s="30"/>
      <c r="BP233" s="30"/>
      <c r="BQ233" s="30"/>
      <c r="BR233" s="30"/>
      <c r="BS233" s="30"/>
      <c r="BT233" s="30"/>
      <c r="BU233" s="30"/>
      <c r="BV233" s="30"/>
      <c r="BW233" s="30"/>
      <c r="BX233" s="30"/>
      <c r="BY233" s="30"/>
      <c r="BZ233" s="30"/>
      <c r="CA233" s="30"/>
      <c r="CD233" s="55"/>
      <c r="CE233" s="55"/>
      <c r="CF233" s="55"/>
      <c r="CH233" s="56"/>
      <c r="CI233" s="56"/>
      <c r="CJ233" s="56"/>
      <c r="CK233" s="56"/>
      <c r="CL233" s="56"/>
      <c r="CM233" s="56"/>
      <c r="CN233" s="56"/>
      <c r="CO233" s="56"/>
      <c r="CP233" s="56"/>
      <c r="CQ233" s="56"/>
      <c r="CR233" s="56"/>
      <c r="CS233" s="56"/>
      <c r="CU233" s="25"/>
      <c r="CV233" s="25"/>
      <c r="CW233" s="25"/>
    </row>
    <row r="234" spans="5:101" ht="7.5" customHeight="1" x14ac:dyDescent="0.2">
      <c r="E234" s="39">
        <f>IFERROR(IF(BP234="","-",RANK(S234,$S$10:$T$264,0)+RANK(Q234,$Q$10:$R$264,0)%+RANK(O234,$O$10:$P$264,0)%%+ROW()%%%),"-")</f>
        <v>12.131934000000001</v>
      </c>
      <c r="F234" s="60"/>
      <c r="G234" s="60"/>
      <c r="H234" s="60"/>
      <c r="I234" s="40"/>
      <c r="J234" s="62">
        <f>IFERROR(IF(E234="","",RANK(E234,$E$10:$I$264,1)),"-")</f>
        <v>101</v>
      </c>
      <c r="K234" s="39" t="str">
        <f t="shared" ref="K234" si="666">BP234</f>
        <v xml:space="preserve">   </v>
      </c>
      <c r="L234" s="60"/>
      <c r="M234" s="60"/>
      <c r="N234" s="40"/>
      <c r="O234" s="39">
        <f t="shared" ref="O234" si="667">SUM(AE234-AI234)</f>
        <v>0</v>
      </c>
      <c r="P234" s="40"/>
      <c r="Q234" s="39">
        <f t="shared" ref="Q234" si="668">SUM(AL234-AP234)</f>
        <v>0</v>
      </c>
      <c r="R234" s="40"/>
      <c r="S234" s="39">
        <f t="shared" ref="S234" si="669">SUM(AS234-AW234)</f>
        <v>0</v>
      </c>
      <c r="T234" s="40"/>
      <c r="U234" s="39">
        <f>IFERROR(SMALL($E$10:$I$264,113),0)</f>
        <v>12.131958000000001</v>
      </c>
      <c r="V234" s="60"/>
      <c r="W234" s="60"/>
      <c r="X234" s="60"/>
      <c r="Y234" s="40"/>
      <c r="Z234" s="29">
        <f>IFERROR(IF(U234="","",RANK(U234,$U$10:$Y$264,1)),0)</f>
        <v>113</v>
      </c>
      <c r="AA234" s="29" t="str">
        <f>IFERROR(INDEX($K$10:$K$264,MATCH(U234,$E$10:$E$264,0),1),0)</f>
        <v xml:space="preserve">   </v>
      </c>
      <c r="AB234" s="29"/>
      <c r="AC234" s="29"/>
      <c r="AD234" s="29"/>
      <c r="AE234" s="43"/>
      <c r="AF234" s="43"/>
      <c r="AG234" s="44"/>
      <c r="AH234" s="45" t="s">
        <v>19</v>
      </c>
      <c r="AI234" s="47"/>
      <c r="AJ234" s="43"/>
      <c r="AK234" s="43"/>
      <c r="AL234" s="43"/>
      <c r="AM234" s="43"/>
      <c r="AN234" s="44"/>
      <c r="AO234" s="45" t="s">
        <v>19</v>
      </c>
      <c r="AP234" s="47"/>
      <c r="AQ234" s="43"/>
      <c r="AR234" s="43"/>
      <c r="AS234" s="43"/>
      <c r="AT234" s="43"/>
      <c r="AU234" s="44"/>
      <c r="AV234" s="45" t="s">
        <v>19</v>
      </c>
      <c r="AW234" s="47"/>
      <c r="AX234" s="43"/>
      <c r="AY234" s="43"/>
      <c r="AZ234" s="48">
        <f>IFERROR(IF(E234="","",RANK(E234,$E$10:$I$264,1)),0)</f>
        <v>101</v>
      </c>
      <c r="BA234" s="49"/>
      <c r="BB234" s="49"/>
      <c r="BC234" s="50"/>
      <c r="BE234" s="38"/>
      <c r="BF234" s="38"/>
      <c r="BH234" s="30" t="s">
        <v>132</v>
      </c>
      <c r="BI234" s="30"/>
      <c r="BJ234" s="30"/>
      <c r="BK234" s="30"/>
      <c r="BL234" s="30"/>
      <c r="BM234" s="30"/>
      <c r="BN234" s="30"/>
      <c r="BO234" s="30"/>
      <c r="BP234" s="30" t="str">
        <f>IF(BE234&gt;0,VLOOKUP(BE234,'[3]Infos joueurs'!$B:$BT,11,FALSE)," ")&amp;" "&amp;IF(BE234&gt;0,VLOOKUP(BE234,'[3]Infos joueurs'!$B:$BT,27,FALSE)," ")</f>
        <v xml:space="preserve">   </v>
      </c>
      <c r="BQ234" s="30"/>
      <c r="BR234" s="30"/>
      <c r="BS234" s="30"/>
      <c r="BT234" s="30"/>
      <c r="BU234" s="30"/>
      <c r="BV234" s="30"/>
      <c r="BW234" s="30"/>
      <c r="BX234" s="30"/>
      <c r="BY234" s="30"/>
      <c r="BZ234" s="30"/>
      <c r="CA234" s="30"/>
      <c r="CD234" s="54">
        <v>113</v>
      </c>
      <c r="CE234" s="54"/>
      <c r="CF234" s="54"/>
      <c r="CH234" s="59" t="str">
        <f t="shared" ref="CH234" si="670">AA234</f>
        <v xml:space="preserve">   </v>
      </c>
      <c r="CI234" s="59"/>
      <c r="CJ234" s="59"/>
      <c r="CK234" s="59"/>
      <c r="CL234" s="59"/>
      <c r="CM234" s="59"/>
      <c r="CN234" s="59"/>
      <c r="CO234" s="59"/>
      <c r="CP234" s="59"/>
      <c r="CQ234" s="59"/>
      <c r="CR234" s="59"/>
      <c r="CS234" s="59"/>
      <c r="CU234" s="24">
        <f t="shared" ref="CU234" si="671">IFERROR(INDEX($BE$10:$BE$269,MATCH(CH234,$BP$10:$BP$269,0)),0)</f>
        <v>0</v>
      </c>
      <c r="CV234" s="24"/>
      <c r="CW234" s="24"/>
    </row>
    <row r="235" spans="5:101" ht="7.5" customHeight="1" x14ac:dyDescent="0.2">
      <c r="E235" s="41"/>
      <c r="F235" s="61"/>
      <c r="G235" s="61"/>
      <c r="H235" s="61"/>
      <c r="I235" s="42"/>
      <c r="J235" s="63"/>
      <c r="K235" s="41"/>
      <c r="L235" s="61"/>
      <c r="M235" s="61"/>
      <c r="N235" s="42"/>
      <c r="O235" s="41"/>
      <c r="P235" s="42"/>
      <c r="Q235" s="41"/>
      <c r="R235" s="42"/>
      <c r="S235" s="41"/>
      <c r="T235" s="42"/>
      <c r="U235" s="41"/>
      <c r="V235" s="61"/>
      <c r="W235" s="61"/>
      <c r="X235" s="61"/>
      <c r="Y235" s="42"/>
      <c r="Z235" s="29"/>
      <c r="AA235" s="29"/>
      <c r="AB235" s="29"/>
      <c r="AC235" s="29"/>
      <c r="AD235" s="29"/>
      <c r="AE235" s="43"/>
      <c r="AF235" s="43"/>
      <c r="AG235" s="44"/>
      <c r="AH235" s="46"/>
      <c r="AI235" s="47"/>
      <c r="AJ235" s="43"/>
      <c r="AK235" s="43"/>
      <c r="AL235" s="43"/>
      <c r="AM235" s="43"/>
      <c r="AN235" s="44"/>
      <c r="AO235" s="46"/>
      <c r="AP235" s="47"/>
      <c r="AQ235" s="43"/>
      <c r="AR235" s="43"/>
      <c r="AS235" s="43"/>
      <c r="AT235" s="43"/>
      <c r="AU235" s="44"/>
      <c r="AV235" s="46"/>
      <c r="AW235" s="47"/>
      <c r="AX235" s="43"/>
      <c r="AY235" s="43"/>
      <c r="AZ235" s="51"/>
      <c r="BA235" s="52"/>
      <c r="BB235" s="52"/>
      <c r="BC235" s="53"/>
      <c r="BE235" s="38"/>
      <c r="BF235" s="38"/>
      <c r="BH235" s="30"/>
      <c r="BI235" s="30"/>
      <c r="BJ235" s="30"/>
      <c r="BK235" s="30"/>
      <c r="BL235" s="30"/>
      <c r="BM235" s="30"/>
      <c r="BN235" s="30"/>
      <c r="BO235" s="30"/>
      <c r="BP235" s="30"/>
      <c r="BQ235" s="30"/>
      <c r="BR235" s="30"/>
      <c r="BS235" s="30"/>
      <c r="BT235" s="30"/>
      <c r="BU235" s="30"/>
      <c r="BV235" s="30"/>
      <c r="BW235" s="30"/>
      <c r="BX235" s="30"/>
      <c r="BY235" s="30"/>
      <c r="BZ235" s="30"/>
      <c r="CA235" s="30"/>
      <c r="CD235" s="55"/>
      <c r="CE235" s="55"/>
      <c r="CF235" s="55"/>
      <c r="CH235" s="56"/>
      <c r="CI235" s="56"/>
      <c r="CJ235" s="56"/>
      <c r="CK235" s="56"/>
      <c r="CL235" s="56"/>
      <c r="CM235" s="56"/>
      <c r="CN235" s="56"/>
      <c r="CO235" s="56"/>
      <c r="CP235" s="56"/>
      <c r="CQ235" s="56"/>
      <c r="CR235" s="56"/>
      <c r="CS235" s="56"/>
      <c r="CU235" s="25"/>
      <c r="CV235" s="25"/>
      <c r="CW235" s="25"/>
    </row>
    <row r="236" spans="5:101" ht="7.5" customHeight="1" x14ac:dyDescent="0.2">
      <c r="E236" s="39">
        <f>IFERROR(IF(BP236="","-",RANK(S236,$S$10:$T$264,0)+RANK(Q236,$Q$10:$R$264,0)%+RANK(O236,$O$10:$P$264,0)%%+ROW()%%%),"-")</f>
        <v>12.131936</v>
      </c>
      <c r="F236" s="60"/>
      <c r="G236" s="60"/>
      <c r="H236" s="60"/>
      <c r="I236" s="40"/>
      <c r="J236" s="62">
        <f>IFERROR(IF(E236="","",RANK(E236,$E$10:$I$264,1)),"-")</f>
        <v>102</v>
      </c>
      <c r="K236" s="39" t="str">
        <f t="shared" ref="K236" si="672">BP236</f>
        <v xml:space="preserve">   </v>
      </c>
      <c r="L236" s="60"/>
      <c r="M236" s="60"/>
      <c r="N236" s="40"/>
      <c r="O236" s="39">
        <f t="shared" ref="O236" si="673">SUM(AE236-AI236)</f>
        <v>0</v>
      </c>
      <c r="P236" s="40"/>
      <c r="Q236" s="39">
        <f t="shared" ref="Q236" si="674">SUM(AL236-AP236)</f>
        <v>0</v>
      </c>
      <c r="R236" s="40"/>
      <c r="S236" s="39">
        <f t="shared" ref="S236" si="675">SUM(AS236-AW236)</f>
        <v>0</v>
      </c>
      <c r="T236" s="40"/>
      <c r="U236" s="39">
        <f>IFERROR(SMALL($E$10:$I$264,114),0)</f>
        <v>12.131960000000001</v>
      </c>
      <c r="V236" s="60"/>
      <c r="W236" s="60"/>
      <c r="X236" s="60"/>
      <c r="Y236" s="40"/>
      <c r="Z236" s="29">
        <f>IFERROR(IF(U236="","",RANK(U236,$U$10:$Y$264,1)),0)</f>
        <v>114</v>
      </c>
      <c r="AA236" s="29" t="str">
        <f>IFERROR(INDEX($K$10:$K$264,MATCH(U236,$E$10:$E$264,0),1),0)</f>
        <v xml:space="preserve">   </v>
      </c>
      <c r="AB236" s="29"/>
      <c r="AC236" s="29"/>
      <c r="AD236" s="29"/>
      <c r="AE236" s="43"/>
      <c r="AF236" s="43"/>
      <c r="AG236" s="44"/>
      <c r="AH236" s="45" t="s">
        <v>19</v>
      </c>
      <c r="AI236" s="47"/>
      <c r="AJ236" s="43"/>
      <c r="AK236" s="43"/>
      <c r="AL236" s="43"/>
      <c r="AM236" s="43"/>
      <c r="AN236" s="44"/>
      <c r="AO236" s="45" t="s">
        <v>19</v>
      </c>
      <c r="AP236" s="47"/>
      <c r="AQ236" s="43"/>
      <c r="AR236" s="43"/>
      <c r="AS236" s="43"/>
      <c r="AT236" s="43"/>
      <c r="AU236" s="44"/>
      <c r="AV236" s="45" t="s">
        <v>19</v>
      </c>
      <c r="AW236" s="47"/>
      <c r="AX236" s="43"/>
      <c r="AY236" s="43"/>
      <c r="AZ236" s="48">
        <f>IFERROR(IF(E236="","",RANK(E236,$E$10:$I$264,1)),0)</f>
        <v>102</v>
      </c>
      <c r="BA236" s="49"/>
      <c r="BB236" s="49"/>
      <c r="BC236" s="50"/>
      <c r="BE236" s="38"/>
      <c r="BF236" s="38"/>
      <c r="BH236" s="30" t="s">
        <v>133</v>
      </c>
      <c r="BI236" s="30"/>
      <c r="BJ236" s="30"/>
      <c r="BK236" s="30"/>
      <c r="BL236" s="30"/>
      <c r="BM236" s="30"/>
      <c r="BN236" s="30"/>
      <c r="BO236" s="30"/>
      <c r="BP236" s="30" t="str">
        <f>IF(BE236&gt;0,VLOOKUP(BE236,'[3]Infos joueurs'!$B:$BT,11,FALSE)," ")&amp;" "&amp;IF(BE236&gt;0,VLOOKUP(BE236,'[3]Infos joueurs'!$B:$BT,27,FALSE)," ")</f>
        <v xml:space="preserve">   </v>
      </c>
      <c r="BQ236" s="30"/>
      <c r="BR236" s="30"/>
      <c r="BS236" s="30"/>
      <c r="BT236" s="30"/>
      <c r="BU236" s="30"/>
      <c r="BV236" s="30"/>
      <c r="BW236" s="30"/>
      <c r="BX236" s="30"/>
      <c r="BY236" s="30"/>
      <c r="BZ236" s="30"/>
      <c r="CA236" s="30"/>
      <c r="CD236" s="54">
        <v>114</v>
      </c>
      <c r="CE236" s="54"/>
      <c r="CF236" s="54"/>
      <c r="CH236" s="59" t="str">
        <f t="shared" ref="CH236" si="676">AA236</f>
        <v xml:space="preserve">   </v>
      </c>
      <c r="CI236" s="59"/>
      <c r="CJ236" s="59"/>
      <c r="CK236" s="59"/>
      <c r="CL236" s="59"/>
      <c r="CM236" s="59"/>
      <c r="CN236" s="59"/>
      <c r="CO236" s="59"/>
      <c r="CP236" s="59"/>
      <c r="CQ236" s="59"/>
      <c r="CR236" s="59"/>
      <c r="CS236" s="59"/>
      <c r="CU236" s="24">
        <f t="shared" ref="CU236" si="677">IFERROR(INDEX($BE$10:$BE$269,MATCH(CH236,$BP$10:$BP$269,0)),0)</f>
        <v>0</v>
      </c>
      <c r="CV236" s="24"/>
      <c r="CW236" s="24"/>
    </row>
    <row r="237" spans="5:101" ht="7.5" customHeight="1" x14ac:dyDescent="0.2">
      <c r="E237" s="41"/>
      <c r="F237" s="61"/>
      <c r="G237" s="61"/>
      <c r="H237" s="61"/>
      <c r="I237" s="42"/>
      <c r="J237" s="63"/>
      <c r="K237" s="41"/>
      <c r="L237" s="61"/>
      <c r="M237" s="61"/>
      <c r="N237" s="42"/>
      <c r="O237" s="41"/>
      <c r="P237" s="42"/>
      <c r="Q237" s="41"/>
      <c r="R237" s="42"/>
      <c r="S237" s="41"/>
      <c r="T237" s="42"/>
      <c r="U237" s="41"/>
      <c r="V237" s="61"/>
      <c r="W237" s="61"/>
      <c r="X237" s="61"/>
      <c r="Y237" s="42"/>
      <c r="Z237" s="29"/>
      <c r="AA237" s="29"/>
      <c r="AB237" s="29"/>
      <c r="AC237" s="29"/>
      <c r="AD237" s="29"/>
      <c r="AE237" s="43"/>
      <c r="AF237" s="43"/>
      <c r="AG237" s="44"/>
      <c r="AH237" s="46"/>
      <c r="AI237" s="47"/>
      <c r="AJ237" s="43"/>
      <c r="AK237" s="43"/>
      <c r="AL237" s="43"/>
      <c r="AM237" s="43"/>
      <c r="AN237" s="44"/>
      <c r="AO237" s="46"/>
      <c r="AP237" s="47"/>
      <c r="AQ237" s="43"/>
      <c r="AR237" s="43"/>
      <c r="AS237" s="43"/>
      <c r="AT237" s="43"/>
      <c r="AU237" s="44"/>
      <c r="AV237" s="46"/>
      <c r="AW237" s="47"/>
      <c r="AX237" s="43"/>
      <c r="AY237" s="43"/>
      <c r="AZ237" s="51"/>
      <c r="BA237" s="52"/>
      <c r="BB237" s="52"/>
      <c r="BC237" s="53"/>
      <c r="BE237" s="38"/>
      <c r="BF237" s="38"/>
      <c r="BH237" s="30"/>
      <c r="BI237" s="30"/>
      <c r="BJ237" s="30"/>
      <c r="BK237" s="30"/>
      <c r="BL237" s="30"/>
      <c r="BM237" s="30"/>
      <c r="BN237" s="30"/>
      <c r="BO237" s="30"/>
      <c r="BP237" s="30"/>
      <c r="BQ237" s="30"/>
      <c r="BR237" s="30"/>
      <c r="BS237" s="30"/>
      <c r="BT237" s="30"/>
      <c r="BU237" s="30"/>
      <c r="BV237" s="30"/>
      <c r="BW237" s="30"/>
      <c r="BX237" s="30"/>
      <c r="BY237" s="30"/>
      <c r="BZ237" s="30"/>
      <c r="CA237" s="30"/>
      <c r="CD237" s="55"/>
      <c r="CE237" s="55"/>
      <c r="CF237" s="55"/>
      <c r="CH237" s="56"/>
      <c r="CI237" s="56"/>
      <c r="CJ237" s="56"/>
      <c r="CK237" s="56"/>
      <c r="CL237" s="56"/>
      <c r="CM237" s="56"/>
      <c r="CN237" s="56"/>
      <c r="CO237" s="56"/>
      <c r="CP237" s="56"/>
      <c r="CQ237" s="56"/>
      <c r="CR237" s="56"/>
      <c r="CS237" s="56"/>
      <c r="CU237" s="25"/>
      <c r="CV237" s="25"/>
      <c r="CW237" s="25"/>
    </row>
    <row r="238" spans="5:101" ht="7.5" customHeight="1" x14ac:dyDescent="0.2">
      <c r="E238" s="39">
        <f>IFERROR(IF(BP238="","-",RANK(S238,$S$10:$T$264,0)+RANK(Q238,$Q$10:$R$264,0)%+RANK(O238,$O$10:$P$264,0)%%+ROW()%%%),"-")</f>
        <v>12.131938</v>
      </c>
      <c r="F238" s="60"/>
      <c r="G238" s="60"/>
      <c r="H238" s="60"/>
      <c r="I238" s="40"/>
      <c r="J238" s="62">
        <f>IFERROR(IF(E238="","",RANK(E238,$E$10:$I$264,1)),"-")</f>
        <v>103</v>
      </c>
      <c r="K238" s="39" t="str">
        <f t="shared" ref="K238" si="678">BP238</f>
        <v xml:space="preserve">   </v>
      </c>
      <c r="L238" s="60"/>
      <c r="M238" s="60"/>
      <c r="N238" s="40"/>
      <c r="O238" s="39">
        <f t="shared" ref="O238" si="679">SUM(AE238-AI238)</f>
        <v>0</v>
      </c>
      <c r="P238" s="40"/>
      <c r="Q238" s="39">
        <f t="shared" ref="Q238" si="680">SUM(AL238-AP238)</f>
        <v>0</v>
      </c>
      <c r="R238" s="40"/>
      <c r="S238" s="39">
        <f t="shared" ref="S238" si="681">SUM(AS238-AW238)</f>
        <v>0</v>
      </c>
      <c r="T238" s="40"/>
      <c r="U238" s="39">
        <f>IFERROR(SMALL($E$10:$I$264,115),0)</f>
        <v>12.131962</v>
      </c>
      <c r="V238" s="60"/>
      <c r="W238" s="60"/>
      <c r="X238" s="60"/>
      <c r="Y238" s="40"/>
      <c r="Z238" s="29">
        <f>IFERROR(IF(U238="","",RANK(U238,$U$10:$Y$264,1)),0)</f>
        <v>115</v>
      </c>
      <c r="AA238" s="29" t="str">
        <f>IFERROR(INDEX($K$10:$K$264,MATCH(U238,$E$10:$E$264,0),1),0)</f>
        <v xml:space="preserve">   </v>
      </c>
      <c r="AB238" s="29"/>
      <c r="AC238" s="29"/>
      <c r="AD238" s="29"/>
      <c r="AE238" s="43"/>
      <c r="AF238" s="43"/>
      <c r="AG238" s="44"/>
      <c r="AH238" s="45" t="s">
        <v>19</v>
      </c>
      <c r="AI238" s="47"/>
      <c r="AJ238" s="43"/>
      <c r="AK238" s="43"/>
      <c r="AL238" s="43"/>
      <c r="AM238" s="43"/>
      <c r="AN238" s="44"/>
      <c r="AO238" s="45" t="s">
        <v>19</v>
      </c>
      <c r="AP238" s="47"/>
      <c r="AQ238" s="43"/>
      <c r="AR238" s="43"/>
      <c r="AS238" s="43"/>
      <c r="AT238" s="43"/>
      <c r="AU238" s="44"/>
      <c r="AV238" s="45" t="s">
        <v>19</v>
      </c>
      <c r="AW238" s="47"/>
      <c r="AX238" s="43"/>
      <c r="AY238" s="43"/>
      <c r="AZ238" s="48">
        <f>IFERROR(IF(E238="","",RANK(E238,$E$10:$I$264,1)),0)</f>
        <v>103</v>
      </c>
      <c r="BA238" s="49"/>
      <c r="BB238" s="49"/>
      <c r="BC238" s="50"/>
      <c r="BE238" s="38"/>
      <c r="BF238" s="38"/>
      <c r="BH238" s="30" t="s">
        <v>134</v>
      </c>
      <c r="BI238" s="30"/>
      <c r="BJ238" s="30"/>
      <c r="BK238" s="30"/>
      <c r="BL238" s="30"/>
      <c r="BM238" s="30"/>
      <c r="BN238" s="30"/>
      <c r="BO238" s="30"/>
      <c r="BP238" s="30" t="str">
        <f>IF(BE238&gt;0,VLOOKUP(BE238,'[3]Infos joueurs'!$B:$BT,11,FALSE)," ")&amp;" "&amp;IF(BE238&gt;0,VLOOKUP(BE238,'[3]Infos joueurs'!$B:$BT,27,FALSE)," ")</f>
        <v xml:space="preserve">   </v>
      </c>
      <c r="BQ238" s="30"/>
      <c r="BR238" s="30"/>
      <c r="BS238" s="30"/>
      <c r="BT238" s="30"/>
      <c r="BU238" s="30"/>
      <c r="BV238" s="30"/>
      <c r="BW238" s="30"/>
      <c r="BX238" s="30"/>
      <c r="BY238" s="30"/>
      <c r="BZ238" s="30"/>
      <c r="CA238" s="30"/>
      <c r="CD238" s="54">
        <v>115</v>
      </c>
      <c r="CE238" s="54"/>
      <c r="CF238" s="54"/>
      <c r="CH238" s="59" t="str">
        <f t="shared" ref="CH238" si="682">AA238</f>
        <v xml:space="preserve">   </v>
      </c>
      <c r="CI238" s="59"/>
      <c r="CJ238" s="59"/>
      <c r="CK238" s="59"/>
      <c r="CL238" s="59"/>
      <c r="CM238" s="59"/>
      <c r="CN238" s="59"/>
      <c r="CO238" s="59"/>
      <c r="CP238" s="59"/>
      <c r="CQ238" s="59"/>
      <c r="CR238" s="59"/>
      <c r="CS238" s="59"/>
      <c r="CU238" s="24">
        <f t="shared" ref="CU238" si="683">IFERROR(INDEX($BE$10:$BE$269,MATCH(CH238,$BP$10:$BP$269,0)),0)</f>
        <v>0</v>
      </c>
      <c r="CV238" s="24"/>
      <c r="CW238" s="24"/>
    </row>
    <row r="239" spans="5:101" ht="7.5" customHeight="1" x14ac:dyDescent="0.2">
      <c r="E239" s="41"/>
      <c r="F239" s="61"/>
      <c r="G239" s="61"/>
      <c r="H239" s="61"/>
      <c r="I239" s="42"/>
      <c r="J239" s="63"/>
      <c r="K239" s="41"/>
      <c r="L239" s="61"/>
      <c r="M239" s="61"/>
      <c r="N239" s="42"/>
      <c r="O239" s="41"/>
      <c r="P239" s="42"/>
      <c r="Q239" s="41"/>
      <c r="R239" s="42"/>
      <c r="S239" s="41"/>
      <c r="T239" s="42"/>
      <c r="U239" s="41"/>
      <c r="V239" s="61"/>
      <c r="W239" s="61"/>
      <c r="X239" s="61"/>
      <c r="Y239" s="42"/>
      <c r="Z239" s="29"/>
      <c r="AA239" s="29"/>
      <c r="AB239" s="29"/>
      <c r="AC239" s="29"/>
      <c r="AD239" s="29"/>
      <c r="AE239" s="43"/>
      <c r="AF239" s="43"/>
      <c r="AG239" s="44"/>
      <c r="AH239" s="46"/>
      <c r="AI239" s="47"/>
      <c r="AJ239" s="43"/>
      <c r="AK239" s="43"/>
      <c r="AL239" s="43"/>
      <c r="AM239" s="43"/>
      <c r="AN239" s="44"/>
      <c r="AO239" s="46"/>
      <c r="AP239" s="47"/>
      <c r="AQ239" s="43"/>
      <c r="AR239" s="43"/>
      <c r="AS239" s="43"/>
      <c r="AT239" s="43"/>
      <c r="AU239" s="44"/>
      <c r="AV239" s="46"/>
      <c r="AW239" s="47"/>
      <c r="AX239" s="43"/>
      <c r="AY239" s="43"/>
      <c r="AZ239" s="51"/>
      <c r="BA239" s="52"/>
      <c r="BB239" s="52"/>
      <c r="BC239" s="53"/>
      <c r="BE239" s="38"/>
      <c r="BF239" s="38"/>
      <c r="BH239" s="30"/>
      <c r="BI239" s="30"/>
      <c r="BJ239" s="30"/>
      <c r="BK239" s="30"/>
      <c r="BL239" s="30"/>
      <c r="BM239" s="30"/>
      <c r="BN239" s="30"/>
      <c r="BO239" s="30"/>
      <c r="BP239" s="30"/>
      <c r="BQ239" s="30"/>
      <c r="BR239" s="30"/>
      <c r="BS239" s="30"/>
      <c r="BT239" s="30"/>
      <c r="BU239" s="30"/>
      <c r="BV239" s="30"/>
      <c r="BW239" s="30"/>
      <c r="BX239" s="30"/>
      <c r="BY239" s="30"/>
      <c r="BZ239" s="30"/>
      <c r="CA239" s="30"/>
      <c r="CD239" s="55"/>
      <c r="CE239" s="55"/>
      <c r="CF239" s="55"/>
      <c r="CH239" s="56"/>
      <c r="CI239" s="56"/>
      <c r="CJ239" s="56"/>
      <c r="CK239" s="56"/>
      <c r="CL239" s="56"/>
      <c r="CM239" s="56"/>
      <c r="CN239" s="56"/>
      <c r="CO239" s="56"/>
      <c r="CP239" s="56"/>
      <c r="CQ239" s="56"/>
      <c r="CR239" s="56"/>
      <c r="CS239" s="56"/>
      <c r="CU239" s="25"/>
      <c r="CV239" s="25"/>
      <c r="CW239" s="25"/>
    </row>
    <row r="240" spans="5:101" ht="7.5" customHeight="1" x14ac:dyDescent="0.2">
      <c r="E240" s="39">
        <f>IFERROR(IF(BP240="","-",RANK(S240,$S$10:$T$264,0)+RANK(Q240,$Q$10:$R$264,0)%+RANK(O240,$O$10:$P$264,0)%%+ROW()%%%),"-")</f>
        <v>12.13194</v>
      </c>
      <c r="F240" s="60"/>
      <c r="G240" s="60"/>
      <c r="H240" s="60"/>
      <c r="I240" s="40"/>
      <c r="J240" s="62">
        <f>IFERROR(IF(E240="","",RANK(E240,$E$10:$I$264,1)),"-")</f>
        <v>104</v>
      </c>
      <c r="K240" s="39" t="str">
        <f t="shared" ref="K240" si="684">BP240</f>
        <v xml:space="preserve">   </v>
      </c>
      <c r="L240" s="60"/>
      <c r="M240" s="60"/>
      <c r="N240" s="40"/>
      <c r="O240" s="39">
        <f t="shared" ref="O240" si="685">SUM(AE240-AI240)</f>
        <v>0</v>
      </c>
      <c r="P240" s="40"/>
      <c r="Q240" s="39">
        <f t="shared" ref="Q240" si="686">SUM(AL240-AP240)</f>
        <v>0</v>
      </c>
      <c r="R240" s="40"/>
      <c r="S240" s="39">
        <f t="shared" ref="S240" si="687">SUM(AS240-AW240)</f>
        <v>0</v>
      </c>
      <c r="T240" s="40"/>
      <c r="U240" s="39">
        <f>IFERROR(SMALL($E$10:$I$264,116),0)</f>
        <v>12.131964</v>
      </c>
      <c r="V240" s="60"/>
      <c r="W240" s="60"/>
      <c r="X240" s="60"/>
      <c r="Y240" s="40"/>
      <c r="Z240" s="29">
        <f>IFERROR(IF(U240="","",RANK(U240,$U$10:$Y$264,1)),0)</f>
        <v>116</v>
      </c>
      <c r="AA240" s="29" t="str">
        <f>IFERROR(INDEX($K$10:$K$264,MATCH(U240,$E$10:$E$264,0),1),0)</f>
        <v xml:space="preserve">   </v>
      </c>
      <c r="AB240" s="29"/>
      <c r="AC240" s="29"/>
      <c r="AD240" s="29"/>
      <c r="AE240" s="43"/>
      <c r="AF240" s="43"/>
      <c r="AG240" s="44"/>
      <c r="AH240" s="45" t="s">
        <v>19</v>
      </c>
      <c r="AI240" s="47"/>
      <c r="AJ240" s="43"/>
      <c r="AK240" s="43"/>
      <c r="AL240" s="43"/>
      <c r="AM240" s="43"/>
      <c r="AN240" s="44"/>
      <c r="AO240" s="45" t="s">
        <v>19</v>
      </c>
      <c r="AP240" s="47"/>
      <c r="AQ240" s="43"/>
      <c r="AR240" s="43"/>
      <c r="AS240" s="43"/>
      <c r="AT240" s="43"/>
      <c r="AU240" s="44"/>
      <c r="AV240" s="45" t="s">
        <v>19</v>
      </c>
      <c r="AW240" s="47"/>
      <c r="AX240" s="43"/>
      <c r="AY240" s="43"/>
      <c r="AZ240" s="48">
        <f>IFERROR(IF(E240="","",RANK(E240,$E$10:$I$264,1)),0)</f>
        <v>104</v>
      </c>
      <c r="BA240" s="49"/>
      <c r="BB240" s="49"/>
      <c r="BC240" s="50"/>
      <c r="BE240" s="38"/>
      <c r="BF240" s="38"/>
      <c r="BH240" s="30" t="s">
        <v>135</v>
      </c>
      <c r="BI240" s="30"/>
      <c r="BJ240" s="30"/>
      <c r="BK240" s="30"/>
      <c r="BL240" s="30"/>
      <c r="BM240" s="30"/>
      <c r="BN240" s="30"/>
      <c r="BO240" s="30"/>
      <c r="BP240" s="30" t="str">
        <f>IF(BE240&gt;0,VLOOKUP(BE240,'[3]Infos joueurs'!$B:$BT,11,FALSE)," ")&amp;" "&amp;IF(BE240&gt;0,VLOOKUP(BE240,'[3]Infos joueurs'!$B:$BT,27,FALSE)," ")</f>
        <v xml:space="preserve">   </v>
      </c>
      <c r="BQ240" s="30"/>
      <c r="BR240" s="30"/>
      <c r="BS240" s="30"/>
      <c r="BT240" s="30"/>
      <c r="BU240" s="30"/>
      <c r="BV240" s="30"/>
      <c r="BW240" s="30"/>
      <c r="BX240" s="30"/>
      <c r="BY240" s="30"/>
      <c r="BZ240" s="30"/>
      <c r="CA240" s="30"/>
      <c r="CD240" s="54">
        <v>116</v>
      </c>
      <c r="CE240" s="54"/>
      <c r="CF240" s="54"/>
      <c r="CH240" s="59" t="str">
        <f t="shared" ref="CH240" si="688">AA240</f>
        <v xml:space="preserve">   </v>
      </c>
      <c r="CI240" s="59"/>
      <c r="CJ240" s="59"/>
      <c r="CK240" s="59"/>
      <c r="CL240" s="59"/>
      <c r="CM240" s="59"/>
      <c r="CN240" s="59"/>
      <c r="CO240" s="59"/>
      <c r="CP240" s="59"/>
      <c r="CQ240" s="59"/>
      <c r="CR240" s="59"/>
      <c r="CS240" s="59"/>
      <c r="CU240" s="24">
        <f t="shared" ref="CU240" si="689">IFERROR(INDEX($BE$10:$BE$269,MATCH(CH240,$BP$10:$BP$269,0)),0)</f>
        <v>0</v>
      </c>
      <c r="CV240" s="24"/>
      <c r="CW240" s="24"/>
    </row>
    <row r="241" spans="5:101" ht="7.5" customHeight="1" x14ac:dyDescent="0.2">
      <c r="E241" s="41"/>
      <c r="F241" s="61"/>
      <c r="G241" s="61"/>
      <c r="H241" s="61"/>
      <c r="I241" s="42"/>
      <c r="J241" s="63"/>
      <c r="K241" s="41"/>
      <c r="L241" s="61"/>
      <c r="M241" s="61"/>
      <c r="N241" s="42"/>
      <c r="O241" s="41"/>
      <c r="P241" s="42"/>
      <c r="Q241" s="41"/>
      <c r="R241" s="42"/>
      <c r="S241" s="41"/>
      <c r="T241" s="42"/>
      <c r="U241" s="41"/>
      <c r="V241" s="61"/>
      <c r="W241" s="61"/>
      <c r="X241" s="61"/>
      <c r="Y241" s="42"/>
      <c r="Z241" s="29"/>
      <c r="AA241" s="29"/>
      <c r="AB241" s="29"/>
      <c r="AC241" s="29"/>
      <c r="AD241" s="29"/>
      <c r="AE241" s="43"/>
      <c r="AF241" s="43"/>
      <c r="AG241" s="44"/>
      <c r="AH241" s="46"/>
      <c r="AI241" s="47"/>
      <c r="AJ241" s="43"/>
      <c r="AK241" s="43"/>
      <c r="AL241" s="43"/>
      <c r="AM241" s="43"/>
      <c r="AN241" s="44"/>
      <c r="AO241" s="46"/>
      <c r="AP241" s="47"/>
      <c r="AQ241" s="43"/>
      <c r="AR241" s="43"/>
      <c r="AS241" s="43"/>
      <c r="AT241" s="43"/>
      <c r="AU241" s="44"/>
      <c r="AV241" s="46"/>
      <c r="AW241" s="47"/>
      <c r="AX241" s="43"/>
      <c r="AY241" s="43"/>
      <c r="AZ241" s="51"/>
      <c r="BA241" s="52"/>
      <c r="BB241" s="52"/>
      <c r="BC241" s="53"/>
      <c r="BE241" s="38"/>
      <c r="BF241" s="38"/>
      <c r="BH241" s="30"/>
      <c r="BI241" s="30"/>
      <c r="BJ241" s="30"/>
      <c r="BK241" s="30"/>
      <c r="BL241" s="30"/>
      <c r="BM241" s="30"/>
      <c r="BN241" s="30"/>
      <c r="BO241" s="30"/>
      <c r="BP241" s="30"/>
      <c r="BQ241" s="30"/>
      <c r="BR241" s="30"/>
      <c r="BS241" s="30"/>
      <c r="BT241" s="30"/>
      <c r="BU241" s="30"/>
      <c r="BV241" s="30"/>
      <c r="BW241" s="30"/>
      <c r="BX241" s="30"/>
      <c r="BY241" s="30"/>
      <c r="BZ241" s="30"/>
      <c r="CA241" s="30"/>
      <c r="CD241" s="55"/>
      <c r="CE241" s="55"/>
      <c r="CF241" s="55"/>
      <c r="CH241" s="56"/>
      <c r="CI241" s="56"/>
      <c r="CJ241" s="56"/>
      <c r="CK241" s="56"/>
      <c r="CL241" s="56"/>
      <c r="CM241" s="56"/>
      <c r="CN241" s="56"/>
      <c r="CO241" s="56"/>
      <c r="CP241" s="56"/>
      <c r="CQ241" s="56"/>
      <c r="CR241" s="56"/>
      <c r="CS241" s="56"/>
      <c r="CU241" s="25"/>
      <c r="CV241" s="25"/>
      <c r="CW241" s="25"/>
    </row>
    <row r="242" spans="5:101" ht="7.5" customHeight="1" x14ac:dyDescent="0.2">
      <c r="E242" s="39">
        <f>IFERROR(IF(BP242="","-",RANK(S242,$S$10:$T$264,0)+RANK(Q242,$Q$10:$R$264,0)%+RANK(O242,$O$10:$P$264,0)%%+ROW()%%%),"-")</f>
        <v>12.131942</v>
      </c>
      <c r="F242" s="60"/>
      <c r="G242" s="60"/>
      <c r="H242" s="60"/>
      <c r="I242" s="40"/>
      <c r="J242" s="62">
        <f>IFERROR(IF(E242="","",RANK(E242,$E$10:$I$264,1)),"-")</f>
        <v>105</v>
      </c>
      <c r="K242" s="39" t="str">
        <f t="shared" ref="K242" si="690">BP242</f>
        <v xml:space="preserve">   </v>
      </c>
      <c r="L242" s="60"/>
      <c r="M242" s="60"/>
      <c r="N242" s="40"/>
      <c r="O242" s="39">
        <f t="shared" ref="O242" si="691">SUM(AE242-AI242)</f>
        <v>0</v>
      </c>
      <c r="P242" s="40"/>
      <c r="Q242" s="39">
        <f t="shared" ref="Q242" si="692">SUM(AL242-AP242)</f>
        <v>0</v>
      </c>
      <c r="R242" s="40"/>
      <c r="S242" s="39">
        <f t="shared" ref="S242" si="693">SUM(AS242-AW242)</f>
        <v>0</v>
      </c>
      <c r="T242" s="40"/>
      <c r="U242" s="39">
        <f>IFERROR(SMALL($E$10:$I$264,117),0)</f>
        <v>13.171438</v>
      </c>
      <c r="V242" s="60"/>
      <c r="W242" s="60"/>
      <c r="X242" s="60"/>
      <c r="Y242" s="40"/>
      <c r="Z242" s="29">
        <f>IFERROR(IF(U242="","",RANK(U242,$U$10:$Y$264,1)),0)</f>
        <v>117</v>
      </c>
      <c r="AA242" s="29" t="str">
        <f>IFERROR(INDEX($K$10:$K$264,MATCH(U242,$E$10:$E$264,0),1),0)</f>
        <v>Mercier Maël</v>
      </c>
      <c r="AB242" s="29"/>
      <c r="AC242" s="29"/>
      <c r="AD242" s="29"/>
      <c r="AE242" s="43"/>
      <c r="AF242" s="43"/>
      <c r="AG242" s="44"/>
      <c r="AH242" s="45" t="s">
        <v>19</v>
      </c>
      <c r="AI242" s="47"/>
      <c r="AJ242" s="43"/>
      <c r="AK242" s="43"/>
      <c r="AL242" s="43"/>
      <c r="AM242" s="43"/>
      <c r="AN242" s="44"/>
      <c r="AO242" s="45" t="s">
        <v>19</v>
      </c>
      <c r="AP242" s="47"/>
      <c r="AQ242" s="43"/>
      <c r="AR242" s="43"/>
      <c r="AS242" s="43"/>
      <c r="AT242" s="43"/>
      <c r="AU242" s="44"/>
      <c r="AV242" s="45" t="s">
        <v>19</v>
      </c>
      <c r="AW242" s="47"/>
      <c r="AX242" s="43"/>
      <c r="AY242" s="43"/>
      <c r="AZ242" s="48">
        <f>IFERROR(IF(E242="","",RANK(E242,$E$10:$I$264,1)),0)</f>
        <v>105</v>
      </c>
      <c r="BA242" s="49"/>
      <c r="BB242" s="49"/>
      <c r="BC242" s="50"/>
      <c r="BE242" s="38"/>
      <c r="BF242" s="38"/>
      <c r="BH242" s="30" t="s">
        <v>136</v>
      </c>
      <c r="BI242" s="30"/>
      <c r="BJ242" s="30"/>
      <c r="BK242" s="30"/>
      <c r="BL242" s="30"/>
      <c r="BM242" s="30"/>
      <c r="BN242" s="30"/>
      <c r="BO242" s="30"/>
      <c r="BP242" s="30" t="str">
        <f>IF(BE242&gt;0,VLOOKUP(BE242,'[3]Infos joueurs'!$B:$BT,11,FALSE)," ")&amp;" "&amp;IF(BE242&gt;0,VLOOKUP(BE242,'[3]Infos joueurs'!$B:$BT,27,FALSE)," ")</f>
        <v xml:space="preserve">   </v>
      </c>
      <c r="BQ242" s="30"/>
      <c r="BR242" s="30"/>
      <c r="BS242" s="30"/>
      <c r="BT242" s="30"/>
      <c r="BU242" s="30"/>
      <c r="BV242" s="30"/>
      <c r="BW242" s="30"/>
      <c r="BX242" s="30"/>
      <c r="BY242" s="30"/>
      <c r="BZ242" s="30"/>
      <c r="CA242" s="30"/>
      <c r="CD242" s="54">
        <v>117</v>
      </c>
      <c r="CE242" s="54"/>
      <c r="CF242" s="54"/>
      <c r="CH242" s="59" t="str">
        <f t="shared" ref="CH242" si="694">AA242</f>
        <v>Mercier Maël</v>
      </c>
      <c r="CI242" s="59"/>
      <c r="CJ242" s="59"/>
      <c r="CK242" s="59"/>
      <c r="CL242" s="59"/>
      <c r="CM242" s="59"/>
      <c r="CN242" s="59"/>
      <c r="CO242" s="59"/>
      <c r="CP242" s="59"/>
      <c r="CQ242" s="59"/>
      <c r="CR242" s="59"/>
      <c r="CS242" s="59"/>
      <c r="CU242" s="24">
        <f t="shared" ref="CU242" si="695">IFERROR(INDEX($BE$10:$BE$269,MATCH(CH242,$BP$10:$BP$269,0)),0)</f>
        <v>15</v>
      </c>
      <c r="CV242" s="24"/>
      <c r="CW242" s="24"/>
    </row>
    <row r="243" spans="5:101" ht="7.5" customHeight="1" x14ac:dyDescent="0.2">
      <c r="E243" s="41"/>
      <c r="F243" s="61"/>
      <c r="G243" s="61"/>
      <c r="H243" s="61"/>
      <c r="I243" s="42"/>
      <c r="J243" s="63"/>
      <c r="K243" s="41"/>
      <c r="L243" s="61"/>
      <c r="M243" s="61"/>
      <c r="N243" s="42"/>
      <c r="O243" s="41"/>
      <c r="P243" s="42"/>
      <c r="Q243" s="41"/>
      <c r="R243" s="42"/>
      <c r="S243" s="41"/>
      <c r="T243" s="42"/>
      <c r="U243" s="41"/>
      <c r="V243" s="61"/>
      <c r="W243" s="61"/>
      <c r="X243" s="61"/>
      <c r="Y243" s="42"/>
      <c r="Z243" s="29"/>
      <c r="AA243" s="29"/>
      <c r="AB243" s="29"/>
      <c r="AC243" s="29"/>
      <c r="AD243" s="29"/>
      <c r="AE243" s="43"/>
      <c r="AF243" s="43"/>
      <c r="AG243" s="44"/>
      <c r="AH243" s="46"/>
      <c r="AI243" s="47"/>
      <c r="AJ243" s="43"/>
      <c r="AK243" s="43"/>
      <c r="AL243" s="43"/>
      <c r="AM243" s="43"/>
      <c r="AN243" s="44"/>
      <c r="AO243" s="46"/>
      <c r="AP243" s="47"/>
      <c r="AQ243" s="43"/>
      <c r="AR243" s="43"/>
      <c r="AS243" s="43"/>
      <c r="AT243" s="43"/>
      <c r="AU243" s="44"/>
      <c r="AV243" s="46"/>
      <c r="AW243" s="47"/>
      <c r="AX243" s="43"/>
      <c r="AY243" s="43"/>
      <c r="AZ243" s="51"/>
      <c r="BA243" s="52"/>
      <c r="BB243" s="52"/>
      <c r="BC243" s="53"/>
      <c r="BE243" s="38"/>
      <c r="BF243" s="38"/>
      <c r="BH243" s="30"/>
      <c r="BI243" s="30"/>
      <c r="BJ243" s="30"/>
      <c r="BK243" s="30"/>
      <c r="BL243" s="30"/>
      <c r="BM243" s="30"/>
      <c r="BN243" s="30"/>
      <c r="BO243" s="30"/>
      <c r="BP243" s="30"/>
      <c r="BQ243" s="30"/>
      <c r="BR243" s="30"/>
      <c r="BS243" s="30"/>
      <c r="BT243" s="30"/>
      <c r="BU243" s="30"/>
      <c r="BV243" s="30"/>
      <c r="BW243" s="30"/>
      <c r="BX243" s="30"/>
      <c r="BY243" s="30"/>
      <c r="BZ243" s="30"/>
      <c r="CA243" s="30"/>
      <c r="CD243" s="55"/>
      <c r="CE243" s="55"/>
      <c r="CF243" s="55"/>
      <c r="CH243" s="56"/>
      <c r="CI243" s="56"/>
      <c r="CJ243" s="56"/>
      <c r="CK243" s="56"/>
      <c r="CL243" s="56"/>
      <c r="CM243" s="56"/>
      <c r="CN243" s="56"/>
      <c r="CO243" s="56"/>
      <c r="CP243" s="56"/>
      <c r="CQ243" s="56"/>
      <c r="CR243" s="56"/>
      <c r="CS243" s="56"/>
      <c r="CU243" s="25"/>
      <c r="CV243" s="25"/>
      <c r="CW243" s="25"/>
    </row>
    <row r="244" spans="5:101" ht="7.5" customHeight="1" x14ac:dyDescent="0.2">
      <c r="E244" s="39">
        <f>IFERROR(IF(BP244="","-",RANK(S244,$S$10:$T$264,0)+RANK(Q244,$Q$10:$R$264,0)%+RANK(O244,$O$10:$P$264,0)%%+ROW()%%%),"-")</f>
        <v>12.131944000000001</v>
      </c>
      <c r="F244" s="60"/>
      <c r="G244" s="60"/>
      <c r="H244" s="60"/>
      <c r="I244" s="40"/>
      <c r="J244" s="62">
        <f>IFERROR(IF(E244="","",RANK(E244,$E$10:$I$264,1)),"-")</f>
        <v>106</v>
      </c>
      <c r="K244" s="39" t="str">
        <f t="shared" ref="K244" si="696">BP244</f>
        <v xml:space="preserve">   </v>
      </c>
      <c r="L244" s="60"/>
      <c r="M244" s="60"/>
      <c r="N244" s="40"/>
      <c r="O244" s="39">
        <f t="shared" ref="O244" si="697">SUM(AE244-AI244)</f>
        <v>0</v>
      </c>
      <c r="P244" s="40"/>
      <c r="Q244" s="39">
        <f t="shared" ref="Q244" si="698">SUM(AL244-AP244)</f>
        <v>0</v>
      </c>
      <c r="R244" s="40"/>
      <c r="S244" s="39">
        <f t="shared" ref="S244" si="699">SUM(AS244-AW244)</f>
        <v>0</v>
      </c>
      <c r="T244" s="40"/>
      <c r="U244" s="39">
        <f>IFERROR(SMALL($E$10:$I$264,118),0)</f>
        <v>119.19161399999999</v>
      </c>
      <c r="V244" s="60"/>
      <c r="W244" s="60"/>
      <c r="X244" s="60"/>
      <c r="Y244" s="40"/>
      <c r="Z244" s="29">
        <f>IFERROR(IF(U244="","",RANK(U244,$U$10:$Y$264,1)),0)</f>
        <v>118</v>
      </c>
      <c r="AA244" s="29" t="str">
        <f>IFERROR(INDEX($K$10:$K$264,MATCH(U244,$E$10:$E$264,0),1),0)</f>
        <v>Gay Valentin</v>
      </c>
      <c r="AB244" s="29"/>
      <c r="AC244" s="29"/>
      <c r="AD244" s="29"/>
      <c r="AE244" s="43"/>
      <c r="AF244" s="43"/>
      <c r="AG244" s="44"/>
      <c r="AH244" s="45" t="s">
        <v>19</v>
      </c>
      <c r="AI244" s="47"/>
      <c r="AJ244" s="43"/>
      <c r="AK244" s="43"/>
      <c r="AL244" s="43"/>
      <c r="AM244" s="43"/>
      <c r="AN244" s="44"/>
      <c r="AO244" s="45" t="s">
        <v>19</v>
      </c>
      <c r="AP244" s="47"/>
      <c r="AQ244" s="43"/>
      <c r="AR244" s="43"/>
      <c r="AS244" s="43"/>
      <c r="AT244" s="43"/>
      <c r="AU244" s="44"/>
      <c r="AV244" s="45" t="s">
        <v>19</v>
      </c>
      <c r="AW244" s="47"/>
      <c r="AX244" s="43"/>
      <c r="AY244" s="43"/>
      <c r="AZ244" s="48">
        <f>IFERROR(IF(E244="","",RANK(E244,$E$10:$I$264,1)),0)</f>
        <v>106</v>
      </c>
      <c r="BA244" s="49"/>
      <c r="BB244" s="49"/>
      <c r="BC244" s="50"/>
      <c r="BE244" s="38"/>
      <c r="BF244" s="38"/>
      <c r="BH244" s="30" t="s">
        <v>137</v>
      </c>
      <c r="BI244" s="30"/>
      <c r="BJ244" s="30"/>
      <c r="BK244" s="30"/>
      <c r="BL244" s="30"/>
      <c r="BM244" s="30"/>
      <c r="BN244" s="30"/>
      <c r="BO244" s="30"/>
      <c r="BP244" s="30" t="str">
        <f>IF(BE244&gt;0,VLOOKUP(BE244,'[3]Infos joueurs'!$B:$BT,11,FALSE)," ")&amp;" "&amp;IF(BE244&gt;0,VLOOKUP(BE244,'[3]Infos joueurs'!$B:$BT,27,FALSE)," ")</f>
        <v xml:space="preserve">   </v>
      </c>
      <c r="BQ244" s="30"/>
      <c r="BR244" s="30"/>
      <c r="BS244" s="30"/>
      <c r="BT244" s="30"/>
      <c r="BU244" s="30"/>
      <c r="BV244" s="30"/>
      <c r="BW244" s="30"/>
      <c r="BX244" s="30"/>
      <c r="BY244" s="30"/>
      <c r="BZ244" s="30"/>
      <c r="CA244" s="30"/>
      <c r="CD244" s="54">
        <v>118</v>
      </c>
      <c r="CE244" s="54"/>
      <c r="CF244" s="54"/>
      <c r="CH244" s="59" t="str">
        <f t="shared" ref="CH244" si="700">AA244</f>
        <v>Gay Valentin</v>
      </c>
      <c r="CI244" s="59"/>
      <c r="CJ244" s="59"/>
      <c r="CK244" s="59"/>
      <c r="CL244" s="59"/>
      <c r="CM244" s="59"/>
      <c r="CN244" s="59"/>
      <c r="CO244" s="59"/>
      <c r="CP244" s="59"/>
      <c r="CQ244" s="59"/>
      <c r="CR244" s="59"/>
      <c r="CS244" s="59"/>
      <c r="CU244" s="24">
        <f t="shared" ref="CU244" si="701">IFERROR(INDEX($BE$10:$BE$269,MATCH(CH244,$BP$10:$BP$269,0)),0)</f>
        <v>13</v>
      </c>
      <c r="CV244" s="24"/>
      <c r="CW244" s="24"/>
    </row>
    <row r="245" spans="5:101" ht="7.5" customHeight="1" x14ac:dyDescent="0.2">
      <c r="E245" s="41"/>
      <c r="F245" s="61"/>
      <c r="G245" s="61"/>
      <c r="H245" s="61"/>
      <c r="I245" s="42"/>
      <c r="J245" s="63"/>
      <c r="K245" s="41"/>
      <c r="L245" s="61"/>
      <c r="M245" s="61"/>
      <c r="N245" s="42"/>
      <c r="O245" s="41"/>
      <c r="P245" s="42"/>
      <c r="Q245" s="41"/>
      <c r="R245" s="42"/>
      <c r="S245" s="41"/>
      <c r="T245" s="42"/>
      <c r="U245" s="41"/>
      <c r="V245" s="61"/>
      <c r="W245" s="61"/>
      <c r="X245" s="61"/>
      <c r="Y245" s="42"/>
      <c r="Z245" s="29"/>
      <c r="AA245" s="29"/>
      <c r="AB245" s="29"/>
      <c r="AC245" s="29"/>
      <c r="AD245" s="29"/>
      <c r="AE245" s="43"/>
      <c r="AF245" s="43"/>
      <c r="AG245" s="44"/>
      <c r="AH245" s="46"/>
      <c r="AI245" s="47"/>
      <c r="AJ245" s="43"/>
      <c r="AK245" s="43"/>
      <c r="AL245" s="43"/>
      <c r="AM245" s="43"/>
      <c r="AN245" s="44"/>
      <c r="AO245" s="46"/>
      <c r="AP245" s="47"/>
      <c r="AQ245" s="43"/>
      <c r="AR245" s="43"/>
      <c r="AS245" s="43"/>
      <c r="AT245" s="43"/>
      <c r="AU245" s="44"/>
      <c r="AV245" s="46"/>
      <c r="AW245" s="47"/>
      <c r="AX245" s="43"/>
      <c r="AY245" s="43"/>
      <c r="AZ245" s="51"/>
      <c r="BA245" s="52"/>
      <c r="BB245" s="52"/>
      <c r="BC245" s="53"/>
      <c r="BE245" s="38"/>
      <c r="BF245" s="38"/>
      <c r="BH245" s="30"/>
      <c r="BI245" s="30"/>
      <c r="BJ245" s="30"/>
      <c r="BK245" s="30"/>
      <c r="BL245" s="30"/>
      <c r="BM245" s="30"/>
      <c r="BN245" s="30"/>
      <c r="BO245" s="30"/>
      <c r="BP245" s="30"/>
      <c r="BQ245" s="30"/>
      <c r="BR245" s="30"/>
      <c r="BS245" s="30"/>
      <c r="BT245" s="30"/>
      <c r="BU245" s="30"/>
      <c r="BV245" s="30"/>
      <c r="BW245" s="30"/>
      <c r="BX245" s="30"/>
      <c r="BY245" s="30"/>
      <c r="BZ245" s="30"/>
      <c r="CA245" s="30"/>
      <c r="CD245" s="55"/>
      <c r="CE245" s="55"/>
      <c r="CF245" s="55"/>
      <c r="CH245" s="56"/>
      <c r="CI245" s="56"/>
      <c r="CJ245" s="56"/>
      <c r="CK245" s="56"/>
      <c r="CL245" s="56"/>
      <c r="CM245" s="56"/>
      <c r="CN245" s="56"/>
      <c r="CO245" s="56"/>
      <c r="CP245" s="56"/>
      <c r="CQ245" s="56"/>
      <c r="CR245" s="56"/>
      <c r="CS245" s="56"/>
      <c r="CU245" s="25"/>
      <c r="CV245" s="25"/>
      <c r="CW245" s="25"/>
    </row>
    <row r="246" spans="5:101" ht="7.5" customHeight="1" x14ac:dyDescent="0.2">
      <c r="E246" s="39">
        <f>IFERROR(IF(BP246="","-",RANK(S246,$S$10:$T$264,0)+RANK(Q246,$Q$10:$R$264,0)%+RANK(O246,$O$10:$P$264,0)%%+ROW()%%%),"-")</f>
        <v>12.131946000000001</v>
      </c>
      <c r="F246" s="60"/>
      <c r="G246" s="60"/>
      <c r="H246" s="60"/>
      <c r="I246" s="40"/>
      <c r="J246" s="62">
        <f>IFERROR(IF(E246="","",RANK(E246,$E$10:$I$264,1)),"-")</f>
        <v>107</v>
      </c>
      <c r="K246" s="39" t="str">
        <f t="shared" ref="K246" si="702">BP246</f>
        <v xml:space="preserve">   </v>
      </c>
      <c r="L246" s="60"/>
      <c r="M246" s="60"/>
      <c r="N246" s="40"/>
      <c r="O246" s="39">
        <f t="shared" ref="O246" si="703">SUM(AE246-AI246)</f>
        <v>0</v>
      </c>
      <c r="P246" s="40"/>
      <c r="Q246" s="39">
        <f t="shared" ref="Q246" si="704">SUM(AL246-AP246)</f>
        <v>0</v>
      </c>
      <c r="R246" s="40"/>
      <c r="S246" s="39">
        <f t="shared" ref="S246" si="705">SUM(AS246-AW246)</f>
        <v>0</v>
      </c>
      <c r="T246" s="40"/>
      <c r="U246" s="39">
        <f>IFERROR(SMALL($E$10:$I$264,119),0)</f>
        <v>119.19193200000001</v>
      </c>
      <c r="V246" s="60"/>
      <c r="W246" s="60"/>
      <c r="X246" s="60"/>
      <c r="Y246" s="40"/>
      <c r="Z246" s="29">
        <f>IFERROR(IF(U246="","",RANK(U246,$U$10:$Y$264,1)),0)</f>
        <v>119</v>
      </c>
      <c r="AA246" s="29" t="str">
        <f>IFERROR(INDEX($K$10:$K$264,MATCH(U246,$E$10:$E$264,0),1),0)</f>
        <v>Rouiller Rémi</v>
      </c>
      <c r="AB246" s="29"/>
      <c r="AC246" s="29"/>
      <c r="AD246" s="29"/>
      <c r="AE246" s="43"/>
      <c r="AF246" s="43"/>
      <c r="AG246" s="44"/>
      <c r="AH246" s="45" t="s">
        <v>19</v>
      </c>
      <c r="AI246" s="47"/>
      <c r="AJ246" s="43"/>
      <c r="AK246" s="43"/>
      <c r="AL246" s="43"/>
      <c r="AM246" s="43"/>
      <c r="AN246" s="44"/>
      <c r="AO246" s="45" t="s">
        <v>19</v>
      </c>
      <c r="AP246" s="47"/>
      <c r="AQ246" s="43"/>
      <c r="AR246" s="43"/>
      <c r="AS246" s="43"/>
      <c r="AT246" s="43"/>
      <c r="AU246" s="44"/>
      <c r="AV246" s="45" t="s">
        <v>19</v>
      </c>
      <c r="AW246" s="47"/>
      <c r="AX246" s="43"/>
      <c r="AY246" s="43"/>
      <c r="AZ246" s="48">
        <f>IFERROR(IF(E246="","",RANK(E246,$E$10:$I$264,1)),0)</f>
        <v>107</v>
      </c>
      <c r="BA246" s="49"/>
      <c r="BB246" s="49"/>
      <c r="BC246" s="50"/>
      <c r="BE246" s="38"/>
      <c r="BF246" s="38"/>
      <c r="BH246" s="30" t="s">
        <v>138</v>
      </c>
      <c r="BI246" s="30"/>
      <c r="BJ246" s="30"/>
      <c r="BK246" s="30"/>
      <c r="BL246" s="30"/>
      <c r="BM246" s="30"/>
      <c r="BN246" s="30"/>
      <c r="BO246" s="30"/>
      <c r="BP246" s="30" t="str">
        <f>IF(BE246&gt;0,VLOOKUP(BE246,'[3]Infos joueurs'!$B:$BT,11,FALSE)," ")&amp;" "&amp;IF(BE246&gt;0,VLOOKUP(BE246,'[3]Infos joueurs'!$B:$BT,27,FALSE)," ")</f>
        <v xml:space="preserve">   </v>
      </c>
      <c r="BQ246" s="30"/>
      <c r="BR246" s="30"/>
      <c r="BS246" s="30"/>
      <c r="BT246" s="30"/>
      <c r="BU246" s="30"/>
      <c r="BV246" s="30"/>
      <c r="BW246" s="30"/>
      <c r="BX246" s="30"/>
      <c r="BY246" s="30"/>
      <c r="BZ246" s="30"/>
      <c r="CA246" s="30"/>
      <c r="CD246" s="54">
        <v>119</v>
      </c>
      <c r="CE246" s="54"/>
      <c r="CF246" s="54"/>
      <c r="CH246" s="59" t="str">
        <f t="shared" ref="CH246" si="706">AA246</f>
        <v>Rouiller Rémi</v>
      </c>
      <c r="CI246" s="59"/>
      <c r="CJ246" s="59"/>
      <c r="CK246" s="59"/>
      <c r="CL246" s="59"/>
      <c r="CM246" s="59"/>
      <c r="CN246" s="59"/>
      <c r="CO246" s="59"/>
      <c r="CP246" s="59"/>
      <c r="CQ246" s="59"/>
      <c r="CR246" s="59"/>
      <c r="CS246" s="59"/>
      <c r="CU246" s="24">
        <f t="shared" ref="CU246" si="707">IFERROR(INDEX($BE$10:$BE$269,MATCH(CH246,$BP$10:$BP$269,0)),0)</f>
        <v>17</v>
      </c>
      <c r="CV246" s="24"/>
      <c r="CW246" s="24"/>
    </row>
    <row r="247" spans="5:101" ht="7.5" customHeight="1" x14ac:dyDescent="0.2">
      <c r="E247" s="41"/>
      <c r="F247" s="61"/>
      <c r="G247" s="61"/>
      <c r="H247" s="61"/>
      <c r="I247" s="42"/>
      <c r="J247" s="63"/>
      <c r="K247" s="41"/>
      <c r="L247" s="61"/>
      <c r="M247" s="61"/>
      <c r="N247" s="42"/>
      <c r="O247" s="41"/>
      <c r="P247" s="42"/>
      <c r="Q247" s="41"/>
      <c r="R247" s="42"/>
      <c r="S247" s="41"/>
      <c r="T247" s="42"/>
      <c r="U247" s="41"/>
      <c r="V247" s="61"/>
      <c r="W247" s="61"/>
      <c r="X247" s="61"/>
      <c r="Y247" s="42"/>
      <c r="Z247" s="29"/>
      <c r="AA247" s="29"/>
      <c r="AB247" s="29"/>
      <c r="AC247" s="29"/>
      <c r="AD247" s="29"/>
      <c r="AE247" s="43"/>
      <c r="AF247" s="43"/>
      <c r="AG247" s="44"/>
      <c r="AH247" s="46"/>
      <c r="AI247" s="47"/>
      <c r="AJ247" s="43"/>
      <c r="AK247" s="43"/>
      <c r="AL247" s="43"/>
      <c r="AM247" s="43"/>
      <c r="AN247" s="44"/>
      <c r="AO247" s="46"/>
      <c r="AP247" s="47"/>
      <c r="AQ247" s="43"/>
      <c r="AR247" s="43"/>
      <c r="AS247" s="43"/>
      <c r="AT247" s="43"/>
      <c r="AU247" s="44"/>
      <c r="AV247" s="46"/>
      <c r="AW247" s="47"/>
      <c r="AX247" s="43"/>
      <c r="AY247" s="43"/>
      <c r="AZ247" s="51"/>
      <c r="BA247" s="52"/>
      <c r="BB247" s="52"/>
      <c r="BC247" s="53"/>
      <c r="BE247" s="38"/>
      <c r="BF247" s="38"/>
      <c r="BH247" s="30"/>
      <c r="BI247" s="30"/>
      <c r="BJ247" s="30"/>
      <c r="BK247" s="30"/>
      <c r="BL247" s="30"/>
      <c r="BM247" s="30"/>
      <c r="BN247" s="30"/>
      <c r="BO247" s="30"/>
      <c r="BP247" s="30"/>
      <c r="BQ247" s="30"/>
      <c r="BR247" s="30"/>
      <c r="BS247" s="30"/>
      <c r="BT247" s="30"/>
      <c r="BU247" s="30"/>
      <c r="BV247" s="30"/>
      <c r="BW247" s="30"/>
      <c r="BX247" s="30"/>
      <c r="BY247" s="30"/>
      <c r="BZ247" s="30"/>
      <c r="CA247" s="30"/>
      <c r="CD247" s="55"/>
      <c r="CE247" s="55"/>
      <c r="CF247" s="55"/>
      <c r="CH247" s="56"/>
      <c r="CI247" s="56"/>
      <c r="CJ247" s="56"/>
      <c r="CK247" s="56"/>
      <c r="CL247" s="56"/>
      <c r="CM247" s="56"/>
      <c r="CN247" s="56"/>
      <c r="CO247" s="56"/>
      <c r="CP247" s="56"/>
      <c r="CQ247" s="56"/>
      <c r="CR247" s="56"/>
      <c r="CS247" s="56"/>
      <c r="CU247" s="25"/>
      <c r="CV247" s="25"/>
      <c r="CW247" s="25"/>
    </row>
    <row r="248" spans="5:101" ht="7.5" customHeight="1" x14ac:dyDescent="0.2">
      <c r="E248" s="39">
        <f>IFERROR(IF(BP248="","-",RANK(S248,$S$10:$T$264,0)+RANK(Q248,$Q$10:$R$264,0)%+RANK(O248,$O$10:$P$264,0)%%+ROW()%%%),"-")</f>
        <v>12.131948</v>
      </c>
      <c r="F248" s="60"/>
      <c r="G248" s="60"/>
      <c r="H248" s="60"/>
      <c r="I248" s="40"/>
      <c r="J248" s="62">
        <f>IFERROR(IF(E248="","",RANK(E248,$E$10:$I$264,1)),"-")</f>
        <v>108</v>
      </c>
      <c r="K248" s="39" t="str">
        <f t="shared" ref="K248" si="708">BP248</f>
        <v xml:space="preserve">   </v>
      </c>
      <c r="L248" s="60"/>
      <c r="M248" s="60"/>
      <c r="N248" s="40"/>
      <c r="O248" s="39">
        <f t="shared" ref="O248" si="709">SUM(AE248-AI248)</f>
        <v>0</v>
      </c>
      <c r="P248" s="40"/>
      <c r="Q248" s="39">
        <f t="shared" ref="Q248" si="710">SUM(AL248-AP248)</f>
        <v>0</v>
      </c>
      <c r="R248" s="40"/>
      <c r="S248" s="39">
        <f t="shared" ref="S248" si="711">SUM(AS248-AW248)</f>
        <v>0</v>
      </c>
      <c r="T248" s="40"/>
      <c r="U248" s="39">
        <f>IFERROR(SMALL($E$10:$I$264,120),0)</f>
        <v>119.202048</v>
      </c>
      <c r="V248" s="60"/>
      <c r="W248" s="60"/>
      <c r="X248" s="60"/>
      <c r="Y248" s="40"/>
      <c r="Z248" s="29">
        <f>IFERROR(IF(U248="","",RANK(U248,$U$10:$Y$264,1)),0)</f>
        <v>120</v>
      </c>
      <c r="AA248" s="29" t="str">
        <f>IFERROR(INDEX($K$10:$K$264,MATCH(U248,$E$10:$E$264,0),1),0)</f>
        <v>Pellaton Robin</v>
      </c>
      <c r="AB248" s="29"/>
      <c r="AC248" s="29"/>
      <c r="AD248" s="29"/>
      <c r="AE248" s="43"/>
      <c r="AF248" s="43"/>
      <c r="AG248" s="44"/>
      <c r="AH248" s="45" t="s">
        <v>19</v>
      </c>
      <c r="AI248" s="47"/>
      <c r="AJ248" s="43"/>
      <c r="AK248" s="43"/>
      <c r="AL248" s="43"/>
      <c r="AM248" s="43"/>
      <c r="AN248" s="44"/>
      <c r="AO248" s="45" t="s">
        <v>19</v>
      </c>
      <c r="AP248" s="47"/>
      <c r="AQ248" s="43"/>
      <c r="AR248" s="43"/>
      <c r="AS248" s="43"/>
      <c r="AT248" s="43"/>
      <c r="AU248" s="44"/>
      <c r="AV248" s="45" t="s">
        <v>19</v>
      </c>
      <c r="AW248" s="47"/>
      <c r="AX248" s="43"/>
      <c r="AY248" s="43"/>
      <c r="AZ248" s="48">
        <f>IFERROR(IF(E248="","",RANK(E248,$E$10:$I$264,1)),0)</f>
        <v>108</v>
      </c>
      <c r="BA248" s="49"/>
      <c r="BB248" s="49"/>
      <c r="BC248" s="50"/>
      <c r="BE248" s="38"/>
      <c r="BF248" s="38"/>
      <c r="BH248" s="30" t="s">
        <v>139</v>
      </c>
      <c r="BI248" s="30"/>
      <c r="BJ248" s="30"/>
      <c r="BK248" s="30"/>
      <c r="BL248" s="30"/>
      <c r="BM248" s="30"/>
      <c r="BN248" s="30"/>
      <c r="BO248" s="30"/>
      <c r="BP248" s="30" t="str">
        <f>IF(BE248&gt;0,VLOOKUP(BE248,'[3]Infos joueurs'!$B:$BT,11,FALSE)," ")&amp;" "&amp;IF(BE248&gt;0,VLOOKUP(BE248,'[3]Infos joueurs'!$B:$BT,27,FALSE)," ")</f>
        <v xml:space="preserve">   </v>
      </c>
      <c r="BQ248" s="30"/>
      <c r="BR248" s="30"/>
      <c r="BS248" s="30"/>
      <c r="BT248" s="30"/>
      <c r="BU248" s="30"/>
      <c r="BV248" s="30"/>
      <c r="BW248" s="30"/>
      <c r="BX248" s="30"/>
      <c r="BY248" s="30"/>
      <c r="BZ248" s="30"/>
      <c r="CA248" s="30"/>
      <c r="CD248" s="54">
        <v>120</v>
      </c>
      <c r="CE248" s="54"/>
      <c r="CF248" s="54"/>
      <c r="CH248" s="59" t="str">
        <f t="shared" ref="CH248" si="712">AA248</f>
        <v>Pellaton Robin</v>
      </c>
      <c r="CI248" s="59"/>
      <c r="CJ248" s="59"/>
      <c r="CK248" s="59"/>
      <c r="CL248" s="59"/>
      <c r="CM248" s="59"/>
      <c r="CN248" s="59"/>
      <c r="CO248" s="59"/>
      <c r="CP248" s="59"/>
      <c r="CQ248" s="59"/>
      <c r="CR248" s="59"/>
      <c r="CS248" s="59"/>
      <c r="CU248" s="24">
        <f t="shared" ref="CU248" si="713">IFERROR(INDEX($BE$10:$BE$269,MATCH(CH248,$BP$10:$BP$269,0)),0)</f>
        <v>16</v>
      </c>
      <c r="CV248" s="24"/>
      <c r="CW248" s="24"/>
    </row>
    <row r="249" spans="5:101" ht="7.5" customHeight="1" x14ac:dyDescent="0.2">
      <c r="E249" s="41"/>
      <c r="F249" s="61"/>
      <c r="G249" s="61"/>
      <c r="H249" s="61"/>
      <c r="I249" s="42"/>
      <c r="J249" s="63"/>
      <c r="K249" s="41"/>
      <c r="L249" s="61"/>
      <c r="M249" s="61"/>
      <c r="N249" s="42"/>
      <c r="O249" s="41"/>
      <c r="P249" s="42"/>
      <c r="Q249" s="41"/>
      <c r="R249" s="42"/>
      <c r="S249" s="41"/>
      <c r="T249" s="42"/>
      <c r="U249" s="41"/>
      <c r="V249" s="61"/>
      <c r="W249" s="61"/>
      <c r="X249" s="61"/>
      <c r="Y249" s="42"/>
      <c r="Z249" s="29"/>
      <c r="AA249" s="29"/>
      <c r="AB249" s="29"/>
      <c r="AC249" s="29"/>
      <c r="AD249" s="29"/>
      <c r="AE249" s="43"/>
      <c r="AF249" s="43"/>
      <c r="AG249" s="44"/>
      <c r="AH249" s="46"/>
      <c r="AI249" s="47"/>
      <c r="AJ249" s="43"/>
      <c r="AK249" s="43"/>
      <c r="AL249" s="43"/>
      <c r="AM249" s="43"/>
      <c r="AN249" s="44"/>
      <c r="AO249" s="46"/>
      <c r="AP249" s="47"/>
      <c r="AQ249" s="43"/>
      <c r="AR249" s="43"/>
      <c r="AS249" s="43"/>
      <c r="AT249" s="43"/>
      <c r="AU249" s="44"/>
      <c r="AV249" s="46"/>
      <c r="AW249" s="47"/>
      <c r="AX249" s="43"/>
      <c r="AY249" s="43"/>
      <c r="AZ249" s="51"/>
      <c r="BA249" s="52"/>
      <c r="BB249" s="52"/>
      <c r="BC249" s="53"/>
      <c r="BE249" s="38"/>
      <c r="BF249" s="38"/>
      <c r="BH249" s="30"/>
      <c r="BI249" s="30"/>
      <c r="BJ249" s="30"/>
      <c r="BK249" s="30"/>
      <c r="BL249" s="30"/>
      <c r="BM249" s="30"/>
      <c r="BN249" s="30"/>
      <c r="BO249" s="30"/>
      <c r="BP249" s="30"/>
      <c r="BQ249" s="30"/>
      <c r="BR249" s="30"/>
      <c r="BS249" s="30"/>
      <c r="BT249" s="30"/>
      <c r="BU249" s="30"/>
      <c r="BV249" s="30"/>
      <c r="BW249" s="30"/>
      <c r="BX249" s="30"/>
      <c r="BY249" s="30"/>
      <c r="BZ249" s="30"/>
      <c r="CA249" s="30"/>
      <c r="CD249" s="55"/>
      <c r="CE249" s="55"/>
      <c r="CF249" s="55"/>
      <c r="CH249" s="56"/>
      <c r="CI249" s="56"/>
      <c r="CJ249" s="56"/>
      <c r="CK249" s="56"/>
      <c r="CL249" s="56"/>
      <c r="CM249" s="56"/>
      <c r="CN249" s="56"/>
      <c r="CO249" s="56"/>
      <c r="CP249" s="56"/>
      <c r="CQ249" s="56"/>
      <c r="CR249" s="56"/>
      <c r="CS249" s="56"/>
      <c r="CU249" s="25"/>
      <c r="CV249" s="25"/>
      <c r="CW249" s="25"/>
    </row>
    <row r="250" spans="5:101" ht="7.5" customHeight="1" x14ac:dyDescent="0.2">
      <c r="E250" s="39">
        <f>IFERROR(IF(BP250="","-",RANK(S250,$S$10:$T$264,0)+RANK(Q250,$Q$10:$R$264,0)%+RANK(O250,$O$10:$P$264,0)%%+ROW()%%%),"-")</f>
        <v>12.13195</v>
      </c>
      <c r="F250" s="60"/>
      <c r="G250" s="60"/>
      <c r="H250" s="60"/>
      <c r="I250" s="40"/>
      <c r="J250" s="62">
        <f>IFERROR(IF(E250="","",RANK(E250,$E$10:$I$264,1)),"-")</f>
        <v>109</v>
      </c>
      <c r="K250" s="39" t="str">
        <f t="shared" ref="K250" si="714">BP250</f>
        <v xml:space="preserve">   </v>
      </c>
      <c r="L250" s="60"/>
      <c r="M250" s="60"/>
      <c r="N250" s="40"/>
      <c r="O250" s="39">
        <f t="shared" ref="O250" si="715">SUM(AE250-AI250)</f>
        <v>0</v>
      </c>
      <c r="P250" s="40"/>
      <c r="Q250" s="39">
        <f t="shared" ref="Q250" si="716">SUM(AL250-AP250)</f>
        <v>0</v>
      </c>
      <c r="R250" s="40"/>
      <c r="S250" s="39">
        <f t="shared" ref="S250" si="717">SUM(AS250-AW250)</f>
        <v>0</v>
      </c>
      <c r="T250" s="40"/>
      <c r="U250" s="39">
        <f>IFERROR(SMALL($E$10:$I$264,121),0)</f>
        <v>119.202128</v>
      </c>
      <c r="V250" s="60"/>
      <c r="W250" s="60"/>
      <c r="X250" s="60"/>
      <c r="Y250" s="40"/>
      <c r="Z250" s="29">
        <f>IFERROR(IF(U250="","",RANK(U250,$U$10:$Y$264,1)),0)</f>
        <v>121</v>
      </c>
      <c r="AA250" s="29" t="str">
        <f>IFERROR(INDEX($K$10:$K$264,MATCH(U250,$E$10:$E$264,0),1),0)</f>
        <v>Derivaz Valentin</v>
      </c>
      <c r="AB250" s="29"/>
      <c r="AC250" s="29"/>
      <c r="AD250" s="29"/>
      <c r="AE250" s="43"/>
      <c r="AF250" s="43"/>
      <c r="AG250" s="44"/>
      <c r="AH250" s="45" t="s">
        <v>19</v>
      </c>
      <c r="AI250" s="47"/>
      <c r="AJ250" s="43"/>
      <c r="AK250" s="43"/>
      <c r="AL250" s="43"/>
      <c r="AM250" s="43"/>
      <c r="AN250" s="44"/>
      <c r="AO250" s="45" t="s">
        <v>19</v>
      </c>
      <c r="AP250" s="47"/>
      <c r="AQ250" s="43"/>
      <c r="AR250" s="43"/>
      <c r="AS250" s="43"/>
      <c r="AT250" s="43"/>
      <c r="AU250" s="44"/>
      <c r="AV250" s="45" t="s">
        <v>19</v>
      </c>
      <c r="AW250" s="47"/>
      <c r="AX250" s="43"/>
      <c r="AY250" s="43"/>
      <c r="AZ250" s="48">
        <f>IFERROR(IF(E250="","",RANK(E250,$E$10:$I$264,1)),0)</f>
        <v>109</v>
      </c>
      <c r="BA250" s="49"/>
      <c r="BB250" s="49"/>
      <c r="BC250" s="50"/>
      <c r="BE250" s="38"/>
      <c r="BF250" s="38"/>
      <c r="BH250" s="30" t="s">
        <v>140</v>
      </c>
      <c r="BI250" s="30"/>
      <c r="BJ250" s="30"/>
      <c r="BK250" s="30"/>
      <c r="BL250" s="30"/>
      <c r="BM250" s="30"/>
      <c r="BN250" s="30"/>
      <c r="BO250" s="30"/>
      <c r="BP250" s="30" t="str">
        <f>IF(BE250&gt;0,VLOOKUP(BE250,'[3]Infos joueurs'!$B:$BT,11,FALSE)," ")&amp;" "&amp;IF(BE250&gt;0,VLOOKUP(BE250,'[3]Infos joueurs'!$B:$BT,27,FALSE)," ")</f>
        <v xml:space="preserve">   </v>
      </c>
      <c r="BQ250" s="30"/>
      <c r="BR250" s="30"/>
      <c r="BS250" s="30"/>
      <c r="BT250" s="30"/>
      <c r="BU250" s="30"/>
      <c r="BV250" s="30"/>
      <c r="BW250" s="30"/>
      <c r="BX250" s="30"/>
      <c r="BY250" s="30"/>
      <c r="BZ250" s="30"/>
      <c r="CA250" s="30"/>
      <c r="CD250" s="54">
        <v>121</v>
      </c>
      <c r="CE250" s="54"/>
      <c r="CF250" s="54"/>
      <c r="CH250" s="59" t="str">
        <f t="shared" ref="CH250" si="718">AA250</f>
        <v>Derivaz Valentin</v>
      </c>
      <c r="CI250" s="59"/>
      <c r="CJ250" s="59"/>
      <c r="CK250" s="59"/>
      <c r="CL250" s="59"/>
      <c r="CM250" s="59"/>
      <c r="CN250" s="59"/>
      <c r="CO250" s="59"/>
      <c r="CP250" s="59"/>
      <c r="CQ250" s="59"/>
      <c r="CR250" s="59"/>
      <c r="CS250" s="59"/>
      <c r="CU250" s="24">
        <f t="shared" ref="CU250" si="719">IFERROR(INDEX($BE$10:$BE$269,MATCH(CH250,$BP$10:$BP$269,0)),0)</f>
        <v>12</v>
      </c>
      <c r="CV250" s="24"/>
      <c r="CW250" s="24"/>
    </row>
    <row r="251" spans="5:101" ht="7.5" customHeight="1" x14ac:dyDescent="0.2">
      <c r="E251" s="41"/>
      <c r="F251" s="61"/>
      <c r="G251" s="61"/>
      <c r="H251" s="61"/>
      <c r="I251" s="42"/>
      <c r="J251" s="63"/>
      <c r="K251" s="41"/>
      <c r="L251" s="61"/>
      <c r="M251" s="61"/>
      <c r="N251" s="42"/>
      <c r="O251" s="41"/>
      <c r="P251" s="42"/>
      <c r="Q251" s="41"/>
      <c r="R251" s="42"/>
      <c r="S251" s="41"/>
      <c r="T251" s="42"/>
      <c r="U251" s="41"/>
      <c r="V251" s="61"/>
      <c r="W251" s="61"/>
      <c r="X251" s="61"/>
      <c r="Y251" s="42"/>
      <c r="Z251" s="29"/>
      <c r="AA251" s="29"/>
      <c r="AB251" s="29"/>
      <c r="AC251" s="29"/>
      <c r="AD251" s="29"/>
      <c r="AE251" s="43"/>
      <c r="AF251" s="43"/>
      <c r="AG251" s="44"/>
      <c r="AH251" s="46"/>
      <c r="AI251" s="47"/>
      <c r="AJ251" s="43"/>
      <c r="AK251" s="43"/>
      <c r="AL251" s="43"/>
      <c r="AM251" s="43"/>
      <c r="AN251" s="44"/>
      <c r="AO251" s="46"/>
      <c r="AP251" s="47"/>
      <c r="AQ251" s="43"/>
      <c r="AR251" s="43"/>
      <c r="AS251" s="43"/>
      <c r="AT251" s="43"/>
      <c r="AU251" s="44"/>
      <c r="AV251" s="46"/>
      <c r="AW251" s="47"/>
      <c r="AX251" s="43"/>
      <c r="AY251" s="43"/>
      <c r="AZ251" s="51"/>
      <c r="BA251" s="52"/>
      <c r="BB251" s="52"/>
      <c r="BC251" s="53"/>
      <c r="BE251" s="38"/>
      <c r="BF251" s="38"/>
      <c r="BH251" s="30"/>
      <c r="BI251" s="30"/>
      <c r="BJ251" s="30"/>
      <c r="BK251" s="30"/>
      <c r="BL251" s="30"/>
      <c r="BM251" s="30"/>
      <c r="BN251" s="30"/>
      <c r="BO251" s="30"/>
      <c r="BP251" s="30"/>
      <c r="BQ251" s="30"/>
      <c r="BR251" s="30"/>
      <c r="BS251" s="30"/>
      <c r="BT251" s="30"/>
      <c r="BU251" s="30"/>
      <c r="BV251" s="30"/>
      <c r="BW251" s="30"/>
      <c r="BX251" s="30"/>
      <c r="BY251" s="30"/>
      <c r="BZ251" s="30"/>
      <c r="CA251" s="30"/>
      <c r="CD251" s="55"/>
      <c r="CE251" s="55"/>
      <c r="CF251" s="55"/>
      <c r="CH251" s="56"/>
      <c r="CI251" s="56"/>
      <c r="CJ251" s="56"/>
      <c r="CK251" s="56"/>
      <c r="CL251" s="56"/>
      <c r="CM251" s="56"/>
      <c r="CN251" s="56"/>
      <c r="CO251" s="56"/>
      <c r="CP251" s="56"/>
      <c r="CQ251" s="56"/>
      <c r="CR251" s="56"/>
      <c r="CS251" s="56"/>
      <c r="CU251" s="25"/>
      <c r="CV251" s="25"/>
      <c r="CW251" s="25"/>
    </row>
    <row r="252" spans="5:101" ht="7.5" customHeight="1" x14ac:dyDescent="0.2">
      <c r="E252" s="39">
        <f>IFERROR(IF(BP252="","-",RANK(S252,$S$10:$T$264,0)+RANK(Q252,$Q$10:$R$264,0)%+RANK(O252,$O$10:$P$264,0)%%+ROW()%%%),"-")</f>
        <v>12.131952</v>
      </c>
      <c r="F252" s="60"/>
      <c r="G252" s="60"/>
      <c r="H252" s="60"/>
      <c r="I252" s="40"/>
      <c r="J252" s="62">
        <f>IFERROR(IF(E252="","",RANK(E252,$E$10:$I$264,1)),"-")</f>
        <v>110</v>
      </c>
      <c r="K252" s="39" t="str">
        <f t="shared" ref="K252" si="720">BP252</f>
        <v xml:space="preserve">   </v>
      </c>
      <c r="L252" s="60"/>
      <c r="M252" s="60"/>
      <c r="N252" s="40"/>
      <c r="O252" s="39">
        <f t="shared" ref="O252" si="721">SUM(AE252-AI252)</f>
        <v>0</v>
      </c>
      <c r="P252" s="40"/>
      <c r="Q252" s="39">
        <f t="shared" ref="Q252" si="722">SUM(AL252-AP252)</f>
        <v>0</v>
      </c>
      <c r="R252" s="40"/>
      <c r="S252" s="39">
        <f t="shared" ref="S252" si="723">SUM(AS252-AW252)</f>
        <v>0</v>
      </c>
      <c r="T252" s="40"/>
      <c r="U252" s="39">
        <f>IFERROR(SMALL($E$10:$I$264,122),0)</f>
        <v>119.20225400000001</v>
      </c>
      <c r="V252" s="60"/>
      <c r="W252" s="60"/>
      <c r="X252" s="60"/>
      <c r="Y252" s="40"/>
      <c r="Z252" s="29">
        <f>IFERROR(IF(U252="","",RANK(U252,$U$10:$Y$264,1)),0)</f>
        <v>122</v>
      </c>
      <c r="AA252" s="29" t="str">
        <f>IFERROR(INDEX($K$10:$K$264,MATCH(U252,$E$10:$E$264,0),1),0)</f>
        <v>Bottagisio Leticia</v>
      </c>
      <c r="AB252" s="29"/>
      <c r="AC252" s="29"/>
      <c r="AD252" s="29"/>
      <c r="AE252" s="43"/>
      <c r="AF252" s="43"/>
      <c r="AG252" s="44"/>
      <c r="AH252" s="45" t="s">
        <v>19</v>
      </c>
      <c r="AI252" s="47"/>
      <c r="AJ252" s="43"/>
      <c r="AK252" s="43"/>
      <c r="AL252" s="43"/>
      <c r="AM252" s="43"/>
      <c r="AN252" s="44"/>
      <c r="AO252" s="45" t="s">
        <v>19</v>
      </c>
      <c r="AP252" s="47"/>
      <c r="AQ252" s="43"/>
      <c r="AR252" s="43"/>
      <c r="AS252" s="43"/>
      <c r="AT252" s="43"/>
      <c r="AU252" s="44"/>
      <c r="AV252" s="45" t="s">
        <v>19</v>
      </c>
      <c r="AW252" s="47"/>
      <c r="AX252" s="43"/>
      <c r="AY252" s="43"/>
      <c r="AZ252" s="48">
        <f>IFERROR(IF(E252="","",RANK(E252,$E$10:$I$264,1)),0)</f>
        <v>110</v>
      </c>
      <c r="BA252" s="49"/>
      <c r="BB252" s="49"/>
      <c r="BC252" s="50"/>
      <c r="BE252" s="38"/>
      <c r="BF252" s="38"/>
      <c r="BH252" s="30" t="s">
        <v>141</v>
      </c>
      <c r="BI252" s="30"/>
      <c r="BJ252" s="30"/>
      <c r="BK252" s="30"/>
      <c r="BL252" s="30"/>
      <c r="BM252" s="30"/>
      <c r="BN252" s="30"/>
      <c r="BO252" s="30"/>
      <c r="BP252" s="30" t="str">
        <f>IF(BE252&gt;0,VLOOKUP(BE252,'[3]Infos joueurs'!$B:$BT,11,FALSE)," ")&amp;" "&amp;IF(BE252&gt;0,VLOOKUP(BE252,'[3]Infos joueurs'!$B:$BT,27,FALSE)," ")</f>
        <v xml:space="preserve">   </v>
      </c>
      <c r="BQ252" s="30"/>
      <c r="BR252" s="30"/>
      <c r="BS252" s="30"/>
      <c r="BT252" s="30"/>
      <c r="BU252" s="30"/>
      <c r="BV252" s="30"/>
      <c r="BW252" s="30"/>
      <c r="BX252" s="30"/>
      <c r="BY252" s="30"/>
      <c r="BZ252" s="30"/>
      <c r="CA252" s="30"/>
      <c r="CD252" s="54">
        <v>122</v>
      </c>
      <c r="CE252" s="54"/>
      <c r="CF252" s="54"/>
      <c r="CH252" s="59" t="str">
        <f t="shared" ref="CH252" si="724">AA252</f>
        <v>Bottagisio Leticia</v>
      </c>
      <c r="CI252" s="59"/>
      <c r="CJ252" s="59"/>
      <c r="CK252" s="59"/>
      <c r="CL252" s="59"/>
      <c r="CM252" s="59"/>
      <c r="CN252" s="59"/>
      <c r="CO252" s="59"/>
      <c r="CP252" s="59"/>
      <c r="CQ252" s="59"/>
      <c r="CR252" s="59"/>
      <c r="CS252" s="59"/>
      <c r="CU252" s="24">
        <f t="shared" ref="CU252" si="725">IFERROR(INDEX($BE$10:$BE$269,MATCH(CH252,$BP$10:$BP$269,0)),0)</f>
        <v>1</v>
      </c>
      <c r="CV252" s="24"/>
      <c r="CW252" s="24"/>
    </row>
    <row r="253" spans="5:101" ht="7.5" customHeight="1" x14ac:dyDescent="0.2">
      <c r="E253" s="41"/>
      <c r="F253" s="61"/>
      <c r="G253" s="61"/>
      <c r="H253" s="61"/>
      <c r="I253" s="42"/>
      <c r="J253" s="63"/>
      <c r="K253" s="41"/>
      <c r="L253" s="61"/>
      <c r="M253" s="61"/>
      <c r="N253" s="42"/>
      <c r="O253" s="41"/>
      <c r="P253" s="42"/>
      <c r="Q253" s="41"/>
      <c r="R253" s="42"/>
      <c r="S253" s="41"/>
      <c r="T253" s="42"/>
      <c r="U253" s="41"/>
      <c r="V253" s="61"/>
      <c r="W253" s="61"/>
      <c r="X253" s="61"/>
      <c r="Y253" s="42"/>
      <c r="Z253" s="29"/>
      <c r="AA253" s="29"/>
      <c r="AB253" s="29"/>
      <c r="AC253" s="29"/>
      <c r="AD253" s="29"/>
      <c r="AE253" s="43"/>
      <c r="AF253" s="43"/>
      <c r="AG253" s="44"/>
      <c r="AH253" s="46"/>
      <c r="AI253" s="47"/>
      <c r="AJ253" s="43"/>
      <c r="AK253" s="43"/>
      <c r="AL253" s="43"/>
      <c r="AM253" s="43"/>
      <c r="AN253" s="44"/>
      <c r="AO253" s="46"/>
      <c r="AP253" s="47"/>
      <c r="AQ253" s="43"/>
      <c r="AR253" s="43"/>
      <c r="AS253" s="43"/>
      <c r="AT253" s="43"/>
      <c r="AU253" s="44"/>
      <c r="AV253" s="46"/>
      <c r="AW253" s="47"/>
      <c r="AX253" s="43"/>
      <c r="AY253" s="43"/>
      <c r="AZ253" s="51"/>
      <c r="BA253" s="52"/>
      <c r="BB253" s="52"/>
      <c r="BC253" s="53"/>
      <c r="BE253" s="38"/>
      <c r="BF253" s="38"/>
      <c r="BH253" s="30"/>
      <c r="BI253" s="30"/>
      <c r="BJ253" s="30"/>
      <c r="BK253" s="30"/>
      <c r="BL253" s="30"/>
      <c r="BM253" s="30"/>
      <c r="BN253" s="30"/>
      <c r="BO253" s="30"/>
      <c r="BP253" s="30"/>
      <c r="BQ253" s="30"/>
      <c r="BR253" s="30"/>
      <c r="BS253" s="30"/>
      <c r="BT253" s="30"/>
      <c r="BU253" s="30"/>
      <c r="BV253" s="30"/>
      <c r="BW253" s="30"/>
      <c r="BX253" s="30"/>
      <c r="BY253" s="30"/>
      <c r="BZ253" s="30"/>
      <c r="CA253" s="30"/>
      <c r="CD253" s="55"/>
      <c r="CE253" s="55"/>
      <c r="CF253" s="55"/>
      <c r="CH253" s="56"/>
      <c r="CI253" s="56"/>
      <c r="CJ253" s="56"/>
      <c r="CK253" s="56"/>
      <c r="CL253" s="56"/>
      <c r="CM253" s="56"/>
      <c r="CN253" s="56"/>
      <c r="CO253" s="56"/>
      <c r="CP253" s="56"/>
      <c r="CQ253" s="56"/>
      <c r="CR253" s="56"/>
      <c r="CS253" s="56"/>
      <c r="CU253" s="25"/>
      <c r="CV253" s="25"/>
      <c r="CW253" s="25"/>
    </row>
    <row r="254" spans="5:101" ht="7.5" customHeight="1" x14ac:dyDescent="0.2">
      <c r="E254" s="39">
        <f>IFERROR(IF(BP254="","-",RANK(S254,$S$10:$T$264,0)+RANK(Q254,$Q$10:$R$264,0)%+RANK(O254,$O$10:$P$264,0)%%+ROW()%%%),"-")</f>
        <v>12.131954</v>
      </c>
      <c r="F254" s="60"/>
      <c r="G254" s="60"/>
      <c r="H254" s="60"/>
      <c r="I254" s="40"/>
      <c r="J254" s="62">
        <f>IFERROR(IF(E254="","",RANK(E254,$E$10:$I$264,1)),"-")</f>
        <v>111</v>
      </c>
      <c r="K254" s="39" t="str">
        <f t="shared" ref="K254" si="726">BP254</f>
        <v xml:space="preserve">   </v>
      </c>
      <c r="L254" s="60"/>
      <c r="M254" s="60"/>
      <c r="N254" s="40"/>
      <c r="O254" s="39">
        <f t="shared" ref="O254" si="727">SUM(AE254-AI254)</f>
        <v>0</v>
      </c>
      <c r="P254" s="40"/>
      <c r="Q254" s="39">
        <f t="shared" ref="Q254" si="728">SUM(AL254-AP254)</f>
        <v>0</v>
      </c>
      <c r="R254" s="40"/>
      <c r="S254" s="39">
        <f t="shared" ref="S254" si="729">SUM(AS254-AW254)</f>
        <v>0</v>
      </c>
      <c r="T254" s="40"/>
      <c r="U254" s="39">
        <f>IFERROR(SMALL($E$10:$I$264,123),0)</f>
        <v>124.242352</v>
      </c>
      <c r="V254" s="60"/>
      <c r="W254" s="60"/>
      <c r="X254" s="60"/>
      <c r="Y254" s="40"/>
      <c r="Z254" s="29">
        <f>IFERROR(IF(U254="","",RANK(U254,$U$10:$Y$264,1)),0)</f>
        <v>123</v>
      </c>
      <c r="AA254" s="29" t="str">
        <f>IFERROR(INDEX($K$10:$K$264,MATCH(U254,$E$10:$E$264,0),1),0)</f>
        <v>Clerc Manon</v>
      </c>
      <c r="AB254" s="29"/>
      <c r="AC254" s="29"/>
      <c r="AD254" s="29"/>
      <c r="AE254" s="43"/>
      <c r="AF254" s="43"/>
      <c r="AG254" s="44"/>
      <c r="AH254" s="45" t="s">
        <v>19</v>
      </c>
      <c r="AI254" s="47"/>
      <c r="AJ254" s="43"/>
      <c r="AK254" s="43"/>
      <c r="AL254" s="43"/>
      <c r="AM254" s="43"/>
      <c r="AN254" s="44"/>
      <c r="AO254" s="45" t="s">
        <v>19</v>
      </c>
      <c r="AP254" s="47"/>
      <c r="AQ254" s="43"/>
      <c r="AR254" s="43"/>
      <c r="AS254" s="43"/>
      <c r="AT254" s="43"/>
      <c r="AU254" s="44"/>
      <c r="AV254" s="45" t="s">
        <v>19</v>
      </c>
      <c r="AW254" s="47"/>
      <c r="AX254" s="43"/>
      <c r="AY254" s="43"/>
      <c r="AZ254" s="48">
        <f>IFERROR(IF(E254="","",RANK(E254,$E$10:$I$264,1)),0)</f>
        <v>111</v>
      </c>
      <c r="BA254" s="49"/>
      <c r="BB254" s="49"/>
      <c r="BC254" s="50"/>
      <c r="BE254" s="38"/>
      <c r="BF254" s="38"/>
      <c r="BH254" s="30" t="s">
        <v>142</v>
      </c>
      <c r="BI254" s="30"/>
      <c r="BJ254" s="30"/>
      <c r="BK254" s="30"/>
      <c r="BL254" s="30"/>
      <c r="BM254" s="30"/>
      <c r="BN254" s="30"/>
      <c r="BO254" s="30"/>
      <c r="BP254" s="30" t="str">
        <f>IF(BE254&gt;0,VLOOKUP(BE254,'[3]Infos joueurs'!$B:$BT,11,FALSE)," ")&amp;" "&amp;IF(BE254&gt;0,VLOOKUP(BE254,'[3]Infos joueurs'!$B:$BT,27,FALSE)," ")</f>
        <v xml:space="preserve">   </v>
      </c>
      <c r="BQ254" s="30"/>
      <c r="BR254" s="30"/>
      <c r="BS254" s="30"/>
      <c r="BT254" s="30"/>
      <c r="BU254" s="30"/>
      <c r="BV254" s="30"/>
      <c r="BW254" s="30"/>
      <c r="BX254" s="30"/>
      <c r="BY254" s="30"/>
      <c r="BZ254" s="30"/>
      <c r="CA254" s="30"/>
      <c r="CD254" s="54">
        <v>123</v>
      </c>
      <c r="CE254" s="54"/>
      <c r="CF254" s="54"/>
      <c r="CH254" s="59" t="str">
        <f t="shared" ref="CH254" si="730">AA254</f>
        <v>Clerc Manon</v>
      </c>
      <c r="CI254" s="59"/>
      <c r="CJ254" s="59"/>
      <c r="CK254" s="59"/>
      <c r="CL254" s="59"/>
      <c r="CM254" s="59"/>
      <c r="CN254" s="59"/>
      <c r="CO254" s="59"/>
      <c r="CP254" s="59"/>
      <c r="CQ254" s="59"/>
      <c r="CR254" s="59"/>
      <c r="CS254" s="59"/>
      <c r="CU254" s="24">
        <f t="shared" ref="CU254" si="731">IFERROR(INDEX($BE$10:$BE$269,MATCH(CH254,$BP$10:$BP$269,0)),0)</f>
        <v>24</v>
      </c>
      <c r="CV254" s="24"/>
      <c r="CW254" s="24"/>
    </row>
    <row r="255" spans="5:101" ht="7.5" customHeight="1" x14ac:dyDescent="0.2">
      <c r="E255" s="41"/>
      <c r="F255" s="61"/>
      <c r="G255" s="61"/>
      <c r="H255" s="61"/>
      <c r="I255" s="42"/>
      <c r="J255" s="63"/>
      <c r="K255" s="41"/>
      <c r="L255" s="61"/>
      <c r="M255" s="61"/>
      <c r="N255" s="42"/>
      <c r="O255" s="41"/>
      <c r="P255" s="42"/>
      <c r="Q255" s="41"/>
      <c r="R255" s="42"/>
      <c r="S255" s="41"/>
      <c r="T255" s="42"/>
      <c r="U255" s="41"/>
      <c r="V255" s="61"/>
      <c r="W255" s="61"/>
      <c r="X255" s="61"/>
      <c r="Y255" s="42"/>
      <c r="Z255" s="29"/>
      <c r="AA255" s="29"/>
      <c r="AB255" s="29"/>
      <c r="AC255" s="29"/>
      <c r="AD255" s="29"/>
      <c r="AE255" s="43"/>
      <c r="AF255" s="43"/>
      <c r="AG255" s="44"/>
      <c r="AH255" s="46"/>
      <c r="AI255" s="47"/>
      <c r="AJ255" s="43"/>
      <c r="AK255" s="43"/>
      <c r="AL255" s="43"/>
      <c r="AM255" s="43"/>
      <c r="AN255" s="44"/>
      <c r="AO255" s="46"/>
      <c r="AP255" s="47"/>
      <c r="AQ255" s="43"/>
      <c r="AR255" s="43"/>
      <c r="AS255" s="43"/>
      <c r="AT255" s="43"/>
      <c r="AU255" s="44"/>
      <c r="AV255" s="46"/>
      <c r="AW255" s="47"/>
      <c r="AX255" s="43"/>
      <c r="AY255" s="43"/>
      <c r="AZ255" s="51"/>
      <c r="BA255" s="52"/>
      <c r="BB255" s="52"/>
      <c r="BC255" s="53"/>
      <c r="BE255" s="38"/>
      <c r="BF255" s="38"/>
      <c r="BH255" s="30"/>
      <c r="BI255" s="30"/>
      <c r="BJ255" s="30"/>
      <c r="BK255" s="30"/>
      <c r="BL255" s="30"/>
      <c r="BM255" s="30"/>
      <c r="BN255" s="30"/>
      <c r="BO255" s="30"/>
      <c r="BP255" s="30"/>
      <c r="BQ255" s="30"/>
      <c r="BR255" s="30"/>
      <c r="BS255" s="30"/>
      <c r="BT255" s="30"/>
      <c r="BU255" s="30"/>
      <c r="BV255" s="30"/>
      <c r="BW255" s="30"/>
      <c r="BX255" s="30"/>
      <c r="BY255" s="30"/>
      <c r="BZ255" s="30"/>
      <c r="CA255" s="30"/>
      <c r="CD255" s="55"/>
      <c r="CE255" s="55"/>
      <c r="CF255" s="55"/>
      <c r="CH255" s="56"/>
      <c r="CI255" s="56"/>
      <c r="CJ255" s="56"/>
      <c r="CK255" s="56"/>
      <c r="CL255" s="56"/>
      <c r="CM255" s="56"/>
      <c r="CN255" s="56"/>
      <c r="CO255" s="56"/>
      <c r="CP255" s="56"/>
      <c r="CQ255" s="56"/>
      <c r="CR255" s="56"/>
      <c r="CS255" s="56"/>
      <c r="CU255" s="25"/>
      <c r="CV255" s="25"/>
      <c r="CW255" s="25"/>
    </row>
    <row r="256" spans="5:101" ht="7.5" customHeight="1" x14ac:dyDescent="0.2">
      <c r="E256" s="39">
        <f>IFERROR(IF(BP256="","-",RANK(S256,$S$10:$T$264,0)+RANK(Q256,$Q$10:$R$264,0)%+RANK(O256,$O$10:$P$264,0)%%+ROW()%%%),"-")</f>
        <v>12.131956000000001</v>
      </c>
      <c r="F256" s="60"/>
      <c r="G256" s="60"/>
      <c r="H256" s="60"/>
      <c r="I256" s="40"/>
      <c r="J256" s="62">
        <f>IFERROR(IF(E256="","",RANK(E256,$E$10:$I$264,1)),"-")</f>
        <v>112</v>
      </c>
      <c r="K256" s="39" t="str">
        <f t="shared" ref="K256" si="732">BP256</f>
        <v xml:space="preserve">   </v>
      </c>
      <c r="L256" s="60"/>
      <c r="M256" s="60"/>
      <c r="N256" s="40"/>
      <c r="O256" s="39">
        <f t="shared" ref="O256" si="733">SUM(AE256-AI256)</f>
        <v>0</v>
      </c>
      <c r="P256" s="40"/>
      <c r="Q256" s="39">
        <f t="shared" ref="Q256" si="734">SUM(AL256-AP256)</f>
        <v>0</v>
      </c>
      <c r="R256" s="40"/>
      <c r="S256" s="39">
        <f t="shared" ref="S256" si="735">SUM(AS256-AW256)</f>
        <v>0</v>
      </c>
      <c r="T256" s="40"/>
      <c r="U256" s="39">
        <f>IFERROR(SMALL($E$10:$I$264,124),0)</f>
        <v>124.25246</v>
      </c>
      <c r="V256" s="60"/>
      <c r="W256" s="60"/>
      <c r="X256" s="60"/>
      <c r="Y256" s="40"/>
      <c r="Z256" s="29">
        <f>IFERROR(IF(U256="","",RANK(U256,$U$10:$Y$264,1)),0)</f>
        <v>124</v>
      </c>
      <c r="AA256" s="29" t="str">
        <f>IFERROR(INDEX($K$10:$K$264,MATCH(U256,$E$10:$E$264,0),1),0)</f>
        <v>Weissbrodt Elda</v>
      </c>
      <c r="AB256" s="29"/>
      <c r="AC256" s="29"/>
      <c r="AD256" s="29"/>
      <c r="AE256" s="43"/>
      <c r="AF256" s="43"/>
      <c r="AG256" s="44"/>
      <c r="AH256" s="45" t="s">
        <v>19</v>
      </c>
      <c r="AI256" s="47"/>
      <c r="AJ256" s="43"/>
      <c r="AK256" s="43"/>
      <c r="AL256" s="43"/>
      <c r="AM256" s="43"/>
      <c r="AN256" s="44"/>
      <c r="AO256" s="45" t="s">
        <v>19</v>
      </c>
      <c r="AP256" s="47"/>
      <c r="AQ256" s="43"/>
      <c r="AR256" s="43"/>
      <c r="AS256" s="43"/>
      <c r="AT256" s="43"/>
      <c r="AU256" s="44"/>
      <c r="AV256" s="45" t="s">
        <v>19</v>
      </c>
      <c r="AW256" s="47"/>
      <c r="AX256" s="43"/>
      <c r="AY256" s="43"/>
      <c r="AZ256" s="48">
        <f>IFERROR(IF(E256="","",RANK(E256,$E$10:$I$264,1)),0)</f>
        <v>112</v>
      </c>
      <c r="BA256" s="49"/>
      <c r="BB256" s="49"/>
      <c r="BC256" s="50"/>
      <c r="BE256" s="38"/>
      <c r="BF256" s="38"/>
      <c r="BH256" s="30" t="s">
        <v>143</v>
      </c>
      <c r="BI256" s="30"/>
      <c r="BJ256" s="30"/>
      <c r="BK256" s="30"/>
      <c r="BL256" s="30"/>
      <c r="BM256" s="30"/>
      <c r="BN256" s="30"/>
      <c r="BO256" s="30"/>
      <c r="BP256" s="30" t="str">
        <f>IF(BE256&gt;0,VLOOKUP(BE256,'[3]Infos joueurs'!$B:$BT,11,FALSE)," ")&amp;" "&amp;IF(BE256&gt;0,VLOOKUP(BE256,'[3]Infos joueurs'!$B:$BT,27,FALSE)," ")</f>
        <v xml:space="preserve">   </v>
      </c>
      <c r="BQ256" s="30"/>
      <c r="BR256" s="30"/>
      <c r="BS256" s="30"/>
      <c r="BT256" s="30"/>
      <c r="BU256" s="30"/>
      <c r="BV256" s="30"/>
      <c r="BW256" s="30"/>
      <c r="BX256" s="30"/>
      <c r="BY256" s="30"/>
      <c r="BZ256" s="30"/>
      <c r="CA256" s="30"/>
      <c r="CD256" s="54">
        <v>124</v>
      </c>
      <c r="CE256" s="54"/>
      <c r="CF256" s="54"/>
      <c r="CH256" s="59" t="str">
        <f t="shared" ref="CH256" si="736">AA256</f>
        <v>Weissbrodt Elda</v>
      </c>
      <c r="CI256" s="59"/>
      <c r="CJ256" s="59"/>
      <c r="CK256" s="59"/>
      <c r="CL256" s="59"/>
      <c r="CM256" s="59"/>
      <c r="CN256" s="59"/>
      <c r="CO256" s="59"/>
      <c r="CP256" s="59"/>
      <c r="CQ256" s="59"/>
      <c r="CR256" s="59"/>
      <c r="CS256" s="59"/>
      <c r="CU256" s="24">
        <f t="shared" ref="CU256" si="737">IFERROR(INDEX($BE$10:$BE$269,MATCH(CH256,$BP$10:$BP$269,0)),0)</f>
        <v>25</v>
      </c>
      <c r="CV256" s="24"/>
      <c r="CW256" s="24"/>
    </row>
    <row r="257" spans="5:101" ht="7.5" customHeight="1" x14ac:dyDescent="0.2">
      <c r="E257" s="41"/>
      <c r="F257" s="61"/>
      <c r="G257" s="61"/>
      <c r="H257" s="61"/>
      <c r="I257" s="42"/>
      <c r="J257" s="63"/>
      <c r="K257" s="41"/>
      <c r="L257" s="61"/>
      <c r="M257" s="61"/>
      <c r="N257" s="42"/>
      <c r="O257" s="41"/>
      <c r="P257" s="42"/>
      <c r="Q257" s="41"/>
      <c r="R257" s="42"/>
      <c r="S257" s="41"/>
      <c r="T257" s="42"/>
      <c r="U257" s="41"/>
      <c r="V257" s="61"/>
      <c r="W257" s="61"/>
      <c r="X257" s="61"/>
      <c r="Y257" s="42"/>
      <c r="Z257" s="29"/>
      <c r="AA257" s="29"/>
      <c r="AB257" s="29"/>
      <c r="AC257" s="29"/>
      <c r="AD257" s="29"/>
      <c r="AE257" s="43"/>
      <c r="AF257" s="43"/>
      <c r="AG257" s="44"/>
      <c r="AH257" s="46"/>
      <c r="AI257" s="47"/>
      <c r="AJ257" s="43"/>
      <c r="AK257" s="43"/>
      <c r="AL257" s="43"/>
      <c r="AM257" s="43"/>
      <c r="AN257" s="44"/>
      <c r="AO257" s="46"/>
      <c r="AP257" s="47"/>
      <c r="AQ257" s="43"/>
      <c r="AR257" s="43"/>
      <c r="AS257" s="43"/>
      <c r="AT257" s="43"/>
      <c r="AU257" s="44"/>
      <c r="AV257" s="46"/>
      <c r="AW257" s="47"/>
      <c r="AX257" s="43"/>
      <c r="AY257" s="43"/>
      <c r="AZ257" s="51"/>
      <c r="BA257" s="52"/>
      <c r="BB257" s="52"/>
      <c r="BC257" s="53"/>
      <c r="BE257" s="38"/>
      <c r="BF257" s="38"/>
      <c r="BH257" s="30"/>
      <c r="BI257" s="30"/>
      <c r="BJ257" s="30"/>
      <c r="BK257" s="30"/>
      <c r="BL257" s="30"/>
      <c r="BM257" s="30"/>
      <c r="BN257" s="30"/>
      <c r="BO257" s="30"/>
      <c r="BP257" s="30"/>
      <c r="BQ257" s="30"/>
      <c r="BR257" s="30"/>
      <c r="BS257" s="30"/>
      <c r="BT257" s="30"/>
      <c r="BU257" s="30"/>
      <c r="BV257" s="30"/>
      <c r="BW257" s="30"/>
      <c r="BX257" s="30"/>
      <c r="BY257" s="30"/>
      <c r="BZ257" s="30"/>
      <c r="CA257" s="30"/>
      <c r="CD257" s="55"/>
      <c r="CE257" s="55"/>
      <c r="CF257" s="55"/>
      <c r="CH257" s="56"/>
      <c r="CI257" s="56"/>
      <c r="CJ257" s="56"/>
      <c r="CK257" s="56"/>
      <c r="CL257" s="56"/>
      <c r="CM257" s="56"/>
      <c r="CN257" s="56"/>
      <c r="CO257" s="56"/>
      <c r="CP257" s="56"/>
      <c r="CQ257" s="56"/>
      <c r="CR257" s="56"/>
      <c r="CS257" s="56"/>
      <c r="CU257" s="25"/>
      <c r="CV257" s="25"/>
      <c r="CW257" s="25"/>
    </row>
    <row r="258" spans="5:101" ht="7.5" customHeight="1" x14ac:dyDescent="0.2">
      <c r="E258" s="39">
        <f>IFERROR(IF(BP258="","-",RANK(S258,$S$10:$T$264,0)+RANK(Q258,$Q$10:$R$264,0)%+RANK(O258,$O$10:$P$264,0)%%+ROW()%%%),"-")</f>
        <v>12.131958000000001</v>
      </c>
      <c r="F258" s="60"/>
      <c r="G258" s="60"/>
      <c r="H258" s="60"/>
      <c r="I258" s="40"/>
      <c r="J258" s="62">
        <f>IFERROR(IF(E258="","",RANK(E258,$E$10:$I$264,1)),"-")</f>
        <v>113</v>
      </c>
      <c r="K258" s="39" t="str">
        <f t="shared" ref="K258" si="738">BP258</f>
        <v xml:space="preserve">   </v>
      </c>
      <c r="L258" s="60"/>
      <c r="M258" s="60"/>
      <c r="N258" s="40"/>
      <c r="O258" s="39">
        <f t="shared" ref="O258" si="739">SUM(AE258-AI258)</f>
        <v>0</v>
      </c>
      <c r="P258" s="40"/>
      <c r="Q258" s="39">
        <f t="shared" ref="Q258" si="740">SUM(AL258-AP258)</f>
        <v>0</v>
      </c>
      <c r="R258" s="40"/>
      <c r="S258" s="39">
        <f t="shared" ref="S258" si="741">SUM(AS258-AW258)</f>
        <v>0</v>
      </c>
      <c r="T258" s="40"/>
      <c r="U258" s="39">
        <f>IFERROR(SMALL($E$10:$I$264,125),0)</f>
        <v>124.25251799999999</v>
      </c>
      <c r="V258" s="60"/>
      <c r="W258" s="60"/>
      <c r="X258" s="60"/>
      <c r="Y258" s="40"/>
      <c r="Z258" s="29">
        <f>IFERROR(IF(U258="","",RANK(U258,$U$10:$Y$264,1)),0)</f>
        <v>125</v>
      </c>
      <c r="AA258" s="29" t="str">
        <f>IFERROR(INDEX($K$10:$K$264,MATCH(U258,$E$10:$E$264,0),1),0)</f>
        <v>Blazques Esteban</v>
      </c>
      <c r="AB258" s="29"/>
      <c r="AC258" s="29"/>
      <c r="AD258" s="29"/>
      <c r="AE258" s="43"/>
      <c r="AF258" s="43"/>
      <c r="AG258" s="44"/>
      <c r="AH258" s="45" t="s">
        <v>19</v>
      </c>
      <c r="AI258" s="47"/>
      <c r="AJ258" s="43"/>
      <c r="AK258" s="43"/>
      <c r="AL258" s="43"/>
      <c r="AM258" s="43"/>
      <c r="AN258" s="44"/>
      <c r="AO258" s="45" t="s">
        <v>19</v>
      </c>
      <c r="AP258" s="47"/>
      <c r="AQ258" s="43"/>
      <c r="AR258" s="43"/>
      <c r="AS258" s="43"/>
      <c r="AT258" s="43"/>
      <c r="AU258" s="44"/>
      <c r="AV258" s="45" t="s">
        <v>19</v>
      </c>
      <c r="AW258" s="47"/>
      <c r="AX258" s="43"/>
      <c r="AY258" s="43"/>
      <c r="AZ258" s="48">
        <f>IFERROR(IF(E258="","",RANK(E258,$E$10:$I$264,1)),0)</f>
        <v>113</v>
      </c>
      <c r="BA258" s="49"/>
      <c r="BB258" s="49"/>
      <c r="BC258" s="50"/>
      <c r="BE258" s="38"/>
      <c r="BF258" s="38"/>
      <c r="BH258" s="30" t="s">
        <v>144</v>
      </c>
      <c r="BI258" s="30"/>
      <c r="BJ258" s="30"/>
      <c r="BK258" s="30"/>
      <c r="BL258" s="30"/>
      <c r="BM258" s="30"/>
      <c r="BN258" s="30"/>
      <c r="BO258" s="30"/>
      <c r="BP258" s="30" t="str">
        <f>IF(BE258&gt;0,VLOOKUP(BE258,'[3]Infos joueurs'!$B:$BT,11,FALSE)," ")&amp;" "&amp;IF(BE258&gt;0,VLOOKUP(BE258,'[3]Infos joueurs'!$B:$BT,27,FALSE)," ")</f>
        <v xml:space="preserve">   </v>
      </c>
      <c r="BQ258" s="30"/>
      <c r="BR258" s="30"/>
      <c r="BS258" s="30"/>
      <c r="BT258" s="30"/>
      <c r="BU258" s="30"/>
      <c r="BV258" s="30"/>
      <c r="BW258" s="30"/>
      <c r="BX258" s="30"/>
      <c r="BY258" s="30"/>
      <c r="BZ258" s="30"/>
      <c r="CA258" s="30"/>
      <c r="CD258" s="54">
        <v>125</v>
      </c>
      <c r="CE258" s="54"/>
      <c r="CF258" s="54"/>
      <c r="CH258" s="59" t="str">
        <f t="shared" ref="CH258" si="742">AA258</f>
        <v>Blazques Esteban</v>
      </c>
      <c r="CI258" s="59"/>
      <c r="CJ258" s="59"/>
      <c r="CK258" s="59"/>
      <c r="CL258" s="59"/>
      <c r="CM258" s="59"/>
      <c r="CN258" s="59"/>
      <c r="CO258" s="59"/>
      <c r="CP258" s="59"/>
      <c r="CQ258" s="59"/>
      <c r="CR258" s="59"/>
      <c r="CS258" s="59"/>
      <c r="CU258" s="24">
        <f t="shared" ref="CU258" si="743">IFERROR(INDEX($BE$10:$BE$269,MATCH(CH258,$BP$10:$BP$269,0)),0)</f>
        <v>11</v>
      </c>
      <c r="CV258" s="24"/>
      <c r="CW258" s="24"/>
    </row>
    <row r="259" spans="5:101" ht="7.5" customHeight="1" x14ac:dyDescent="0.2">
      <c r="E259" s="41"/>
      <c r="F259" s="61"/>
      <c r="G259" s="61"/>
      <c r="H259" s="61"/>
      <c r="I259" s="42"/>
      <c r="J259" s="63"/>
      <c r="K259" s="41"/>
      <c r="L259" s="61"/>
      <c r="M259" s="61"/>
      <c r="N259" s="42"/>
      <c r="O259" s="41"/>
      <c r="P259" s="42"/>
      <c r="Q259" s="41"/>
      <c r="R259" s="42"/>
      <c r="S259" s="41"/>
      <c r="T259" s="42"/>
      <c r="U259" s="41"/>
      <c r="V259" s="61"/>
      <c r="W259" s="61"/>
      <c r="X259" s="61"/>
      <c r="Y259" s="42"/>
      <c r="Z259" s="29"/>
      <c r="AA259" s="29"/>
      <c r="AB259" s="29"/>
      <c r="AC259" s="29"/>
      <c r="AD259" s="29"/>
      <c r="AE259" s="43"/>
      <c r="AF259" s="43"/>
      <c r="AG259" s="44"/>
      <c r="AH259" s="46"/>
      <c r="AI259" s="47"/>
      <c r="AJ259" s="43"/>
      <c r="AK259" s="43"/>
      <c r="AL259" s="43"/>
      <c r="AM259" s="43"/>
      <c r="AN259" s="44"/>
      <c r="AO259" s="46"/>
      <c r="AP259" s="47"/>
      <c r="AQ259" s="43"/>
      <c r="AR259" s="43"/>
      <c r="AS259" s="43"/>
      <c r="AT259" s="43"/>
      <c r="AU259" s="44"/>
      <c r="AV259" s="46"/>
      <c r="AW259" s="47"/>
      <c r="AX259" s="43"/>
      <c r="AY259" s="43"/>
      <c r="AZ259" s="51"/>
      <c r="BA259" s="52"/>
      <c r="BB259" s="52"/>
      <c r="BC259" s="53"/>
      <c r="BE259" s="38"/>
      <c r="BF259" s="38"/>
      <c r="BH259" s="30"/>
      <c r="BI259" s="30"/>
      <c r="BJ259" s="30"/>
      <c r="BK259" s="30"/>
      <c r="BL259" s="30"/>
      <c r="BM259" s="30"/>
      <c r="BN259" s="30"/>
      <c r="BO259" s="30"/>
      <c r="BP259" s="30"/>
      <c r="BQ259" s="30"/>
      <c r="BR259" s="30"/>
      <c r="BS259" s="30"/>
      <c r="BT259" s="30"/>
      <c r="BU259" s="30"/>
      <c r="BV259" s="30"/>
      <c r="BW259" s="30"/>
      <c r="BX259" s="30"/>
      <c r="BY259" s="30"/>
      <c r="BZ259" s="30"/>
      <c r="CA259" s="30"/>
      <c r="CD259" s="55"/>
      <c r="CE259" s="55"/>
      <c r="CF259" s="55"/>
      <c r="CH259" s="56"/>
      <c r="CI259" s="56"/>
      <c r="CJ259" s="56"/>
      <c r="CK259" s="56"/>
      <c r="CL259" s="56"/>
      <c r="CM259" s="56"/>
      <c r="CN259" s="56"/>
      <c r="CO259" s="56"/>
      <c r="CP259" s="56"/>
      <c r="CQ259" s="56"/>
      <c r="CR259" s="56"/>
      <c r="CS259" s="56"/>
      <c r="CU259" s="25"/>
      <c r="CV259" s="25"/>
      <c r="CW259" s="25"/>
    </row>
    <row r="260" spans="5:101" ht="7.5" customHeight="1" x14ac:dyDescent="0.2">
      <c r="E260" s="39">
        <f>IFERROR(IF(BP260="","-",RANK(S260,$S$10:$T$264,0)+RANK(Q260,$Q$10:$R$264,0)%+RANK(O260,$O$10:$P$264,0)%%+ROW()%%%),"-")</f>
        <v>12.131960000000001</v>
      </c>
      <c r="F260" s="60"/>
      <c r="G260" s="60"/>
      <c r="H260" s="60"/>
      <c r="I260" s="40"/>
      <c r="J260" s="62">
        <f>IFERROR(IF(E260="","",RANK(E260,$E$10:$I$264,1)),"-")</f>
        <v>114</v>
      </c>
      <c r="K260" s="39" t="str">
        <f t="shared" ref="K260" si="744">BP260</f>
        <v xml:space="preserve">   </v>
      </c>
      <c r="L260" s="60"/>
      <c r="M260" s="60"/>
      <c r="N260" s="40"/>
      <c r="O260" s="39">
        <f t="shared" ref="O260" si="745">SUM(AE260-AI260)</f>
        <v>0</v>
      </c>
      <c r="P260" s="40"/>
      <c r="Q260" s="39">
        <f t="shared" ref="Q260" si="746">SUM(AL260-AP260)</f>
        <v>0</v>
      </c>
      <c r="R260" s="40"/>
      <c r="S260" s="39">
        <f t="shared" ref="S260" si="747">SUM(AS260-AW260)</f>
        <v>0</v>
      </c>
      <c r="T260" s="40"/>
      <c r="U260" s="39">
        <f>IFERROR(SMALL($E$10:$I$264,126),0)</f>
        <v>124.252526</v>
      </c>
      <c r="V260" s="60"/>
      <c r="W260" s="60"/>
      <c r="X260" s="60"/>
      <c r="Y260" s="40"/>
      <c r="Z260" s="29">
        <f>IFERROR(IF(U260="","",RANK(U260,$U$10:$Y$264,1)),0)</f>
        <v>126</v>
      </c>
      <c r="AA260" s="29" t="str">
        <f>IFERROR(INDEX($K$10:$K$264,MATCH(U260,$E$10:$E$264,0),1),0)</f>
        <v>Riard Noa</v>
      </c>
      <c r="AB260" s="29"/>
      <c r="AC260" s="29"/>
      <c r="AD260" s="29"/>
      <c r="AE260" s="43"/>
      <c r="AF260" s="43"/>
      <c r="AG260" s="44"/>
      <c r="AH260" s="45" t="s">
        <v>19</v>
      </c>
      <c r="AI260" s="47"/>
      <c r="AJ260" s="43"/>
      <c r="AK260" s="43"/>
      <c r="AL260" s="43"/>
      <c r="AM260" s="43"/>
      <c r="AN260" s="44"/>
      <c r="AO260" s="45" t="s">
        <v>19</v>
      </c>
      <c r="AP260" s="47"/>
      <c r="AQ260" s="43"/>
      <c r="AR260" s="43"/>
      <c r="AS260" s="43"/>
      <c r="AT260" s="43"/>
      <c r="AU260" s="44"/>
      <c r="AV260" s="45" t="s">
        <v>19</v>
      </c>
      <c r="AW260" s="47"/>
      <c r="AX260" s="43"/>
      <c r="AY260" s="43"/>
      <c r="AZ260" s="48">
        <f>IFERROR(IF(E260="","",RANK(E260,$E$10:$I$264,1)),0)</f>
        <v>114</v>
      </c>
      <c r="BA260" s="49"/>
      <c r="BB260" s="49"/>
      <c r="BC260" s="50"/>
      <c r="BE260" s="38"/>
      <c r="BF260" s="38"/>
      <c r="BH260" s="30" t="s">
        <v>145</v>
      </c>
      <c r="BI260" s="30"/>
      <c r="BJ260" s="30"/>
      <c r="BK260" s="30"/>
      <c r="BL260" s="30"/>
      <c r="BM260" s="30"/>
      <c r="BN260" s="30"/>
      <c r="BO260" s="30"/>
      <c r="BP260" s="30" t="str">
        <f>IF(BE260&gt;0,VLOOKUP(BE260,'[3]Infos joueurs'!$B:$BT,11,FALSE)," ")&amp;" "&amp;IF(BE260&gt;0,VLOOKUP(BE260,'[3]Infos joueurs'!$B:$BT,27,FALSE)," ")</f>
        <v xml:space="preserve">   </v>
      </c>
      <c r="BQ260" s="30"/>
      <c r="BR260" s="30"/>
      <c r="BS260" s="30"/>
      <c r="BT260" s="30"/>
      <c r="BU260" s="30"/>
      <c r="BV260" s="30"/>
      <c r="BW260" s="30"/>
      <c r="BX260" s="30"/>
      <c r="BY260" s="30"/>
      <c r="BZ260" s="30"/>
      <c r="CA260" s="30"/>
      <c r="CD260" s="54">
        <v>126</v>
      </c>
      <c r="CE260" s="54"/>
      <c r="CF260" s="54"/>
      <c r="CH260" s="59" t="str">
        <f t="shared" ref="CH260" si="748">AA260</f>
        <v>Riard Noa</v>
      </c>
      <c r="CI260" s="59"/>
      <c r="CJ260" s="59"/>
      <c r="CK260" s="59"/>
      <c r="CL260" s="59"/>
      <c r="CM260" s="59"/>
      <c r="CN260" s="59"/>
      <c r="CO260" s="59"/>
      <c r="CP260" s="59"/>
      <c r="CQ260" s="59"/>
      <c r="CR260" s="59"/>
      <c r="CS260" s="59"/>
      <c r="CU260" s="24">
        <f t="shared" ref="CU260" si="749">IFERROR(INDEX($BE$10:$BE$269,MATCH(CH260,$BP$10:$BP$269,0)),0)</f>
        <v>22</v>
      </c>
      <c r="CV260" s="24"/>
      <c r="CW260" s="24"/>
    </row>
    <row r="261" spans="5:101" ht="7.5" customHeight="1" x14ac:dyDescent="0.2">
      <c r="E261" s="41"/>
      <c r="F261" s="61"/>
      <c r="G261" s="61"/>
      <c r="H261" s="61"/>
      <c r="I261" s="42"/>
      <c r="J261" s="63"/>
      <c r="K261" s="41"/>
      <c r="L261" s="61"/>
      <c r="M261" s="61"/>
      <c r="N261" s="42"/>
      <c r="O261" s="41"/>
      <c r="P261" s="42"/>
      <c r="Q261" s="41"/>
      <c r="R261" s="42"/>
      <c r="S261" s="41"/>
      <c r="T261" s="42"/>
      <c r="U261" s="41"/>
      <c r="V261" s="61"/>
      <c r="W261" s="61"/>
      <c r="X261" s="61"/>
      <c r="Y261" s="42"/>
      <c r="Z261" s="29"/>
      <c r="AA261" s="29"/>
      <c r="AB261" s="29"/>
      <c r="AC261" s="29"/>
      <c r="AD261" s="29"/>
      <c r="AE261" s="43"/>
      <c r="AF261" s="43"/>
      <c r="AG261" s="44"/>
      <c r="AH261" s="46"/>
      <c r="AI261" s="47"/>
      <c r="AJ261" s="43"/>
      <c r="AK261" s="43"/>
      <c r="AL261" s="43"/>
      <c r="AM261" s="43"/>
      <c r="AN261" s="44"/>
      <c r="AO261" s="46"/>
      <c r="AP261" s="47"/>
      <c r="AQ261" s="43"/>
      <c r="AR261" s="43"/>
      <c r="AS261" s="43"/>
      <c r="AT261" s="43"/>
      <c r="AU261" s="44"/>
      <c r="AV261" s="46"/>
      <c r="AW261" s="47"/>
      <c r="AX261" s="43"/>
      <c r="AY261" s="43"/>
      <c r="AZ261" s="51"/>
      <c r="BA261" s="52"/>
      <c r="BB261" s="52"/>
      <c r="BC261" s="53"/>
      <c r="BE261" s="38"/>
      <c r="BF261" s="38"/>
      <c r="BH261" s="30"/>
      <c r="BI261" s="30"/>
      <c r="BJ261" s="30"/>
      <c r="BK261" s="30"/>
      <c r="BL261" s="30"/>
      <c r="BM261" s="30"/>
      <c r="BN261" s="30"/>
      <c r="BO261" s="30"/>
      <c r="BP261" s="30"/>
      <c r="BQ261" s="30"/>
      <c r="BR261" s="30"/>
      <c r="BS261" s="30"/>
      <c r="BT261" s="30"/>
      <c r="BU261" s="30"/>
      <c r="BV261" s="30"/>
      <c r="BW261" s="30"/>
      <c r="BX261" s="30"/>
      <c r="BY261" s="30"/>
      <c r="BZ261" s="30"/>
      <c r="CA261" s="30"/>
      <c r="CD261" s="55"/>
      <c r="CE261" s="55"/>
      <c r="CF261" s="55"/>
      <c r="CH261" s="56"/>
      <c r="CI261" s="56"/>
      <c r="CJ261" s="56"/>
      <c r="CK261" s="56"/>
      <c r="CL261" s="56"/>
      <c r="CM261" s="56"/>
      <c r="CN261" s="56"/>
      <c r="CO261" s="56"/>
      <c r="CP261" s="56"/>
      <c r="CQ261" s="56"/>
      <c r="CR261" s="56"/>
      <c r="CS261" s="56"/>
      <c r="CU261" s="25"/>
      <c r="CV261" s="25"/>
      <c r="CW261" s="25"/>
    </row>
    <row r="262" spans="5:101" ht="7.5" customHeight="1" x14ac:dyDescent="0.2">
      <c r="E262" s="39">
        <f>IFERROR(IF(BP262="","-",RANK(S262,$S$10:$T$264,0)+RANK(Q262,$Q$10:$R$264,0)%+RANK(O262,$O$10:$P$264,0)%%+ROW()%%%),"-")</f>
        <v>12.131962</v>
      </c>
      <c r="F262" s="60"/>
      <c r="G262" s="60"/>
      <c r="H262" s="60"/>
      <c r="I262" s="40"/>
      <c r="J262" s="62">
        <f>IFERROR(IF(E262="","",RANK(E262,$E$10:$I$264,1)),"-")</f>
        <v>115</v>
      </c>
      <c r="K262" s="39" t="str">
        <f t="shared" ref="K262" si="750">BP262</f>
        <v xml:space="preserve">   </v>
      </c>
      <c r="L262" s="60"/>
      <c r="M262" s="60"/>
      <c r="N262" s="40"/>
      <c r="O262" s="39">
        <f t="shared" ref="O262" si="751">SUM(AE262-AI262)</f>
        <v>0</v>
      </c>
      <c r="P262" s="40"/>
      <c r="Q262" s="39">
        <f t="shared" ref="Q262" si="752">SUM(AL262-AP262)</f>
        <v>0</v>
      </c>
      <c r="R262" s="40"/>
      <c r="S262" s="39">
        <f t="shared" ref="S262" si="753">SUM(AS262-AW262)</f>
        <v>0</v>
      </c>
      <c r="T262" s="40"/>
      <c r="U262" s="39">
        <f>IFERROR(SMALL($E$10:$I$264,127),0)</f>
        <v>124.25253599999999</v>
      </c>
      <c r="V262" s="60"/>
      <c r="W262" s="60"/>
      <c r="X262" s="60"/>
      <c r="Y262" s="40"/>
      <c r="Z262" s="29">
        <f>IFERROR(IF(U262="","",RANK(U262,$U$10:$Y$264,1)),0)</f>
        <v>127</v>
      </c>
      <c r="AA262" s="29" t="str">
        <f>IFERROR(INDEX($K$10:$K$264,MATCH(U262,$E$10:$E$264,0),1),0)</f>
        <v>Debons Elie</v>
      </c>
      <c r="AB262" s="29"/>
      <c r="AC262" s="29"/>
      <c r="AD262" s="29"/>
      <c r="AE262" s="43"/>
      <c r="AF262" s="43"/>
      <c r="AG262" s="44"/>
      <c r="AH262" s="45" t="s">
        <v>19</v>
      </c>
      <c r="AI262" s="47"/>
      <c r="AJ262" s="43"/>
      <c r="AK262" s="43"/>
      <c r="AL262" s="43"/>
      <c r="AM262" s="43"/>
      <c r="AN262" s="44"/>
      <c r="AO262" s="45" t="s">
        <v>19</v>
      </c>
      <c r="AP262" s="47"/>
      <c r="AQ262" s="43"/>
      <c r="AR262" s="43"/>
      <c r="AS262" s="43"/>
      <c r="AT262" s="43"/>
      <c r="AU262" s="44"/>
      <c r="AV262" s="45" t="s">
        <v>19</v>
      </c>
      <c r="AW262" s="47"/>
      <c r="AX262" s="43"/>
      <c r="AY262" s="43"/>
      <c r="AZ262" s="48">
        <f>IFERROR(IF(E262="","",RANK(E262,$E$10:$I$264,1)),0)</f>
        <v>115</v>
      </c>
      <c r="BA262" s="49"/>
      <c r="BB262" s="49"/>
      <c r="BC262" s="50"/>
      <c r="BE262" s="38"/>
      <c r="BF262" s="38"/>
      <c r="BH262" s="30" t="s">
        <v>146</v>
      </c>
      <c r="BI262" s="30"/>
      <c r="BJ262" s="30"/>
      <c r="BK262" s="30"/>
      <c r="BL262" s="30"/>
      <c r="BM262" s="30"/>
      <c r="BN262" s="30"/>
      <c r="BO262" s="30"/>
      <c r="BP262" s="30" t="str">
        <f>IF(BE262&gt;0,VLOOKUP(BE262,'[3]Infos joueurs'!$B:$BT,11,FALSE)," ")&amp;" "&amp;IF(BE262&gt;0,VLOOKUP(BE262,'[3]Infos joueurs'!$B:$BT,27,FALSE)," ")</f>
        <v xml:space="preserve">   </v>
      </c>
      <c r="BQ262" s="30"/>
      <c r="BR262" s="30"/>
      <c r="BS262" s="30"/>
      <c r="BT262" s="30"/>
      <c r="BU262" s="30"/>
      <c r="BV262" s="30"/>
      <c r="BW262" s="30"/>
      <c r="BX262" s="30"/>
      <c r="BY262" s="30"/>
      <c r="BZ262" s="30"/>
      <c r="CA262" s="30"/>
      <c r="CD262" s="54">
        <v>127</v>
      </c>
      <c r="CE262" s="54"/>
      <c r="CF262" s="54"/>
      <c r="CH262" s="59" t="str">
        <f t="shared" ref="CH262" si="754">AA262</f>
        <v>Debons Elie</v>
      </c>
      <c r="CI262" s="59"/>
      <c r="CJ262" s="59"/>
      <c r="CK262" s="59"/>
      <c r="CL262" s="59"/>
      <c r="CM262" s="59"/>
      <c r="CN262" s="59"/>
      <c r="CO262" s="59"/>
      <c r="CP262" s="59"/>
      <c r="CQ262" s="59"/>
      <c r="CR262" s="59"/>
      <c r="CS262" s="59"/>
      <c r="CU262" s="24">
        <f t="shared" ref="CU262" si="755">IFERROR(INDEX($BE$10:$BE$269,MATCH(CH262,$BP$10:$BP$269,0)),0)</f>
        <v>5</v>
      </c>
      <c r="CV262" s="24"/>
      <c r="CW262" s="24"/>
    </row>
    <row r="263" spans="5:101" ht="7.5" customHeight="1" x14ac:dyDescent="0.2">
      <c r="E263" s="41"/>
      <c r="F263" s="61"/>
      <c r="G263" s="61"/>
      <c r="H263" s="61"/>
      <c r="I263" s="42"/>
      <c r="J263" s="63"/>
      <c r="K263" s="41"/>
      <c r="L263" s="61"/>
      <c r="M263" s="61"/>
      <c r="N263" s="42"/>
      <c r="O263" s="41"/>
      <c r="P263" s="42"/>
      <c r="Q263" s="41"/>
      <c r="R263" s="42"/>
      <c r="S263" s="41"/>
      <c r="T263" s="42"/>
      <c r="U263" s="41"/>
      <c r="V263" s="61"/>
      <c r="W263" s="61"/>
      <c r="X263" s="61"/>
      <c r="Y263" s="42"/>
      <c r="Z263" s="29"/>
      <c r="AA263" s="29"/>
      <c r="AB263" s="29"/>
      <c r="AC263" s="29"/>
      <c r="AD263" s="29"/>
      <c r="AE263" s="43"/>
      <c r="AF263" s="43"/>
      <c r="AG263" s="44"/>
      <c r="AH263" s="46"/>
      <c r="AI263" s="47"/>
      <c r="AJ263" s="43"/>
      <c r="AK263" s="43"/>
      <c r="AL263" s="43"/>
      <c r="AM263" s="43"/>
      <c r="AN263" s="44"/>
      <c r="AO263" s="46"/>
      <c r="AP263" s="47"/>
      <c r="AQ263" s="43"/>
      <c r="AR263" s="43"/>
      <c r="AS263" s="43"/>
      <c r="AT263" s="43"/>
      <c r="AU263" s="44"/>
      <c r="AV263" s="46"/>
      <c r="AW263" s="47"/>
      <c r="AX263" s="43"/>
      <c r="AY263" s="43"/>
      <c r="AZ263" s="51"/>
      <c r="BA263" s="52"/>
      <c r="BB263" s="52"/>
      <c r="BC263" s="53"/>
      <c r="BE263" s="38"/>
      <c r="BF263" s="38"/>
      <c r="BH263" s="30"/>
      <c r="BI263" s="30"/>
      <c r="BJ263" s="30"/>
      <c r="BK263" s="30"/>
      <c r="BL263" s="30"/>
      <c r="BM263" s="30"/>
      <c r="BN263" s="30"/>
      <c r="BO263" s="30"/>
      <c r="BP263" s="30"/>
      <c r="BQ263" s="30"/>
      <c r="BR263" s="30"/>
      <c r="BS263" s="30"/>
      <c r="BT263" s="30"/>
      <c r="BU263" s="30"/>
      <c r="BV263" s="30"/>
      <c r="BW263" s="30"/>
      <c r="BX263" s="30"/>
      <c r="BY263" s="30"/>
      <c r="BZ263" s="30"/>
      <c r="CA263" s="30"/>
      <c r="CD263" s="55"/>
      <c r="CE263" s="55"/>
      <c r="CF263" s="55"/>
      <c r="CH263" s="56"/>
      <c r="CI263" s="56"/>
      <c r="CJ263" s="56"/>
      <c r="CK263" s="56"/>
      <c r="CL263" s="56"/>
      <c r="CM263" s="56"/>
      <c r="CN263" s="56"/>
      <c r="CO263" s="56"/>
      <c r="CP263" s="56"/>
      <c r="CQ263" s="56"/>
      <c r="CR263" s="56"/>
      <c r="CS263" s="56"/>
      <c r="CU263" s="25"/>
      <c r="CV263" s="25"/>
      <c r="CW263" s="25"/>
    </row>
    <row r="264" spans="5:101" ht="7.5" customHeight="1" x14ac:dyDescent="0.2">
      <c r="E264" s="39">
        <f>IFERROR(IF(BP264="","-",RANK(S264,$S$10:$T$264,0)+RANK(Q264,$Q$10:$R$264,0)%+RANK(O264,$O$10:$P$264,0)%%+ROW()%%%),"-")</f>
        <v>12.131964</v>
      </c>
      <c r="F264" s="60"/>
      <c r="G264" s="60"/>
      <c r="H264" s="60"/>
      <c r="I264" s="40"/>
      <c r="J264" s="62">
        <f>IFERROR(IF(E264="","",RANK(E264,$E$10:$I$264,1)),"-")</f>
        <v>116</v>
      </c>
      <c r="K264" s="39" t="str">
        <f t="shared" ref="K264" si="756">BP264</f>
        <v xml:space="preserve">   </v>
      </c>
      <c r="L264" s="60"/>
      <c r="M264" s="60"/>
      <c r="N264" s="40"/>
      <c r="O264" s="39">
        <f t="shared" ref="O264" si="757">SUM(AE264-AI264)</f>
        <v>0</v>
      </c>
      <c r="P264" s="40"/>
      <c r="Q264" s="39">
        <f t="shared" ref="Q264" si="758">SUM(AL264-AP264)</f>
        <v>0</v>
      </c>
      <c r="R264" s="40"/>
      <c r="S264" s="39">
        <f t="shared" ref="S264" si="759">SUM(AS264-AW264)</f>
        <v>0</v>
      </c>
      <c r="T264" s="40"/>
      <c r="U264" s="39">
        <f>IFERROR(SMALL($E$10:$I$264,128),0)</f>
        <v>124.25254199999999</v>
      </c>
      <c r="V264" s="60"/>
      <c r="W264" s="60"/>
      <c r="X264" s="60"/>
      <c r="Y264" s="40"/>
      <c r="Z264" s="29">
        <f>IFERROR(IF(U264="","",RANK(U264,$U$10:$Y$264,1)),0)</f>
        <v>128</v>
      </c>
      <c r="AA264" s="29" t="str">
        <f>IFERROR(INDEX($K$10:$K$264,MATCH(U264,$E$10:$E$264,0),1),0)</f>
        <v>Ruchet Jérémy</v>
      </c>
      <c r="AB264" s="29"/>
      <c r="AC264" s="29"/>
      <c r="AD264" s="29"/>
      <c r="AE264" s="43"/>
      <c r="AF264" s="43"/>
      <c r="AG264" s="44"/>
      <c r="AH264" s="45" t="s">
        <v>19</v>
      </c>
      <c r="AI264" s="47"/>
      <c r="AJ264" s="43"/>
      <c r="AK264" s="43"/>
      <c r="AL264" s="43"/>
      <c r="AM264" s="43"/>
      <c r="AN264" s="44"/>
      <c r="AO264" s="45" t="s">
        <v>19</v>
      </c>
      <c r="AP264" s="47"/>
      <c r="AQ264" s="43"/>
      <c r="AR264" s="43"/>
      <c r="AS264" s="43"/>
      <c r="AT264" s="43"/>
      <c r="AU264" s="44"/>
      <c r="AV264" s="45" t="s">
        <v>19</v>
      </c>
      <c r="AW264" s="47"/>
      <c r="AX264" s="43"/>
      <c r="AY264" s="43"/>
      <c r="AZ264" s="48">
        <f>IFERROR(IF(E264="","",RANK(E264,$E$10:$I$264,1)),0)</f>
        <v>116</v>
      </c>
      <c r="BA264" s="49"/>
      <c r="BB264" s="49"/>
      <c r="BC264" s="50"/>
      <c r="BE264" s="38"/>
      <c r="BF264" s="38"/>
      <c r="BH264" s="30" t="s">
        <v>147</v>
      </c>
      <c r="BI264" s="30"/>
      <c r="BJ264" s="30"/>
      <c r="BK264" s="30"/>
      <c r="BL264" s="30"/>
      <c r="BM264" s="30"/>
      <c r="BN264" s="30"/>
      <c r="BO264" s="30"/>
      <c r="BP264" s="30" t="str">
        <f>IF(BE264&gt;0,VLOOKUP(BE264,'[3]Infos joueurs'!$B:$BT,11,FALSE)," ")&amp;" "&amp;IF(BE264&gt;0,VLOOKUP(BE264,'[3]Infos joueurs'!$B:$BT,27,FALSE)," ")</f>
        <v xml:space="preserve">   </v>
      </c>
      <c r="BQ264" s="30"/>
      <c r="BR264" s="30"/>
      <c r="BS264" s="30"/>
      <c r="BT264" s="30"/>
      <c r="BU264" s="30"/>
      <c r="BV264" s="30"/>
      <c r="BW264" s="30"/>
      <c r="BX264" s="30"/>
      <c r="BY264" s="30"/>
      <c r="BZ264" s="30"/>
      <c r="CA264" s="30"/>
      <c r="CD264" s="54">
        <v>128</v>
      </c>
      <c r="CE264" s="54"/>
      <c r="CF264" s="54"/>
      <c r="CH264" s="59" t="str">
        <f t="shared" ref="CH264" si="760">AA264</f>
        <v>Ruchet Jérémy</v>
      </c>
      <c r="CI264" s="59"/>
      <c r="CJ264" s="59"/>
      <c r="CK264" s="59"/>
      <c r="CL264" s="59"/>
      <c r="CM264" s="59"/>
      <c r="CN264" s="59"/>
      <c r="CO264" s="59"/>
      <c r="CP264" s="59"/>
      <c r="CQ264" s="59"/>
      <c r="CR264" s="59"/>
      <c r="CS264" s="59"/>
      <c r="CU264" s="24">
        <f t="shared" ref="CU264" si="761">IFERROR(INDEX($BE$10:$BE$269,MATCH(CH264,$BP$10:$BP$269,0)),0)</f>
        <v>18</v>
      </c>
      <c r="CV264" s="24"/>
      <c r="CW264" s="24"/>
    </row>
    <row r="265" spans="5:101" ht="7.5" customHeight="1" x14ac:dyDescent="0.2">
      <c r="E265" s="41"/>
      <c r="F265" s="61"/>
      <c r="G265" s="61"/>
      <c r="H265" s="61"/>
      <c r="I265" s="42"/>
      <c r="J265" s="63"/>
      <c r="K265" s="41"/>
      <c r="L265" s="61"/>
      <c r="M265" s="61"/>
      <c r="N265" s="42"/>
      <c r="O265" s="41"/>
      <c r="P265" s="42"/>
      <c r="Q265" s="41"/>
      <c r="R265" s="42"/>
      <c r="S265" s="41"/>
      <c r="T265" s="42"/>
      <c r="U265" s="41"/>
      <c r="V265" s="61"/>
      <c r="W265" s="61"/>
      <c r="X265" s="61"/>
      <c r="Y265" s="42"/>
      <c r="Z265" s="29"/>
      <c r="AA265" s="29"/>
      <c r="AB265" s="29"/>
      <c r="AC265" s="29"/>
      <c r="AD265" s="29"/>
      <c r="AE265" s="43"/>
      <c r="AF265" s="43"/>
      <c r="AG265" s="44"/>
      <c r="AH265" s="46"/>
      <c r="AI265" s="47"/>
      <c r="AJ265" s="43"/>
      <c r="AK265" s="43"/>
      <c r="AL265" s="43"/>
      <c r="AM265" s="43"/>
      <c r="AN265" s="44"/>
      <c r="AO265" s="46"/>
      <c r="AP265" s="47"/>
      <c r="AQ265" s="43"/>
      <c r="AR265" s="43"/>
      <c r="AS265" s="43"/>
      <c r="AT265" s="43"/>
      <c r="AU265" s="44"/>
      <c r="AV265" s="46"/>
      <c r="AW265" s="47"/>
      <c r="AX265" s="43"/>
      <c r="AY265" s="43"/>
      <c r="AZ265" s="51"/>
      <c r="BA265" s="52"/>
      <c r="BB265" s="52"/>
      <c r="BC265" s="53"/>
      <c r="BE265" s="38"/>
      <c r="BF265" s="38"/>
      <c r="BH265" s="30"/>
      <c r="BI265" s="30"/>
      <c r="BJ265" s="30"/>
      <c r="BK265" s="30"/>
      <c r="BL265" s="30"/>
      <c r="BM265" s="30"/>
      <c r="BN265" s="30"/>
      <c r="BO265" s="30"/>
      <c r="BP265" s="30"/>
      <c r="BQ265" s="30"/>
      <c r="BR265" s="30"/>
      <c r="BS265" s="30"/>
      <c r="BT265" s="30"/>
      <c r="BU265" s="30"/>
      <c r="BV265" s="30"/>
      <c r="BW265" s="30"/>
      <c r="BX265" s="30"/>
      <c r="BY265" s="30"/>
      <c r="BZ265" s="30"/>
      <c r="CA265" s="30"/>
      <c r="CD265" s="55"/>
      <c r="CE265" s="55"/>
      <c r="CF265" s="55"/>
      <c r="CH265" s="56"/>
      <c r="CI265" s="56"/>
      <c r="CJ265" s="56"/>
      <c r="CK265" s="56"/>
      <c r="CL265" s="56"/>
      <c r="CM265" s="56"/>
      <c r="CN265" s="56"/>
      <c r="CO265" s="56"/>
      <c r="CP265" s="56"/>
      <c r="CQ265" s="56"/>
      <c r="CR265" s="56"/>
      <c r="CS265" s="56"/>
      <c r="CU265" s="25"/>
      <c r="CV265" s="25"/>
      <c r="CW265" s="25"/>
    </row>
  </sheetData>
  <sheetProtection selectLockedCells="1"/>
  <mergeCells count="3222">
    <mergeCell ref="BE5:CA8"/>
    <mergeCell ref="CU264:CW265"/>
    <mergeCell ref="AS264:AU265"/>
    <mergeCell ref="AV264:AV265"/>
    <mergeCell ref="AW264:AY265"/>
    <mergeCell ref="AZ264:BC265"/>
    <mergeCell ref="BE264:BF265"/>
    <mergeCell ref="BH264:BO265"/>
    <mergeCell ref="AE264:AG265"/>
    <mergeCell ref="AH264:AH265"/>
    <mergeCell ref="AI264:AK265"/>
    <mergeCell ref="AL264:AN265"/>
    <mergeCell ref="AO264:AO265"/>
    <mergeCell ref="AP264:AR265"/>
    <mergeCell ref="CU262:CW263"/>
    <mergeCell ref="E264:I265"/>
    <mergeCell ref="J264:J265"/>
    <mergeCell ref="K264:N265"/>
    <mergeCell ref="O264:P265"/>
    <mergeCell ref="Q264:R265"/>
    <mergeCell ref="S264:T265"/>
    <mergeCell ref="U264:Y265"/>
    <mergeCell ref="Z264:Z265"/>
    <mergeCell ref="AA264:AD265"/>
    <mergeCell ref="AZ262:BC263"/>
    <mergeCell ref="BE262:BF263"/>
    <mergeCell ref="BH262:BO263"/>
    <mergeCell ref="BP262:CA263"/>
    <mergeCell ref="CD262:CF263"/>
    <mergeCell ref="CH262:CS263"/>
    <mergeCell ref="AL262:AN263"/>
    <mergeCell ref="AO262:AO263"/>
    <mergeCell ref="AP262:AR263"/>
    <mergeCell ref="AS262:AU263"/>
    <mergeCell ref="AV262:AV263"/>
    <mergeCell ref="AW262:AY263"/>
    <mergeCell ref="U262:Y263"/>
    <mergeCell ref="Z262:Z263"/>
    <mergeCell ref="AA262:AD263"/>
    <mergeCell ref="AE262:AG263"/>
    <mergeCell ref="AH262:AH263"/>
    <mergeCell ref="AI262:AK263"/>
    <mergeCell ref="BP264:CA265"/>
    <mergeCell ref="CD264:CF265"/>
    <mergeCell ref="CH264:CS265"/>
    <mergeCell ref="CU260:CW261"/>
    <mergeCell ref="E262:I263"/>
    <mergeCell ref="J262:J263"/>
    <mergeCell ref="K262:N263"/>
    <mergeCell ref="O262:P263"/>
    <mergeCell ref="Q262:R263"/>
    <mergeCell ref="S262:T263"/>
    <mergeCell ref="AS260:AU261"/>
    <mergeCell ref="AV260:AV261"/>
    <mergeCell ref="AW260:AY261"/>
    <mergeCell ref="AZ260:BC261"/>
    <mergeCell ref="BE260:BF261"/>
    <mergeCell ref="BH260:BO261"/>
    <mergeCell ref="AE260:AG261"/>
    <mergeCell ref="AH260:AH261"/>
    <mergeCell ref="AI260:AK261"/>
    <mergeCell ref="AL260:AN261"/>
    <mergeCell ref="AO260:AO261"/>
    <mergeCell ref="AP260:AR261"/>
    <mergeCell ref="E260:I261"/>
    <mergeCell ref="J260:J261"/>
    <mergeCell ref="K260:N261"/>
    <mergeCell ref="O260:P261"/>
    <mergeCell ref="Q260:R261"/>
    <mergeCell ref="S260:T261"/>
    <mergeCell ref="U260:Y261"/>
    <mergeCell ref="Z260:Z261"/>
    <mergeCell ref="AA260:AD261"/>
    <mergeCell ref="AZ258:BC259"/>
    <mergeCell ref="BE258:BF259"/>
    <mergeCell ref="BH258:BO259"/>
    <mergeCell ref="BP258:CA259"/>
    <mergeCell ref="CD258:CF259"/>
    <mergeCell ref="CH258:CS259"/>
    <mergeCell ref="AL258:AN259"/>
    <mergeCell ref="AO258:AO259"/>
    <mergeCell ref="AP258:AR259"/>
    <mergeCell ref="AS258:AU259"/>
    <mergeCell ref="AV258:AV259"/>
    <mergeCell ref="AW258:AY259"/>
    <mergeCell ref="U258:Y259"/>
    <mergeCell ref="Z258:Z259"/>
    <mergeCell ref="AA258:AD259"/>
    <mergeCell ref="AE258:AG259"/>
    <mergeCell ref="AH258:AH259"/>
    <mergeCell ref="AI258:AK259"/>
    <mergeCell ref="BP260:CA261"/>
    <mergeCell ref="CD260:CF261"/>
    <mergeCell ref="CH260:CS261"/>
    <mergeCell ref="CU256:CW257"/>
    <mergeCell ref="E258:I259"/>
    <mergeCell ref="J258:J259"/>
    <mergeCell ref="K258:N259"/>
    <mergeCell ref="O258:P259"/>
    <mergeCell ref="Q258:R259"/>
    <mergeCell ref="S258:T259"/>
    <mergeCell ref="AS256:AU257"/>
    <mergeCell ref="AV256:AV257"/>
    <mergeCell ref="AW256:AY257"/>
    <mergeCell ref="AZ256:BC257"/>
    <mergeCell ref="BE256:BF257"/>
    <mergeCell ref="BH256:BO257"/>
    <mergeCell ref="AE256:AG257"/>
    <mergeCell ref="AH256:AH257"/>
    <mergeCell ref="AI256:AK257"/>
    <mergeCell ref="AL256:AN257"/>
    <mergeCell ref="AO256:AO257"/>
    <mergeCell ref="AP256:AR257"/>
    <mergeCell ref="CU258:CW259"/>
    <mergeCell ref="E256:I257"/>
    <mergeCell ref="J256:J257"/>
    <mergeCell ref="K256:N257"/>
    <mergeCell ref="O256:P257"/>
    <mergeCell ref="Q256:R257"/>
    <mergeCell ref="S256:T257"/>
    <mergeCell ref="U256:Y257"/>
    <mergeCell ref="Z256:Z257"/>
    <mergeCell ref="AA256:AD257"/>
    <mergeCell ref="BP256:CA257"/>
    <mergeCell ref="CD256:CF257"/>
    <mergeCell ref="CH256:CS257"/>
    <mergeCell ref="AZ254:BC255"/>
    <mergeCell ref="BE254:BF255"/>
    <mergeCell ref="BH254:BO255"/>
    <mergeCell ref="BP254:CA255"/>
    <mergeCell ref="CD254:CF255"/>
    <mergeCell ref="CH254:CS255"/>
    <mergeCell ref="AL254:AN255"/>
    <mergeCell ref="AO254:AO255"/>
    <mergeCell ref="AP254:AR255"/>
    <mergeCell ref="AS254:AU255"/>
    <mergeCell ref="AV254:AV255"/>
    <mergeCell ref="AW254:AY255"/>
    <mergeCell ref="U254:Y255"/>
    <mergeCell ref="Z254:Z255"/>
    <mergeCell ref="AA254:AD255"/>
    <mergeCell ref="AE254:AG255"/>
    <mergeCell ref="AH254:AH255"/>
    <mergeCell ref="AI254:AK255"/>
    <mergeCell ref="CU252:CW253"/>
    <mergeCell ref="E254:I255"/>
    <mergeCell ref="J254:J255"/>
    <mergeCell ref="K254:N255"/>
    <mergeCell ref="O254:P255"/>
    <mergeCell ref="Q254:R255"/>
    <mergeCell ref="S254:T255"/>
    <mergeCell ref="AS252:AU253"/>
    <mergeCell ref="AV252:AV253"/>
    <mergeCell ref="AW252:AY253"/>
    <mergeCell ref="AZ252:BC253"/>
    <mergeCell ref="BE252:BF253"/>
    <mergeCell ref="BH252:BO253"/>
    <mergeCell ref="AE252:AG253"/>
    <mergeCell ref="AH252:AH253"/>
    <mergeCell ref="AI252:AK253"/>
    <mergeCell ref="AL252:AN253"/>
    <mergeCell ref="AO252:AO253"/>
    <mergeCell ref="AP252:AR253"/>
    <mergeCell ref="CU254:CW255"/>
    <mergeCell ref="E252:I253"/>
    <mergeCell ref="J252:J253"/>
    <mergeCell ref="K252:N253"/>
    <mergeCell ref="O252:P253"/>
    <mergeCell ref="Q252:R253"/>
    <mergeCell ref="S252:T253"/>
    <mergeCell ref="U252:Y253"/>
    <mergeCell ref="Z252:Z253"/>
    <mergeCell ref="AA252:AD253"/>
    <mergeCell ref="BP252:CA253"/>
    <mergeCell ref="CD252:CF253"/>
    <mergeCell ref="CH252:CS253"/>
    <mergeCell ref="AZ250:BC251"/>
    <mergeCell ref="BE250:BF251"/>
    <mergeCell ref="BH250:BO251"/>
    <mergeCell ref="BP250:CA251"/>
    <mergeCell ref="CD250:CF251"/>
    <mergeCell ref="CH250:CS251"/>
    <mergeCell ref="AL250:AN251"/>
    <mergeCell ref="AO250:AO251"/>
    <mergeCell ref="AP250:AR251"/>
    <mergeCell ref="AS250:AU251"/>
    <mergeCell ref="AV250:AV251"/>
    <mergeCell ref="AW250:AY251"/>
    <mergeCell ref="U250:Y251"/>
    <mergeCell ref="Z250:Z251"/>
    <mergeCell ref="AA250:AD251"/>
    <mergeCell ref="AE250:AG251"/>
    <mergeCell ref="AH250:AH251"/>
    <mergeCell ref="AI250:AK251"/>
    <mergeCell ref="CU248:CW249"/>
    <mergeCell ref="E250:I251"/>
    <mergeCell ref="J250:J251"/>
    <mergeCell ref="K250:N251"/>
    <mergeCell ref="O250:P251"/>
    <mergeCell ref="Q250:R251"/>
    <mergeCell ref="S250:T251"/>
    <mergeCell ref="AS248:AU249"/>
    <mergeCell ref="AV248:AV249"/>
    <mergeCell ref="AW248:AY249"/>
    <mergeCell ref="AZ248:BC249"/>
    <mergeCell ref="BE248:BF249"/>
    <mergeCell ref="BH248:BO249"/>
    <mergeCell ref="AE248:AG249"/>
    <mergeCell ref="AH248:AH249"/>
    <mergeCell ref="AI248:AK249"/>
    <mergeCell ref="AL248:AN249"/>
    <mergeCell ref="AO248:AO249"/>
    <mergeCell ref="AP248:AR249"/>
    <mergeCell ref="CU250:CW251"/>
    <mergeCell ref="E248:I249"/>
    <mergeCell ref="J248:J249"/>
    <mergeCell ref="K248:N249"/>
    <mergeCell ref="O248:P249"/>
    <mergeCell ref="Q248:R249"/>
    <mergeCell ref="S248:T249"/>
    <mergeCell ref="U248:Y249"/>
    <mergeCell ref="Z248:Z249"/>
    <mergeCell ref="AA248:AD249"/>
    <mergeCell ref="BP248:CA249"/>
    <mergeCell ref="CD248:CF249"/>
    <mergeCell ref="CH248:CS249"/>
    <mergeCell ref="AZ246:BC247"/>
    <mergeCell ref="BE246:BF247"/>
    <mergeCell ref="BH246:BO247"/>
    <mergeCell ref="BP246:CA247"/>
    <mergeCell ref="CD246:CF247"/>
    <mergeCell ref="CH246:CS247"/>
    <mergeCell ref="AL246:AN247"/>
    <mergeCell ref="AO246:AO247"/>
    <mergeCell ref="AP246:AR247"/>
    <mergeCell ref="AS246:AU247"/>
    <mergeCell ref="AV246:AV247"/>
    <mergeCell ref="AW246:AY247"/>
    <mergeCell ref="U246:Y247"/>
    <mergeCell ref="Z246:Z247"/>
    <mergeCell ref="AA246:AD247"/>
    <mergeCell ref="AE246:AG247"/>
    <mergeCell ref="AH246:AH247"/>
    <mergeCell ref="AI246:AK247"/>
    <mergeCell ref="CU244:CW245"/>
    <mergeCell ref="E246:I247"/>
    <mergeCell ref="J246:J247"/>
    <mergeCell ref="K246:N247"/>
    <mergeCell ref="O246:P247"/>
    <mergeCell ref="Q246:R247"/>
    <mergeCell ref="S246:T247"/>
    <mergeCell ref="AS244:AU245"/>
    <mergeCell ref="AV244:AV245"/>
    <mergeCell ref="AW244:AY245"/>
    <mergeCell ref="AZ244:BC245"/>
    <mergeCell ref="BE244:BF245"/>
    <mergeCell ref="BH244:BO245"/>
    <mergeCell ref="AE244:AG245"/>
    <mergeCell ref="AH244:AH245"/>
    <mergeCell ref="AI244:AK245"/>
    <mergeCell ref="AL244:AN245"/>
    <mergeCell ref="AO244:AO245"/>
    <mergeCell ref="AP244:AR245"/>
    <mergeCell ref="CU246:CW247"/>
    <mergeCell ref="E244:I245"/>
    <mergeCell ref="J244:J245"/>
    <mergeCell ref="K244:N245"/>
    <mergeCell ref="O244:P245"/>
    <mergeCell ref="Q244:R245"/>
    <mergeCell ref="S244:T245"/>
    <mergeCell ref="U244:Y245"/>
    <mergeCell ref="Z244:Z245"/>
    <mergeCell ref="AA244:AD245"/>
    <mergeCell ref="BP244:CA245"/>
    <mergeCell ref="CD244:CF245"/>
    <mergeCell ref="CH244:CS245"/>
    <mergeCell ref="AZ242:BC243"/>
    <mergeCell ref="BE242:BF243"/>
    <mergeCell ref="BH242:BO243"/>
    <mergeCell ref="BP242:CA243"/>
    <mergeCell ref="CD242:CF243"/>
    <mergeCell ref="CH242:CS243"/>
    <mergeCell ref="AL242:AN243"/>
    <mergeCell ref="AO242:AO243"/>
    <mergeCell ref="AP242:AR243"/>
    <mergeCell ref="AS242:AU243"/>
    <mergeCell ref="AV242:AV243"/>
    <mergeCell ref="AW242:AY243"/>
    <mergeCell ref="U242:Y243"/>
    <mergeCell ref="Z242:Z243"/>
    <mergeCell ref="AA242:AD243"/>
    <mergeCell ref="AE242:AG243"/>
    <mergeCell ref="AH242:AH243"/>
    <mergeCell ref="AI242:AK243"/>
    <mergeCell ref="CU240:CW241"/>
    <mergeCell ref="E242:I243"/>
    <mergeCell ref="J242:J243"/>
    <mergeCell ref="K242:N243"/>
    <mergeCell ref="O242:P243"/>
    <mergeCell ref="Q242:R243"/>
    <mergeCell ref="S242:T243"/>
    <mergeCell ref="AS240:AU241"/>
    <mergeCell ref="AV240:AV241"/>
    <mergeCell ref="AW240:AY241"/>
    <mergeCell ref="AZ240:BC241"/>
    <mergeCell ref="BE240:BF241"/>
    <mergeCell ref="BH240:BO241"/>
    <mergeCell ref="AE240:AG241"/>
    <mergeCell ref="AH240:AH241"/>
    <mergeCell ref="AI240:AK241"/>
    <mergeCell ref="AL240:AN241"/>
    <mergeCell ref="AO240:AO241"/>
    <mergeCell ref="AP240:AR241"/>
    <mergeCell ref="CU242:CW243"/>
    <mergeCell ref="E240:I241"/>
    <mergeCell ref="J240:J241"/>
    <mergeCell ref="K240:N241"/>
    <mergeCell ref="O240:P241"/>
    <mergeCell ref="Q240:R241"/>
    <mergeCell ref="S240:T241"/>
    <mergeCell ref="U240:Y241"/>
    <mergeCell ref="Z240:Z241"/>
    <mergeCell ref="AA240:AD241"/>
    <mergeCell ref="BP240:CA241"/>
    <mergeCell ref="CD240:CF241"/>
    <mergeCell ref="CH240:CS241"/>
    <mergeCell ref="AZ238:BC239"/>
    <mergeCell ref="BE238:BF239"/>
    <mergeCell ref="BH238:BO239"/>
    <mergeCell ref="BP238:CA239"/>
    <mergeCell ref="CD238:CF239"/>
    <mergeCell ref="CH238:CS239"/>
    <mergeCell ref="AL238:AN239"/>
    <mergeCell ref="AO238:AO239"/>
    <mergeCell ref="AP238:AR239"/>
    <mergeCell ref="AS238:AU239"/>
    <mergeCell ref="AV238:AV239"/>
    <mergeCell ref="AW238:AY239"/>
    <mergeCell ref="U238:Y239"/>
    <mergeCell ref="Z238:Z239"/>
    <mergeCell ref="AA238:AD239"/>
    <mergeCell ref="AE238:AG239"/>
    <mergeCell ref="AH238:AH239"/>
    <mergeCell ref="AI238:AK239"/>
    <mergeCell ref="CU236:CW237"/>
    <mergeCell ref="E238:I239"/>
    <mergeCell ref="J238:J239"/>
    <mergeCell ref="K238:N239"/>
    <mergeCell ref="O238:P239"/>
    <mergeCell ref="Q238:R239"/>
    <mergeCell ref="S238:T239"/>
    <mergeCell ref="AS236:AU237"/>
    <mergeCell ref="AV236:AV237"/>
    <mergeCell ref="AW236:AY237"/>
    <mergeCell ref="AZ236:BC237"/>
    <mergeCell ref="BE236:BF237"/>
    <mergeCell ref="BH236:BO237"/>
    <mergeCell ref="AE236:AG237"/>
    <mergeCell ref="AH236:AH237"/>
    <mergeCell ref="AI236:AK237"/>
    <mergeCell ref="AL236:AN237"/>
    <mergeCell ref="AO236:AO237"/>
    <mergeCell ref="AP236:AR237"/>
    <mergeCell ref="CU238:CW239"/>
    <mergeCell ref="E236:I237"/>
    <mergeCell ref="J236:J237"/>
    <mergeCell ref="K236:N237"/>
    <mergeCell ref="O236:P237"/>
    <mergeCell ref="Q236:R237"/>
    <mergeCell ref="S236:T237"/>
    <mergeCell ref="U236:Y237"/>
    <mergeCell ref="Z236:Z237"/>
    <mergeCell ref="AA236:AD237"/>
    <mergeCell ref="BP236:CA237"/>
    <mergeCell ref="CD236:CF237"/>
    <mergeCell ref="CH236:CS237"/>
    <mergeCell ref="AZ234:BC235"/>
    <mergeCell ref="BE234:BF235"/>
    <mergeCell ref="BH234:BO235"/>
    <mergeCell ref="BP234:CA235"/>
    <mergeCell ref="CD234:CF235"/>
    <mergeCell ref="CH234:CS235"/>
    <mergeCell ref="AL234:AN235"/>
    <mergeCell ref="AO234:AO235"/>
    <mergeCell ref="AP234:AR235"/>
    <mergeCell ref="AS234:AU235"/>
    <mergeCell ref="AV234:AV235"/>
    <mergeCell ref="AW234:AY235"/>
    <mergeCell ref="U234:Y235"/>
    <mergeCell ref="Z234:Z235"/>
    <mergeCell ref="AA234:AD235"/>
    <mergeCell ref="AE234:AG235"/>
    <mergeCell ref="AH234:AH235"/>
    <mergeCell ref="AI234:AK235"/>
    <mergeCell ref="CU232:CW233"/>
    <mergeCell ref="E234:I235"/>
    <mergeCell ref="J234:J235"/>
    <mergeCell ref="K234:N235"/>
    <mergeCell ref="O234:P235"/>
    <mergeCell ref="Q234:R235"/>
    <mergeCell ref="S234:T235"/>
    <mergeCell ref="AS232:AU233"/>
    <mergeCell ref="AV232:AV233"/>
    <mergeCell ref="AW232:AY233"/>
    <mergeCell ref="AZ232:BC233"/>
    <mergeCell ref="BE232:BF233"/>
    <mergeCell ref="BH232:BO233"/>
    <mergeCell ref="AE232:AG233"/>
    <mergeCell ref="AH232:AH233"/>
    <mergeCell ref="AI232:AK233"/>
    <mergeCell ref="AL232:AN233"/>
    <mergeCell ref="AO232:AO233"/>
    <mergeCell ref="AP232:AR233"/>
    <mergeCell ref="CU234:CW235"/>
    <mergeCell ref="E232:I233"/>
    <mergeCell ref="J232:J233"/>
    <mergeCell ref="K232:N233"/>
    <mergeCell ref="O232:P233"/>
    <mergeCell ref="Q232:R233"/>
    <mergeCell ref="S232:T233"/>
    <mergeCell ref="U232:Y233"/>
    <mergeCell ref="Z232:Z233"/>
    <mergeCell ref="AA232:AD233"/>
    <mergeCell ref="BP232:CA233"/>
    <mergeCell ref="CD232:CF233"/>
    <mergeCell ref="CH232:CS233"/>
    <mergeCell ref="AZ230:BC231"/>
    <mergeCell ref="BE230:BF231"/>
    <mergeCell ref="BH230:BO231"/>
    <mergeCell ref="BP230:CA231"/>
    <mergeCell ref="CD230:CF231"/>
    <mergeCell ref="CH230:CS231"/>
    <mergeCell ref="AL230:AN231"/>
    <mergeCell ref="AO230:AO231"/>
    <mergeCell ref="AP230:AR231"/>
    <mergeCell ref="AS230:AU231"/>
    <mergeCell ref="AV230:AV231"/>
    <mergeCell ref="AW230:AY231"/>
    <mergeCell ref="U230:Y231"/>
    <mergeCell ref="Z230:Z231"/>
    <mergeCell ref="AA230:AD231"/>
    <mergeCell ref="AE230:AG231"/>
    <mergeCell ref="AH230:AH231"/>
    <mergeCell ref="AI230:AK231"/>
    <mergeCell ref="CU228:CW229"/>
    <mergeCell ref="E230:I231"/>
    <mergeCell ref="J230:J231"/>
    <mergeCell ref="K230:N231"/>
    <mergeCell ref="O230:P231"/>
    <mergeCell ref="Q230:R231"/>
    <mergeCell ref="S230:T231"/>
    <mergeCell ref="AS228:AU229"/>
    <mergeCell ref="AV228:AV229"/>
    <mergeCell ref="AW228:AY229"/>
    <mergeCell ref="AZ228:BC229"/>
    <mergeCell ref="BE228:BF229"/>
    <mergeCell ref="BH228:BO229"/>
    <mergeCell ref="AE228:AG229"/>
    <mergeCell ref="AH228:AH229"/>
    <mergeCell ref="AI228:AK229"/>
    <mergeCell ref="AL228:AN229"/>
    <mergeCell ref="AO228:AO229"/>
    <mergeCell ref="AP228:AR229"/>
    <mergeCell ref="CU230:CW231"/>
    <mergeCell ref="E228:I229"/>
    <mergeCell ref="J228:J229"/>
    <mergeCell ref="K228:N229"/>
    <mergeCell ref="O228:P229"/>
    <mergeCell ref="Q228:R229"/>
    <mergeCell ref="S228:T229"/>
    <mergeCell ref="U228:Y229"/>
    <mergeCell ref="Z228:Z229"/>
    <mergeCell ref="AA228:AD229"/>
    <mergeCell ref="BP228:CA229"/>
    <mergeCell ref="CD228:CF229"/>
    <mergeCell ref="CH228:CS229"/>
    <mergeCell ref="AZ226:BC227"/>
    <mergeCell ref="BE226:BF227"/>
    <mergeCell ref="BH226:BO227"/>
    <mergeCell ref="BP226:CA227"/>
    <mergeCell ref="CD226:CF227"/>
    <mergeCell ref="CH226:CS227"/>
    <mergeCell ref="AL226:AN227"/>
    <mergeCell ref="AO226:AO227"/>
    <mergeCell ref="AP226:AR227"/>
    <mergeCell ref="AS226:AU227"/>
    <mergeCell ref="AV226:AV227"/>
    <mergeCell ref="AW226:AY227"/>
    <mergeCell ref="U226:Y227"/>
    <mergeCell ref="Z226:Z227"/>
    <mergeCell ref="AA226:AD227"/>
    <mergeCell ref="AE226:AG227"/>
    <mergeCell ref="AH226:AH227"/>
    <mergeCell ref="AI226:AK227"/>
    <mergeCell ref="CU224:CW225"/>
    <mergeCell ref="E226:I227"/>
    <mergeCell ref="J226:J227"/>
    <mergeCell ref="K226:N227"/>
    <mergeCell ref="O226:P227"/>
    <mergeCell ref="Q226:R227"/>
    <mergeCell ref="S226:T227"/>
    <mergeCell ref="AS224:AU225"/>
    <mergeCell ref="AV224:AV225"/>
    <mergeCell ref="AW224:AY225"/>
    <mergeCell ref="AZ224:BC225"/>
    <mergeCell ref="BE224:BF225"/>
    <mergeCell ref="BH224:BO225"/>
    <mergeCell ref="AE224:AG225"/>
    <mergeCell ref="AH224:AH225"/>
    <mergeCell ref="AI224:AK225"/>
    <mergeCell ref="AL224:AN225"/>
    <mergeCell ref="AO224:AO225"/>
    <mergeCell ref="AP224:AR225"/>
    <mergeCell ref="CU226:CW227"/>
    <mergeCell ref="E224:I225"/>
    <mergeCell ref="J224:J225"/>
    <mergeCell ref="K224:N225"/>
    <mergeCell ref="O224:P225"/>
    <mergeCell ref="Q224:R225"/>
    <mergeCell ref="S224:T225"/>
    <mergeCell ref="U224:Y225"/>
    <mergeCell ref="Z224:Z225"/>
    <mergeCell ref="AA224:AD225"/>
    <mergeCell ref="BP224:CA225"/>
    <mergeCell ref="CD224:CF225"/>
    <mergeCell ref="CH224:CS225"/>
    <mergeCell ref="AZ222:BC223"/>
    <mergeCell ref="BE222:BF223"/>
    <mergeCell ref="BH222:BO223"/>
    <mergeCell ref="BP222:CA223"/>
    <mergeCell ref="CD222:CF223"/>
    <mergeCell ref="CH222:CS223"/>
    <mergeCell ref="AL222:AN223"/>
    <mergeCell ref="AO222:AO223"/>
    <mergeCell ref="AP222:AR223"/>
    <mergeCell ref="AS222:AU223"/>
    <mergeCell ref="AV222:AV223"/>
    <mergeCell ref="AW222:AY223"/>
    <mergeCell ref="U222:Y223"/>
    <mergeCell ref="Z222:Z223"/>
    <mergeCell ref="AA222:AD223"/>
    <mergeCell ref="AE222:AG223"/>
    <mergeCell ref="AH222:AH223"/>
    <mergeCell ref="AI222:AK223"/>
    <mergeCell ref="CU220:CW221"/>
    <mergeCell ref="E222:I223"/>
    <mergeCell ref="J222:J223"/>
    <mergeCell ref="K222:N223"/>
    <mergeCell ref="O222:P223"/>
    <mergeCell ref="Q222:R223"/>
    <mergeCell ref="S222:T223"/>
    <mergeCell ref="AS220:AU221"/>
    <mergeCell ref="AV220:AV221"/>
    <mergeCell ref="AW220:AY221"/>
    <mergeCell ref="AZ220:BC221"/>
    <mergeCell ref="BE220:BF221"/>
    <mergeCell ref="BH220:BO221"/>
    <mergeCell ref="AE220:AG221"/>
    <mergeCell ref="AH220:AH221"/>
    <mergeCell ref="AI220:AK221"/>
    <mergeCell ref="AL220:AN221"/>
    <mergeCell ref="AO220:AO221"/>
    <mergeCell ref="AP220:AR221"/>
    <mergeCell ref="CU222:CW223"/>
    <mergeCell ref="E220:I221"/>
    <mergeCell ref="J220:J221"/>
    <mergeCell ref="K220:N221"/>
    <mergeCell ref="O220:P221"/>
    <mergeCell ref="Q220:R221"/>
    <mergeCell ref="S220:T221"/>
    <mergeCell ref="U220:Y221"/>
    <mergeCell ref="Z220:Z221"/>
    <mergeCell ref="AA220:AD221"/>
    <mergeCell ref="BP220:CA221"/>
    <mergeCell ref="CD220:CF221"/>
    <mergeCell ref="CH220:CS221"/>
    <mergeCell ref="AZ218:BC219"/>
    <mergeCell ref="BE218:BF219"/>
    <mergeCell ref="BH218:BO219"/>
    <mergeCell ref="BP218:CA219"/>
    <mergeCell ref="CD218:CF219"/>
    <mergeCell ref="CH218:CS219"/>
    <mergeCell ref="AL218:AN219"/>
    <mergeCell ref="AO218:AO219"/>
    <mergeCell ref="AP218:AR219"/>
    <mergeCell ref="AS218:AU219"/>
    <mergeCell ref="AV218:AV219"/>
    <mergeCell ref="AW218:AY219"/>
    <mergeCell ref="U218:Y219"/>
    <mergeCell ref="Z218:Z219"/>
    <mergeCell ref="AA218:AD219"/>
    <mergeCell ref="AE218:AG219"/>
    <mergeCell ref="AH218:AH219"/>
    <mergeCell ref="AI218:AK219"/>
    <mergeCell ref="CU216:CW217"/>
    <mergeCell ref="E218:I219"/>
    <mergeCell ref="J218:J219"/>
    <mergeCell ref="K218:N219"/>
    <mergeCell ref="O218:P219"/>
    <mergeCell ref="Q218:R219"/>
    <mergeCell ref="S218:T219"/>
    <mergeCell ref="AS216:AU217"/>
    <mergeCell ref="AV216:AV217"/>
    <mergeCell ref="AW216:AY217"/>
    <mergeCell ref="AZ216:BC217"/>
    <mergeCell ref="BE216:BF217"/>
    <mergeCell ref="BH216:BO217"/>
    <mergeCell ref="AE216:AG217"/>
    <mergeCell ref="AH216:AH217"/>
    <mergeCell ref="AI216:AK217"/>
    <mergeCell ref="AL216:AN217"/>
    <mergeCell ref="AO216:AO217"/>
    <mergeCell ref="AP216:AR217"/>
    <mergeCell ref="CU218:CW219"/>
    <mergeCell ref="E216:I217"/>
    <mergeCell ref="J216:J217"/>
    <mergeCell ref="K216:N217"/>
    <mergeCell ref="O216:P217"/>
    <mergeCell ref="Q216:R217"/>
    <mergeCell ref="S216:T217"/>
    <mergeCell ref="U216:Y217"/>
    <mergeCell ref="Z216:Z217"/>
    <mergeCell ref="AA216:AD217"/>
    <mergeCell ref="BP216:CA217"/>
    <mergeCell ref="CD216:CF217"/>
    <mergeCell ref="CH216:CS217"/>
    <mergeCell ref="AZ214:BC215"/>
    <mergeCell ref="BE214:BF215"/>
    <mergeCell ref="BH214:BO215"/>
    <mergeCell ref="BP214:CA215"/>
    <mergeCell ref="CD214:CF215"/>
    <mergeCell ref="CH214:CS215"/>
    <mergeCell ref="AL214:AN215"/>
    <mergeCell ref="AO214:AO215"/>
    <mergeCell ref="AP214:AR215"/>
    <mergeCell ref="AS214:AU215"/>
    <mergeCell ref="AV214:AV215"/>
    <mergeCell ref="AW214:AY215"/>
    <mergeCell ref="U214:Y215"/>
    <mergeCell ref="Z214:Z215"/>
    <mergeCell ref="AA214:AD215"/>
    <mergeCell ref="AE214:AG215"/>
    <mergeCell ref="AH214:AH215"/>
    <mergeCell ref="AI214:AK215"/>
    <mergeCell ref="CU212:CW213"/>
    <mergeCell ref="E214:I215"/>
    <mergeCell ref="J214:J215"/>
    <mergeCell ref="K214:N215"/>
    <mergeCell ref="O214:P215"/>
    <mergeCell ref="Q214:R215"/>
    <mergeCell ref="S214:T215"/>
    <mergeCell ref="AS212:AU213"/>
    <mergeCell ref="AV212:AV213"/>
    <mergeCell ref="AW212:AY213"/>
    <mergeCell ref="AZ212:BC213"/>
    <mergeCell ref="BE212:BF213"/>
    <mergeCell ref="BH212:BO213"/>
    <mergeCell ref="AE212:AG213"/>
    <mergeCell ref="AH212:AH213"/>
    <mergeCell ref="AI212:AK213"/>
    <mergeCell ref="AL212:AN213"/>
    <mergeCell ref="AO212:AO213"/>
    <mergeCell ref="AP212:AR213"/>
    <mergeCell ref="CU214:CW215"/>
    <mergeCell ref="E212:I213"/>
    <mergeCell ref="J212:J213"/>
    <mergeCell ref="K212:N213"/>
    <mergeCell ref="O212:P213"/>
    <mergeCell ref="Q212:R213"/>
    <mergeCell ref="S212:T213"/>
    <mergeCell ref="U212:Y213"/>
    <mergeCell ref="Z212:Z213"/>
    <mergeCell ref="AA212:AD213"/>
    <mergeCell ref="BP212:CA213"/>
    <mergeCell ref="CD212:CF213"/>
    <mergeCell ref="CH212:CS213"/>
    <mergeCell ref="AZ210:BC211"/>
    <mergeCell ref="BE210:BF211"/>
    <mergeCell ref="BH210:BO211"/>
    <mergeCell ref="BP210:CA211"/>
    <mergeCell ref="CD210:CF211"/>
    <mergeCell ref="CH210:CS211"/>
    <mergeCell ref="AL210:AN211"/>
    <mergeCell ref="AO210:AO211"/>
    <mergeCell ref="AP210:AR211"/>
    <mergeCell ref="AS210:AU211"/>
    <mergeCell ref="AV210:AV211"/>
    <mergeCell ref="AW210:AY211"/>
    <mergeCell ref="U210:Y211"/>
    <mergeCell ref="Z210:Z211"/>
    <mergeCell ref="AA210:AD211"/>
    <mergeCell ref="AE210:AG211"/>
    <mergeCell ref="AH210:AH211"/>
    <mergeCell ref="AI210:AK211"/>
    <mergeCell ref="CU208:CW209"/>
    <mergeCell ref="E210:I211"/>
    <mergeCell ref="J210:J211"/>
    <mergeCell ref="K210:N211"/>
    <mergeCell ref="O210:P211"/>
    <mergeCell ref="Q210:R211"/>
    <mergeCell ref="S210:T211"/>
    <mergeCell ref="AS208:AU209"/>
    <mergeCell ref="AV208:AV209"/>
    <mergeCell ref="AW208:AY209"/>
    <mergeCell ref="AZ208:BC209"/>
    <mergeCell ref="BE208:BF209"/>
    <mergeCell ref="BH208:BO209"/>
    <mergeCell ref="AE208:AG209"/>
    <mergeCell ref="AH208:AH209"/>
    <mergeCell ref="AI208:AK209"/>
    <mergeCell ref="AL208:AN209"/>
    <mergeCell ref="AO208:AO209"/>
    <mergeCell ref="AP208:AR209"/>
    <mergeCell ref="CU210:CW211"/>
    <mergeCell ref="E208:I209"/>
    <mergeCell ref="J208:J209"/>
    <mergeCell ref="K208:N209"/>
    <mergeCell ref="O208:P209"/>
    <mergeCell ref="Q208:R209"/>
    <mergeCell ref="S208:T209"/>
    <mergeCell ref="U208:Y209"/>
    <mergeCell ref="Z208:Z209"/>
    <mergeCell ref="AA208:AD209"/>
    <mergeCell ref="BP208:CA209"/>
    <mergeCell ref="CD208:CF209"/>
    <mergeCell ref="CH208:CS209"/>
    <mergeCell ref="AZ206:BC207"/>
    <mergeCell ref="BE206:BF207"/>
    <mergeCell ref="BH206:BO207"/>
    <mergeCell ref="BP206:CA207"/>
    <mergeCell ref="CD206:CF207"/>
    <mergeCell ref="CH206:CS207"/>
    <mergeCell ref="AL206:AN207"/>
    <mergeCell ref="AO206:AO207"/>
    <mergeCell ref="AP206:AR207"/>
    <mergeCell ref="AS206:AU207"/>
    <mergeCell ref="AV206:AV207"/>
    <mergeCell ref="AW206:AY207"/>
    <mergeCell ref="U206:Y207"/>
    <mergeCell ref="Z206:Z207"/>
    <mergeCell ref="AA206:AD207"/>
    <mergeCell ref="AE206:AG207"/>
    <mergeCell ref="AH206:AH207"/>
    <mergeCell ref="AI206:AK207"/>
    <mergeCell ref="CU204:CW205"/>
    <mergeCell ref="E206:I207"/>
    <mergeCell ref="J206:J207"/>
    <mergeCell ref="K206:N207"/>
    <mergeCell ref="O206:P207"/>
    <mergeCell ref="Q206:R207"/>
    <mergeCell ref="S206:T207"/>
    <mergeCell ref="AS204:AU205"/>
    <mergeCell ref="AV204:AV205"/>
    <mergeCell ref="AW204:AY205"/>
    <mergeCell ref="AZ204:BC205"/>
    <mergeCell ref="BE204:BF205"/>
    <mergeCell ref="BH204:BO205"/>
    <mergeCell ref="AE204:AG205"/>
    <mergeCell ref="AH204:AH205"/>
    <mergeCell ref="AI204:AK205"/>
    <mergeCell ref="AL204:AN205"/>
    <mergeCell ref="AO204:AO205"/>
    <mergeCell ref="AP204:AR205"/>
    <mergeCell ref="CU206:CW207"/>
    <mergeCell ref="E204:I205"/>
    <mergeCell ref="J204:J205"/>
    <mergeCell ref="K204:N205"/>
    <mergeCell ref="O204:P205"/>
    <mergeCell ref="Q204:R205"/>
    <mergeCell ref="S204:T205"/>
    <mergeCell ref="U204:Y205"/>
    <mergeCell ref="Z204:Z205"/>
    <mergeCell ref="AA204:AD205"/>
    <mergeCell ref="BP204:CA205"/>
    <mergeCell ref="CD204:CF205"/>
    <mergeCell ref="CH204:CS205"/>
    <mergeCell ref="AZ202:BC203"/>
    <mergeCell ref="BE202:BF203"/>
    <mergeCell ref="BH202:BO203"/>
    <mergeCell ref="BP202:CA203"/>
    <mergeCell ref="CD202:CF203"/>
    <mergeCell ref="CH202:CS203"/>
    <mergeCell ref="AL202:AN203"/>
    <mergeCell ref="AO202:AO203"/>
    <mergeCell ref="AP202:AR203"/>
    <mergeCell ref="AS202:AU203"/>
    <mergeCell ref="AV202:AV203"/>
    <mergeCell ref="AW202:AY203"/>
    <mergeCell ref="U202:Y203"/>
    <mergeCell ref="Z202:Z203"/>
    <mergeCell ref="AA202:AD203"/>
    <mergeCell ref="AE202:AG203"/>
    <mergeCell ref="AH202:AH203"/>
    <mergeCell ref="AI202:AK203"/>
    <mergeCell ref="CU200:CW201"/>
    <mergeCell ref="E202:I203"/>
    <mergeCell ref="J202:J203"/>
    <mergeCell ref="K202:N203"/>
    <mergeCell ref="O202:P203"/>
    <mergeCell ref="Q202:R203"/>
    <mergeCell ref="S202:T203"/>
    <mergeCell ref="AS200:AU201"/>
    <mergeCell ref="AV200:AV201"/>
    <mergeCell ref="AW200:AY201"/>
    <mergeCell ref="AZ200:BC201"/>
    <mergeCell ref="BE200:BF201"/>
    <mergeCell ref="BH200:BO201"/>
    <mergeCell ref="AE200:AG201"/>
    <mergeCell ref="AH200:AH201"/>
    <mergeCell ref="AI200:AK201"/>
    <mergeCell ref="AL200:AN201"/>
    <mergeCell ref="AO200:AO201"/>
    <mergeCell ref="AP200:AR201"/>
    <mergeCell ref="CU202:CW203"/>
    <mergeCell ref="E200:I201"/>
    <mergeCell ref="J200:J201"/>
    <mergeCell ref="K200:N201"/>
    <mergeCell ref="O200:P201"/>
    <mergeCell ref="Q200:R201"/>
    <mergeCell ref="S200:T201"/>
    <mergeCell ref="U200:Y201"/>
    <mergeCell ref="Z200:Z201"/>
    <mergeCell ref="AA200:AD201"/>
    <mergeCell ref="BP200:CA201"/>
    <mergeCell ref="CD200:CF201"/>
    <mergeCell ref="CH200:CS201"/>
    <mergeCell ref="AZ198:BC199"/>
    <mergeCell ref="BE198:BF199"/>
    <mergeCell ref="BH198:BO199"/>
    <mergeCell ref="BP198:CA199"/>
    <mergeCell ref="CD198:CF199"/>
    <mergeCell ref="CH198:CS199"/>
    <mergeCell ref="AL198:AN199"/>
    <mergeCell ref="AO198:AO199"/>
    <mergeCell ref="AP198:AR199"/>
    <mergeCell ref="AS198:AU199"/>
    <mergeCell ref="AV198:AV199"/>
    <mergeCell ref="AW198:AY199"/>
    <mergeCell ref="U198:Y199"/>
    <mergeCell ref="Z198:Z199"/>
    <mergeCell ref="AA198:AD199"/>
    <mergeCell ref="AE198:AG199"/>
    <mergeCell ref="AH198:AH199"/>
    <mergeCell ref="AI198:AK199"/>
    <mergeCell ref="CU196:CW197"/>
    <mergeCell ref="E198:I199"/>
    <mergeCell ref="J198:J199"/>
    <mergeCell ref="K198:N199"/>
    <mergeCell ref="O198:P199"/>
    <mergeCell ref="Q198:R199"/>
    <mergeCell ref="S198:T199"/>
    <mergeCell ref="AS196:AU197"/>
    <mergeCell ref="AV196:AV197"/>
    <mergeCell ref="AW196:AY197"/>
    <mergeCell ref="AZ196:BC197"/>
    <mergeCell ref="BE196:BF197"/>
    <mergeCell ref="BH196:BO197"/>
    <mergeCell ref="AE196:AG197"/>
    <mergeCell ref="AH196:AH197"/>
    <mergeCell ref="AI196:AK197"/>
    <mergeCell ref="AL196:AN197"/>
    <mergeCell ref="AO196:AO197"/>
    <mergeCell ref="AP196:AR197"/>
    <mergeCell ref="CU198:CW199"/>
    <mergeCell ref="E196:I197"/>
    <mergeCell ref="J196:J197"/>
    <mergeCell ref="K196:N197"/>
    <mergeCell ref="O196:P197"/>
    <mergeCell ref="Q196:R197"/>
    <mergeCell ref="S196:T197"/>
    <mergeCell ref="U196:Y197"/>
    <mergeCell ref="Z196:Z197"/>
    <mergeCell ref="AA196:AD197"/>
    <mergeCell ref="BP196:CA197"/>
    <mergeCell ref="CD196:CF197"/>
    <mergeCell ref="CH196:CS197"/>
    <mergeCell ref="AZ194:BC195"/>
    <mergeCell ref="BE194:BF195"/>
    <mergeCell ref="BH194:BO195"/>
    <mergeCell ref="BP194:CA195"/>
    <mergeCell ref="CD194:CF195"/>
    <mergeCell ref="CH194:CS195"/>
    <mergeCell ref="AL194:AN195"/>
    <mergeCell ref="AO194:AO195"/>
    <mergeCell ref="AP194:AR195"/>
    <mergeCell ref="AS194:AU195"/>
    <mergeCell ref="AV194:AV195"/>
    <mergeCell ref="AW194:AY195"/>
    <mergeCell ref="U194:Y195"/>
    <mergeCell ref="Z194:Z195"/>
    <mergeCell ref="AA194:AD195"/>
    <mergeCell ref="AE194:AG195"/>
    <mergeCell ref="AH194:AH195"/>
    <mergeCell ref="AI194:AK195"/>
    <mergeCell ref="CU192:CW193"/>
    <mergeCell ref="E194:I195"/>
    <mergeCell ref="J194:J195"/>
    <mergeCell ref="K194:N195"/>
    <mergeCell ref="O194:P195"/>
    <mergeCell ref="Q194:R195"/>
    <mergeCell ref="S194:T195"/>
    <mergeCell ref="AS192:AU193"/>
    <mergeCell ref="AV192:AV193"/>
    <mergeCell ref="AW192:AY193"/>
    <mergeCell ref="AZ192:BC193"/>
    <mergeCell ref="BE192:BF193"/>
    <mergeCell ref="BH192:BO193"/>
    <mergeCell ref="AE192:AG193"/>
    <mergeCell ref="AH192:AH193"/>
    <mergeCell ref="AI192:AK193"/>
    <mergeCell ref="AL192:AN193"/>
    <mergeCell ref="AO192:AO193"/>
    <mergeCell ref="AP192:AR193"/>
    <mergeCell ref="CU194:CW195"/>
    <mergeCell ref="E192:I193"/>
    <mergeCell ref="J192:J193"/>
    <mergeCell ref="K192:N193"/>
    <mergeCell ref="O192:P193"/>
    <mergeCell ref="Q192:R193"/>
    <mergeCell ref="S192:T193"/>
    <mergeCell ref="U192:Y193"/>
    <mergeCell ref="Z192:Z193"/>
    <mergeCell ref="AA192:AD193"/>
    <mergeCell ref="BP192:CA193"/>
    <mergeCell ref="CD192:CF193"/>
    <mergeCell ref="CH192:CS193"/>
    <mergeCell ref="AZ190:BC191"/>
    <mergeCell ref="BE190:BF191"/>
    <mergeCell ref="BH190:BO191"/>
    <mergeCell ref="BP190:CA191"/>
    <mergeCell ref="CD190:CF191"/>
    <mergeCell ref="CH190:CS191"/>
    <mergeCell ref="AL190:AN191"/>
    <mergeCell ref="AO190:AO191"/>
    <mergeCell ref="AP190:AR191"/>
    <mergeCell ref="AS190:AU191"/>
    <mergeCell ref="AV190:AV191"/>
    <mergeCell ref="AW190:AY191"/>
    <mergeCell ref="U190:Y191"/>
    <mergeCell ref="Z190:Z191"/>
    <mergeCell ref="AA190:AD191"/>
    <mergeCell ref="AE190:AG191"/>
    <mergeCell ref="AH190:AH191"/>
    <mergeCell ref="AI190:AK191"/>
    <mergeCell ref="CU188:CW189"/>
    <mergeCell ref="E190:I191"/>
    <mergeCell ref="J190:J191"/>
    <mergeCell ref="K190:N191"/>
    <mergeCell ref="O190:P191"/>
    <mergeCell ref="Q190:R191"/>
    <mergeCell ref="S190:T191"/>
    <mergeCell ref="AS188:AU189"/>
    <mergeCell ref="AV188:AV189"/>
    <mergeCell ref="AW188:AY189"/>
    <mergeCell ref="AZ188:BC189"/>
    <mergeCell ref="BE188:BF189"/>
    <mergeCell ref="BH188:BO189"/>
    <mergeCell ref="AE188:AG189"/>
    <mergeCell ref="AH188:AH189"/>
    <mergeCell ref="AI188:AK189"/>
    <mergeCell ref="AL188:AN189"/>
    <mergeCell ref="AO188:AO189"/>
    <mergeCell ref="AP188:AR189"/>
    <mergeCell ref="CU190:CW191"/>
    <mergeCell ref="E188:I189"/>
    <mergeCell ref="J188:J189"/>
    <mergeCell ref="K188:N189"/>
    <mergeCell ref="O188:P189"/>
    <mergeCell ref="Q188:R189"/>
    <mergeCell ref="S188:T189"/>
    <mergeCell ref="U188:Y189"/>
    <mergeCell ref="Z188:Z189"/>
    <mergeCell ref="AA188:AD189"/>
    <mergeCell ref="BP188:CA189"/>
    <mergeCell ref="CD188:CF189"/>
    <mergeCell ref="CH188:CS189"/>
    <mergeCell ref="AZ186:BC187"/>
    <mergeCell ref="BE186:BF187"/>
    <mergeCell ref="BH186:BO187"/>
    <mergeCell ref="BP186:CA187"/>
    <mergeCell ref="CD186:CF187"/>
    <mergeCell ref="CH186:CS187"/>
    <mergeCell ref="AL186:AN187"/>
    <mergeCell ref="AO186:AO187"/>
    <mergeCell ref="AP186:AR187"/>
    <mergeCell ref="AS186:AU187"/>
    <mergeCell ref="AV186:AV187"/>
    <mergeCell ref="AW186:AY187"/>
    <mergeCell ref="U186:Y187"/>
    <mergeCell ref="Z186:Z187"/>
    <mergeCell ref="AA186:AD187"/>
    <mergeCell ref="AE186:AG187"/>
    <mergeCell ref="AH186:AH187"/>
    <mergeCell ref="AI186:AK187"/>
    <mergeCell ref="CU184:CW185"/>
    <mergeCell ref="E186:I187"/>
    <mergeCell ref="J186:J187"/>
    <mergeCell ref="K186:N187"/>
    <mergeCell ref="O186:P187"/>
    <mergeCell ref="Q186:R187"/>
    <mergeCell ref="S186:T187"/>
    <mergeCell ref="AS184:AU185"/>
    <mergeCell ref="AV184:AV185"/>
    <mergeCell ref="AW184:AY185"/>
    <mergeCell ref="AZ184:BC185"/>
    <mergeCell ref="BE184:BF185"/>
    <mergeCell ref="BH184:BO185"/>
    <mergeCell ref="AE184:AG185"/>
    <mergeCell ref="AH184:AH185"/>
    <mergeCell ref="AI184:AK185"/>
    <mergeCell ref="AL184:AN185"/>
    <mergeCell ref="AO184:AO185"/>
    <mergeCell ref="AP184:AR185"/>
    <mergeCell ref="CU186:CW187"/>
    <mergeCell ref="E184:I185"/>
    <mergeCell ref="J184:J185"/>
    <mergeCell ref="K184:N185"/>
    <mergeCell ref="O184:P185"/>
    <mergeCell ref="Q184:R185"/>
    <mergeCell ref="S184:T185"/>
    <mergeCell ref="U184:Y185"/>
    <mergeCell ref="Z184:Z185"/>
    <mergeCell ref="AA184:AD185"/>
    <mergeCell ref="BP184:CA185"/>
    <mergeCell ref="CD184:CF185"/>
    <mergeCell ref="CH184:CS185"/>
    <mergeCell ref="AZ182:BC183"/>
    <mergeCell ref="BE182:BF183"/>
    <mergeCell ref="BH182:BO183"/>
    <mergeCell ref="BP182:CA183"/>
    <mergeCell ref="CD182:CF183"/>
    <mergeCell ref="CH182:CS183"/>
    <mergeCell ref="AL182:AN183"/>
    <mergeCell ref="AO182:AO183"/>
    <mergeCell ref="AP182:AR183"/>
    <mergeCell ref="AS182:AU183"/>
    <mergeCell ref="AV182:AV183"/>
    <mergeCell ref="AW182:AY183"/>
    <mergeCell ref="U182:Y183"/>
    <mergeCell ref="Z182:Z183"/>
    <mergeCell ref="AA182:AD183"/>
    <mergeCell ref="AE182:AG183"/>
    <mergeCell ref="AH182:AH183"/>
    <mergeCell ref="AI182:AK183"/>
    <mergeCell ref="CU180:CW181"/>
    <mergeCell ref="E182:I183"/>
    <mergeCell ref="J182:J183"/>
    <mergeCell ref="K182:N183"/>
    <mergeCell ref="O182:P183"/>
    <mergeCell ref="Q182:R183"/>
    <mergeCell ref="S182:T183"/>
    <mergeCell ref="AS180:AU181"/>
    <mergeCell ref="AV180:AV181"/>
    <mergeCell ref="AW180:AY181"/>
    <mergeCell ref="AZ180:BC181"/>
    <mergeCell ref="BE180:BF181"/>
    <mergeCell ref="BH180:BO181"/>
    <mergeCell ref="AE180:AG181"/>
    <mergeCell ref="AH180:AH181"/>
    <mergeCell ref="AI180:AK181"/>
    <mergeCell ref="AL180:AN181"/>
    <mergeCell ref="AO180:AO181"/>
    <mergeCell ref="AP180:AR181"/>
    <mergeCell ref="CU182:CW183"/>
    <mergeCell ref="E180:I181"/>
    <mergeCell ref="J180:J181"/>
    <mergeCell ref="K180:N181"/>
    <mergeCell ref="O180:P181"/>
    <mergeCell ref="Q180:R181"/>
    <mergeCell ref="S180:T181"/>
    <mergeCell ref="U180:Y181"/>
    <mergeCell ref="Z180:Z181"/>
    <mergeCell ref="AA180:AD181"/>
    <mergeCell ref="BP180:CA181"/>
    <mergeCell ref="CD180:CF181"/>
    <mergeCell ref="CH180:CS181"/>
    <mergeCell ref="AZ178:BC179"/>
    <mergeCell ref="BE178:BF179"/>
    <mergeCell ref="BH178:BO179"/>
    <mergeCell ref="BP178:CA179"/>
    <mergeCell ref="CD178:CF179"/>
    <mergeCell ref="CH178:CS179"/>
    <mergeCell ref="AL178:AN179"/>
    <mergeCell ref="AO178:AO179"/>
    <mergeCell ref="AP178:AR179"/>
    <mergeCell ref="AS178:AU179"/>
    <mergeCell ref="AV178:AV179"/>
    <mergeCell ref="AW178:AY179"/>
    <mergeCell ref="U178:Y179"/>
    <mergeCell ref="Z178:Z179"/>
    <mergeCell ref="AA178:AD179"/>
    <mergeCell ref="AE178:AG179"/>
    <mergeCell ref="AH178:AH179"/>
    <mergeCell ref="AI178:AK179"/>
    <mergeCell ref="CU176:CW177"/>
    <mergeCell ref="E178:I179"/>
    <mergeCell ref="J178:J179"/>
    <mergeCell ref="K178:N179"/>
    <mergeCell ref="O178:P179"/>
    <mergeCell ref="Q178:R179"/>
    <mergeCell ref="S178:T179"/>
    <mergeCell ref="AS176:AU177"/>
    <mergeCell ref="AV176:AV177"/>
    <mergeCell ref="AW176:AY177"/>
    <mergeCell ref="AZ176:BC177"/>
    <mergeCell ref="BE176:BF177"/>
    <mergeCell ref="BH176:BO177"/>
    <mergeCell ref="AE176:AG177"/>
    <mergeCell ref="AH176:AH177"/>
    <mergeCell ref="AI176:AK177"/>
    <mergeCell ref="AL176:AN177"/>
    <mergeCell ref="AO176:AO177"/>
    <mergeCell ref="AP176:AR177"/>
    <mergeCell ref="CU178:CW179"/>
    <mergeCell ref="E176:I177"/>
    <mergeCell ref="J176:J177"/>
    <mergeCell ref="K176:N177"/>
    <mergeCell ref="O176:P177"/>
    <mergeCell ref="Q176:R177"/>
    <mergeCell ref="S176:T177"/>
    <mergeCell ref="U176:Y177"/>
    <mergeCell ref="Z176:Z177"/>
    <mergeCell ref="AA176:AD177"/>
    <mergeCell ref="BP176:CA177"/>
    <mergeCell ref="CD176:CF177"/>
    <mergeCell ref="CH176:CS177"/>
    <mergeCell ref="AZ174:BC175"/>
    <mergeCell ref="BE174:BF175"/>
    <mergeCell ref="BH174:BO175"/>
    <mergeCell ref="BP174:CA175"/>
    <mergeCell ref="CD174:CF175"/>
    <mergeCell ref="CH174:CS175"/>
    <mergeCell ref="AL174:AN175"/>
    <mergeCell ref="AO174:AO175"/>
    <mergeCell ref="AP174:AR175"/>
    <mergeCell ref="AS174:AU175"/>
    <mergeCell ref="AV174:AV175"/>
    <mergeCell ref="AW174:AY175"/>
    <mergeCell ref="U174:Y175"/>
    <mergeCell ref="Z174:Z175"/>
    <mergeCell ref="AA174:AD175"/>
    <mergeCell ref="AE174:AG175"/>
    <mergeCell ref="AH174:AH175"/>
    <mergeCell ref="AI174:AK175"/>
    <mergeCell ref="CU172:CW173"/>
    <mergeCell ref="E174:I175"/>
    <mergeCell ref="J174:J175"/>
    <mergeCell ref="K174:N175"/>
    <mergeCell ref="O174:P175"/>
    <mergeCell ref="Q174:R175"/>
    <mergeCell ref="S174:T175"/>
    <mergeCell ref="AS172:AU173"/>
    <mergeCell ref="AV172:AV173"/>
    <mergeCell ref="AW172:AY173"/>
    <mergeCell ref="AZ172:BC173"/>
    <mergeCell ref="BE172:BF173"/>
    <mergeCell ref="BH172:BO173"/>
    <mergeCell ref="AE172:AG173"/>
    <mergeCell ref="AH172:AH173"/>
    <mergeCell ref="AI172:AK173"/>
    <mergeCell ref="AL172:AN173"/>
    <mergeCell ref="AO172:AO173"/>
    <mergeCell ref="AP172:AR173"/>
    <mergeCell ref="CU174:CW175"/>
    <mergeCell ref="E172:I173"/>
    <mergeCell ref="J172:J173"/>
    <mergeCell ref="K172:N173"/>
    <mergeCell ref="O172:P173"/>
    <mergeCell ref="Q172:R173"/>
    <mergeCell ref="S172:T173"/>
    <mergeCell ref="U172:Y173"/>
    <mergeCell ref="Z172:Z173"/>
    <mergeCell ref="AA172:AD173"/>
    <mergeCell ref="BP172:CA173"/>
    <mergeCell ref="CD172:CF173"/>
    <mergeCell ref="CH172:CS173"/>
    <mergeCell ref="AZ170:BC171"/>
    <mergeCell ref="BE170:BF171"/>
    <mergeCell ref="BH170:BO171"/>
    <mergeCell ref="BP170:CA171"/>
    <mergeCell ref="CD170:CF171"/>
    <mergeCell ref="CH170:CS171"/>
    <mergeCell ref="AL170:AN171"/>
    <mergeCell ref="AO170:AO171"/>
    <mergeCell ref="AP170:AR171"/>
    <mergeCell ref="AS170:AU171"/>
    <mergeCell ref="AV170:AV171"/>
    <mergeCell ref="AW170:AY171"/>
    <mergeCell ref="U170:Y171"/>
    <mergeCell ref="Z170:Z171"/>
    <mergeCell ref="AA170:AD171"/>
    <mergeCell ref="AE170:AG171"/>
    <mergeCell ref="AH170:AH171"/>
    <mergeCell ref="AI170:AK171"/>
    <mergeCell ref="CU168:CW169"/>
    <mergeCell ref="E170:I171"/>
    <mergeCell ref="J170:J171"/>
    <mergeCell ref="K170:N171"/>
    <mergeCell ref="O170:P171"/>
    <mergeCell ref="Q170:R171"/>
    <mergeCell ref="S170:T171"/>
    <mergeCell ref="AS168:AU169"/>
    <mergeCell ref="AV168:AV169"/>
    <mergeCell ref="AW168:AY169"/>
    <mergeCell ref="AZ168:BC169"/>
    <mergeCell ref="BE168:BF169"/>
    <mergeCell ref="BH168:BO169"/>
    <mergeCell ref="AE168:AG169"/>
    <mergeCell ref="AH168:AH169"/>
    <mergeCell ref="AI168:AK169"/>
    <mergeCell ref="AL168:AN169"/>
    <mergeCell ref="AO168:AO169"/>
    <mergeCell ref="AP168:AR169"/>
    <mergeCell ref="CU170:CW171"/>
    <mergeCell ref="E168:I169"/>
    <mergeCell ref="J168:J169"/>
    <mergeCell ref="K168:N169"/>
    <mergeCell ref="O168:P169"/>
    <mergeCell ref="Q168:R169"/>
    <mergeCell ref="S168:T169"/>
    <mergeCell ref="U168:Y169"/>
    <mergeCell ref="Z168:Z169"/>
    <mergeCell ref="AA168:AD169"/>
    <mergeCell ref="BP168:CA169"/>
    <mergeCell ref="CD168:CF169"/>
    <mergeCell ref="CH168:CS169"/>
    <mergeCell ref="AZ166:BC167"/>
    <mergeCell ref="BE166:BF167"/>
    <mergeCell ref="BH166:BO167"/>
    <mergeCell ref="BP166:CA167"/>
    <mergeCell ref="CD166:CF167"/>
    <mergeCell ref="CH166:CS167"/>
    <mergeCell ref="AL166:AN167"/>
    <mergeCell ref="AO166:AO167"/>
    <mergeCell ref="AP166:AR167"/>
    <mergeCell ref="AS166:AU167"/>
    <mergeCell ref="AV166:AV167"/>
    <mergeCell ref="AW166:AY167"/>
    <mergeCell ref="U166:Y167"/>
    <mergeCell ref="Z166:Z167"/>
    <mergeCell ref="AA166:AD167"/>
    <mergeCell ref="AE166:AG167"/>
    <mergeCell ref="AH166:AH167"/>
    <mergeCell ref="AI166:AK167"/>
    <mergeCell ref="CU164:CW165"/>
    <mergeCell ref="E166:I167"/>
    <mergeCell ref="J166:J167"/>
    <mergeCell ref="K166:N167"/>
    <mergeCell ref="O166:P167"/>
    <mergeCell ref="Q166:R167"/>
    <mergeCell ref="S166:T167"/>
    <mergeCell ref="AS164:AU165"/>
    <mergeCell ref="AV164:AV165"/>
    <mergeCell ref="AW164:AY165"/>
    <mergeCell ref="AZ164:BC165"/>
    <mergeCell ref="BE164:BF165"/>
    <mergeCell ref="BH164:BO165"/>
    <mergeCell ref="AE164:AG165"/>
    <mergeCell ref="AH164:AH165"/>
    <mergeCell ref="AI164:AK165"/>
    <mergeCell ref="AL164:AN165"/>
    <mergeCell ref="AO164:AO165"/>
    <mergeCell ref="AP164:AR165"/>
    <mergeCell ref="CU166:CW167"/>
    <mergeCell ref="E164:I165"/>
    <mergeCell ref="J164:J165"/>
    <mergeCell ref="K164:N165"/>
    <mergeCell ref="O164:P165"/>
    <mergeCell ref="Q164:R165"/>
    <mergeCell ref="S164:T165"/>
    <mergeCell ref="U164:Y165"/>
    <mergeCell ref="Z164:Z165"/>
    <mergeCell ref="AA164:AD165"/>
    <mergeCell ref="BP164:CA165"/>
    <mergeCell ref="CD164:CF165"/>
    <mergeCell ref="CH164:CS165"/>
    <mergeCell ref="AZ162:BC163"/>
    <mergeCell ref="BE162:BF163"/>
    <mergeCell ref="BH162:BO163"/>
    <mergeCell ref="BP162:CA163"/>
    <mergeCell ref="CD162:CF163"/>
    <mergeCell ref="CH162:CS163"/>
    <mergeCell ref="AL162:AN163"/>
    <mergeCell ref="AO162:AO163"/>
    <mergeCell ref="AP162:AR163"/>
    <mergeCell ref="AS162:AU163"/>
    <mergeCell ref="AV162:AV163"/>
    <mergeCell ref="AW162:AY163"/>
    <mergeCell ref="U162:Y163"/>
    <mergeCell ref="Z162:Z163"/>
    <mergeCell ref="AA162:AD163"/>
    <mergeCell ref="AE162:AG163"/>
    <mergeCell ref="AH162:AH163"/>
    <mergeCell ref="AI162:AK163"/>
    <mergeCell ref="CU160:CW161"/>
    <mergeCell ref="E162:I163"/>
    <mergeCell ref="J162:J163"/>
    <mergeCell ref="K162:N163"/>
    <mergeCell ref="O162:P163"/>
    <mergeCell ref="Q162:R163"/>
    <mergeCell ref="S162:T163"/>
    <mergeCell ref="AS160:AU161"/>
    <mergeCell ref="AV160:AV161"/>
    <mergeCell ref="AW160:AY161"/>
    <mergeCell ref="AZ160:BC161"/>
    <mergeCell ref="BE160:BF161"/>
    <mergeCell ref="BH160:BO161"/>
    <mergeCell ref="AE160:AG161"/>
    <mergeCell ref="AH160:AH161"/>
    <mergeCell ref="AI160:AK161"/>
    <mergeCell ref="AL160:AN161"/>
    <mergeCell ref="AO160:AO161"/>
    <mergeCell ref="AP160:AR161"/>
    <mergeCell ref="CU162:CW163"/>
    <mergeCell ref="E160:I161"/>
    <mergeCell ref="J160:J161"/>
    <mergeCell ref="K160:N161"/>
    <mergeCell ref="O160:P161"/>
    <mergeCell ref="Q160:R161"/>
    <mergeCell ref="S160:T161"/>
    <mergeCell ref="U160:Y161"/>
    <mergeCell ref="Z160:Z161"/>
    <mergeCell ref="AA160:AD161"/>
    <mergeCell ref="BP160:CA161"/>
    <mergeCell ref="CD160:CF161"/>
    <mergeCell ref="CH160:CS161"/>
    <mergeCell ref="AZ158:BC159"/>
    <mergeCell ref="BE158:BF159"/>
    <mergeCell ref="BH158:BO159"/>
    <mergeCell ref="BP158:CA159"/>
    <mergeCell ref="CD158:CF159"/>
    <mergeCell ref="CH158:CS159"/>
    <mergeCell ref="AL158:AN159"/>
    <mergeCell ref="AO158:AO159"/>
    <mergeCell ref="AP158:AR159"/>
    <mergeCell ref="AS158:AU159"/>
    <mergeCell ref="AV158:AV159"/>
    <mergeCell ref="AW158:AY159"/>
    <mergeCell ref="U158:Y159"/>
    <mergeCell ref="Z158:Z159"/>
    <mergeCell ref="AA158:AD159"/>
    <mergeCell ref="AE158:AG159"/>
    <mergeCell ref="AH158:AH159"/>
    <mergeCell ref="AI158:AK159"/>
    <mergeCell ref="CU156:CW157"/>
    <mergeCell ref="E158:I159"/>
    <mergeCell ref="J158:J159"/>
    <mergeCell ref="K158:N159"/>
    <mergeCell ref="O158:P159"/>
    <mergeCell ref="Q158:R159"/>
    <mergeCell ref="S158:T159"/>
    <mergeCell ref="AS156:AU157"/>
    <mergeCell ref="AV156:AV157"/>
    <mergeCell ref="AW156:AY157"/>
    <mergeCell ref="AZ156:BC157"/>
    <mergeCell ref="BE156:BF157"/>
    <mergeCell ref="BH156:BO157"/>
    <mergeCell ref="AE156:AG157"/>
    <mergeCell ref="AH156:AH157"/>
    <mergeCell ref="AI156:AK157"/>
    <mergeCell ref="AL156:AN157"/>
    <mergeCell ref="AO156:AO157"/>
    <mergeCell ref="AP156:AR157"/>
    <mergeCell ref="CU158:CW159"/>
    <mergeCell ref="E156:I157"/>
    <mergeCell ref="J156:J157"/>
    <mergeCell ref="K156:N157"/>
    <mergeCell ref="O156:P157"/>
    <mergeCell ref="Q156:R157"/>
    <mergeCell ref="S156:T157"/>
    <mergeCell ref="U156:Y157"/>
    <mergeCell ref="Z156:Z157"/>
    <mergeCell ref="AA156:AD157"/>
    <mergeCell ref="BP156:CA157"/>
    <mergeCell ref="CD156:CF157"/>
    <mergeCell ref="CH156:CS157"/>
    <mergeCell ref="AZ154:BC155"/>
    <mergeCell ref="BE154:BF155"/>
    <mergeCell ref="BH154:BO155"/>
    <mergeCell ref="BP154:CA155"/>
    <mergeCell ref="CD154:CF155"/>
    <mergeCell ref="CH154:CS155"/>
    <mergeCell ref="AL154:AN155"/>
    <mergeCell ref="AO154:AO155"/>
    <mergeCell ref="AP154:AR155"/>
    <mergeCell ref="AS154:AU155"/>
    <mergeCell ref="AV154:AV155"/>
    <mergeCell ref="AW154:AY155"/>
    <mergeCell ref="U154:Y155"/>
    <mergeCell ref="Z154:Z155"/>
    <mergeCell ref="AA154:AD155"/>
    <mergeCell ref="AE154:AG155"/>
    <mergeCell ref="AH154:AH155"/>
    <mergeCell ref="AI154:AK155"/>
    <mergeCell ref="CU152:CW153"/>
    <mergeCell ref="E154:I155"/>
    <mergeCell ref="J154:J155"/>
    <mergeCell ref="K154:N155"/>
    <mergeCell ref="O154:P155"/>
    <mergeCell ref="Q154:R155"/>
    <mergeCell ref="S154:T155"/>
    <mergeCell ref="AS152:AU153"/>
    <mergeCell ref="AV152:AV153"/>
    <mergeCell ref="AW152:AY153"/>
    <mergeCell ref="AZ152:BC153"/>
    <mergeCell ref="BE152:BF153"/>
    <mergeCell ref="BH152:BO153"/>
    <mergeCell ref="AE152:AG153"/>
    <mergeCell ref="AH152:AH153"/>
    <mergeCell ref="AI152:AK153"/>
    <mergeCell ref="AL152:AN153"/>
    <mergeCell ref="AO152:AO153"/>
    <mergeCell ref="AP152:AR153"/>
    <mergeCell ref="CU154:CW155"/>
    <mergeCell ref="E152:I153"/>
    <mergeCell ref="J152:J153"/>
    <mergeCell ref="K152:N153"/>
    <mergeCell ref="O152:P153"/>
    <mergeCell ref="Q152:R153"/>
    <mergeCell ref="S152:T153"/>
    <mergeCell ref="U152:Y153"/>
    <mergeCell ref="Z152:Z153"/>
    <mergeCell ref="AA152:AD153"/>
    <mergeCell ref="BP152:CA153"/>
    <mergeCell ref="CD152:CF153"/>
    <mergeCell ref="CH152:CS153"/>
    <mergeCell ref="AZ150:BC151"/>
    <mergeCell ref="BE150:BF151"/>
    <mergeCell ref="BH150:BO151"/>
    <mergeCell ref="BP150:CA151"/>
    <mergeCell ref="CD150:CF151"/>
    <mergeCell ref="CH150:CS151"/>
    <mergeCell ref="AL150:AN151"/>
    <mergeCell ref="AO150:AO151"/>
    <mergeCell ref="AP150:AR151"/>
    <mergeCell ref="AS150:AU151"/>
    <mergeCell ref="AV150:AV151"/>
    <mergeCell ref="AW150:AY151"/>
    <mergeCell ref="U150:Y151"/>
    <mergeCell ref="Z150:Z151"/>
    <mergeCell ref="AA150:AD151"/>
    <mergeCell ref="AE150:AG151"/>
    <mergeCell ref="AH150:AH151"/>
    <mergeCell ref="AI150:AK151"/>
    <mergeCell ref="CU148:CW149"/>
    <mergeCell ref="E150:I151"/>
    <mergeCell ref="J150:J151"/>
    <mergeCell ref="K150:N151"/>
    <mergeCell ref="O150:P151"/>
    <mergeCell ref="Q150:R151"/>
    <mergeCell ref="S150:T151"/>
    <mergeCell ref="AS148:AU149"/>
    <mergeCell ref="AV148:AV149"/>
    <mergeCell ref="AW148:AY149"/>
    <mergeCell ref="AZ148:BC149"/>
    <mergeCell ref="BE148:BF149"/>
    <mergeCell ref="BH148:BO149"/>
    <mergeCell ref="AE148:AG149"/>
    <mergeCell ref="AH148:AH149"/>
    <mergeCell ref="AI148:AK149"/>
    <mergeCell ref="AL148:AN149"/>
    <mergeCell ref="AO148:AO149"/>
    <mergeCell ref="AP148:AR149"/>
    <mergeCell ref="CU150:CW151"/>
    <mergeCell ref="E148:I149"/>
    <mergeCell ref="J148:J149"/>
    <mergeCell ref="K148:N149"/>
    <mergeCell ref="O148:P149"/>
    <mergeCell ref="Q148:R149"/>
    <mergeCell ref="S148:T149"/>
    <mergeCell ref="U148:Y149"/>
    <mergeCell ref="Z148:Z149"/>
    <mergeCell ref="AA148:AD149"/>
    <mergeCell ref="BP148:CA149"/>
    <mergeCell ref="CD148:CF149"/>
    <mergeCell ref="CH148:CS149"/>
    <mergeCell ref="AZ146:BC147"/>
    <mergeCell ref="BE146:BF147"/>
    <mergeCell ref="BH146:BO147"/>
    <mergeCell ref="BP146:CA147"/>
    <mergeCell ref="CD146:CF147"/>
    <mergeCell ref="CH146:CS147"/>
    <mergeCell ref="AL146:AN147"/>
    <mergeCell ref="AO146:AO147"/>
    <mergeCell ref="AP146:AR147"/>
    <mergeCell ref="AS146:AU147"/>
    <mergeCell ref="AV146:AV147"/>
    <mergeCell ref="AW146:AY147"/>
    <mergeCell ref="U146:Y147"/>
    <mergeCell ref="Z146:Z147"/>
    <mergeCell ref="AA146:AD147"/>
    <mergeCell ref="AE146:AG147"/>
    <mergeCell ref="AH146:AH147"/>
    <mergeCell ref="AI146:AK147"/>
    <mergeCell ref="CU144:CW145"/>
    <mergeCell ref="E146:I147"/>
    <mergeCell ref="J146:J147"/>
    <mergeCell ref="K146:N147"/>
    <mergeCell ref="O146:P147"/>
    <mergeCell ref="Q146:R147"/>
    <mergeCell ref="S146:T147"/>
    <mergeCell ref="AS144:AU145"/>
    <mergeCell ref="AV144:AV145"/>
    <mergeCell ref="AW144:AY145"/>
    <mergeCell ref="AZ144:BC145"/>
    <mergeCell ref="BE144:BF145"/>
    <mergeCell ref="BH144:BO145"/>
    <mergeCell ref="AE144:AG145"/>
    <mergeCell ref="AH144:AH145"/>
    <mergeCell ref="AI144:AK145"/>
    <mergeCell ref="AL144:AN145"/>
    <mergeCell ref="AO144:AO145"/>
    <mergeCell ref="AP144:AR145"/>
    <mergeCell ref="CU146:CW147"/>
    <mergeCell ref="E144:I145"/>
    <mergeCell ref="J144:J145"/>
    <mergeCell ref="K144:N145"/>
    <mergeCell ref="O144:P145"/>
    <mergeCell ref="Q144:R145"/>
    <mergeCell ref="S144:T145"/>
    <mergeCell ref="U144:Y145"/>
    <mergeCell ref="Z144:Z145"/>
    <mergeCell ref="AA144:AD145"/>
    <mergeCell ref="BP144:CA145"/>
    <mergeCell ref="CD144:CF145"/>
    <mergeCell ref="CH144:CS145"/>
    <mergeCell ref="AZ142:BC143"/>
    <mergeCell ref="BE142:BF143"/>
    <mergeCell ref="BH142:BO143"/>
    <mergeCell ref="BP142:CA143"/>
    <mergeCell ref="CD142:CF143"/>
    <mergeCell ref="CH142:CS143"/>
    <mergeCell ref="AL142:AN143"/>
    <mergeCell ref="AO142:AO143"/>
    <mergeCell ref="AP142:AR143"/>
    <mergeCell ref="AS142:AU143"/>
    <mergeCell ref="AV142:AV143"/>
    <mergeCell ref="AW142:AY143"/>
    <mergeCell ref="U142:Y143"/>
    <mergeCell ref="Z142:Z143"/>
    <mergeCell ref="AA142:AD143"/>
    <mergeCell ref="AE142:AG143"/>
    <mergeCell ref="AH142:AH143"/>
    <mergeCell ref="AI142:AK143"/>
    <mergeCell ref="CU140:CW141"/>
    <mergeCell ref="E142:I143"/>
    <mergeCell ref="J142:J143"/>
    <mergeCell ref="K142:N143"/>
    <mergeCell ref="O142:P143"/>
    <mergeCell ref="Q142:R143"/>
    <mergeCell ref="S142:T143"/>
    <mergeCell ref="AS140:AU141"/>
    <mergeCell ref="AV140:AV141"/>
    <mergeCell ref="AW140:AY141"/>
    <mergeCell ref="AZ140:BC141"/>
    <mergeCell ref="BE140:BF141"/>
    <mergeCell ref="BH140:BO141"/>
    <mergeCell ref="AE140:AG141"/>
    <mergeCell ref="AH140:AH141"/>
    <mergeCell ref="AI140:AK141"/>
    <mergeCell ref="AL140:AN141"/>
    <mergeCell ref="AO140:AO141"/>
    <mergeCell ref="AP140:AR141"/>
    <mergeCell ref="CU142:CW143"/>
    <mergeCell ref="E140:I141"/>
    <mergeCell ref="J140:J141"/>
    <mergeCell ref="K140:N141"/>
    <mergeCell ref="O140:P141"/>
    <mergeCell ref="Q140:R141"/>
    <mergeCell ref="S140:T141"/>
    <mergeCell ref="U140:Y141"/>
    <mergeCell ref="Z140:Z141"/>
    <mergeCell ref="AA140:AD141"/>
    <mergeCell ref="BP140:CA141"/>
    <mergeCell ref="CD140:CF141"/>
    <mergeCell ref="CH140:CS141"/>
    <mergeCell ref="AZ138:BC139"/>
    <mergeCell ref="BE138:BF139"/>
    <mergeCell ref="BH138:BO139"/>
    <mergeCell ref="BP138:CA139"/>
    <mergeCell ref="CD138:CF139"/>
    <mergeCell ref="CH138:CS139"/>
    <mergeCell ref="AL138:AN139"/>
    <mergeCell ref="AO138:AO139"/>
    <mergeCell ref="AP138:AR139"/>
    <mergeCell ref="AS138:AU139"/>
    <mergeCell ref="AV138:AV139"/>
    <mergeCell ref="AW138:AY139"/>
    <mergeCell ref="U138:Y139"/>
    <mergeCell ref="Z138:Z139"/>
    <mergeCell ref="AA138:AD139"/>
    <mergeCell ref="AE138:AG139"/>
    <mergeCell ref="AH138:AH139"/>
    <mergeCell ref="AI138:AK139"/>
    <mergeCell ref="CU136:CW137"/>
    <mergeCell ref="E138:I139"/>
    <mergeCell ref="J138:J139"/>
    <mergeCell ref="K138:N139"/>
    <mergeCell ref="O138:P139"/>
    <mergeCell ref="Q138:R139"/>
    <mergeCell ref="S138:T139"/>
    <mergeCell ref="AS136:AU137"/>
    <mergeCell ref="AV136:AV137"/>
    <mergeCell ref="AW136:AY137"/>
    <mergeCell ref="AZ136:BC137"/>
    <mergeCell ref="BE136:BF137"/>
    <mergeCell ref="BH136:BO137"/>
    <mergeCell ref="AE136:AG137"/>
    <mergeCell ref="AH136:AH137"/>
    <mergeCell ref="AI136:AK137"/>
    <mergeCell ref="AL136:AN137"/>
    <mergeCell ref="AO136:AO137"/>
    <mergeCell ref="AP136:AR137"/>
    <mergeCell ref="CU138:CW139"/>
    <mergeCell ref="E136:I137"/>
    <mergeCell ref="J136:J137"/>
    <mergeCell ref="K136:N137"/>
    <mergeCell ref="O136:P137"/>
    <mergeCell ref="Q136:R137"/>
    <mergeCell ref="S136:T137"/>
    <mergeCell ref="U136:Y137"/>
    <mergeCell ref="Z136:Z137"/>
    <mergeCell ref="AA136:AD137"/>
    <mergeCell ref="BP136:CA137"/>
    <mergeCell ref="CD136:CF137"/>
    <mergeCell ref="CH136:CS137"/>
    <mergeCell ref="AZ134:BC135"/>
    <mergeCell ref="BE134:BF135"/>
    <mergeCell ref="BH134:BO135"/>
    <mergeCell ref="BP134:CA135"/>
    <mergeCell ref="CD134:CF135"/>
    <mergeCell ref="CH134:CS135"/>
    <mergeCell ref="AL134:AN135"/>
    <mergeCell ref="AO134:AO135"/>
    <mergeCell ref="AP134:AR135"/>
    <mergeCell ref="AS134:AU135"/>
    <mergeCell ref="AV134:AV135"/>
    <mergeCell ref="AW134:AY135"/>
    <mergeCell ref="U134:Y135"/>
    <mergeCell ref="Z134:Z135"/>
    <mergeCell ref="AA134:AD135"/>
    <mergeCell ref="AE134:AG135"/>
    <mergeCell ref="AH134:AH135"/>
    <mergeCell ref="AI134:AK135"/>
    <mergeCell ref="CU132:CW133"/>
    <mergeCell ref="E134:I135"/>
    <mergeCell ref="J134:J135"/>
    <mergeCell ref="K134:N135"/>
    <mergeCell ref="O134:P135"/>
    <mergeCell ref="Q134:R135"/>
    <mergeCell ref="S134:T135"/>
    <mergeCell ref="AS132:AU133"/>
    <mergeCell ref="AV132:AV133"/>
    <mergeCell ref="AW132:AY133"/>
    <mergeCell ref="AZ132:BC133"/>
    <mergeCell ref="BE132:BF133"/>
    <mergeCell ref="BH132:BO133"/>
    <mergeCell ref="AE132:AG133"/>
    <mergeCell ref="AH132:AH133"/>
    <mergeCell ref="AI132:AK133"/>
    <mergeCell ref="AL132:AN133"/>
    <mergeCell ref="AO132:AO133"/>
    <mergeCell ref="AP132:AR133"/>
    <mergeCell ref="CU134:CW135"/>
    <mergeCell ref="E132:I133"/>
    <mergeCell ref="J132:J133"/>
    <mergeCell ref="K132:N133"/>
    <mergeCell ref="O132:P133"/>
    <mergeCell ref="Q132:R133"/>
    <mergeCell ref="S132:T133"/>
    <mergeCell ref="U132:Y133"/>
    <mergeCell ref="Z132:Z133"/>
    <mergeCell ref="AA132:AD133"/>
    <mergeCell ref="BP132:CA133"/>
    <mergeCell ref="CD132:CF133"/>
    <mergeCell ref="CH132:CS133"/>
    <mergeCell ref="AZ130:BC131"/>
    <mergeCell ref="BE130:BF131"/>
    <mergeCell ref="BH130:BO131"/>
    <mergeCell ref="BP130:CA131"/>
    <mergeCell ref="CD130:CF131"/>
    <mergeCell ref="CH130:CS131"/>
    <mergeCell ref="AL130:AN131"/>
    <mergeCell ref="AO130:AO131"/>
    <mergeCell ref="AP130:AR131"/>
    <mergeCell ref="AS130:AU131"/>
    <mergeCell ref="AV130:AV131"/>
    <mergeCell ref="AW130:AY131"/>
    <mergeCell ref="U130:Y131"/>
    <mergeCell ref="Z130:Z131"/>
    <mergeCell ref="AA130:AD131"/>
    <mergeCell ref="AE130:AG131"/>
    <mergeCell ref="AH130:AH131"/>
    <mergeCell ref="AI130:AK131"/>
    <mergeCell ref="CU128:CW129"/>
    <mergeCell ref="E130:I131"/>
    <mergeCell ref="J130:J131"/>
    <mergeCell ref="K130:N131"/>
    <mergeCell ref="O130:P131"/>
    <mergeCell ref="Q130:R131"/>
    <mergeCell ref="S130:T131"/>
    <mergeCell ref="AS128:AU129"/>
    <mergeCell ref="AV128:AV129"/>
    <mergeCell ref="AW128:AY129"/>
    <mergeCell ref="AZ128:BC129"/>
    <mergeCell ref="BE128:BF129"/>
    <mergeCell ref="BH128:BO129"/>
    <mergeCell ref="AE128:AG129"/>
    <mergeCell ref="AH128:AH129"/>
    <mergeCell ref="AI128:AK129"/>
    <mergeCell ref="AL128:AN129"/>
    <mergeCell ref="AO128:AO129"/>
    <mergeCell ref="AP128:AR129"/>
    <mergeCell ref="CU130:CW131"/>
    <mergeCell ref="E128:I129"/>
    <mergeCell ref="J128:J129"/>
    <mergeCell ref="K128:N129"/>
    <mergeCell ref="O128:P129"/>
    <mergeCell ref="Q128:R129"/>
    <mergeCell ref="S128:T129"/>
    <mergeCell ref="U128:Y129"/>
    <mergeCell ref="Z128:Z129"/>
    <mergeCell ref="AA128:AD129"/>
    <mergeCell ref="BP128:CA129"/>
    <mergeCell ref="CD128:CF129"/>
    <mergeCell ref="CH128:CS129"/>
    <mergeCell ref="AZ126:BC127"/>
    <mergeCell ref="BE126:BF127"/>
    <mergeCell ref="BH126:BO127"/>
    <mergeCell ref="BP126:CA127"/>
    <mergeCell ref="CD126:CF127"/>
    <mergeCell ref="CH126:CS127"/>
    <mergeCell ref="AL126:AN127"/>
    <mergeCell ref="AO126:AO127"/>
    <mergeCell ref="AP126:AR127"/>
    <mergeCell ref="AS126:AU127"/>
    <mergeCell ref="AV126:AV127"/>
    <mergeCell ref="AW126:AY127"/>
    <mergeCell ref="U126:Y127"/>
    <mergeCell ref="Z126:Z127"/>
    <mergeCell ref="AA126:AD127"/>
    <mergeCell ref="AE126:AG127"/>
    <mergeCell ref="AH126:AH127"/>
    <mergeCell ref="AI126:AK127"/>
    <mergeCell ref="CU124:CW125"/>
    <mergeCell ref="E126:I127"/>
    <mergeCell ref="J126:J127"/>
    <mergeCell ref="K126:N127"/>
    <mergeCell ref="O126:P127"/>
    <mergeCell ref="Q126:R127"/>
    <mergeCell ref="S126:T127"/>
    <mergeCell ref="AS124:AU125"/>
    <mergeCell ref="AV124:AV125"/>
    <mergeCell ref="AW124:AY125"/>
    <mergeCell ref="AZ124:BC125"/>
    <mergeCell ref="BE124:BF125"/>
    <mergeCell ref="BH124:BO125"/>
    <mergeCell ref="AE124:AG125"/>
    <mergeCell ref="AH124:AH125"/>
    <mergeCell ref="AI124:AK125"/>
    <mergeCell ref="AL124:AN125"/>
    <mergeCell ref="AO124:AO125"/>
    <mergeCell ref="AP124:AR125"/>
    <mergeCell ref="CU126:CW127"/>
    <mergeCell ref="E124:I125"/>
    <mergeCell ref="J124:J125"/>
    <mergeCell ref="K124:N125"/>
    <mergeCell ref="O124:P125"/>
    <mergeCell ref="Q124:R125"/>
    <mergeCell ref="S124:T125"/>
    <mergeCell ref="U124:Y125"/>
    <mergeCell ref="Z124:Z125"/>
    <mergeCell ref="AA124:AD125"/>
    <mergeCell ref="BP124:CA125"/>
    <mergeCell ref="CD124:CF125"/>
    <mergeCell ref="CH124:CS125"/>
    <mergeCell ref="AZ122:BC123"/>
    <mergeCell ref="BE122:BF123"/>
    <mergeCell ref="BH122:BO123"/>
    <mergeCell ref="BP122:CA123"/>
    <mergeCell ref="CD122:CF123"/>
    <mergeCell ref="CH122:CS123"/>
    <mergeCell ref="AL122:AN123"/>
    <mergeCell ref="AO122:AO123"/>
    <mergeCell ref="AP122:AR123"/>
    <mergeCell ref="AS122:AU123"/>
    <mergeCell ref="AV122:AV123"/>
    <mergeCell ref="AW122:AY123"/>
    <mergeCell ref="U122:Y123"/>
    <mergeCell ref="Z122:Z123"/>
    <mergeCell ref="AA122:AD123"/>
    <mergeCell ref="AE122:AG123"/>
    <mergeCell ref="AH122:AH123"/>
    <mergeCell ref="AI122:AK123"/>
    <mergeCell ref="CU120:CW121"/>
    <mergeCell ref="E122:I123"/>
    <mergeCell ref="J122:J123"/>
    <mergeCell ref="K122:N123"/>
    <mergeCell ref="O122:P123"/>
    <mergeCell ref="Q122:R123"/>
    <mergeCell ref="S122:T123"/>
    <mergeCell ref="AS120:AU121"/>
    <mergeCell ref="AV120:AV121"/>
    <mergeCell ref="AW120:AY121"/>
    <mergeCell ref="AZ120:BC121"/>
    <mergeCell ref="BE120:BF121"/>
    <mergeCell ref="BH120:BO121"/>
    <mergeCell ref="AE120:AG121"/>
    <mergeCell ref="AH120:AH121"/>
    <mergeCell ref="AI120:AK121"/>
    <mergeCell ref="AL120:AN121"/>
    <mergeCell ref="AO120:AO121"/>
    <mergeCell ref="AP120:AR121"/>
    <mergeCell ref="CU122:CW123"/>
    <mergeCell ref="E120:I121"/>
    <mergeCell ref="J120:J121"/>
    <mergeCell ref="K120:N121"/>
    <mergeCell ref="O120:P121"/>
    <mergeCell ref="Q120:R121"/>
    <mergeCell ref="S120:T121"/>
    <mergeCell ref="U120:Y121"/>
    <mergeCell ref="Z120:Z121"/>
    <mergeCell ref="AA120:AD121"/>
    <mergeCell ref="BP120:CA121"/>
    <mergeCell ref="CD120:CF121"/>
    <mergeCell ref="CH120:CS121"/>
    <mergeCell ref="AZ118:BC119"/>
    <mergeCell ref="BE118:BF119"/>
    <mergeCell ref="BH118:BO119"/>
    <mergeCell ref="BP118:CA119"/>
    <mergeCell ref="CD118:CF119"/>
    <mergeCell ref="CH118:CS119"/>
    <mergeCell ref="AL118:AN119"/>
    <mergeCell ref="AO118:AO119"/>
    <mergeCell ref="AP118:AR119"/>
    <mergeCell ref="AS118:AU119"/>
    <mergeCell ref="AV118:AV119"/>
    <mergeCell ref="AW118:AY119"/>
    <mergeCell ref="U118:Y119"/>
    <mergeCell ref="Z118:Z119"/>
    <mergeCell ref="AA118:AD119"/>
    <mergeCell ref="AE118:AG119"/>
    <mergeCell ref="AH118:AH119"/>
    <mergeCell ref="AI118:AK119"/>
    <mergeCell ref="CU116:CW117"/>
    <mergeCell ref="E118:I119"/>
    <mergeCell ref="J118:J119"/>
    <mergeCell ref="K118:N119"/>
    <mergeCell ref="O118:P119"/>
    <mergeCell ref="Q118:R119"/>
    <mergeCell ref="S118:T119"/>
    <mergeCell ref="AS116:AU117"/>
    <mergeCell ref="AV116:AV117"/>
    <mergeCell ref="AW116:AY117"/>
    <mergeCell ref="AZ116:BC117"/>
    <mergeCell ref="BE116:BF117"/>
    <mergeCell ref="BH116:BO117"/>
    <mergeCell ref="AE116:AG117"/>
    <mergeCell ref="AH116:AH117"/>
    <mergeCell ref="AI116:AK117"/>
    <mergeCell ref="AL116:AN117"/>
    <mergeCell ref="AO116:AO117"/>
    <mergeCell ref="AP116:AR117"/>
    <mergeCell ref="CU118:CW119"/>
    <mergeCell ref="E116:I117"/>
    <mergeCell ref="J116:J117"/>
    <mergeCell ref="K116:N117"/>
    <mergeCell ref="O116:P117"/>
    <mergeCell ref="Q116:R117"/>
    <mergeCell ref="S116:T117"/>
    <mergeCell ref="U116:Y117"/>
    <mergeCell ref="Z116:Z117"/>
    <mergeCell ref="AA116:AD117"/>
    <mergeCell ref="BP116:CA117"/>
    <mergeCell ref="CD116:CF117"/>
    <mergeCell ref="CH116:CS117"/>
    <mergeCell ref="AZ114:BC115"/>
    <mergeCell ref="BE114:BF115"/>
    <mergeCell ref="BH114:BO115"/>
    <mergeCell ref="BP114:CA115"/>
    <mergeCell ref="CD114:CF115"/>
    <mergeCell ref="CH114:CS115"/>
    <mergeCell ref="AL114:AN115"/>
    <mergeCell ref="AO114:AO115"/>
    <mergeCell ref="AP114:AR115"/>
    <mergeCell ref="AS114:AU115"/>
    <mergeCell ref="AV114:AV115"/>
    <mergeCell ref="AW114:AY115"/>
    <mergeCell ref="U114:Y115"/>
    <mergeCell ref="Z114:Z115"/>
    <mergeCell ref="AA114:AD115"/>
    <mergeCell ref="AE114:AG115"/>
    <mergeCell ref="AH114:AH115"/>
    <mergeCell ref="AI114:AK115"/>
    <mergeCell ref="CU112:CW113"/>
    <mergeCell ref="E114:I115"/>
    <mergeCell ref="J114:J115"/>
    <mergeCell ref="K114:N115"/>
    <mergeCell ref="O114:P115"/>
    <mergeCell ref="Q114:R115"/>
    <mergeCell ref="S114:T115"/>
    <mergeCell ref="AS112:AU113"/>
    <mergeCell ref="AV112:AV113"/>
    <mergeCell ref="AW112:AY113"/>
    <mergeCell ref="AZ112:BC113"/>
    <mergeCell ref="BE112:BF113"/>
    <mergeCell ref="BH112:BO113"/>
    <mergeCell ref="AE112:AG113"/>
    <mergeCell ref="AH112:AH113"/>
    <mergeCell ref="AI112:AK113"/>
    <mergeCell ref="AL112:AN113"/>
    <mergeCell ref="AO112:AO113"/>
    <mergeCell ref="AP112:AR113"/>
    <mergeCell ref="CU114:CW115"/>
    <mergeCell ref="E112:I113"/>
    <mergeCell ref="J112:J113"/>
    <mergeCell ref="K112:N113"/>
    <mergeCell ref="O112:P113"/>
    <mergeCell ref="Q112:R113"/>
    <mergeCell ref="S112:T113"/>
    <mergeCell ref="U112:Y113"/>
    <mergeCell ref="Z112:Z113"/>
    <mergeCell ref="AA112:AD113"/>
    <mergeCell ref="BP112:CA113"/>
    <mergeCell ref="CD112:CF113"/>
    <mergeCell ref="CH112:CS113"/>
    <mergeCell ref="AZ110:BC111"/>
    <mergeCell ref="BE110:BF111"/>
    <mergeCell ref="BH110:BO111"/>
    <mergeCell ref="BP110:CA111"/>
    <mergeCell ref="CD110:CF111"/>
    <mergeCell ref="CH110:CS111"/>
    <mergeCell ref="AL110:AN111"/>
    <mergeCell ref="AO110:AO111"/>
    <mergeCell ref="AP110:AR111"/>
    <mergeCell ref="AS110:AU111"/>
    <mergeCell ref="AV110:AV111"/>
    <mergeCell ref="AW110:AY111"/>
    <mergeCell ref="U110:Y111"/>
    <mergeCell ref="Z110:Z111"/>
    <mergeCell ref="AA110:AD111"/>
    <mergeCell ref="AE110:AG111"/>
    <mergeCell ref="AH110:AH111"/>
    <mergeCell ref="AI110:AK111"/>
    <mergeCell ref="CU108:CW109"/>
    <mergeCell ref="E110:I111"/>
    <mergeCell ref="J110:J111"/>
    <mergeCell ref="K110:N111"/>
    <mergeCell ref="O110:P111"/>
    <mergeCell ref="Q110:R111"/>
    <mergeCell ref="S110:T111"/>
    <mergeCell ref="AS108:AU109"/>
    <mergeCell ref="AV108:AV109"/>
    <mergeCell ref="AW108:AY109"/>
    <mergeCell ref="AZ108:BC109"/>
    <mergeCell ref="BE108:BF109"/>
    <mergeCell ref="BH108:BO109"/>
    <mergeCell ref="AE108:AG109"/>
    <mergeCell ref="AH108:AH109"/>
    <mergeCell ref="AI108:AK109"/>
    <mergeCell ref="AL108:AN109"/>
    <mergeCell ref="AO108:AO109"/>
    <mergeCell ref="AP108:AR109"/>
    <mergeCell ref="CU110:CW111"/>
    <mergeCell ref="E108:I109"/>
    <mergeCell ref="J108:J109"/>
    <mergeCell ref="K108:N109"/>
    <mergeCell ref="O108:P109"/>
    <mergeCell ref="Q108:R109"/>
    <mergeCell ref="S108:T109"/>
    <mergeCell ref="U108:Y109"/>
    <mergeCell ref="Z108:Z109"/>
    <mergeCell ref="AA108:AD109"/>
    <mergeCell ref="BP108:CA109"/>
    <mergeCell ref="CD108:CF109"/>
    <mergeCell ref="CH108:CS109"/>
    <mergeCell ref="AZ106:BC107"/>
    <mergeCell ref="BE106:BF107"/>
    <mergeCell ref="BH106:BO107"/>
    <mergeCell ref="BP106:CA107"/>
    <mergeCell ref="CD106:CF107"/>
    <mergeCell ref="CH106:CS107"/>
    <mergeCell ref="AL106:AN107"/>
    <mergeCell ref="AO106:AO107"/>
    <mergeCell ref="AP106:AR107"/>
    <mergeCell ref="AS106:AU107"/>
    <mergeCell ref="AV106:AV107"/>
    <mergeCell ref="AW106:AY107"/>
    <mergeCell ref="U106:Y107"/>
    <mergeCell ref="Z106:Z107"/>
    <mergeCell ref="AA106:AD107"/>
    <mergeCell ref="AE106:AG107"/>
    <mergeCell ref="AH106:AH107"/>
    <mergeCell ref="AI106:AK107"/>
    <mergeCell ref="CU104:CW105"/>
    <mergeCell ref="E106:I107"/>
    <mergeCell ref="J106:J107"/>
    <mergeCell ref="K106:N107"/>
    <mergeCell ref="O106:P107"/>
    <mergeCell ref="Q106:R107"/>
    <mergeCell ref="S106:T107"/>
    <mergeCell ref="AS104:AU105"/>
    <mergeCell ref="AV104:AV105"/>
    <mergeCell ref="AW104:AY105"/>
    <mergeCell ref="AZ104:BC105"/>
    <mergeCell ref="BE104:BF105"/>
    <mergeCell ref="BH104:BO105"/>
    <mergeCell ref="AE104:AG105"/>
    <mergeCell ref="AH104:AH105"/>
    <mergeCell ref="AI104:AK105"/>
    <mergeCell ref="AL104:AN105"/>
    <mergeCell ref="AO104:AO105"/>
    <mergeCell ref="AP104:AR105"/>
    <mergeCell ref="CU106:CW107"/>
    <mergeCell ref="E104:I105"/>
    <mergeCell ref="J104:J105"/>
    <mergeCell ref="K104:N105"/>
    <mergeCell ref="O104:P105"/>
    <mergeCell ref="Q104:R105"/>
    <mergeCell ref="S104:T105"/>
    <mergeCell ref="U104:Y105"/>
    <mergeCell ref="Z104:Z105"/>
    <mergeCell ref="AA104:AD105"/>
    <mergeCell ref="BP104:CA105"/>
    <mergeCell ref="CD104:CF105"/>
    <mergeCell ref="CH104:CS105"/>
    <mergeCell ref="AZ102:BC103"/>
    <mergeCell ref="BE102:BF103"/>
    <mergeCell ref="BH102:BO103"/>
    <mergeCell ref="BP102:CA103"/>
    <mergeCell ref="CD102:CF103"/>
    <mergeCell ref="CH102:CS103"/>
    <mergeCell ref="AL102:AN103"/>
    <mergeCell ref="AO102:AO103"/>
    <mergeCell ref="AP102:AR103"/>
    <mergeCell ref="AS102:AU103"/>
    <mergeCell ref="AV102:AV103"/>
    <mergeCell ref="AW102:AY103"/>
    <mergeCell ref="U102:Y103"/>
    <mergeCell ref="Z102:Z103"/>
    <mergeCell ref="AA102:AD103"/>
    <mergeCell ref="AE102:AG103"/>
    <mergeCell ref="AH102:AH103"/>
    <mergeCell ref="AI102:AK103"/>
    <mergeCell ref="CU100:CW101"/>
    <mergeCell ref="E102:I103"/>
    <mergeCell ref="J102:J103"/>
    <mergeCell ref="K102:N103"/>
    <mergeCell ref="O102:P103"/>
    <mergeCell ref="Q102:R103"/>
    <mergeCell ref="S102:T103"/>
    <mergeCell ref="AS100:AU101"/>
    <mergeCell ref="AV100:AV101"/>
    <mergeCell ref="AW100:AY101"/>
    <mergeCell ref="AZ100:BC101"/>
    <mergeCell ref="BE100:BF101"/>
    <mergeCell ref="BH100:BO101"/>
    <mergeCell ref="AE100:AG101"/>
    <mergeCell ref="AH100:AH101"/>
    <mergeCell ref="AI100:AK101"/>
    <mergeCell ref="AL100:AN101"/>
    <mergeCell ref="AO100:AO101"/>
    <mergeCell ref="AP100:AR101"/>
    <mergeCell ref="CU102:CW103"/>
    <mergeCell ref="E100:I101"/>
    <mergeCell ref="J100:J101"/>
    <mergeCell ref="K100:N101"/>
    <mergeCell ref="O100:P101"/>
    <mergeCell ref="Q100:R101"/>
    <mergeCell ref="S100:T101"/>
    <mergeCell ref="U100:Y101"/>
    <mergeCell ref="Z100:Z101"/>
    <mergeCell ref="AA100:AD101"/>
    <mergeCell ref="BP100:CA101"/>
    <mergeCell ref="CD100:CF101"/>
    <mergeCell ref="CH100:CS101"/>
    <mergeCell ref="AZ98:BC99"/>
    <mergeCell ref="BE98:BF99"/>
    <mergeCell ref="BH98:BO99"/>
    <mergeCell ref="BP98:CA99"/>
    <mergeCell ref="CD98:CF99"/>
    <mergeCell ref="CH98:CS99"/>
    <mergeCell ref="AL98:AN99"/>
    <mergeCell ref="AO98:AO99"/>
    <mergeCell ref="AP98:AR99"/>
    <mergeCell ref="AS98:AU99"/>
    <mergeCell ref="AV98:AV99"/>
    <mergeCell ref="AW98:AY99"/>
    <mergeCell ref="U98:Y99"/>
    <mergeCell ref="Z98:Z99"/>
    <mergeCell ref="AA98:AD99"/>
    <mergeCell ref="AE98:AG99"/>
    <mergeCell ref="AH98:AH99"/>
    <mergeCell ref="AI98:AK99"/>
    <mergeCell ref="CU96:CW97"/>
    <mergeCell ref="E98:I99"/>
    <mergeCell ref="J98:J99"/>
    <mergeCell ref="K98:N99"/>
    <mergeCell ref="O98:P99"/>
    <mergeCell ref="Q98:R99"/>
    <mergeCell ref="S98:T99"/>
    <mergeCell ref="AS96:AU97"/>
    <mergeCell ref="AV96:AV97"/>
    <mergeCell ref="AW96:AY97"/>
    <mergeCell ref="AZ96:BC97"/>
    <mergeCell ref="BE96:BF97"/>
    <mergeCell ref="BH96:BO97"/>
    <mergeCell ref="AE96:AG97"/>
    <mergeCell ref="AH96:AH97"/>
    <mergeCell ref="AI96:AK97"/>
    <mergeCell ref="AL96:AN97"/>
    <mergeCell ref="AO96:AO97"/>
    <mergeCell ref="AP96:AR97"/>
    <mergeCell ref="CU98:CW99"/>
    <mergeCell ref="E96:I97"/>
    <mergeCell ref="J96:J97"/>
    <mergeCell ref="K96:N97"/>
    <mergeCell ref="O96:P97"/>
    <mergeCell ref="Q96:R97"/>
    <mergeCell ref="S96:T97"/>
    <mergeCell ref="U96:Y97"/>
    <mergeCell ref="Z96:Z97"/>
    <mergeCell ref="AA96:AD97"/>
    <mergeCell ref="BP96:CA97"/>
    <mergeCell ref="CD96:CF97"/>
    <mergeCell ref="CH96:CS97"/>
    <mergeCell ref="AZ94:BC95"/>
    <mergeCell ref="BE94:BF95"/>
    <mergeCell ref="BH94:BO95"/>
    <mergeCell ref="BP94:CA95"/>
    <mergeCell ref="CD94:CF95"/>
    <mergeCell ref="CH94:CS95"/>
    <mergeCell ref="AL94:AN95"/>
    <mergeCell ref="AO94:AO95"/>
    <mergeCell ref="AP94:AR95"/>
    <mergeCell ref="AS94:AU95"/>
    <mergeCell ref="AV94:AV95"/>
    <mergeCell ref="AW94:AY95"/>
    <mergeCell ref="U94:Y95"/>
    <mergeCell ref="Z94:Z95"/>
    <mergeCell ref="AA94:AD95"/>
    <mergeCell ref="AE94:AG95"/>
    <mergeCell ref="AH94:AH95"/>
    <mergeCell ref="AI94:AK95"/>
    <mergeCell ref="CU92:CW93"/>
    <mergeCell ref="E94:I95"/>
    <mergeCell ref="J94:J95"/>
    <mergeCell ref="K94:N95"/>
    <mergeCell ref="O94:P95"/>
    <mergeCell ref="Q94:R95"/>
    <mergeCell ref="S94:T95"/>
    <mergeCell ref="AS92:AU93"/>
    <mergeCell ref="AV92:AV93"/>
    <mergeCell ref="AW92:AY93"/>
    <mergeCell ref="AZ92:BC93"/>
    <mergeCell ref="BE92:BF93"/>
    <mergeCell ref="BH92:BO93"/>
    <mergeCell ref="AE92:AG93"/>
    <mergeCell ref="AH92:AH93"/>
    <mergeCell ref="AI92:AK93"/>
    <mergeCell ref="AL92:AN93"/>
    <mergeCell ref="AO92:AO93"/>
    <mergeCell ref="AP92:AR93"/>
    <mergeCell ref="CU94:CW95"/>
    <mergeCell ref="E92:I93"/>
    <mergeCell ref="J92:J93"/>
    <mergeCell ref="K92:N93"/>
    <mergeCell ref="O92:P93"/>
    <mergeCell ref="Q92:R93"/>
    <mergeCell ref="S92:T93"/>
    <mergeCell ref="U92:Y93"/>
    <mergeCell ref="Z92:Z93"/>
    <mergeCell ref="AA92:AD93"/>
    <mergeCell ref="BP92:CA93"/>
    <mergeCell ref="CD92:CF93"/>
    <mergeCell ref="CH92:CS93"/>
    <mergeCell ref="AZ90:BC91"/>
    <mergeCell ref="BE90:BF91"/>
    <mergeCell ref="BH90:BO91"/>
    <mergeCell ref="BP90:CA91"/>
    <mergeCell ref="CD90:CF91"/>
    <mergeCell ref="CH90:CS91"/>
    <mergeCell ref="AL90:AN91"/>
    <mergeCell ref="AO90:AO91"/>
    <mergeCell ref="AP90:AR91"/>
    <mergeCell ref="AS90:AU91"/>
    <mergeCell ref="AV90:AV91"/>
    <mergeCell ref="AW90:AY91"/>
    <mergeCell ref="U90:Y91"/>
    <mergeCell ref="Z90:Z91"/>
    <mergeCell ref="AA90:AD91"/>
    <mergeCell ref="AE90:AG91"/>
    <mergeCell ref="AH90:AH91"/>
    <mergeCell ref="AI90:AK91"/>
    <mergeCell ref="CU88:CW89"/>
    <mergeCell ref="E90:I91"/>
    <mergeCell ref="J90:J91"/>
    <mergeCell ref="K90:N91"/>
    <mergeCell ref="O90:P91"/>
    <mergeCell ref="Q90:R91"/>
    <mergeCell ref="S90:T91"/>
    <mergeCell ref="AS88:AU89"/>
    <mergeCell ref="AV88:AV89"/>
    <mergeCell ref="AW88:AY89"/>
    <mergeCell ref="AZ88:BC89"/>
    <mergeCell ref="BE88:BF89"/>
    <mergeCell ref="BH88:BO89"/>
    <mergeCell ref="AE88:AG89"/>
    <mergeCell ref="AH88:AH89"/>
    <mergeCell ref="AI88:AK89"/>
    <mergeCell ref="AL88:AN89"/>
    <mergeCell ref="AO88:AO89"/>
    <mergeCell ref="AP88:AR89"/>
    <mergeCell ref="CU90:CW91"/>
    <mergeCell ref="E88:I89"/>
    <mergeCell ref="J88:J89"/>
    <mergeCell ref="K88:N89"/>
    <mergeCell ref="O88:P89"/>
    <mergeCell ref="Q88:R89"/>
    <mergeCell ref="S88:T89"/>
    <mergeCell ref="U88:Y89"/>
    <mergeCell ref="Z88:Z89"/>
    <mergeCell ref="AA88:AD89"/>
    <mergeCell ref="BP88:CA89"/>
    <mergeCell ref="CD88:CF89"/>
    <mergeCell ref="CH88:CS89"/>
    <mergeCell ref="AZ86:BC87"/>
    <mergeCell ref="BE86:BF87"/>
    <mergeCell ref="BH86:BO87"/>
    <mergeCell ref="BP86:CA87"/>
    <mergeCell ref="CD86:CF87"/>
    <mergeCell ref="CH86:CS87"/>
    <mergeCell ref="AL86:AN87"/>
    <mergeCell ref="AO86:AO87"/>
    <mergeCell ref="AP86:AR87"/>
    <mergeCell ref="AS86:AU87"/>
    <mergeCell ref="AV86:AV87"/>
    <mergeCell ref="AW86:AY87"/>
    <mergeCell ref="U86:Y87"/>
    <mergeCell ref="Z86:Z87"/>
    <mergeCell ref="AA86:AD87"/>
    <mergeCell ref="AE86:AG87"/>
    <mergeCell ref="AH86:AH87"/>
    <mergeCell ref="AI86:AK87"/>
    <mergeCell ref="CU84:CW85"/>
    <mergeCell ref="E86:I87"/>
    <mergeCell ref="J86:J87"/>
    <mergeCell ref="K86:N87"/>
    <mergeCell ref="O86:P87"/>
    <mergeCell ref="Q86:R87"/>
    <mergeCell ref="S86:T87"/>
    <mergeCell ref="AS84:AU85"/>
    <mergeCell ref="AV84:AV85"/>
    <mergeCell ref="AW84:AY85"/>
    <mergeCell ref="AZ84:BC85"/>
    <mergeCell ref="BE84:BF85"/>
    <mergeCell ref="BH84:BO85"/>
    <mergeCell ref="AE84:AG85"/>
    <mergeCell ref="AH84:AH85"/>
    <mergeCell ref="AI84:AK85"/>
    <mergeCell ref="AL84:AN85"/>
    <mergeCell ref="AO84:AO85"/>
    <mergeCell ref="AP84:AR85"/>
    <mergeCell ref="CU86:CW87"/>
    <mergeCell ref="E84:I85"/>
    <mergeCell ref="J84:J85"/>
    <mergeCell ref="K84:N85"/>
    <mergeCell ref="O84:P85"/>
    <mergeCell ref="Q84:R85"/>
    <mergeCell ref="S84:T85"/>
    <mergeCell ref="U84:Y85"/>
    <mergeCell ref="Z84:Z85"/>
    <mergeCell ref="AA84:AD85"/>
    <mergeCell ref="BP84:CA85"/>
    <mergeCell ref="CD84:CF85"/>
    <mergeCell ref="CH84:CS85"/>
    <mergeCell ref="AZ82:BC83"/>
    <mergeCell ref="BE82:BF83"/>
    <mergeCell ref="BH82:BO83"/>
    <mergeCell ref="BP82:CA83"/>
    <mergeCell ref="CD82:CF83"/>
    <mergeCell ref="CH82:CS83"/>
    <mergeCell ref="AL82:AN83"/>
    <mergeCell ref="AO82:AO83"/>
    <mergeCell ref="AP82:AR83"/>
    <mergeCell ref="AS82:AU83"/>
    <mergeCell ref="AV82:AV83"/>
    <mergeCell ref="AW82:AY83"/>
    <mergeCell ref="U82:Y83"/>
    <mergeCell ref="Z82:Z83"/>
    <mergeCell ref="AA82:AD83"/>
    <mergeCell ref="AE82:AG83"/>
    <mergeCell ref="AH82:AH83"/>
    <mergeCell ref="AI82:AK83"/>
    <mergeCell ref="CU80:CW81"/>
    <mergeCell ref="E82:I83"/>
    <mergeCell ref="J82:J83"/>
    <mergeCell ref="K82:N83"/>
    <mergeCell ref="O82:P83"/>
    <mergeCell ref="Q82:R83"/>
    <mergeCell ref="S82:T83"/>
    <mergeCell ref="AS80:AU81"/>
    <mergeCell ref="AV80:AV81"/>
    <mergeCell ref="AW80:AY81"/>
    <mergeCell ref="AZ80:BC81"/>
    <mergeCell ref="BE80:BF81"/>
    <mergeCell ref="BH80:BO81"/>
    <mergeCell ref="AE80:AG81"/>
    <mergeCell ref="AH80:AH81"/>
    <mergeCell ref="AI80:AK81"/>
    <mergeCell ref="AL80:AN81"/>
    <mergeCell ref="AO80:AO81"/>
    <mergeCell ref="AP80:AR81"/>
    <mergeCell ref="CU82:CW83"/>
    <mergeCell ref="E80:I81"/>
    <mergeCell ref="J80:J81"/>
    <mergeCell ref="K80:N81"/>
    <mergeCell ref="O80:P81"/>
    <mergeCell ref="Q80:R81"/>
    <mergeCell ref="S80:T81"/>
    <mergeCell ref="U80:Y81"/>
    <mergeCell ref="Z80:Z81"/>
    <mergeCell ref="AA80:AD81"/>
    <mergeCell ref="BP80:CA81"/>
    <mergeCell ref="CD80:CF81"/>
    <mergeCell ref="CH80:CS81"/>
    <mergeCell ref="AZ78:BC79"/>
    <mergeCell ref="BE78:BF79"/>
    <mergeCell ref="BH78:BO79"/>
    <mergeCell ref="BP78:CA79"/>
    <mergeCell ref="CD78:CF79"/>
    <mergeCell ref="CH78:CS79"/>
    <mergeCell ref="AL78:AN79"/>
    <mergeCell ref="AO78:AO79"/>
    <mergeCell ref="AP78:AR79"/>
    <mergeCell ref="AS78:AU79"/>
    <mergeCell ref="AV78:AV79"/>
    <mergeCell ref="AW78:AY79"/>
    <mergeCell ref="U78:Y79"/>
    <mergeCell ref="Z78:Z79"/>
    <mergeCell ref="AA78:AD79"/>
    <mergeCell ref="AE78:AG79"/>
    <mergeCell ref="AH78:AH79"/>
    <mergeCell ref="AI78:AK79"/>
    <mergeCell ref="CU76:CW77"/>
    <mergeCell ref="E78:I79"/>
    <mergeCell ref="J78:J79"/>
    <mergeCell ref="K78:N79"/>
    <mergeCell ref="O78:P79"/>
    <mergeCell ref="Q78:R79"/>
    <mergeCell ref="S78:T79"/>
    <mergeCell ref="AS76:AU77"/>
    <mergeCell ref="AV76:AV77"/>
    <mergeCell ref="AW76:AY77"/>
    <mergeCell ref="AZ76:BC77"/>
    <mergeCell ref="BE76:BF77"/>
    <mergeCell ref="BH76:BO77"/>
    <mergeCell ref="AE76:AG77"/>
    <mergeCell ref="AH76:AH77"/>
    <mergeCell ref="AI76:AK77"/>
    <mergeCell ref="AL76:AN77"/>
    <mergeCell ref="AO76:AO77"/>
    <mergeCell ref="AP76:AR77"/>
    <mergeCell ref="CU78:CW79"/>
    <mergeCell ref="E76:I77"/>
    <mergeCell ref="J76:J77"/>
    <mergeCell ref="K76:N77"/>
    <mergeCell ref="O76:P77"/>
    <mergeCell ref="Q76:R77"/>
    <mergeCell ref="S76:T77"/>
    <mergeCell ref="U76:Y77"/>
    <mergeCell ref="Z76:Z77"/>
    <mergeCell ref="AA76:AD77"/>
    <mergeCell ref="BP76:CA77"/>
    <mergeCell ref="CD76:CF77"/>
    <mergeCell ref="CH76:CS77"/>
    <mergeCell ref="AZ74:BC75"/>
    <mergeCell ref="BE74:BF75"/>
    <mergeCell ref="BH74:BO75"/>
    <mergeCell ref="BP74:CA75"/>
    <mergeCell ref="CD74:CF75"/>
    <mergeCell ref="CH74:CS75"/>
    <mergeCell ref="AL74:AN75"/>
    <mergeCell ref="AO74:AO75"/>
    <mergeCell ref="AP74:AR75"/>
    <mergeCell ref="AS74:AU75"/>
    <mergeCell ref="AV74:AV75"/>
    <mergeCell ref="AW74:AY75"/>
    <mergeCell ref="U74:Y75"/>
    <mergeCell ref="Z74:Z75"/>
    <mergeCell ref="AA74:AD75"/>
    <mergeCell ref="AE74:AG75"/>
    <mergeCell ref="AH74:AH75"/>
    <mergeCell ref="AI74:AK75"/>
    <mergeCell ref="CU72:CW73"/>
    <mergeCell ref="E74:I75"/>
    <mergeCell ref="J74:J75"/>
    <mergeCell ref="K74:N75"/>
    <mergeCell ref="O74:P75"/>
    <mergeCell ref="Q74:R75"/>
    <mergeCell ref="S74:T75"/>
    <mergeCell ref="AS72:AU73"/>
    <mergeCell ref="AV72:AV73"/>
    <mergeCell ref="AW72:AY73"/>
    <mergeCell ref="AZ72:BC73"/>
    <mergeCell ref="BE72:BF73"/>
    <mergeCell ref="BH72:BO73"/>
    <mergeCell ref="AE72:AG73"/>
    <mergeCell ref="AH72:AH73"/>
    <mergeCell ref="AI72:AK73"/>
    <mergeCell ref="AL72:AN73"/>
    <mergeCell ref="AO72:AO73"/>
    <mergeCell ref="AP72:AR73"/>
    <mergeCell ref="CU74:CW75"/>
    <mergeCell ref="E72:I73"/>
    <mergeCell ref="J72:J73"/>
    <mergeCell ref="K72:N73"/>
    <mergeCell ref="O72:P73"/>
    <mergeCell ref="Q72:R73"/>
    <mergeCell ref="S72:T73"/>
    <mergeCell ref="U72:Y73"/>
    <mergeCell ref="Z72:Z73"/>
    <mergeCell ref="AA72:AD73"/>
    <mergeCell ref="BP72:CA73"/>
    <mergeCell ref="CD72:CF73"/>
    <mergeCell ref="CH72:CS73"/>
    <mergeCell ref="AZ70:BC71"/>
    <mergeCell ref="BE70:BF71"/>
    <mergeCell ref="BH70:BO71"/>
    <mergeCell ref="BP70:CA71"/>
    <mergeCell ref="CD70:CF71"/>
    <mergeCell ref="CH70:CS71"/>
    <mergeCell ref="AL70:AN71"/>
    <mergeCell ref="AO70:AO71"/>
    <mergeCell ref="AP70:AR71"/>
    <mergeCell ref="AS70:AU71"/>
    <mergeCell ref="AV70:AV71"/>
    <mergeCell ref="AW70:AY71"/>
    <mergeCell ref="U70:Y71"/>
    <mergeCell ref="Z70:Z71"/>
    <mergeCell ref="AA70:AD71"/>
    <mergeCell ref="AE70:AG71"/>
    <mergeCell ref="AH70:AH71"/>
    <mergeCell ref="AI70:AK71"/>
    <mergeCell ref="CU68:CW69"/>
    <mergeCell ref="E70:I71"/>
    <mergeCell ref="J70:J71"/>
    <mergeCell ref="K70:N71"/>
    <mergeCell ref="O70:P71"/>
    <mergeCell ref="Q70:R71"/>
    <mergeCell ref="S70:T71"/>
    <mergeCell ref="AS68:AU69"/>
    <mergeCell ref="AV68:AV69"/>
    <mergeCell ref="AW68:AY69"/>
    <mergeCell ref="AZ68:BC69"/>
    <mergeCell ref="BE68:BF69"/>
    <mergeCell ref="BH68:BO69"/>
    <mergeCell ref="AE68:AG69"/>
    <mergeCell ref="AH68:AH69"/>
    <mergeCell ref="AI68:AK69"/>
    <mergeCell ref="AL68:AN69"/>
    <mergeCell ref="AO68:AO69"/>
    <mergeCell ref="AP68:AR69"/>
    <mergeCell ref="CU70:CW71"/>
    <mergeCell ref="E68:I69"/>
    <mergeCell ref="J68:J69"/>
    <mergeCell ref="K68:N69"/>
    <mergeCell ref="O68:P69"/>
    <mergeCell ref="Q68:R69"/>
    <mergeCell ref="S68:T69"/>
    <mergeCell ref="U68:Y69"/>
    <mergeCell ref="Z68:Z69"/>
    <mergeCell ref="AA68:AD69"/>
    <mergeCell ref="BP68:CA69"/>
    <mergeCell ref="CD68:CF69"/>
    <mergeCell ref="CH68:CS69"/>
    <mergeCell ref="AZ66:BC67"/>
    <mergeCell ref="BE66:BF67"/>
    <mergeCell ref="BH66:BO67"/>
    <mergeCell ref="BP66:CA67"/>
    <mergeCell ref="CD66:CF67"/>
    <mergeCell ref="CH66:CS67"/>
    <mergeCell ref="AL66:AN67"/>
    <mergeCell ref="AO66:AO67"/>
    <mergeCell ref="AP66:AR67"/>
    <mergeCell ref="AS66:AU67"/>
    <mergeCell ref="AV66:AV67"/>
    <mergeCell ref="AW66:AY67"/>
    <mergeCell ref="U66:Y67"/>
    <mergeCell ref="Z66:Z67"/>
    <mergeCell ref="AA66:AD67"/>
    <mergeCell ref="AE66:AG67"/>
    <mergeCell ref="AH66:AH67"/>
    <mergeCell ref="AI66:AK67"/>
    <mergeCell ref="CU64:CW65"/>
    <mergeCell ref="E66:I67"/>
    <mergeCell ref="J66:J67"/>
    <mergeCell ref="K66:N67"/>
    <mergeCell ref="O66:P67"/>
    <mergeCell ref="Q66:R67"/>
    <mergeCell ref="S66:T67"/>
    <mergeCell ref="AS64:AU65"/>
    <mergeCell ref="AV64:AV65"/>
    <mergeCell ref="AW64:AY65"/>
    <mergeCell ref="AZ64:BC65"/>
    <mergeCell ref="BE64:BF65"/>
    <mergeCell ref="BH64:BO65"/>
    <mergeCell ref="AE64:AG65"/>
    <mergeCell ref="AH64:AH65"/>
    <mergeCell ref="AI64:AK65"/>
    <mergeCell ref="AL64:AN65"/>
    <mergeCell ref="AO64:AO65"/>
    <mergeCell ref="AP64:AR65"/>
    <mergeCell ref="CU66:CW67"/>
    <mergeCell ref="E64:I65"/>
    <mergeCell ref="J64:J65"/>
    <mergeCell ref="K64:N65"/>
    <mergeCell ref="O64:P65"/>
    <mergeCell ref="Q64:R65"/>
    <mergeCell ref="S64:T65"/>
    <mergeCell ref="U64:Y65"/>
    <mergeCell ref="Z64:Z65"/>
    <mergeCell ref="AA64:AD65"/>
    <mergeCell ref="BP64:CA65"/>
    <mergeCell ref="CD64:CF65"/>
    <mergeCell ref="CH64:CS65"/>
    <mergeCell ref="AZ62:BC63"/>
    <mergeCell ref="BE62:BF63"/>
    <mergeCell ref="BH62:BO63"/>
    <mergeCell ref="BP62:CA63"/>
    <mergeCell ref="CD62:CF63"/>
    <mergeCell ref="CH62:CS63"/>
    <mergeCell ref="AL62:AN63"/>
    <mergeCell ref="AO62:AO63"/>
    <mergeCell ref="AP62:AR63"/>
    <mergeCell ref="AS62:AU63"/>
    <mergeCell ref="AV62:AV63"/>
    <mergeCell ref="AW62:AY63"/>
    <mergeCell ref="U62:Y63"/>
    <mergeCell ref="Z62:Z63"/>
    <mergeCell ref="AA62:AD63"/>
    <mergeCell ref="AE62:AG63"/>
    <mergeCell ref="AH62:AH63"/>
    <mergeCell ref="AI62:AK63"/>
    <mergeCell ref="CU60:CW61"/>
    <mergeCell ref="E62:I63"/>
    <mergeCell ref="J62:J63"/>
    <mergeCell ref="K62:N63"/>
    <mergeCell ref="O62:P63"/>
    <mergeCell ref="Q62:R63"/>
    <mergeCell ref="S62:T63"/>
    <mergeCell ref="AS60:AU61"/>
    <mergeCell ref="AV60:AV61"/>
    <mergeCell ref="AW60:AY61"/>
    <mergeCell ref="AZ60:BC61"/>
    <mergeCell ref="BE60:BF61"/>
    <mergeCell ref="BH60:BO61"/>
    <mergeCell ref="AE60:AG61"/>
    <mergeCell ref="AH60:AH61"/>
    <mergeCell ref="AI60:AK61"/>
    <mergeCell ref="AL60:AN61"/>
    <mergeCell ref="AO60:AO61"/>
    <mergeCell ref="AP60:AR61"/>
    <mergeCell ref="CU62:CW63"/>
    <mergeCell ref="E60:I61"/>
    <mergeCell ref="J60:J61"/>
    <mergeCell ref="K60:N61"/>
    <mergeCell ref="O60:P61"/>
    <mergeCell ref="Q60:R61"/>
    <mergeCell ref="S60:T61"/>
    <mergeCell ref="U60:Y61"/>
    <mergeCell ref="Z60:Z61"/>
    <mergeCell ref="AA60:AD61"/>
    <mergeCell ref="BP60:CA61"/>
    <mergeCell ref="CD60:CF61"/>
    <mergeCell ref="CH60:CS61"/>
    <mergeCell ref="AZ58:BC59"/>
    <mergeCell ref="BE58:BF59"/>
    <mergeCell ref="BH58:BO59"/>
    <mergeCell ref="BP58:CA59"/>
    <mergeCell ref="CD58:CF59"/>
    <mergeCell ref="CH58:CS59"/>
    <mergeCell ref="AL58:AN59"/>
    <mergeCell ref="AO58:AO59"/>
    <mergeCell ref="AP58:AR59"/>
    <mergeCell ref="AS58:AU59"/>
    <mergeCell ref="AV58:AV59"/>
    <mergeCell ref="AW58:AY59"/>
    <mergeCell ref="U58:Y59"/>
    <mergeCell ref="Z58:Z59"/>
    <mergeCell ref="AA58:AD59"/>
    <mergeCell ref="AE58:AG59"/>
    <mergeCell ref="AH58:AH59"/>
    <mergeCell ref="AI58:AK59"/>
    <mergeCell ref="CU56:CW57"/>
    <mergeCell ref="E58:I59"/>
    <mergeCell ref="J58:J59"/>
    <mergeCell ref="K58:N59"/>
    <mergeCell ref="O58:P59"/>
    <mergeCell ref="Q58:R59"/>
    <mergeCell ref="S58:T59"/>
    <mergeCell ref="AS56:AU57"/>
    <mergeCell ref="AV56:AV57"/>
    <mergeCell ref="AW56:AY57"/>
    <mergeCell ref="AZ56:BC57"/>
    <mergeCell ref="BE56:BF57"/>
    <mergeCell ref="BH56:BO57"/>
    <mergeCell ref="AE56:AG57"/>
    <mergeCell ref="AH56:AH57"/>
    <mergeCell ref="AI56:AK57"/>
    <mergeCell ref="AL56:AN57"/>
    <mergeCell ref="AO56:AO57"/>
    <mergeCell ref="AP56:AR57"/>
    <mergeCell ref="CU58:CW59"/>
    <mergeCell ref="E56:I57"/>
    <mergeCell ref="J56:J57"/>
    <mergeCell ref="K56:N57"/>
    <mergeCell ref="O56:P57"/>
    <mergeCell ref="Q56:R57"/>
    <mergeCell ref="S56:T57"/>
    <mergeCell ref="U56:Y57"/>
    <mergeCell ref="Z56:Z57"/>
    <mergeCell ref="AA56:AD57"/>
    <mergeCell ref="BP56:CA57"/>
    <mergeCell ref="CD56:CF57"/>
    <mergeCell ref="CH56:CS57"/>
    <mergeCell ref="AZ54:BC55"/>
    <mergeCell ref="BE54:BF55"/>
    <mergeCell ref="BH54:BO55"/>
    <mergeCell ref="BP54:CA55"/>
    <mergeCell ref="CD54:CF55"/>
    <mergeCell ref="CH54:CS55"/>
    <mergeCell ref="AL54:AN55"/>
    <mergeCell ref="AO54:AO55"/>
    <mergeCell ref="AP54:AR55"/>
    <mergeCell ref="AS54:AU55"/>
    <mergeCell ref="AV54:AV55"/>
    <mergeCell ref="AW54:AY55"/>
    <mergeCell ref="U54:Y55"/>
    <mergeCell ref="Z54:Z55"/>
    <mergeCell ref="AA54:AD55"/>
    <mergeCell ref="AE54:AG55"/>
    <mergeCell ref="AH54:AH55"/>
    <mergeCell ref="AI54:AK55"/>
    <mergeCell ref="CU52:CW53"/>
    <mergeCell ref="E54:I55"/>
    <mergeCell ref="J54:J55"/>
    <mergeCell ref="K54:N55"/>
    <mergeCell ref="O54:P55"/>
    <mergeCell ref="Q54:R55"/>
    <mergeCell ref="S54:T55"/>
    <mergeCell ref="AS52:AU53"/>
    <mergeCell ref="AV52:AV53"/>
    <mergeCell ref="AW52:AY53"/>
    <mergeCell ref="AZ52:BC53"/>
    <mergeCell ref="BE52:BF53"/>
    <mergeCell ref="BH52:BO53"/>
    <mergeCell ref="AE52:AG53"/>
    <mergeCell ref="AH52:AH53"/>
    <mergeCell ref="AI52:AK53"/>
    <mergeCell ref="AL52:AN53"/>
    <mergeCell ref="AO52:AO53"/>
    <mergeCell ref="AP52:AR53"/>
    <mergeCell ref="CU54:CW55"/>
    <mergeCell ref="E52:I53"/>
    <mergeCell ref="J52:J53"/>
    <mergeCell ref="K52:N53"/>
    <mergeCell ref="O52:P53"/>
    <mergeCell ref="Q52:R53"/>
    <mergeCell ref="S52:T53"/>
    <mergeCell ref="U52:Y53"/>
    <mergeCell ref="Z52:Z53"/>
    <mergeCell ref="AA52:AD53"/>
    <mergeCell ref="BP52:CA53"/>
    <mergeCell ref="CD52:CF53"/>
    <mergeCell ref="CH52:CS53"/>
    <mergeCell ref="AZ50:BC51"/>
    <mergeCell ref="BE50:BF51"/>
    <mergeCell ref="BH50:BO51"/>
    <mergeCell ref="BP50:CA51"/>
    <mergeCell ref="CD50:CF51"/>
    <mergeCell ref="CH50:CS51"/>
    <mergeCell ref="AL50:AN51"/>
    <mergeCell ref="AO50:AO51"/>
    <mergeCell ref="AP50:AR51"/>
    <mergeCell ref="AS50:AU51"/>
    <mergeCell ref="AV50:AV51"/>
    <mergeCell ref="AW50:AY51"/>
    <mergeCell ref="U50:Y51"/>
    <mergeCell ref="Z50:Z51"/>
    <mergeCell ref="AA50:AD51"/>
    <mergeCell ref="AE50:AG51"/>
    <mergeCell ref="AH50:AH51"/>
    <mergeCell ref="AI50:AK51"/>
    <mergeCell ref="CU48:CW49"/>
    <mergeCell ref="E50:I51"/>
    <mergeCell ref="J50:J51"/>
    <mergeCell ref="K50:N51"/>
    <mergeCell ref="O50:P51"/>
    <mergeCell ref="Q50:R51"/>
    <mergeCell ref="S50:T51"/>
    <mergeCell ref="AS48:AU49"/>
    <mergeCell ref="AV48:AV49"/>
    <mergeCell ref="AW48:AY49"/>
    <mergeCell ref="AZ48:BC49"/>
    <mergeCell ref="BE48:BF49"/>
    <mergeCell ref="BH48:BO49"/>
    <mergeCell ref="AE48:AG49"/>
    <mergeCell ref="AH48:AH49"/>
    <mergeCell ref="AI48:AK49"/>
    <mergeCell ref="AL48:AN49"/>
    <mergeCell ref="AO48:AO49"/>
    <mergeCell ref="AP48:AR49"/>
    <mergeCell ref="CU50:CW51"/>
    <mergeCell ref="E48:I49"/>
    <mergeCell ref="J48:J49"/>
    <mergeCell ref="K48:N49"/>
    <mergeCell ref="O48:P49"/>
    <mergeCell ref="Q48:R49"/>
    <mergeCell ref="S48:T49"/>
    <mergeCell ref="U48:Y49"/>
    <mergeCell ref="Z48:Z49"/>
    <mergeCell ref="AA48:AD49"/>
    <mergeCell ref="BP48:CA49"/>
    <mergeCell ref="CD48:CF49"/>
    <mergeCell ref="CH48:CS49"/>
    <mergeCell ref="AZ46:BC47"/>
    <mergeCell ref="BE46:BF47"/>
    <mergeCell ref="BH46:BO47"/>
    <mergeCell ref="BP46:CA47"/>
    <mergeCell ref="CD46:CF47"/>
    <mergeCell ref="CH46:CS47"/>
    <mergeCell ref="AL46:AN47"/>
    <mergeCell ref="AO46:AO47"/>
    <mergeCell ref="AP46:AR47"/>
    <mergeCell ref="AS46:AU47"/>
    <mergeCell ref="AV46:AV47"/>
    <mergeCell ref="AW46:AY47"/>
    <mergeCell ref="U46:Y47"/>
    <mergeCell ref="Z46:Z47"/>
    <mergeCell ref="AA46:AD47"/>
    <mergeCell ref="AE46:AG47"/>
    <mergeCell ref="AH46:AH47"/>
    <mergeCell ref="AI46:AK47"/>
    <mergeCell ref="CU44:CW45"/>
    <mergeCell ref="E46:I47"/>
    <mergeCell ref="J46:J47"/>
    <mergeCell ref="K46:N47"/>
    <mergeCell ref="O46:P47"/>
    <mergeCell ref="Q46:R47"/>
    <mergeCell ref="S46:T47"/>
    <mergeCell ref="AS44:AU45"/>
    <mergeCell ref="AV44:AV45"/>
    <mergeCell ref="AW44:AY45"/>
    <mergeCell ref="AZ44:BC45"/>
    <mergeCell ref="BE44:BF45"/>
    <mergeCell ref="BH44:BO45"/>
    <mergeCell ref="AE44:AG45"/>
    <mergeCell ref="AH44:AH45"/>
    <mergeCell ref="AI44:AK45"/>
    <mergeCell ref="AL44:AN45"/>
    <mergeCell ref="AO44:AO45"/>
    <mergeCell ref="AP44:AR45"/>
    <mergeCell ref="CU46:CW47"/>
    <mergeCell ref="E44:I45"/>
    <mergeCell ref="J44:J45"/>
    <mergeCell ref="K44:N45"/>
    <mergeCell ref="O44:P45"/>
    <mergeCell ref="Q44:R45"/>
    <mergeCell ref="S44:T45"/>
    <mergeCell ref="U44:Y45"/>
    <mergeCell ref="Z44:Z45"/>
    <mergeCell ref="AA44:AD45"/>
    <mergeCell ref="BP44:CA45"/>
    <mergeCell ref="CD44:CF45"/>
    <mergeCell ref="CH44:CS45"/>
    <mergeCell ref="AZ42:BC43"/>
    <mergeCell ref="BE42:BF43"/>
    <mergeCell ref="BH42:BO43"/>
    <mergeCell ref="BP42:CA43"/>
    <mergeCell ref="CD42:CF43"/>
    <mergeCell ref="CH42:CS43"/>
    <mergeCell ref="AL42:AN43"/>
    <mergeCell ref="AO42:AO43"/>
    <mergeCell ref="AP42:AR43"/>
    <mergeCell ref="AS42:AU43"/>
    <mergeCell ref="AV42:AV43"/>
    <mergeCell ref="AW42:AY43"/>
    <mergeCell ref="U42:Y43"/>
    <mergeCell ref="Z42:Z43"/>
    <mergeCell ref="AA42:AD43"/>
    <mergeCell ref="AE42:AG43"/>
    <mergeCell ref="AH42:AH43"/>
    <mergeCell ref="AI42:AK43"/>
    <mergeCell ref="CU40:CW41"/>
    <mergeCell ref="E42:I43"/>
    <mergeCell ref="J42:J43"/>
    <mergeCell ref="K42:N43"/>
    <mergeCell ref="O42:P43"/>
    <mergeCell ref="Q42:R43"/>
    <mergeCell ref="S42:T43"/>
    <mergeCell ref="AS40:AU41"/>
    <mergeCell ref="AV40:AV41"/>
    <mergeCell ref="AW40:AY41"/>
    <mergeCell ref="AZ40:BC41"/>
    <mergeCell ref="BE40:BF41"/>
    <mergeCell ref="BH40:BO41"/>
    <mergeCell ref="AE40:AG41"/>
    <mergeCell ref="AH40:AH41"/>
    <mergeCell ref="AI40:AK41"/>
    <mergeCell ref="AL40:AN41"/>
    <mergeCell ref="AO40:AO41"/>
    <mergeCell ref="AP40:AR41"/>
    <mergeCell ref="CU42:CW43"/>
    <mergeCell ref="E40:I41"/>
    <mergeCell ref="J40:J41"/>
    <mergeCell ref="K40:N41"/>
    <mergeCell ref="O40:P41"/>
    <mergeCell ref="Q40:R41"/>
    <mergeCell ref="S40:T41"/>
    <mergeCell ref="U40:Y41"/>
    <mergeCell ref="Z40:Z41"/>
    <mergeCell ref="AA40:AD41"/>
    <mergeCell ref="BP40:CA41"/>
    <mergeCell ref="CD40:CF41"/>
    <mergeCell ref="CH40:CS41"/>
    <mergeCell ref="AZ38:BC39"/>
    <mergeCell ref="BE38:BF39"/>
    <mergeCell ref="BH38:BO39"/>
    <mergeCell ref="BP38:CA39"/>
    <mergeCell ref="CD38:CF39"/>
    <mergeCell ref="CH38:CS39"/>
    <mergeCell ref="AL38:AN39"/>
    <mergeCell ref="AO38:AO39"/>
    <mergeCell ref="AP38:AR39"/>
    <mergeCell ref="AS38:AU39"/>
    <mergeCell ref="AV38:AV39"/>
    <mergeCell ref="AW38:AY39"/>
    <mergeCell ref="U38:Y39"/>
    <mergeCell ref="Z38:Z39"/>
    <mergeCell ref="AA38:AD39"/>
    <mergeCell ref="AE38:AG39"/>
    <mergeCell ref="AH38:AH39"/>
    <mergeCell ref="AI38:AK39"/>
    <mergeCell ref="CU36:CW37"/>
    <mergeCell ref="E38:I39"/>
    <mergeCell ref="J38:J39"/>
    <mergeCell ref="K38:N39"/>
    <mergeCell ref="O38:P39"/>
    <mergeCell ref="Q38:R39"/>
    <mergeCell ref="S38:T39"/>
    <mergeCell ref="AS36:AU37"/>
    <mergeCell ref="AV36:AV37"/>
    <mergeCell ref="AW36:AY37"/>
    <mergeCell ref="AZ36:BC37"/>
    <mergeCell ref="BE36:BF37"/>
    <mergeCell ref="BH36:BO37"/>
    <mergeCell ref="AE36:AG37"/>
    <mergeCell ref="AH36:AH37"/>
    <mergeCell ref="AI36:AK37"/>
    <mergeCell ref="AL36:AN37"/>
    <mergeCell ref="AO36:AO37"/>
    <mergeCell ref="AP36:AR37"/>
    <mergeCell ref="CU38:CW39"/>
    <mergeCell ref="E36:I37"/>
    <mergeCell ref="J36:J37"/>
    <mergeCell ref="K36:N37"/>
    <mergeCell ref="O36:P37"/>
    <mergeCell ref="Q36:R37"/>
    <mergeCell ref="S36:T37"/>
    <mergeCell ref="U36:Y37"/>
    <mergeCell ref="Z36:Z37"/>
    <mergeCell ref="AA36:AD37"/>
    <mergeCell ref="BP36:CA37"/>
    <mergeCell ref="CD36:CF37"/>
    <mergeCell ref="CH36:CS37"/>
    <mergeCell ref="AZ34:BC35"/>
    <mergeCell ref="BE34:BF35"/>
    <mergeCell ref="BH34:BO35"/>
    <mergeCell ref="BP34:CA35"/>
    <mergeCell ref="CD34:CF35"/>
    <mergeCell ref="CH34:CS35"/>
    <mergeCell ref="AL34:AN35"/>
    <mergeCell ref="AO34:AO35"/>
    <mergeCell ref="AP34:AR35"/>
    <mergeCell ref="AS34:AU35"/>
    <mergeCell ref="AV34:AV35"/>
    <mergeCell ref="AW34:AY35"/>
    <mergeCell ref="U34:Y35"/>
    <mergeCell ref="Z34:Z35"/>
    <mergeCell ref="AA34:AD35"/>
    <mergeCell ref="AE34:AG35"/>
    <mergeCell ref="AH34:AH35"/>
    <mergeCell ref="AI34:AK35"/>
    <mergeCell ref="CU32:CW33"/>
    <mergeCell ref="E34:I35"/>
    <mergeCell ref="J34:J35"/>
    <mergeCell ref="K34:N35"/>
    <mergeCell ref="O34:P35"/>
    <mergeCell ref="Q34:R35"/>
    <mergeCell ref="S34:T35"/>
    <mergeCell ref="AS32:AU33"/>
    <mergeCell ref="AV32:AV33"/>
    <mergeCell ref="AW32:AY33"/>
    <mergeCell ref="AZ32:BC33"/>
    <mergeCell ref="BE32:BF33"/>
    <mergeCell ref="BH32:BO33"/>
    <mergeCell ref="AE32:AG33"/>
    <mergeCell ref="AH32:AH33"/>
    <mergeCell ref="AI32:AK33"/>
    <mergeCell ref="AL32:AN33"/>
    <mergeCell ref="AO32:AO33"/>
    <mergeCell ref="AP32:AR33"/>
    <mergeCell ref="CU34:CW35"/>
    <mergeCell ref="E32:I33"/>
    <mergeCell ref="J32:J33"/>
    <mergeCell ref="K32:N33"/>
    <mergeCell ref="O32:P33"/>
    <mergeCell ref="Q32:R33"/>
    <mergeCell ref="S32:T33"/>
    <mergeCell ref="U32:Y33"/>
    <mergeCell ref="Z32:Z33"/>
    <mergeCell ref="AA32:AD33"/>
    <mergeCell ref="BP32:CA33"/>
    <mergeCell ref="CD32:CF33"/>
    <mergeCell ref="CH32:CS33"/>
    <mergeCell ref="AZ30:BC31"/>
    <mergeCell ref="BE30:BF31"/>
    <mergeCell ref="BH30:BO31"/>
    <mergeCell ref="BP30:CA31"/>
    <mergeCell ref="CD30:CF31"/>
    <mergeCell ref="CH30:CS31"/>
    <mergeCell ref="AL30:AN31"/>
    <mergeCell ref="AO30:AO31"/>
    <mergeCell ref="AP30:AR31"/>
    <mergeCell ref="AS30:AU31"/>
    <mergeCell ref="AV30:AV31"/>
    <mergeCell ref="AW30:AY31"/>
    <mergeCell ref="U30:Y31"/>
    <mergeCell ref="Z30:Z31"/>
    <mergeCell ref="AA30:AD31"/>
    <mergeCell ref="AE30:AG31"/>
    <mergeCell ref="AH30:AH31"/>
    <mergeCell ref="AI30:AK31"/>
    <mergeCell ref="CU28:CW29"/>
    <mergeCell ref="E30:I31"/>
    <mergeCell ref="J30:J31"/>
    <mergeCell ref="K30:N31"/>
    <mergeCell ref="O30:P31"/>
    <mergeCell ref="Q30:R31"/>
    <mergeCell ref="S30:T31"/>
    <mergeCell ref="AS28:AU29"/>
    <mergeCell ref="AV28:AV29"/>
    <mergeCell ref="AW28:AY29"/>
    <mergeCell ref="AZ28:BC29"/>
    <mergeCell ref="BE28:BF29"/>
    <mergeCell ref="BH28:BO29"/>
    <mergeCell ref="AE28:AG29"/>
    <mergeCell ref="AH28:AH29"/>
    <mergeCell ref="AI28:AK29"/>
    <mergeCell ref="AL28:AN29"/>
    <mergeCell ref="AO28:AO29"/>
    <mergeCell ref="AP28:AR29"/>
    <mergeCell ref="CU30:CW31"/>
    <mergeCell ref="E28:I29"/>
    <mergeCell ref="J28:J29"/>
    <mergeCell ref="K28:N29"/>
    <mergeCell ref="O28:P29"/>
    <mergeCell ref="Q28:R29"/>
    <mergeCell ref="S28:T29"/>
    <mergeCell ref="U28:Y29"/>
    <mergeCell ref="Z28:Z29"/>
    <mergeCell ref="AA28:AD29"/>
    <mergeCell ref="BP28:CA29"/>
    <mergeCell ref="CD28:CF29"/>
    <mergeCell ref="CH28:CS29"/>
    <mergeCell ref="AZ26:BC27"/>
    <mergeCell ref="BE26:BF27"/>
    <mergeCell ref="BH26:BO27"/>
    <mergeCell ref="BP26:CA27"/>
    <mergeCell ref="CD26:CF27"/>
    <mergeCell ref="CH26:CS27"/>
    <mergeCell ref="AL26:AN27"/>
    <mergeCell ref="AO26:AO27"/>
    <mergeCell ref="AP26:AR27"/>
    <mergeCell ref="AS26:AU27"/>
    <mergeCell ref="AV26:AV27"/>
    <mergeCell ref="AW26:AY27"/>
    <mergeCell ref="U26:Y27"/>
    <mergeCell ref="Z26:Z27"/>
    <mergeCell ref="AA26:AD27"/>
    <mergeCell ref="AE26:AG27"/>
    <mergeCell ref="AH26:AH27"/>
    <mergeCell ref="AI26:AK27"/>
    <mergeCell ref="CU24:CW25"/>
    <mergeCell ref="E26:I27"/>
    <mergeCell ref="J26:J27"/>
    <mergeCell ref="K26:N27"/>
    <mergeCell ref="O26:P27"/>
    <mergeCell ref="Q26:R27"/>
    <mergeCell ref="S26:T27"/>
    <mergeCell ref="AS24:AU25"/>
    <mergeCell ref="AV24:AV25"/>
    <mergeCell ref="AW24:AY25"/>
    <mergeCell ref="AZ24:BC25"/>
    <mergeCell ref="BE24:BF25"/>
    <mergeCell ref="BH24:BO25"/>
    <mergeCell ref="AE24:AG25"/>
    <mergeCell ref="AH24:AH25"/>
    <mergeCell ref="AI24:AK25"/>
    <mergeCell ref="AL24:AN25"/>
    <mergeCell ref="AO24:AO25"/>
    <mergeCell ref="AP24:AR25"/>
    <mergeCell ref="CU26:CW27"/>
    <mergeCell ref="E24:I25"/>
    <mergeCell ref="J24:J25"/>
    <mergeCell ref="K24:N25"/>
    <mergeCell ref="O24:P25"/>
    <mergeCell ref="Q24:R25"/>
    <mergeCell ref="S24:T25"/>
    <mergeCell ref="U24:Y25"/>
    <mergeCell ref="Z24:Z25"/>
    <mergeCell ref="AA24:AD25"/>
    <mergeCell ref="BP24:CA25"/>
    <mergeCell ref="CD24:CF25"/>
    <mergeCell ref="CH24:CS25"/>
    <mergeCell ref="AZ22:BC23"/>
    <mergeCell ref="BE22:BF23"/>
    <mergeCell ref="BH22:BO23"/>
    <mergeCell ref="BP22:CA23"/>
    <mergeCell ref="CD22:CF23"/>
    <mergeCell ref="CH22:CS23"/>
    <mergeCell ref="AL22:AN23"/>
    <mergeCell ref="AO22:AO23"/>
    <mergeCell ref="AP22:AR23"/>
    <mergeCell ref="AS22:AU23"/>
    <mergeCell ref="AV22:AV23"/>
    <mergeCell ref="AW22:AY23"/>
    <mergeCell ref="U22:Y23"/>
    <mergeCell ref="Z22:Z23"/>
    <mergeCell ref="AA22:AD23"/>
    <mergeCell ref="AE22:AG23"/>
    <mergeCell ref="AH22:AH23"/>
    <mergeCell ref="AI22:AK23"/>
    <mergeCell ref="CU20:CW21"/>
    <mergeCell ref="E22:I23"/>
    <mergeCell ref="J22:J23"/>
    <mergeCell ref="K22:N23"/>
    <mergeCell ref="O22:P23"/>
    <mergeCell ref="Q22:R23"/>
    <mergeCell ref="S22:T23"/>
    <mergeCell ref="AS20:AU21"/>
    <mergeCell ref="AV20:AV21"/>
    <mergeCell ref="AW20:AY21"/>
    <mergeCell ref="AZ20:BC21"/>
    <mergeCell ref="BE20:BF21"/>
    <mergeCell ref="BH20:BO21"/>
    <mergeCell ref="AE20:AG21"/>
    <mergeCell ref="AH20:AH21"/>
    <mergeCell ref="AI20:AK21"/>
    <mergeCell ref="AL20:AN21"/>
    <mergeCell ref="AO20:AO21"/>
    <mergeCell ref="AP20:AR21"/>
    <mergeCell ref="CU22:CW23"/>
    <mergeCell ref="E20:I21"/>
    <mergeCell ref="J20:J21"/>
    <mergeCell ref="K20:N21"/>
    <mergeCell ref="O20:P21"/>
    <mergeCell ref="Q20:R21"/>
    <mergeCell ref="S20:T21"/>
    <mergeCell ref="U20:Y21"/>
    <mergeCell ref="Z20:Z21"/>
    <mergeCell ref="AA20:AD21"/>
    <mergeCell ref="BP20:CA21"/>
    <mergeCell ref="CD20:CF21"/>
    <mergeCell ref="CH20:CS21"/>
    <mergeCell ref="AZ18:BC19"/>
    <mergeCell ref="BE18:BF19"/>
    <mergeCell ref="BH18:BO19"/>
    <mergeCell ref="BP18:CA19"/>
    <mergeCell ref="CD18:CF19"/>
    <mergeCell ref="CH18:CS19"/>
    <mergeCell ref="AL18:AN19"/>
    <mergeCell ref="AO18:AO19"/>
    <mergeCell ref="AP18:AR19"/>
    <mergeCell ref="AS18:AU19"/>
    <mergeCell ref="AV18:AV19"/>
    <mergeCell ref="AW18:AY19"/>
    <mergeCell ref="U18:Y19"/>
    <mergeCell ref="Z18:Z19"/>
    <mergeCell ref="AA18:AD19"/>
    <mergeCell ref="AE18:AG19"/>
    <mergeCell ref="AH18:AH19"/>
    <mergeCell ref="AI18:AK19"/>
    <mergeCell ref="CU16:CW17"/>
    <mergeCell ref="E18:I19"/>
    <mergeCell ref="J18:J19"/>
    <mergeCell ref="K18:N19"/>
    <mergeCell ref="O18:P19"/>
    <mergeCell ref="Q18:R19"/>
    <mergeCell ref="S18:T19"/>
    <mergeCell ref="AS16:AU17"/>
    <mergeCell ref="AV16:AV17"/>
    <mergeCell ref="AW16:AY17"/>
    <mergeCell ref="AZ16:BC17"/>
    <mergeCell ref="BE16:BF17"/>
    <mergeCell ref="BH16:BO17"/>
    <mergeCell ref="AE16:AG17"/>
    <mergeCell ref="AH16:AH17"/>
    <mergeCell ref="AI16:AK17"/>
    <mergeCell ref="AL16:AN17"/>
    <mergeCell ref="AO16:AO17"/>
    <mergeCell ref="AP16:AR17"/>
    <mergeCell ref="CU18:CW19"/>
    <mergeCell ref="E16:I17"/>
    <mergeCell ref="J16:J17"/>
    <mergeCell ref="K16:N17"/>
    <mergeCell ref="O16:P17"/>
    <mergeCell ref="Q16:R17"/>
    <mergeCell ref="S16:T17"/>
    <mergeCell ref="U16:Y17"/>
    <mergeCell ref="Z16:Z17"/>
    <mergeCell ref="AA16:AD17"/>
    <mergeCell ref="BP16:CA17"/>
    <mergeCell ref="CD16:CF17"/>
    <mergeCell ref="CH16:CS17"/>
    <mergeCell ref="CU14:CW15"/>
    <mergeCell ref="E12:I13"/>
    <mergeCell ref="J12:J13"/>
    <mergeCell ref="K12:N13"/>
    <mergeCell ref="O12:P13"/>
    <mergeCell ref="Q12:R13"/>
    <mergeCell ref="S12:T13"/>
    <mergeCell ref="U12:Y13"/>
    <mergeCell ref="Z12:Z13"/>
    <mergeCell ref="AA12:AD13"/>
    <mergeCell ref="AZ14:BC15"/>
    <mergeCell ref="BE14:BF15"/>
    <mergeCell ref="BH14:BO15"/>
    <mergeCell ref="BP14:CA15"/>
    <mergeCell ref="CD14:CF15"/>
    <mergeCell ref="CH14:CS15"/>
    <mergeCell ref="AL14:AN15"/>
    <mergeCell ref="AO14:AO15"/>
    <mergeCell ref="AP14:AR15"/>
    <mergeCell ref="AS14:AU15"/>
    <mergeCell ref="AV14:AV15"/>
    <mergeCell ref="AW14:AY15"/>
    <mergeCell ref="U14:Y15"/>
    <mergeCell ref="Z14:Z15"/>
    <mergeCell ref="AA14:AD15"/>
    <mergeCell ref="AE14:AG15"/>
    <mergeCell ref="AH14:AH15"/>
    <mergeCell ref="AI14:AK15"/>
    <mergeCell ref="E14:I15"/>
    <mergeCell ref="J14:J15"/>
    <mergeCell ref="K14:N15"/>
    <mergeCell ref="O14:P15"/>
    <mergeCell ref="BH10:BO11"/>
    <mergeCell ref="Q14:R15"/>
    <mergeCell ref="S14:T15"/>
    <mergeCell ref="AS12:AU13"/>
    <mergeCell ref="AV12:AV13"/>
    <mergeCell ref="AW12:AY13"/>
    <mergeCell ref="AZ12:BC13"/>
    <mergeCell ref="BE12:BF13"/>
    <mergeCell ref="BH12:BO13"/>
    <mergeCell ref="AE12:AG13"/>
    <mergeCell ref="AH12:AH13"/>
    <mergeCell ref="AI12:AK13"/>
    <mergeCell ref="AL12:AN13"/>
    <mergeCell ref="AO12:AO13"/>
    <mergeCell ref="AP12:AR13"/>
    <mergeCell ref="CD10:CF11"/>
    <mergeCell ref="CH10:CS11"/>
    <mergeCell ref="AL10:AN11"/>
    <mergeCell ref="AO10:AO11"/>
    <mergeCell ref="AP10:AR11"/>
    <mergeCell ref="AS10:AU11"/>
    <mergeCell ref="AV10:AV11"/>
    <mergeCell ref="AW10:AY11"/>
    <mergeCell ref="U10:Y11"/>
    <mergeCell ref="Z10:Z11"/>
    <mergeCell ref="AA10:AD11"/>
    <mergeCell ref="AE10:AG11"/>
    <mergeCell ref="AH10:AH11"/>
    <mergeCell ref="AI10:AK11"/>
    <mergeCell ref="CD12:CF13"/>
    <mergeCell ref="CH12:CS13"/>
    <mergeCell ref="BP10:CA11"/>
    <mergeCell ref="CC2:CW4"/>
    <mergeCell ref="CU12:CW13"/>
    <mergeCell ref="A1:AD2"/>
    <mergeCell ref="A3:B4"/>
    <mergeCell ref="C3:D4"/>
    <mergeCell ref="E3:F4"/>
    <mergeCell ref="G3:H4"/>
    <mergeCell ref="I3:J4"/>
    <mergeCell ref="K3:L4"/>
    <mergeCell ref="M3:N4"/>
    <mergeCell ref="CU10:CW11"/>
    <mergeCell ref="E10:I11"/>
    <mergeCell ref="J10:J11"/>
    <mergeCell ref="K10:N11"/>
    <mergeCell ref="O10:P11"/>
    <mergeCell ref="BP12:CA13"/>
    <mergeCell ref="Q10:R11"/>
    <mergeCell ref="S10:T11"/>
    <mergeCell ref="CH6:CS8"/>
    <mergeCell ref="CU6:CW8"/>
    <mergeCell ref="AE8:AK9"/>
    <mergeCell ref="AL8:AR9"/>
    <mergeCell ref="AS8:AY9"/>
    <mergeCell ref="AZ8:BC9"/>
    <mergeCell ref="A5:F6"/>
    <mergeCell ref="G5:Q6"/>
    <mergeCell ref="S5:AC6"/>
    <mergeCell ref="AE5:AO6"/>
    <mergeCell ref="AQ5:BA6"/>
    <mergeCell ref="CD6:CF8"/>
    <mergeCell ref="AZ10:BC11"/>
    <mergeCell ref="BE10:BF1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JZ331"/>
  <sheetViews>
    <sheetView topLeftCell="A70" zoomScale="80" zoomScaleNormal="80" workbookViewId="0">
      <selection activeCell="AZ82" sqref="AZ82"/>
    </sheetView>
  </sheetViews>
  <sheetFormatPr baseColWidth="10" defaultColWidth="1.5703125" defaultRowHeight="8.25" x14ac:dyDescent="0.25"/>
  <cols>
    <col min="1" max="1" width="1.5703125" style="8" customWidth="1"/>
    <col min="2" max="2" width="1.42578125" style="8" customWidth="1"/>
    <col min="3" max="3" width="1.5703125" style="8" customWidth="1"/>
    <col min="4" max="4" width="1.5703125" style="8"/>
    <col min="5" max="5" width="1.5703125" style="8" customWidth="1"/>
    <col min="6" max="13" width="1.5703125" style="8"/>
    <col min="14" max="14" width="1.85546875" style="8" customWidth="1"/>
    <col min="15" max="15" width="1.85546875" style="10" customWidth="1"/>
    <col min="16" max="16" width="1.85546875" style="8" customWidth="1"/>
    <col min="17" max="23" width="1.5703125" style="8"/>
    <col min="24" max="24" width="1.85546875" style="8" customWidth="1"/>
    <col min="25" max="25" width="1.85546875" style="10" customWidth="1"/>
    <col min="26" max="26" width="1.85546875" style="8" customWidth="1"/>
    <col min="27" max="33" width="1.5703125" style="8"/>
    <col min="34" max="34" width="1.85546875" style="8" customWidth="1"/>
    <col min="35" max="35" width="1.85546875" style="10" customWidth="1"/>
    <col min="36" max="36" width="1.85546875" style="8" customWidth="1"/>
    <col min="37" max="44" width="1.5703125" style="8"/>
    <col min="45" max="45" width="1.85546875" style="10" customWidth="1"/>
    <col min="46" max="46" width="1.85546875" style="8" customWidth="1"/>
    <col min="47" max="54" width="1.5703125" style="8"/>
    <col min="55" max="55" width="1.85546875" style="10" customWidth="1"/>
    <col min="56" max="56" width="1.85546875" style="8" customWidth="1"/>
    <col min="57" max="85" width="1.5703125" style="8"/>
    <col min="86" max="87" width="1.85546875" style="8" customWidth="1"/>
    <col min="88" max="95" width="1.5703125" style="8"/>
    <col min="96" max="97" width="1.85546875" style="8" customWidth="1"/>
    <col min="98" max="105" width="1.5703125" style="8"/>
    <col min="106" max="107" width="1.85546875" style="8" customWidth="1"/>
    <col min="108" max="116" width="1.5703125" style="8"/>
    <col min="117" max="117" width="1.85546875" style="8" customWidth="1"/>
    <col min="118" max="126" width="1.5703125" style="8"/>
    <col min="127" max="127" width="1.85546875" style="8" customWidth="1"/>
    <col min="128" max="130" width="1.5703125" style="8"/>
    <col min="131" max="131" width="1.85546875" style="8" customWidth="1"/>
    <col min="132" max="141" width="1.5703125" style="8"/>
    <col min="142" max="143" width="1.5703125" style="8" customWidth="1"/>
    <col min="144" max="157" width="1.5703125" style="8"/>
    <col min="158" max="158" width="1.85546875" style="8" customWidth="1"/>
    <col min="159" max="167" width="1.5703125" style="8"/>
    <col min="168" max="168" width="1.85546875" style="8" customWidth="1"/>
    <col min="169" max="177" width="1.5703125" style="8"/>
    <col min="178" max="178" width="1.85546875" style="8" customWidth="1"/>
    <col min="179" max="16384" width="1.5703125" style="8"/>
  </cols>
  <sheetData>
    <row r="1" spans="1:286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/>
      <c r="P1" s="6"/>
      <c r="Q1" s="6"/>
      <c r="R1" s="6"/>
      <c r="S1" s="6"/>
      <c r="T1" s="6"/>
      <c r="U1" s="6"/>
      <c r="V1" s="6"/>
      <c r="W1" s="6"/>
      <c r="X1" s="6"/>
      <c r="Y1" s="7"/>
      <c r="Z1" s="6"/>
      <c r="AA1" s="6"/>
      <c r="AB1" s="6"/>
      <c r="AC1" s="6"/>
      <c r="AD1" s="6"/>
      <c r="AE1" s="6"/>
      <c r="AF1" s="6"/>
      <c r="AG1" s="6"/>
      <c r="AH1" s="6"/>
      <c r="AI1" s="7"/>
      <c r="AJ1" s="6"/>
      <c r="AK1" s="6"/>
      <c r="AL1" s="6"/>
      <c r="AM1" s="6"/>
      <c r="AN1" s="6"/>
      <c r="AO1" s="6"/>
      <c r="AP1" s="6"/>
      <c r="AQ1" s="6"/>
      <c r="AR1" s="6"/>
      <c r="AS1" s="7"/>
      <c r="AT1" s="6"/>
      <c r="AU1" s="6"/>
      <c r="AV1" s="6"/>
      <c r="AW1" s="6"/>
      <c r="AX1" s="6"/>
      <c r="AY1" s="6"/>
      <c r="AZ1" s="6"/>
      <c r="BA1" s="6"/>
      <c r="BB1" s="6"/>
      <c r="BC1" s="7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</row>
    <row r="2" spans="1:286" ht="8.25" customHeight="1" x14ac:dyDescent="0.25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U2" s="71" t="str">
        <f>IF('[4]Info générale'!$B$1&gt;0,'[4]Info générale'!$B$1&amp;" du","")</f>
        <v>Tournoi non-licienciés AVVT 2017 / 2018 du</v>
      </c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  <c r="CS2" s="71"/>
      <c r="CT2" s="71"/>
      <c r="CU2" s="71"/>
      <c r="CV2" s="71"/>
      <c r="CW2" s="71"/>
      <c r="CX2" s="71"/>
      <c r="CY2" s="71"/>
      <c r="CZ2" s="71"/>
      <c r="DA2" s="71"/>
      <c r="DB2" s="71"/>
      <c r="DC2" s="71"/>
      <c r="DD2" s="71"/>
      <c r="DE2" s="71"/>
      <c r="DF2" s="71"/>
      <c r="DG2" s="71"/>
      <c r="DH2" s="71"/>
      <c r="DI2" s="71"/>
      <c r="DJ2" s="71"/>
      <c r="DK2" s="71"/>
      <c r="DL2" s="71"/>
      <c r="DM2" s="71"/>
      <c r="DN2" s="71"/>
      <c r="DO2" s="71"/>
      <c r="DP2" s="71"/>
      <c r="DQ2" s="71"/>
      <c r="DR2" s="71"/>
      <c r="DS2" s="71"/>
      <c r="DT2" s="71"/>
      <c r="DU2" s="71"/>
      <c r="FM2" s="6"/>
      <c r="FN2" s="6"/>
      <c r="FO2" s="6"/>
      <c r="FP2" s="6"/>
      <c r="FQ2" s="6"/>
      <c r="FR2" s="6"/>
      <c r="FS2" s="6"/>
      <c r="FT2" s="6"/>
      <c r="FU2" s="6"/>
      <c r="FV2" s="7"/>
      <c r="FW2" s="6"/>
      <c r="FX2" s="6"/>
      <c r="FY2" s="6"/>
      <c r="FZ2" s="6"/>
      <c r="GA2" s="6"/>
      <c r="GB2" s="6"/>
      <c r="GC2" s="6"/>
      <c r="GD2" s="6"/>
      <c r="GE2" s="6"/>
      <c r="GF2" s="7"/>
      <c r="GG2" s="6"/>
      <c r="GH2" s="6"/>
      <c r="GI2" s="6"/>
      <c r="GJ2" s="6"/>
      <c r="GK2" s="6"/>
      <c r="GL2" s="6"/>
      <c r="GM2" s="6"/>
      <c r="JV2" s="11"/>
      <c r="JW2" s="11"/>
      <c r="JX2" s="11"/>
      <c r="JY2" s="11"/>
      <c r="JZ2" s="11"/>
    </row>
    <row r="3" spans="1:286" ht="8.25" customHeight="1" x14ac:dyDescent="0.25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  <c r="FM3" s="6"/>
      <c r="FN3" s="6"/>
      <c r="FO3" s="6"/>
      <c r="FP3" s="6"/>
      <c r="FQ3" s="6"/>
      <c r="FR3" s="6"/>
      <c r="FS3" s="6"/>
      <c r="FT3" s="6"/>
      <c r="FU3" s="6"/>
      <c r="FV3" s="7"/>
      <c r="FW3" s="6"/>
      <c r="FX3" s="6"/>
      <c r="FY3" s="6"/>
      <c r="FZ3" s="6"/>
      <c r="GA3" s="6"/>
      <c r="GB3" s="6"/>
      <c r="GC3" s="6"/>
      <c r="GD3" s="6"/>
      <c r="GE3" s="6"/>
      <c r="GF3" s="7"/>
      <c r="GG3" s="6"/>
      <c r="GH3" s="6"/>
      <c r="GI3" s="6"/>
      <c r="GJ3" s="6"/>
      <c r="GK3" s="6"/>
      <c r="GL3" s="6"/>
      <c r="GM3" s="6"/>
      <c r="JV3" s="11"/>
      <c r="JW3" s="11"/>
      <c r="JX3" s="11"/>
      <c r="JY3" s="11"/>
      <c r="JZ3" s="11"/>
    </row>
    <row r="4" spans="1:286" ht="8.25" customHeight="1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1"/>
      <c r="DN4" s="71"/>
      <c r="DO4" s="71"/>
      <c r="DP4" s="71"/>
      <c r="DQ4" s="71"/>
      <c r="DR4" s="71"/>
      <c r="DS4" s="71"/>
      <c r="DT4" s="71"/>
      <c r="DU4" s="71"/>
      <c r="FM4" s="6"/>
      <c r="FN4" s="6"/>
      <c r="FO4" s="6"/>
      <c r="FP4" s="6"/>
      <c r="FQ4" s="6"/>
      <c r="FR4" s="6"/>
      <c r="FS4" s="6"/>
      <c r="FT4" s="6"/>
      <c r="FU4" s="6"/>
      <c r="FV4" s="7"/>
      <c r="FW4" s="6"/>
      <c r="FX4" s="6"/>
      <c r="FY4" s="6"/>
      <c r="FZ4" s="6"/>
      <c r="GA4" s="6"/>
      <c r="GB4" s="6"/>
      <c r="GC4" s="6"/>
      <c r="GD4" s="6"/>
      <c r="GE4" s="6"/>
      <c r="GF4" s="7"/>
      <c r="GG4" s="6"/>
      <c r="GH4" s="6"/>
      <c r="GI4" s="6"/>
      <c r="GJ4" s="6"/>
      <c r="GK4" s="6"/>
      <c r="GL4" s="6"/>
      <c r="GM4" s="6"/>
      <c r="JV4" s="11"/>
      <c r="JW4" s="11"/>
      <c r="JX4" s="11"/>
      <c r="JY4" s="11"/>
      <c r="JZ4" s="11"/>
    </row>
    <row r="5" spans="1:286" ht="8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JV5" s="11"/>
      <c r="JW5" s="11"/>
      <c r="JX5" s="11"/>
      <c r="JY5" s="11"/>
      <c r="JZ5" s="11"/>
    </row>
    <row r="6" spans="1:286" ht="8.25" customHeight="1" x14ac:dyDescent="0.25"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U6" s="72">
        <f>IF('[4]Info générale'!$B$4&gt;0,'[4]Info générale'!$B$4,"")</f>
        <v>43134</v>
      </c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JV6" s="6"/>
      <c r="JW6" s="6"/>
      <c r="JX6" s="6"/>
      <c r="JY6" s="6"/>
    </row>
    <row r="7" spans="1:286" ht="8.25" customHeight="1" x14ac:dyDescent="0.25"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Q7" s="6"/>
      <c r="BR7" s="6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JV7" s="6"/>
      <c r="JW7" s="6"/>
      <c r="JX7" s="6"/>
      <c r="JY7" s="6"/>
    </row>
    <row r="8" spans="1:286" ht="8.25" customHeight="1" x14ac:dyDescent="0.25"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FM8" s="6"/>
      <c r="FN8" s="6"/>
      <c r="FO8" s="6"/>
      <c r="FP8" s="6"/>
      <c r="FQ8" s="6"/>
      <c r="FR8" s="6"/>
      <c r="FS8" s="6"/>
      <c r="FT8" s="6"/>
      <c r="FU8" s="6"/>
      <c r="FV8" s="7"/>
      <c r="FW8" s="6"/>
      <c r="FX8" s="6"/>
      <c r="FY8" s="6"/>
      <c r="FZ8" s="6"/>
      <c r="GA8" s="6"/>
      <c r="GB8" s="6"/>
      <c r="GC8" s="6"/>
      <c r="GD8" s="6"/>
      <c r="GE8" s="6"/>
      <c r="GF8" s="7"/>
      <c r="GG8" s="6"/>
      <c r="GH8" s="6"/>
      <c r="GI8" s="6"/>
      <c r="GJ8" s="6"/>
      <c r="GK8" s="6"/>
      <c r="GL8" s="6"/>
      <c r="GM8" s="6"/>
      <c r="JV8" s="6"/>
      <c r="JW8" s="6"/>
      <c r="JX8" s="6"/>
      <c r="JY8" s="6"/>
    </row>
    <row r="9" spans="1:286" ht="8.25" customHeight="1" x14ac:dyDescent="0.2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P9" s="10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FM9" s="6"/>
      <c r="FN9" s="6"/>
      <c r="FO9" s="6"/>
      <c r="FP9" s="6"/>
      <c r="FQ9" s="6"/>
      <c r="FR9" s="6"/>
      <c r="FS9" s="6"/>
      <c r="FT9" s="6"/>
      <c r="FU9" s="6"/>
      <c r="FV9" s="7"/>
      <c r="FW9" s="6"/>
      <c r="FX9" s="6"/>
      <c r="FY9" s="6"/>
      <c r="FZ9" s="6"/>
      <c r="GA9" s="6"/>
      <c r="GB9" s="6"/>
      <c r="GC9" s="6"/>
      <c r="GD9" s="6"/>
      <c r="GE9" s="6"/>
      <c r="GF9" s="7"/>
      <c r="GG9" s="6"/>
      <c r="GH9" s="6"/>
      <c r="GI9" s="6"/>
      <c r="GJ9" s="6"/>
      <c r="GK9" s="6"/>
      <c r="GL9" s="6"/>
      <c r="GM9" s="6"/>
    </row>
    <row r="10" spans="1:286" ht="8.25" customHeight="1" x14ac:dyDescent="0.25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P10" s="10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FM10" s="6"/>
      <c r="FN10" s="6"/>
      <c r="FO10" s="6"/>
      <c r="FP10" s="6"/>
      <c r="FQ10" s="6"/>
      <c r="FR10" s="6"/>
      <c r="FS10" s="6"/>
      <c r="FT10" s="6"/>
      <c r="FU10" s="6"/>
      <c r="FV10" s="7"/>
      <c r="FW10" s="6"/>
      <c r="FX10" s="6"/>
      <c r="FY10" s="6"/>
      <c r="FZ10" s="6"/>
      <c r="GA10" s="6"/>
      <c r="GB10" s="6"/>
      <c r="GC10" s="6"/>
      <c r="GD10" s="6"/>
      <c r="GE10" s="6"/>
      <c r="GF10" s="7"/>
      <c r="GG10" s="6"/>
      <c r="GH10" s="6"/>
      <c r="GI10" s="6"/>
      <c r="GJ10" s="6"/>
      <c r="GK10" s="6"/>
      <c r="GL10" s="6"/>
      <c r="GM10" s="6"/>
    </row>
    <row r="11" spans="1:286" x14ac:dyDescent="0.25"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P11" s="10"/>
      <c r="BQ11" s="6"/>
      <c r="BR11" s="6"/>
    </row>
    <row r="12" spans="1:286" x14ac:dyDescent="0.15">
      <c r="A12" s="69"/>
      <c r="B12" s="69"/>
      <c r="C12" s="70">
        <f>IF(A12&gt;0,A12,INDEX('Classements 128 j'!$CU$10:$CU$269,MATCH(1,'Classements 128 j'!$CD$10:$CD$269,0)))</f>
        <v>4</v>
      </c>
      <c r="D12" s="70"/>
      <c r="E12" s="6"/>
      <c r="F12" s="64" t="str">
        <f>IF(C12&gt;0,VLOOKUP(C12,'[3]Infos joueurs'!$B:$BT,11,FALSE)," ")&amp;"  "&amp;+IF(C12&gt;0,VLOOKUP(C12,'[3]Infos joueurs'!$B:$BT,27,FALSE),"1 ")</f>
        <v>Clausix  Adam</v>
      </c>
      <c r="G12" s="64"/>
      <c r="H12" s="64"/>
      <c r="I12" s="64"/>
      <c r="J12" s="64"/>
      <c r="K12" s="64"/>
      <c r="L12" s="64"/>
      <c r="M12" s="64"/>
      <c r="N12" s="64"/>
      <c r="O12" s="64"/>
      <c r="P12" s="7"/>
      <c r="Q12" s="6"/>
      <c r="R12" s="6"/>
      <c r="S12" s="6"/>
      <c r="T12" s="6"/>
      <c r="U12" s="6"/>
      <c r="V12" s="6"/>
      <c r="W12" s="6"/>
      <c r="X12" s="6"/>
      <c r="Y12" s="6"/>
      <c r="Z12" s="7"/>
      <c r="AA12" s="6"/>
      <c r="AB12" s="6"/>
      <c r="AC12" s="6"/>
      <c r="AD12" s="6"/>
      <c r="AE12" s="6"/>
      <c r="AF12" s="6"/>
      <c r="AG12" s="6"/>
      <c r="AH12" s="6"/>
      <c r="AI12" s="6"/>
      <c r="AJ12" s="7"/>
      <c r="AK12" s="6"/>
      <c r="AL12" s="6"/>
      <c r="AM12" s="6"/>
      <c r="AN12" s="6"/>
      <c r="AO12" s="6"/>
      <c r="AP12" s="6"/>
      <c r="AQ12" s="6"/>
      <c r="AR12" s="6"/>
      <c r="AS12" s="6"/>
      <c r="AT12" s="7"/>
      <c r="AU12" s="6"/>
      <c r="AV12" s="6"/>
      <c r="AW12" s="6"/>
      <c r="AX12" s="6"/>
      <c r="AY12" s="6"/>
      <c r="AZ12" s="6"/>
      <c r="BA12" s="6"/>
      <c r="BQ12" s="6"/>
      <c r="BR12" s="6"/>
      <c r="BU12" s="73" t="s">
        <v>149</v>
      </c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</row>
    <row r="13" spans="1:286" x14ac:dyDescent="0.15">
      <c r="C13" s="6"/>
      <c r="D13" s="6"/>
      <c r="E13" s="6"/>
      <c r="F13" s="14"/>
      <c r="G13" s="6"/>
      <c r="H13" s="6"/>
      <c r="I13" s="6"/>
      <c r="J13" s="6"/>
      <c r="K13" s="6"/>
      <c r="L13" s="6"/>
      <c r="M13" s="6"/>
      <c r="N13" s="74">
        <v>1</v>
      </c>
      <c r="O13" s="75"/>
      <c r="P13" s="15">
        <v>1</v>
      </c>
      <c r="Q13" s="78" t="str">
        <f>IF(P13+P14=0,"",IF(P13&gt;P14,F12,F14))</f>
        <v>Clausix  Adam</v>
      </c>
      <c r="R13" s="79"/>
      <c r="S13" s="79"/>
      <c r="T13" s="79"/>
      <c r="U13" s="79"/>
      <c r="V13" s="79"/>
      <c r="W13" s="79"/>
      <c r="X13" s="79"/>
      <c r="Y13" s="79"/>
      <c r="Z13" s="7"/>
      <c r="AA13" s="6"/>
      <c r="AB13" s="6"/>
      <c r="AC13" s="6"/>
      <c r="AD13" s="6"/>
      <c r="AE13" s="6"/>
      <c r="AF13" s="6"/>
      <c r="AG13" s="6"/>
      <c r="AH13" s="6"/>
      <c r="AI13" s="6"/>
      <c r="AJ13" s="7"/>
      <c r="AK13" s="6"/>
      <c r="AL13" s="6"/>
      <c r="AM13" s="6"/>
      <c r="AN13" s="6"/>
      <c r="AO13" s="6"/>
      <c r="AP13" s="6"/>
      <c r="AQ13" s="6"/>
      <c r="AR13" s="6"/>
      <c r="AS13" s="6"/>
      <c r="AT13" s="7"/>
      <c r="AU13" s="6"/>
      <c r="AV13" s="6"/>
      <c r="AW13" s="6"/>
      <c r="AX13" s="6"/>
      <c r="AY13" s="6"/>
      <c r="AZ13" s="6"/>
      <c r="BA13" s="6"/>
      <c r="BQ13" s="6"/>
      <c r="BR13" s="6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</row>
    <row r="14" spans="1:286" x14ac:dyDescent="0.15">
      <c r="A14" s="69"/>
      <c r="B14" s="69"/>
      <c r="C14" s="70">
        <f>IF(A14&gt;0,A14,INDEX('Classements 128 j'!$CU$10:$CU$269,MATCH(32,'Classements 128 j'!$CD$10:$CD$269,0)))</f>
        <v>0</v>
      </c>
      <c r="D14" s="70"/>
      <c r="E14" s="6"/>
      <c r="F14" s="64" t="str">
        <f>IF(C14&gt;0,VLOOKUP(C14,'[3]Infos joueurs'!$B:$BT,11,FALSE)," ")&amp;"  "&amp;+IF(C14&gt;0,VLOOKUP(C14,'[3]Infos joueurs'!$B:$BT,27,FALSE),"32 ")</f>
        <v xml:space="preserve">   32 </v>
      </c>
      <c r="G14" s="64"/>
      <c r="H14" s="64"/>
      <c r="I14" s="64"/>
      <c r="J14" s="64"/>
      <c r="K14" s="64"/>
      <c r="L14" s="64"/>
      <c r="M14" s="64"/>
      <c r="N14" s="76"/>
      <c r="O14" s="77"/>
      <c r="P14" s="15"/>
      <c r="Q14" s="6"/>
      <c r="R14" s="6"/>
      <c r="S14" s="6"/>
      <c r="T14" s="6"/>
      <c r="U14" s="6"/>
      <c r="V14" s="6"/>
      <c r="W14" s="6"/>
      <c r="X14" s="6"/>
      <c r="Y14" s="6"/>
      <c r="Z14" s="16"/>
      <c r="AA14" s="6"/>
      <c r="AB14" s="6"/>
      <c r="AC14" s="6"/>
      <c r="AD14" s="6"/>
      <c r="AE14" s="6"/>
      <c r="AF14" s="6"/>
      <c r="AG14" s="6"/>
      <c r="AH14" s="6"/>
      <c r="AI14" s="6"/>
      <c r="AJ14" s="7"/>
      <c r="AK14" s="6"/>
      <c r="AL14" s="6"/>
      <c r="AM14" s="6"/>
      <c r="AN14" s="6"/>
      <c r="AO14" s="6"/>
      <c r="AP14" s="6"/>
      <c r="AQ14" s="6"/>
      <c r="AR14" s="6"/>
      <c r="AS14" s="6"/>
      <c r="AT14" s="7"/>
      <c r="AU14" s="6"/>
      <c r="AV14" s="6"/>
      <c r="AW14" s="6"/>
      <c r="AX14" s="6"/>
      <c r="AY14" s="6"/>
      <c r="AZ14" s="6"/>
      <c r="BA14" s="6"/>
      <c r="BQ14" s="6"/>
      <c r="BR14" s="6"/>
      <c r="BU14" s="73"/>
      <c r="BV14" s="73"/>
      <c r="BW14" s="73"/>
      <c r="BX14" s="73"/>
      <c r="BY14" s="73"/>
      <c r="BZ14" s="73"/>
      <c r="CA14" s="73"/>
      <c r="CB14" s="73"/>
      <c r="CC14" s="73"/>
      <c r="CD14" s="73"/>
      <c r="CE14" s="73"/>
      <c r="CF14" s="73"/>
      <c r="CG14" s="73"/>
      <c r="CH14" s="73"/>
      <c r="CI14" s="73"/>
      <c r="CJ14" s="73"/>
      <c r="FW14" s="6"/>
      <c r="FX14" s="6"/>
      <c r="FY14" s="6"/>
      <c r="FZ14" s="6"/>
      <c r="GA14" s="6"/>
      <c r="GB14" s="6"/>
      <c r="GC14" s="6"/>
      <c r="GD14" s="6"/>
      <c r="GE14" s="6"/>
      <c r="GF14" s="7"/>
      <c r="GG14" s="6"/>
      <c r="GH14" s="6"/>
      <c r="GI14" s="6"/>
      <c r="GJ14" s="6"/>
      <c r="GK14" s="6"/>
      <c r="GL14" s="6"/>
      <c r="GM14" s="6"/>
    </row>
    <row r="15" spans="1:286" x14ac:dyDescent="0.25">
      <c r="C15" s="6"/>
      <c r="D15" s="6"/>
      <c r="E15" s="6"/>
      <c r="F15" s="14"/>
      <c r="G15" s="6"/>
      <c r="H15" s="6"/>
      <c r="I15" s="6"/>
      <c r="J15" s="6"/>
      <c r="K15" s="6"/>
      <c r="L15" s="6"/>
      <c r="M15" s="6"/>
      <c r="N15" s="6"/>
      <c r="O15" s="6"/>
      <c r="P15" s="7"/>
      <c r="Q15" s="6"/>
      <c r="R15" s="6"/>
      <c r="S15" s="6"/>
      <c r="T15" s="6"/>
      <c r="U15" s="6"/>
      <c r="V15" s="6"/>
      <c r="W15" s="6"/>
      <c r="X15" s="65">
        <v>17</v>
      </c>
      <c r="Y15" s="66"/>
      <c r="Z15" s="15">
        <v>3</v>
      </c>
      <c r="AA15" s="67" t="str">
        <f>IF(Z15+Z16=0,"",IF(Z15&gt;Z16,Q13,Q17))</f>
        <v>Clausix  Adam</v>
      </c>
      <c r="AB15" s="68"/>
      <c r="AC15" s="68"/>
      <c r="AD15" s="68"/>
      <c r="AE15" s="68"/>
      <c r="AF15" s="68"/>
      <c r="AG15" s="68"/>
      <c r="AH15" s="68"/>
      <c r="AI15" s="68"/>
      <c r="AJ15" s="7"/>
      <c r="AK15" s="6"/>
      <c r="AL15" s="6"/>
      <c r="AM15" s="6"/>
      <c r="AN15" s="6"/>
      <c r="AO15" s="6"/>
      <c r="AP15" s="6"/>
      <c r="AQ15" s="6"/>
      <c r="AR15" s="6"/>
      <c r="AS15" s="6"/>
      <c r="AT15" s="7"/>
      <c r="AU15" s="6"/>
      <c r="AV15" s="6"/>
      <c r="AW15" s="6"/>
      <c r="AX15" s="6"/>
      <c r="AY15" s="6"/>
      <c r="AZ15" s="6"/>
      <c r="BA15" s="6"/>
      <c r="BB15" s="6"/>
      <c r="BC15" s="6"/>
      <c r="BD15" s="7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Q15" s="6"/>
      <c r="BR15" s="6"/>
      <c r="FW15" s="6"/>
      <c r="FX15" s="6"/>
      <c r="FY15" s="6"/>
      <c r="FZ15" s="6"/>
      <c r="GA15" s="6"/>
      <c r="GB15" s="6"/>
      <c r="GC15" s="6"/>
      <c r="GD15" s="6"/>
      <c r="GE15" s="6"/>
      <c r="GF15" s="7"/>
      <c r="GG15" s="6"/>
      <c r="GH15" s="6"/>
      <c r="GI15" s="6"/>
      <c r="GJ15" s="6"/>
      <c r="GK15" s="6"/>
      <c r="GL15" s="6"/>
      <c r="GM15" s="6"/>
    </row>
    <row r="16" spans="1:286" x14ac:dyDescent="0.15">
      <c r="A16" s="69"/>
      <c r="B16" s="69"/>
      <c r="C16" s="70">
        <f>IF(A16&gt;0,A16,INDEX('Classements 128 j'!$CU$10:$CU$269,MATCH(17,'Classements 128 j'!$CD$10:$CD$269,0)))</f>
        <v>0</v>
      </c>
      <c r="D16" s="70"/>
      <c r="E16" s="6"/>
      <c r="F16" s="64" t="str">
        <f>IF(C16&gt;0,VLOOKUP(C16,'[3]Infos joueurs'!$B:$BT,11,FALSE)," ")&amp;"  "&amp;+IF(C16&gt;0,VLOOKUP(C16,'[3]Infos joueurs'!$B:$BT,27,FALSE),"17 ")</f>
        <v xml:space="preserve">   17 </v>
      </c>
      <c r="G16" s="64"/>
      <c r="H16" s="64"/>
      <c r="I16" s="64"/>
      <c r="J16" s="64"/>
      <c r="K16" s="64"/>
      <c r="L16" s="64"/>
      <c r="M16" s="64"/>
      <c r="N16" s="64"/>
      <c r="O16" s="64"/>
      <c r="P16" s="7"/>
      <c r="Q16" s="6"/>
      <c r="R16" s="6"/>
      <c r="S16" s="6"/>
      <c r="T16" s="6"/>
      <c r="U16" s="6"/>
      <c r="V16" s="6"/>
      <c r="W16" s="6"/>
      <c r="X16" s="65"/>
      <c r="Y16" s="66"/>
      <c r="Z16" s="15">
        <v>0</v>
      </c>
      <c r="AA16" s="6"/>
      <c r="AB16" s="6"/>
      <c r="AC16" s="6"/>
      <c r="AD16" s="6"/>
      <c r="AE16" s="6"/>
      <c r="AF16" s="6"/>
      <c r="AG16" s="6"/>
      <c r="AH16" s="6"/>
      <c r="AI16" s="6"/>
      <c r="AJ16" s="16"/>
      <c r="AK16" s="6"/>
      <c r="AL16" s="6"/>
      <c r="AM16" s="6"/>
      <c r="AN16" s="6"/>
      <c r="AO16" s="6"/>
      <c r="AP16" s="6"/>
      <c r="AQ16" s="6"/>
      <c r="AR16" s="6"/>
      <c r="AS16" s="6"/>
      <c r="AT16" s="7"/>
      <c r="AU16" s="6"/>
      <c r="AV16" s="6"/>
      <c r="AW16" s="6"/>
      <c r="AX16" s="6"/>
      <c r="AY16" s="6"/>
      <c r="AZ16" s="6"/>
      <c r="BA16" s="6"/>
      <c r="BB16" s="6"/>
      <c r="BC16" s="6"/>
      <c r="BD16" s="7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Q16" s="6"/>
      <c r="BR16" s="6"/>
      <c r="BU16" s="80">
        <v>17</v>
      </c>
      <c r="BV16" s="80"/>
      <c r="BX16" s="64" t="str">
        <f>IF(Z15+Z16=0,"",IF(Z15&lt;Z16,Q13,Q17))</f>
        <v xml:space="preserve">   17 </v>
      </c>
      <c r="BY16" s="64"/>
      <c r="BZ16" s="64"/>
      <c r="CA16" s="64"/>
      <c r="CB16" s="64"/>
      <c r="CC16" s="64"/>
      <c r="CD16" s="64"/>
      <c r="CE16" s="64"/>
      <c r="CF16" s="64"/>
      <c r="CG16" s="64"/>
      <c r="CH16" s="7"/>
      <c r="CI16" s="6"/>
      <c r="CJ16" s="6"/>
      <c r="CK16" s="6"/>
      <c r="CL16" s="6"/>
      <c r="CM16" s="6"/>
      <c r="CN16" s="6"/>
      <c r="CO16" s="6"/>
      <c r="CP16" s="6"/>
      <c r="CQ16" s="6"/>
      <c r="CR16" s="7"/>
      <c r="CS16" s="6"/>
      <c r="CT16" s="6"/>
      <c r="CU16" s="6"/>
      <c r="CV16" s="6"/>
      <c r="CW16" s="6"/>
      <c r="CX16" s="6"/>
      <c r="CY16" s="6"/>
      <c r="CZ16" s="6"/>
      <c r="DA16" s="6"/>
      <c r="DB16" s="7"/>
      <c r="DC16" s="6"/>
      <c r="DD16" s="6"/>
      <c r="DE16" s="6"/>
      <c r="DF16" s="6"/>
      <c r="DG16" s="6"/>
      <c r="DH16" s="6"/>
      <c r="DI16" s="6"/>
      <c r="DJ16" s="6"/>
      <c r="DK16" s="6"/>
      <c r="DL16" s="7"/>
      <c r="FW16" s="6"/>
      <c r="FX16" s="6"/>
      <c r="FY16" s="6"/>
      <c r="FZ16" s="6"/>
      <c r="GA16" s="6"/>
      <c r="GB16" s="6"/>
      <c r="GC16" s="6"/>
      <c r="GD16" s="6"/>
      <c r="GE16" s="6"/>
      <c r="GF16" s="7"/>
      <c r="GG16" s="6"/>
      <c r="GH16" s="6"/>
      <c r="GI16" s="6"/>
      <c r="GJ16" s="6"/>
      <c r="GK16" s="6"/>
      <c r="GL16" s="6"/>
      <c r="GM16" s="6"/>
    </row>
    <row r="17" spans="1:126" x14ac:dyDescent="0.15">
      <c r="C17" s="6"/>
      <c r="D17" s="6"/>
      <c r="E17" s="6"/>
      <c r="F17" s="14"/>
      <c r="G17" s="6"/>
      <c r="H17" s="6"/>
      <c r="I17" s="6"/>
      <c r="J17" s="6"/>
      <c r="K17" s="6"/>
      <c r="L17" s="6"/>
      <c r="M17" s="6"/>
      <c r="N17" s="74">
        <v>2</v>
      </c>
      <c r="O17" s="75"/>
      <c r="P17" s="15">
        <v>3</v>
      </c>
      <c r="Q17" s="78" t="str">
        <f>IF(P17+P18=0,"",IF(P17&gt;P18,F16,F18))</f>
        <v xml:space="preserve">   17 </v>
      </c>
      <c r="R17" s="79"/>
      <c r="S17" s="79"/>
      <c r="T17" s="79"/>
      <c r="U17" s="79"/>
      <c r="V17" s="79"/>
      <c r="W17" s="79"/>
      <c r="X17" s="79"/>
      <c r="Y17" s="81"/>
      <c r="Z17" s="16"/>
      <c r="AA17" s="6"/>
      <c r="AB17" s="6"/>
      <c r="AC17" s="6"/>
      <c r="AD17" s="6"/>
      <c r="AE17" s="6"/>
      <c r="AF17" s="6"/>
      <c r="AG17" s="6"/>
      <c r="AH17" s="6"/>
      <c r="AI17" s="6"/>
      <c r="AJ17" s="16"/>
      <c r="AK17" s="6"/>
      <c r="AL17" s="6"/>
      <c r="AM17" s="6"/>
      <c r="AN17" s="6"/>
      <c r="AO17" s="6"/>
      <c r="AP17" s="6"/>
      <c r="AQ17" s="6"/>
      <c r="AR17" s="6"/>
      <c r="AS17" s="6"/>
      <c r="AT17" s="7"/>
      <c r="AU17" s="6"/>
      <c r="AV17" s="6"/>
      <c r="AW17" s="6"/>
      <c r="AX17" s="6"/>
      <c r="AY17" s="6"/>
      <c r="AZ17" s="6"/>
      <c r="BA17" s="6"/>
      <c r="BB17" s="6"/>
      <c r="BC17" s="6"/>
      <c r="BD17" s="7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Q17" s="6"/>
      <c r="BR17" s="6"/>
      <c r="BX17" s="14"/>
      <c r="BY17" s="6"/>
      <c r="BZ17" s="6"/>
      <c r="CA17" s="6"/>
      <c r="CB17" s="6"/>
      <c r="CC17" s="6"/>
      <c r="CD17" s="6"/>
      <c r="CE17" s="6"/>
      <c r="CF17" s="74">
        <v>1</v>
      </c>
      <c r="CG17" s="75"/>
      <c r="CH17" s="15">
        <v>3</v>
      </c>
      <c r="CI17" s="78" t="str">
        <f>IF(CH17+CH18=0,"",IF(CH17&gt;CH18,BX16,BX18))</f>
        <v xml:space="preserve">   17 </v>
      </c>
      <c r="CJ17" s="79"/>
      <c r="CK17" s="79"/>
      <c r="CL17" s="79"/>
      <c r="CM17" s="79"/>
      <c r="CN17" s="79"/>
      <c r="CO17" s="79"/>
      <c r="CP17" s="79"/>
      <c r="CQ17" s="79"/>
      <c r="CR17" s="7"/>
      <c r="CS17" s="6"/>
      <c r="CT17" s="6"/>
      <c r="CU17" s="6"/>
      <c r="CV17" s="6"/>
      <c r="CW17" s="6"/>
      <c r="CX17" s="6"/>
      <c r="CY17" s="6"/>
      <c r="CZ17" s="6"/>
      <c r="DA17" s="6"/>
      <c r="DB17" s="7"/>
      <c r="DC17" s="6"/>
      <c r="DD17" s="6"/>
      <c r="DE17" s="6"/>
      <c r="DF17" s="6"/>
      <c r="DG17" s="6"/>
      <c r="DH17" s="6"/>
      <c r="DI17" s="6"/>
      <c r="DJ17" s="6"/>
      <c r="DK17" s="6"/>
      <c r="DL17" s="7"/>
    </row>
    <row r="18" spans="1:126" x14ac:dyDescent="0.15">
      <c r="A18" s="69"/>
      <c r="B18" s="69"/>
      <c r="C18" s="70">
        <f>IF(A18&gt;0,A18,INDEX('Classements 128 j'!$CU$10:$CU$269,MATCH(16,'Classements 128 j'!$CD$10:$CD$269,0)))</f>
        <v>0</v>
      </c>
      <c r="D18" s="70"/>
      <c r="E18" s="6"/>
      <c r="F18" s="64" t="str">
        <f>IF(C18&gt;0,VLOOKUP(C18,'[3]Infos joueurs'!$B:$BT,11,FALSE)," ")&amp;"  "&amp;+IF(C18&gt;0,VLOOKUP(C18,'[3]Infos joueurs'!$B:$BT,27,FALSE),"16 ")</f>
        <v xml:space="preserve">   16 </v>
      </c>
      <c r="G18" s="64"/>
      <c r="H18" s="64"/>
      <c r="I18" s="64"/>
      <c r="J18" s="64"/>
      <c r="K18" s="64"/>
      <c r="L18" s="64"/>
      <c r="M18" s="64"/>
      <c r="N18" s="76"/>
      <c r="O18" s="77"/>
      <c r="P18" s="15">
        <v>1</v>
      </c>
      <c r="Q18" s="6"/>
      <c r="R18" s="6"/>
      <c r="S18" s="6"/>
      <c r="T18" s="6"/>
      <c r="U18" s="6"/>
      <c r="V18" s="6"/>
      <c r="W18" s="6"/>
      <c r="X18" s="6"/>
      <c r="Y18" s="6"/>
      <c r="Z18" s="7"/>
      <c r="AA18" s="6"/>
      <c r="AB18" s="6"/>
      <c r="AC18" s="6"/>
      <c r="AD18" s="6"/>
      <c r="AE18" s="6"/>
      <c r="AF18" s="6"/>
      <c r="AG18" s="6"/>
      <c r="AH18" s="6"/>
      <c r="AI18" s="6"/>
      <c r="AJ18" s="16"/>
      <c r="AK18" s="6"/>
      <c r="AL18" s="6"/>
      <c r="AM18" s="6"/>
      <c r="AN18" s="6"/>
      <c r="AO18" s="6"/>
      <c r="AP18" s="6"/>
      <c r="AQ18" s="6"/>
      <c r="AR18" s="6"/>
      <c r="AS18" s="6"/>
      <c r="AT18" s="7"/>
      <c r="AU18" s="6"/>
      <c r="AV18" s="6"/>
      <c r="AW18" s="6"/>
      <c r="AX18" s="6"/>
      <c r="AY18" s="6"/>
      <c r="AZ18" s="6"/>
      <c r="BA18" s="6"/>
      <c r="BB18" s="6"/>
      <c r="BC18" s="6"/>
      <c r="BD18" s="7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Q18" s="6"/>
      <c r="BR18" s="6"/>
      <c r="BU18" s="80">
        <v>18</v>
      </c>
      <c r="BV18" s="80"/>
      <c r="BX18" s="64" t="str">
        <f>IF(Z23+Z24=0,"",IF(Z23&lt;Z24,Q21,Q25))</f>
        <v>Spano  Emilien</v>
      </c>
      <c r="BY18" s="64"/>
      <c r="BZ18" s="64"/>
      <c r="CA18" s="64"/>
      <c r="CB18" s="64"/>
      <c r="CC18" s="64"/>
      <c r="CD18" s="64"/>
      <c r="CE18" s="64"/>
      <c r="CF18" s="76"/>
      <c r="CG18" s="77"/>
      <c r="CH18" s="15">
        <v>1</v>
      </c>
      <c r="CI18" s="6"/>
      <c r="CJ18" s="6"/>
      <c r="CK18" s="6"/>
      <c r="CL18" s="6"/>
      <c r="CM18" s="6"/>
      <c r="CN18" s="6"/>
      <c r="CO18" s="6"/>
      <c r="CP18" s="6"/>
      <c r="CQ18" s="6"/>
      <c r="CR18" s="16"/>
      <c r="CS18" s="6"/>
      <c r="CT18" s="6"/>
      <c r="CU18" s="6"/>
      <c r="CV18" s="6"/>
      <c r="CW18" s="6"/>
      <c r="CX18" s="6"/>
      <c r="CY18" s="6"/>
      <c r="CZ18" s="6"/>
      <c r="DA18" s="6"/>
      <c r="DB18" s="7"/>
      <c r="DC18" s="6"/>
      <c r="DD18" s="6"/>
      <c r="DE18" s="6"/>
      <c r="DF18" s="6"/>
      <c r="DG18" s="6"/>
      <c r="DH18" s="6"/>
      <c r="DI18" s="6"/>
      <c r="DJ18" s="6"/>
      <c r="DK18" s="6"/>
      <c r="DL18" s="7"/>
    </row>
    <row r="19" spans="1:126" x14ac:dyDescent="0.25">
      <c r="C19" s="6"/>
      <c r="D19" s="6"/>
      <c r="E19" s="6"/>
      <c r="F19" s="14"/>
      <c r="G19" s="6"/>
      <c r="H19" s="6"/>
      <c r="I19" s="6"/>
      <c r="J19" s="6"/>
      <c r="K19" s="6"/>
      <c r="L19" s="6"/>
      <c r="M19" s="6"/>
      <c r="N19" s="6"/>
      <c r="O19" s="6"/>
      <c r="P19" s="7"/>
      <c r="Q19" s="6"/>
      <c r="R19" s="6"/>
      <c r="S19" s="6"/>
      <c r="T19" s="6"/>
      <c r="U19" s="6"/>
      <c r="V19" s="6"/>
      <c r="W19" s="6"/>
      <c r="X19" s="6"/>
      <c r="Y19" s="6"/>
      <c r="Z19" s="7"/>
      <c r="AA19" s="6"/>
      <c r="AB19" s="6"/>
      <c r="AC19" s="6"/>
      <c r="AD19" s="6"/>
      <c r="AE19" s="6"/>
      <c r="AF19" s="6"/>
      <c r="AG19" s="6"/>
      <c r="AH19" s="65">
        <v>25</v>
      </c>
      <c r="AI19" s="66"/>
      <c r="AJ19" s="15">
        <v>3</v>
      </c>
      <c r="AK19" s="67" t="str">
        <f>IF(AJ19+AJ20=0,"",IF(AJ19&gt;AJ20,AA15,AA23))</f>
        <v>Clausix  Adam</v>
      </c>
      <c r="AL19" s="68"/>
      <c r="AM19" s="68"/>
      <c r="AN19" s="68"/>
      <c r="AO19" s="68"/>
      <c r="AP19" s="68"/>
      <c r="AQ19" s="68"/>
      <c r="AR19" s="68"/>
      <c r="AS19" s="68"/>
      <c r="AT19" s="7"/>
      <c r="AU19" s="6"/>
      <c r="AV19" s="6"/>
      <c r="AW19" s="6"/>
      <c r="AX19" s="6"/>
      <c r="AY19" s="6"/>
      <c r="AZ19" s="6"/>
      <c r="BA19" s="6"/>
      <c r="BB19" s="6"/>
      <c r="BC19" s="6"/>
      <c r="BD19" s="7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Q19" s="6"/>
      <c r="BR19" s="6"/>
      <c r="BX19" s="14"/>
      <c r="BY19" s="6"/>
      <c r="BZ19" s="6"/>
      <c r="CA19" s="6"/>
      <c r="CB19" s="6"/>
      <c r="CC19" s="6"/>
      <c r="CD19" s="6"/>
      <c r="CE19" s="6"/>
      <c r="CF19" s="6"/>
      <c r="CG19" s="6"/>
      <c r="CH19" s="7"/>
      <c r="CI19" s="6"/>
      <c r="CJ19" s="6"/>
      <c r="CK19" s="6"/>
      <c r="CL19" s="6"/>
      <c r="CM19" s="6"/>
      <c r="CN19" s="6"/>
      <c r="CO19" s="6"/>
      <c r="CP19" s="65">
        <v>5</v>
      </c>
      <c r="CQ19" s="66"/>
      <c r="CR19" s="15"/>
      <c r="CS19" s="67" t="str">
        <f>IF(CR19+CR20=0,"",IF(CR19&gt;CR20,CI17,CI21))</f>
        <v>Massy  Kenny</v>
      </c>
      <c r="CT19" s="68"/>
      <c r="CU19" s="68"/>
      <c r="CV19" s="68"/>
      <c r="CW19" s="68"/>
      <c r="CX19" s="68"/>
      <c r="CY19" s="68"/>
      <c r="CZ19" s="68"/>
      <c r="DA19" s="68"/>
      <c r="DB19" s="7"/>
      <c r="DC19" s="6"/>
      <c r="DD19" s="6"/>
      <c r="DE19" s="6"/>
      <c r="DF19" s="6"/>
      <c r="DG19" s="6"/>
      <c r="DH19" s="6"/>
      <c r="DI19" s="6"/>
      <c r="DJ19" s="6"/>
      <c r="DK19" s="6"/>
      <c r="DL19" s="7"/>
    </row>
    <row r="20" spans="1:126" ht="8.25" customHeight="1" x14ac:dyDescent="0.15">
      <c r="A20" s="69"/>
      <c r="B20" s="69"/>
      <c r="C20" s="70">
        <f>IF(A20&gt;0,A20,INDEX('Classements 128 j'!$CU$10:$CU$269,MATCH(9,'Classements 128 j'!$CD$10:$CD$269,0)))</f>
        <v>23</v>
      </c>
      <c r="D20" s="70"/>
      <c r="E20" s="6"/>
      <c r="F20" s="64" t="str">
        <f>IF(C20&gt;0,VLOOKUP(C20,'[3]Infos joueurs'!$B:$BT,11,FALSE)," ")&amp;"  "&amp;+IF(C20&gt;0,VLOOKUP(C20,'[3]Infos joueurs'!$B:$BT,27,FALSE),"9 ")</f>
        <v>Spano  Emilien</v>
      </c>
      <c r="G20" s="64"/>
      <c r="H20" s="64"/>
      <c r="I20" s="64"/>
      <c r="J20" s="64"/>
      <c r="K20" s="64"/>
      <c r="L20" s="64"/>
      <c r="M20" s="64"/>
      <c r="N20" s="64"/>
      <c r="O20" s="64"/>
      <c r="P20" s="7"/>
      <c r="Q20" s="6"/>
      <c r="R20" s="6"/>
      <c r="S20" s="6"/>
      <c r="T20" s="6"/>
      <c r="U20" s="6"/>
      <c r="V20" s="6"/>
      <c r="W20" s="6"/>
      <c r="X20" s="6"/>
      <c r="Y20" s="6"/>
      <c r="Z20" s="7"/>
      <c r="AA20" s="6"/>
      <c r="AB20" s="6"/>
      <c r="AC20" s="6"/>
      <c r="AD20" s="6"/>
      <c r="AE20" s="6"/>
      <c r="AF20" s="6"/>
      <c r="AG20" s="6"/>
      <c r="AH20" s="65"/>
      <c r="AI20" s="66"/>
      <c r="AJ20" s="15">
        <v>1</v>
      </c>
      <c r="AK20" s="6"/>
      <c r="AL20" s="6"/>
      <c r="AM20" s="6"/>
      <c r="AN20" s="6"/>
      <c r="AO20" s="6"/>
      <c r="AP20" s="6"/>
      <c r="AQ20" s="6"/>
      <c r="AR20" s="6"/>
      <c r="AS20" s="6"/>
      <c r="AT20" s="16"/>
      <c r="AU20" s="6"/>
      <c r="AV20" s="6"/>
      <c r="AW20" s="6"/>
      <c r="AX20" s="6"/>
      <c r="AY20" s="6"/>
      <c r="AZ20" s="6"/>
      <c r="BA20" s="6"/>
      <c r="BB20" s="6"/>
      <c r="BC20" s="6"/>
      <c r="BD20" s="7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R20" s="6"/>
      <c r="BU20" s="80">
        <v>19</v>
      </c>
      <c r="BV20" s="80"/>
      <c r="BX20" s="64" t="str">
        <f>IF(Z31+Z32=0,"",IF(Z31&lt;Z32,Q29,Q33))</f>
        <v>Massy  Kenny</v>
      </c>
      <c r="BY20" s="64"/>
      <c r="BZ20" s="64"/>
      <c r="CA20" s="64"/>
      <c r="CB20" s="64"/>
      <c r="CC20" s="64"/>
      <c r="CD20" s="64"/>
      <c r="CE20" s="64"/>
      <c r="CF20" s="64"/>
      <c r="CG20" s="64"/>
      <c r="CH20" s="7"/>
      <c r="CI20" s="6"/>
      <c r="CJ20" s="6"/>
      <c r="CK20" s="6"/>
      <c r="CL20" s="6"/>
      <c r="CM20" s="6"/>
      <c r="CN20" s="6"/>
      <c r="CO20" s="6"/>
      <c r="CP20" s="65"/>
      <c r="CQ20" s="66"/>
      <c r="CR20" s="15">
        <v>3</v>
      </c>
      <c r="CS20" s="6"/>
      <c r="CT20" s="6"/>
      <c r="CU20" s="6"/>
      <c r="CV20" s="6"/>
      <c r="CW20" s="6"/>
      <c r="CX20" s="6"/>
      <c r="CY20" s="6"/>
      <c r="CZ20" s="6"/>
      <c r="DA20" s="6"/>
      <c r="DB20" s="16"/>
      <c r="DC20" s="6"/>
      <c r="DD20" s="6"/>
      <c r="DE20" s="6"/>
      <c r="DF20" s="6"/>
      <c r="DG20" s="6"/>
      <c r="DH20" s="6"/>
      <c r="DI20" s="6"/>
      <c r="DJ20" s="6"/>
      <c r="DK20" s="6"/>
      <c r="DL20" s="7"/>
    </row>
    <row r="21" spans="1:126" ht="8.25" customHeight="1" x14ac:dyDescent="0.15">
      <c r="C21" s="6"/>
      <c r="D21" s="6"/>
      <c r="E21" s="6"/>
      <c r="F21" s="14"/>
      <c r="G21" s="6"/>
      <c r="H21" s="6"/>
      <c r="I21" s="6"/>
      <c r="J21" s="6"/>
      <c r="K21" s="6"/>
      <c r="L21" s="6"/>
      <c r="M21" s="6"/>
      <c r="N21" s="74">
        <v>3</v>
      </c>
      <c r="O21" s="75"/>
      <c r="P21" s="15">
        <v>1</v>
      </c>
      <c r="Q21" s="78" t="str">
        <f>IF(P21+P22=0,"",IF(P21&gt;P22,F20,F22))</f>
        <v>Spano  Emilien</v>
      </c>
      <c r="R21" s="79"/>
      <c r="S21" s="79"/>
      <c r="T21" s="79"/>
      <c r="U21" s="79"/>
      <c r="V21" s="79"/>
      <c r="W21" s="79"/>
      <c r="X21" s="79"/>
      <c r="Y21" s="79"/>
      <c r="Z21" s="7"/>
      <c r="AA21" s="6"/>
      <c r="AB21" s="6"/>
      <c r="AC21" s="6"/>
      <c r="AD21" s="6"/>
      <c r="AE21" s="6"/>
      <c r="AF21" s="6"/>
      <c r="AG21" s="6"/>
      <c r="AH21" s="6"/>
      <c r="AI21" s="6"/>
      <c r="AJ21" s="16"/>
      <c r="AK21" s="6"/>
      <c r="AL21" s="6"/>
      <c r="AM21" s="6"/>
      <c r="AN21" s="6"/>
      <c r="AO21" s="6"/>
      <c r="AP21" s="6"/>
      <c r="AQ21" s="6"/>
      <c r="AR21" s="6"/>
      <c r="AS21" s="6"/>
      <c r="AT21" s="16"/>
      <c r="AU21" s="6"/>
      <c r="AV21" s="6"/>
      <c r="AW21" s="6"/>
      <c r="AX21" s="6"/>
      <c r="AY21" s="6"/>
      <c r="AZ21" s="6"/>
      <c r="BA21" s="6"/>
      <c r="BB21" s="6"/>
      <c r="BC21" s="6"/>
      <c r="BD21" s="7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R21" s="6"/>
      <c r="BX21" s="14"/>
      <c r="BY21" s="6"/>
      <c r="BZ21" s="6"/>
      <c r="CA21" s="6"/>
      <c r="CB21" s="6"/>
      <c r="CC21" s="6"/>
      <c r="CD21" s="6"/>
      <c r="CE21" s="6"/>
      <c r="CF21" s="74">
        <v>2</v>
      </c>
      <c r="CG21" s="75"/>
      <c r="CH21" s="15">
        <v>3</v>
      </c>
      <c r="CI21" s="78" t="str">
        <f>IF(CH21+CH22=0,"",IF(CH21&gt;CH22,BX20,BX22))</f>
        <v>Massy  Kenny</v>
      </c>
      <c r="CJ21" s="79"/>
      <c r="CK21" s="79"/>
      <c r="CL21" s="79"/>
      <c r="CM21" s="79"/>
      <c r="CN21" s="79"/>
      <c r="CO21" s="79"/>
      <c r="CP21" s="79"/>
      <c r="CQ21" s="81"/>
      <c r="CR21" s="16"/>
      <c r="CS21" s="6"/>
      <c r="CT21" s="6"/>
      <c r="CU21" s="6"/>
      <c r="CV21" s="6"/>
      <c r="CW21" s="6"/>
      <c r="CX21" s="6"/>
      <c r="CY21" s="6"/>
      <c r="CZ21" s="6"/>
      <c r="DA21" s="6"/>
      <c r="DB21" s="16"/>
      <c r="DC21" s="6"/>
      <c r="DD21" s="6"/>
      <c r="DE21" s="6"/>
      <c r="DF21" s="6"/>
      <c r="DG21" s="6"/>
      <c r="DH21" s="6"/>
      <c r="DI21" s="6"/>
      <c r="DJ21" s="6"/>
      <c r="DK21" s="6"/>
      <c r="DL21" s="7"/>
    </row>
    <row r="22" spans="1:126" ht="8.25" customHeight="1" x14ac:dyDescent="0.15">
      <c r="A22" s="69"/>
      <c r="B22" s="69"/>
      <c r="C22" s="70">
        <f>IF(A22&gt;0,A22,INDEX('Classements 128 j'!$CU$10:$CU$269,MATCH(24,'Classements 128 j'!$CD$10:$CD$269,0)))</f>
        <v>0</v>
      </c>
      <c r="D22" s="70"/>
      <c r="E22" s="6"/>
      <c r="F22" s="64" t="str">
        <f>IF(C22&gt;0,VLOOKUP(C22,'[3]Infos joueurs'!$B:$BT,11,FALSE)," ")&amp;"  "&amp;+IF(C22&gt;0,VLOOKUP(C22,'[3]Infos joueurs'!$B:$BT,27,FALSE),"24 ")</f>
        <v xml:space="preserve">   24 </v>
      </c>
      <c r="G22" s="64"/>
      <c r="H22" s="64"/>
      <c r="I22" s="64"/>
      <c r="J22" s="64"/>
      <c r="K22" s="64"/>
      <c r="L22" s="64"/>
      <c r="M22" s="64"/>
      <c r="N22" s="76"/>
      <c r="O22" s="77"/>
      <c r="P22" s="15"/>
      <c r="Q22" s="6"/>
      <c r="R22" s="6"/>
      <c r="S22" s="6"/>
      <c r="T22" s="6"/>
      <c r="U22" s="6"/>
      <c r="V22" s="6"/>
      <c r="W22" s="6"/>
      <c r="X22" s="6"/>
      <c r="Y22" s="6"/>
      <c r="Z22" s="16"/>
      <c r="AA22" s="6"/>
      <c r="AB22" s="6"/>
      <c r="AC22" s="6"/>
      <c r="AD22" s="6"/>
      <c r="AE22" s="6"/>
      <c r="AF22" s="6"/>
      <c r="AG22" s="6"/>
      <c r="AH22" s="6"/>
      <c r="AI22" s="6"/>
      <c r="AJ22" s="16"/>
      <c r="AK22" s="6"/>
      <c r="AL22" s="6"/>
      <c r="AM22" s="6"/>
      <c r="AN22" s="6"/>
      <c r="AO22" s="6"/>
      <c r="AP22" s="6"/>
      <c r="AQ22" s="6"/>
      <c r="AR22" s="6"/>
      <c r="AS22" s="6"/>
      <c r="AT22" s="16"/>
      <c r="AU22" s="6"/>
      <c r="AV22" s="6"/>
      <c r="AW22" s="6"/>
      <c r="AX22" s="6"/>
      <c r="AY22" s="6"/>
      <c r="AZ22" s="6"/>
      <c r="BA22" s="6"/>
      <c r="BB22" s="6"/>
      <c r="BC22" s="6"/>
      <c r="BD22" s="7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R22" s="6"/>
      <c r="BU22" s="80">
        <v>20</v>
      </c>
      <c r="BV22" s="80"/>
      <c r="BX22" s="64" t="str">
        <f>IF(Z39+Z40=0,"",IF(Z39&lt;Z40,Q37,Q41))</f>
        <v>Berisha  Fatlum</v>
      </c>
      <c r="BY22" s="64"/>
      <c r="BZ22" s="64"/>
      <c r="CA22" s="64"/>
      <c r="CB22" s="64"/>
      <c r="CC22" s="64"/>
      <c r="CD22" s="64"/>
      <c r="CE22" s="64"/>
      <c r="CF22" s="76"/>
      <c r="CG22" s="77"/>
      <c r="CH22" s="15">
        <v>0</v>
      </c>
      <c r="CI22" s="6"/>
      <c r="CJ22" s="6"/>
      <c r="CK22" s="6"/>
      <c r="CL22" s="6"/>
      <c r="CM22" s="6"/>
      <c r="CN22" s="6"/>
      <c r="CO22" s="6"/>
      <c r="CP22" s="6"/>
      <c r="CQ22" s="6"/>
      <c r="CR22" s="7"/>
      <c r="CS22" s="6"/>
      <c r="CT22" s="6"/>
      <c r="CU22" s="6"/>
      <c r="CV22" s="6"/>
      <c r="CW22" s="6"/>
      <c r="CX22" s="6"/>
      <c r="CY22" s="6"/>
      <c r="CZ22" s="6"/>
      <c r="DA22" s="6"/>
      <c r="DB22" s="16"/>
      <c r="DC22" s="6"/>
      <c r="DD22" s="6"/>
      <c r="DE22" s="6"/>
      <c r="DF22" s="6"/>
      <c r="DG22" s="6"/>
      <c r="DH22" s="6"/>
      <c r="DI22" s="6"/>
      <c r="DJ22" s="6"/>
      <c r="DK22" s="6"/>
      <c r="DL22" s="7"/>
    </row>
    <row r="23" spans="1:126" x14ac:dyDescent="0.25">
      <c r="C23" s="6"/>
      <c r="D23" s="6"/>
      <c r="E23" s="6"/>
      <c r="F23" s="14"/>
      <c r="G23" s="6"/>
      <c r="H23" s="6"/>
      <c r="I23" s="6"/>
      <c r="J23" s="6"/>
      <c r="K23" s="6"/>
      <c r="L23" s="6"/>
      <c r="M23" s="6"/>
      <c r="N23" s="6"/>
      <c r="O23" s="6"/>
      <c r="P23" s="7"/>
      <c r="Q23" s="6"/>
      <c r="R23" s="6"/>
      <c r="S23" s="6"/>
      <c r="T23" s="6"/>
      <c r="U23" s="6"/>
      <c r="V23" s="6"/>
      <c r="W23" s="6"/>
      <c r="X23" s="65">
        <v>18</v>
      </c>
      <c r="Y23" s="66"/>
      <c r="Z23" s="15">
        <v>1</v>
      </c>
      <c r="AA23" s="67" t="str">
        <f>IF(Z23+Z24=0,"",IF(Z23&gt;Z24,Q21,Q25))</f>
        <v>Frezghi  Tarik</v>
      </c>
      <c r="AB23" s="68"/>
      <c r="AC23" s="68"/>
      <c r="AD23" s="68"/>
      <c r="AE23" s="68"/>
      <c r="AF23" s="68"/>
      <c r="AG23" s="68"/>
      <c r="AH23" s="68"/>
      <c r="AI23" s="82"/>
      <c r="AJ23" s="16"/>
      <c r="AK23" s="6"/>
      <c r="AL23" s="6"/>
      <c r="AM23" s="6"/>
      <c r="AN23" s="6"/>
      <c r="AO23" s="6"/>
      <c r="AP23" s="6"/>
      <c r="AQ23" s="6"/>
      <c r="AR23" s="6"/>
      <c r="AS23" s="6"/>
      <c r="AT23" s="16"/>
      <c r="AU23" s="6"/>
      <c r="AV23" s="6"/>
      <c r="AW23" s="6"/>
      <c r="AX23" s="6"/>
      <c r="AY23" s="6"/>
      <c r="AZ23" s="6"/>
      <c r="BA23" s="6"/>
      <c r="BB23" s="6"/>
      <c r="BC23" s="6"/>
      <c r="BD23" s="7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X23" s="14"/>
      <c r="BY23" s="6"/>
      <c r="BZ23" s="6"/>
      <c r="CA23" s="6"/>
      <c r="CB23" s="6"/>
      <c r="CC23" s="6"/>
      <c r="CD23" s="6"/>
      <c r="CE23" s="6"/>
      <c r="CF23" s="6"/>
      <c r="CG23" s="6"/>
      <c r="CH23" s="7"/>
      <c r="CI23" s="6"/>
      <c r="CJ23" s="6"/>
      <c r="CK23" s="6"/>
      <c r="CL23" s="6"/>
      <c r="CM23" s="6"/>
      <c r="CN23" s="6"/>
      <c r="CO23" s="6"/>
      <c r="CP23" s="6"/>
      <c r="CQ23" s="6"/>
      <c r="CR23" s="7"/>
      <c r="CS23" s="6"/>
      <c r="CT23" s="6"/>
      <c r="CU23" s="6"/>
      <c r="CV23" s="6"/>
      <c r="CW23" s="6"/>
      <c r="CX23" s="6"/>
      <c r="CY23" s="6"/>
      <c r="CZ23" s="65">
        <v>7</v>
      </c>
      <c r="DA23" s="66"/>
      <c r="DB23" s="15">
        <v>2</v>
      </c>
      <c r="DC23" s="67" t="str">
        <f>IF(DB23+DB24=0,"",IF(DB23&gt;DB24,CS19,CS27))</f>
        <v>Savoy  David</v>
      </c>
      <c r="DD23" s="68"/>
      <c r="DE23" s="68"/>
      <c r="DF23" s="68"/>
      <c r="DG23" s="68"/>
      <c r="DH23" s="68"/>
      <c r="DI23" s="68"/>
      <c r="DJ23" s="68"/>
      <c r="DK23" s="68"/>
      <c r="DL23" s="7"/>
    </row>
    <row r="24" spans="1:126" x14ac:dyDescent="0.15">
      <c r="A24" s="69"/>
      <c r="B24" s="69"/>
      <c r="C24" s="70">
        <f>IF(A24&gt;0,A24,INDEX('Classements 128 j'!$CU$10:$CU$269,MATCH(25,'Classements 128 j'!$CD$10:$CD$269,0)))</f>
        <v>0</v>
      </c>
      <c r="D24" s="70"/>
      <c r="E24" s="6"/>
      <c r="F24" s="64" t="str">
        <f>IF(C24&gt;0,VLOOKUP(C24,'[3]Infos joueurs'!$B:$BT,11,FALSE)," ")&amp;"  "&amp;+IF(C24&gt;0,VLOOKUP(C24,'[3]Infos joueurs'!$B:$BT,27,FALSE),"25 ")</f>
        <v xml:space="preserve">   25 </v>
      </c>
      <c r="G24" s="64"/>
      <c r="H24" s="64"/>
      <c r="I24" s="64"/>
      <c r="J24" s="64"/>
      <c r="K24" s="64"/>
      <c r="L24" s="64"/>
      <c r="M24" s="64"/>
      <c r="N24" s="64"/>
      <c r="O24" s="64"/>
      <c r="P24" s="7"/>
      <c r="Q24" s="6"/>
      <c r="R24" s="6"/>
      <c r="S24" s="6"/>
      <c r="T24" s="6"/>
      <c r="U24" s="6"/>
      <c r="V24" s="6"/>
      <c r="W24" s="6"/>
      <c r="X24" s="65"/>
      <c r="Y24" s="66"/>
      <c r="Z24" s="15">
        <v>3</v>
      </c>
      <c r="AA24" s="6"/>
      <c r="AB24" s="6"/>
      <c r="AC24" s="6"/>
      <c r="AD24" s="6"/>
      <c r="AE24" s="6"/>
      <c r="AF24" s="6"/>
      <c r="AG24" s="6"/>
      <c r="AH24" s="6"/>
      <c r="AI24" s="6"/>
      <c r="AJ24" s="7"/>
      <c r="AK24" s="6"/>
      <c r="AL24" s="6"/>
      <c r="AM24" s="6"/>
      <c r="AN24" s="6"/>
      <c r="AO24" s="6"/>
      <c r="AP24" s="6"/>
      <c r="AQ24" s="6"/>
      <c r="AR24" s="6"/>
      <c r="AS24" s="6"/>
      <c r="AT24" s="1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U24" s="80">
        <v>21</v>
      </c>
      <c r="BV24" s="80"/>
      <c r="BX24" s="64" t="str">
        <f>IF(Z47+Z48=0,"",IF(Z47&lt;Z48,Q45,Q49))</f>
        <v>Clerc  Manon</v>
      </c>
      <c r="BY24" s="64"/>
      <c r="BZ24" s="64"/>
      <c r="CA24" s="64"/>
      <c r="CB24" s="64"/>
      <c r="CC24" s="64"/>
      <c r="CD24" s="64"/>
      <c r="CE24" s="64"/>
      <c r="CF24" s="64"/>
      <c r="CG24" s="64"/>
      <c r="CH24" s="7"/>
      <c r="CI24" s="6"/>
      <c r="CJ24" s="6"/>
      <c r="CK24" s="6"/>
      <c r="CL24" s="6"/>
      <c r="CM24" s="6"/>
      <c r="CN24" s="6"/>
      <c r="CO24" s="6"/>
      <c r="CP24" s="6"/>
      <c r="CQ24" s="6"/>
      <c r="CR24" s="7"/>
      <c r="CS24" s="6"/>
      <c r="CT24" s="6"/>
      <c r="CU24" s="6"/>
      <c r="CV24" s="6"/>
      <c r="CW24" s="6"/>
      <c r="CX24" s="6"/>
      <c r="CY24" s="6"/>
      <c r="CZ24" s="65"/>
      <c r="DA24" s="66"/>
      <c r="DB24" s="15">
        <v>3</v>
      </c>
      <c r="DC24" s="6"/>
      <c r="DD24" s="6"/>
      <c r="DE24" s="6"/>
      <c r="DF24" s="6"/>
      <c r="DG24" s="6"/>
      <c r="DH24" s="6"/>
      <c r="DI24" s="6"/>
      <c r="DJ24" s="6"/>
      <c r="DK24" s="6"/>
      <c r="DL24" s="7"/>
    </row>
    <row r="25" spans="1:126" x14ac:dyDescent="0.15">
      <c r="C25" s="6"/>
      <c r="D25" s="6"/>
      <c r="E25" s="6"/>
      <c r="F25" s="14"/>
      <c r="G25" s="6"/>
      <c r="H25" s="6"/>
      <c r="I25" s="6"/>
      <c r="J25" s="6"/>
      <c r="K25" s="6"/>
      <c r="L25" s="6"/>
      <c r="M25" s="6"/>
      <c r="N25" s="74">
        <v>4</v>
      </c>
      <c r="O25" s="75"/>
      <c r="P25" s="15"/>
      <c r="Q25" s="78" t="str">
        <f>IF(P25+P26=0,"",IF(P25&gt;P26,F24,F26))</f>
        <v>Frezghi  Tarik</v>
      </c>
      <c r="R25" s="79"/>
      <c r="S25" s="79"/>
      <c r="T25" s="79"/>
      <c r="U25" s="79"/>
      <c r="V25" s="79"/>
      <c r="W25" s="79"/>
      <c r="X25" s="79"/>
      <c r="Y25" s="81"/>
      <c r="Z25" s="16"/>
      <c r="AA25" s="6"/>
      <c r="AB25" s="6"/>
      <c r="AC25" s="6"/>
      <c r="AD25" s="6"/>
      <c r="AE25" s="6"/>
      <c r="AF25" s="6"/>
      <c r="AG25" s="6"/>
      <c r="AH25" s="6"/>
      <c r="AI25" s="6"/>
      <c r="AJ25" s="7"/>
      <c r="AK25" s="6"/>
      <c r="AL25" s="6"/>
      <c r="AM25" s="6"/>
      <c r="AN25" s="6"/>
      <c r="AO25" s="6"/>
      <c r="AP25" s="6"/>
      <c r="AQ25" s="6"/>
      <c r="AR25" s="6"/>
      <c r="AS25" s="6"/>
      <c r="AT25" s="1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X25" s="14"/>
      <c r="BY25" s="6"/>
      <c r="BZ25" s="6"/>
      <c r="CA25" s="6"/>
      <c r="CB25" s="6"/>
      <c r="CC25" s="6"/>
      <c r="CD25" s="6"/>
      <c r="CE25" s="6"/>
      <c r="CF25" s="74">
        <v>3</v>
      </c>
      <c r="CG25" s="75"/>
      <c r="CH25" s="15">
        <v>0</v>
      </c>
      <c r="CI25" s="78" t="str">
        <f>IF(CH25+CH26=0,"",IF(CH25&gt;CH26,BX24,BX26))</f>
        <v>Leite  Matilde</v>
      </c>
      <c r="CJ25" s="79"/>
      <c r="CK25" s="79"/>
      <c r="CL25" s="79"/>
      <c r="CM25" s="79"/>
      <c r="CN25" s="79"/>
      <c r="CO25" s="79"/>
      <c r="CP25" s="79"/>
      <c r="CQ25" s="79"/>
      <c r="CR25" s="7"/>
      <c r="CS25" s="6"/>
      <c r="CT25" s="6"/>
      <c r="CU25" s="6"/>
      <c r="CV25" s="6"/>
      <c r="CW25" s="6"/>
      <c r="CX25" s="6"/>
      <c r="CY25" s="6"/>
      <c r="CZ25" s="6"/>
      <c r="DA25" s="6"/>
      <c r="DB25" s="16"/>
      <c r="DC25" s="6"/>
      <c r="DD25" s="6"/>
      <c r="DE25" s="6"/>
      <c r="DF25" s="6"/>
      <c r="DG25" s="6"/>
      <c r="DH25" s="6"/>
      <c r="DI25" s="6"/>
      <c r="DJ25" s="6"/>
      <c r="DK25" s="6"/>
      <c r="DL25" s="7"/>
    </row>
    <row r="26" spans="1:126" x14ac:dyDescent="0.15">
      <c r="A26" s="69"/>
      <c r="B26" s="69"/>
      <c r="C26" s="70">
        <f>IF(A26&gt;0,A26,INDEX('Classements 128 j'!$CU$10:$CU$269,MATCH(8,'Classements 128 j'!$CD$10:$CD$269,0)))</f>
        <v>7</v>
      </c>
      <c r="D26" s="70"/>
      <c r="E26" s="6"/>
      <c r="F26" s="64" t="str">
        <f>IF(C26&gt;0,VLOOKUP(C26,'[3]Infos joueurs'!$B:$BT,11,FALSE)," ")&amp;"  "&amp;+IF(C26&gt;0,VLOOKUP(C26,'[3]Infos joueurs'!$B:$BT,27,FALSE),"8 ")</f>
        <v>Frezghi  Tarik</v>
      </c>
      <c r="G26" s="64"/>
      <c r="H26" s="64"/>
      <c r="I26" s="64"/>
      <c r="J26" s="64"/>
      <c r="K26" s="64"/>
      <c r="L26" s="64"/>
      <c r="M26" s="64"/>
      <c r="N26" s="76"/>
      <c r="O26" s="77"/>
      <c r="P26" s="15">
        <v>1</v>
      </c>
      <c r="Q26" s="6"/>
      <c r="R26" s="6"/>
      <c r="S26" s="6"/>
      <c r="T26" s="6"/>
      <c r="U26" s="6"/>
      <c r="V26" s="6"/>
      <c r="W26" s="6"/>
      <c r="X26" s="6"/>
      <c r="Y26" s="6"/>
      <c r="Z26" s="7"/>
      <c r="AA26" s="6"/>
      <c r="AB26" s="6"/>
      <c r="AC26" s="6"/>
      <c r="AD26" s="6"/>
      <c r="AE26" s="6"/>
      <c r="AF26" s="6"/>
      <c r="AG26" s="6"/>
      <c r="AH26" s="6"/>
      <c r="AI26" s="6"/>
      <c r="AJ26" s="7"/>
      <c r="AK26" s="6"/>
      <c r="AL26" s="6"/>
      <c r="AM26" s="6"/>
      <c r="AN26" s="6"/>
      <c r="AO26" s="6"/>
      <c r="AP26" s="6"/>
      <c r="AQ26" s="6"/>
      <c r="AR26" s="6"/>
      <c r="AS26" s="6"/>
      <c r="AT26" s="1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U26" s="80">
        <v>22</v>
      </c>
      <c r="BV26" s="80"/>
      <c r="BX26" s="64" t="str">
        <f>IF(Z55+Z56=0,"",IF(Z55&lt;Z56,Q53,Q57))</f>
        <v>Leite  Matilde</v>
      </c>
      <c r="BY26" s="64"/>
      <c r="BZ26" s="64"/>
      <c r="CA26" s="64"/>
      <c r="CB26" s="64"/>
      <c r="CC26" s="64"/>
      <c r="CD26" s="64"/>
      <c r="CE26" s="64"/>
      <c r="CF26" s="76"/>
      <c r="CG26" s="77"/>
      <c r="CH26" s="15">
        <v>3</v>
      </c>
      <c r="CI26" s="6"/>
      <c r="CJ26" s="6"/>
      <c r="CK26" s="6"/>
      <c r="CL26" s="6"/>
      <c r="CM26" s="6"/>
      <c r="CN26" s="6"/>
      <c r="CO26" s="6"/>
      <c r="CP26" s="6"/>
      <c r="CQ26" s="6"/>
      <c r="CR26" s="16"/>
      <c r="CS26" s="6"/>
      <c r="CT26" s="6"/>
      <c r="CU26" s="6"/>
      <c r="CV26" s="6"/>
      <c r="CW26" s="6"/>
      <c r="CX26" s="6"/>
      <c r="CY26" s="6"/>
      <c r="CZ26" s="6"/>
      <c r="DA26" s="6"/>
      <c r="DB26" s="16"/>
      <c r="DC26" s="6"/>
      <c r="DD26" s="6"/>
      <c r="DE26" s="6"/>
      <c r="DF26" s="6"/>
      <c r="DG26" s="6"/>
      <c r="DH26" s="6"/>
      <c r="DI26" s="6"/>
      <c r="DJ26" s="6"/>
      <c r="DK26" s="6"/>
      <c r="DL26" s="7"/>
    </row>
    <row r="27" spans="1:126" x14ac:dyDescent="0.25">
      <c r="C27" s="6"/>
      <c r="D27" s="6"/>
      <c r="E27" s="6"/>
      <c r="F27" s="14"/>
      <c r="G27" s="6"/>
      <c r="H27" s="6"/>
      <c r="I27" s="6"/>
      <c r="J27" s="6"/>
      <c r="K27" s="6"/>
      <c r="L27" s="6"/>
      <c r="M27" s="6"/>
      <c r="N27" s="6"/>
      <c r="O27" s="6"/>
      <c r="P27" s="7"/>
      <c r="Q27" s="6"/>
      <c r="R27" s="6"/>
      <c r="S27" s="6"/>
      <c r="T27" s="6"/>
      <c r="U27" s="6"/>
      <c r="V27" s="6"/>
      <c r="W27" s="6"/>
      <c r="X27" s="6"/>
      <c r="Y27" s="6"/>
      <c r="Z27" s="7"/>
      <c r="AA27" s="6"/>
      <c r="AB27" s="6"/>
      <c r="AC27" s="6"/>
      <c r="AD27" s="6"/>
      <c r="AE27" s="6"/>
      <c r="AF27" s="6"/>
      <c r="AG27" s="6"/>
      <c r="AH27" s="6"/>
      <c r="AI27" s="6"/>
      <c r="AJ27" s="7"/>
      <c r="AK27" s="6"/>
      <c r="AL27" s="6"/>
      <c r="AM27" s="6"/>
      <c r="AN27" s="6"/>
      <c r="AO27" s="6"/>
      <c r="AP27" s="6"/>
      <c r="AQ27" s="6"/>
      <c r="AR27" s="65">
        <v>29</v>
      </c>
      <c r="AS27" s="66"/>
      <c r="AT27" s="15">
        <v>3</v>
      </c>
      <c r="AU27" s="67" t="str">
        <f>IF(AT27+AT28=0,"",IF(AT27&gt;AT28,AK19,AK35))</f>
        <v>Clausix  Adam</v>
      </c>
      <c r="AV27" s="68"/>
      <c r="AW27" s="68"/>
      <c r="AX27" s="68"/>
      <c r="AY27" s="68"/>
      <c r="AZ27" s="68"/>
      <c r="BA27" s="68"/>
      <c r="BB27" s="68"/>
      <c r="BC27" s="68"/>
      <c r="BD27" s="7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X27" s="14"/>
      <c r="BY27" s="6"/>
      <c r="BZ27" s="6"/>
      <c r="CA27" s="6"/>
      <c r="CB27" s="6"/>
      <c r="CC27" s="6"/>
      <c r="CD27" s="6"/>
      <c r="CE27" s="6"/>
      <c r="CF27" s="6"/>
      <c r="CG27" s="6"/>
      <c r="CH27" s="7"/>
      <c r="CI27" s="6"/>
      <c r="CJ27" s="6"/>
      <c r="CK27" s="6"/>
      <c r="CL27" s="6"/>
      <c r="CM27" s="6"/>
      <c r="CN27" s="6"/>
      <c r="CO27" s="6"/>
      <c r="CP27" s="65">
        <v>6</v>
      </c>
      <c r="CQ27" s="66"/>
      <c r="CR27" s="15">
        <v>1</v>
      </c>
      <c r="CS27" s="67" t="str">
        <f>IF(CR27+CR28=0,"",IF(CR27&gt;CR28,CI25,CI29))</f>
        <v>Savoy  David</v>
      </c>
      <c r="CT27" s="68"/>
      <c r="CU27" s="68"/>
      <c r="CV27" s="68"/>
      <c r="CW27" s="68"/>
      <c r="CX27" s="68"/>
      <c r="CY27" s="68"/>
      <c r="CZ27" s="68"/>
      <c r="DA27" s="82"/>
      <c r="DB27" s="16"/>
      <c r="DC27" s="6"/>
      <c r="DD27" s="6"/>
      <c r="DE27" s="6"/>
      <c r="DF27" s="6"/>
      <c r="DG27" s="6"/>
      <c r="DH27" s="6"/>
      <c r="DI27" s="6"/>
      <c r="DJ27" s="6"/>
      <c r="DK27" s="6"/>
      <c r="DL27" s="7"/>
    </row>
    <row r="28" spans="1:126" x14ac:dyDescent="0.15">
      <c r="A28" s="69"/>
      <c r="B28" s="69"/>
      <c r="C28" s="70">
        <f>IF(A28&gt;0,A28,INDEX('Classements 128 j'!$CU$10:$CU$269,MATCH(5,'Classements 128 j'!$CD$10:$CD$269,0)))</f>
        <v>9</v>
      </c>
      <c r="D28" s="70"/>
      <c r="E28" s="6"/>
      <c r="F28" s="64" t="str">
        <f>IF(C28&gt;0,VLOOKUP(C28,'[3]Infos joueurs'!$B:$BT,11,FALSE)," ")&amp;"  "&amp;+IF(C28&gt;0,VLOOKUP(C28,'[3]Infos joueurs'!$B:$BT,27,FALSE),"5 ")</f>
        <v>Jacquod  Thibaud</v>
      </c>
      <c r="G28" s="64"/>
      <c r="H28" s="64"/>
      <c r="I28" s="64"/>
      <c r="J28" s="64"/>
      <c r="K28" s="64"/>
      <c r="L28" s="64"/>
      <c r="M28" s="64"/>
      <c r="N28" s="64"/>
      <c r="O28" s="64"/>
      <c r="P28" s="7"/>
      <c r="Q28" s="6"/>
      <c r="R28" s="6"/>
      <c r="S28" s="6"/>
      <c r="T28" s="6"/>
      <c r="U28" s="6"/>
      <c r="V28" s="6"/>
      <c r="W28" s="6"/>
      <c r="X28" s="6"/>
      <c r="Y28" s="6"/>
      <c r="Z28" s="7"/>
      <c r="AA28" s="6"/>
      <c r="AB28" s="6"/>
      <c r="AC28" s="6"/>
      <c r="AD28" s="6"/>
      <c r="AE28" s="6"/>
      <c r="AF28" s="6"/>
      <c r="AG28" s="6"/>
      <c r="AH28" s="6"/>
      <c r="AI28" s="6"/>
      <c r="AJ28" s="7"/>
      <c r="AK28" s="6"/>
      <c r="AL28" s="6"/>
      <c r="AM28" s="6"/>
      <c r="AN28" s="6"/>
      <c r="AO28" s="6"/>
      <c r="AP28" s="6"/>
      <c r="AQ28" s="6"/>
      <c r="AR28" s="65"/>
      <c r="AS28" s="66"/>
      <c r="AT28" s="15">
        <v>0</v>
      </c>
      <c r="AU28" s="6"/>
      <c r="AV28" s="6"/>
      <c r="AW28" s="6"/>
      <c r="AX28" s="6"/>
      <c r="AY28" s="6"/>
      <c r="AZ28" s="6"/>
      <c r="BA28" s="6"/>
      <c r="BB28" s="6"/>
      <c r="BC28" s="6"/>
      <c r="BD28" s="1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U28" s="80">
        <v>23</v>
      </c>
      <c r="BV28" s="80"/>
      <c r="BX28" s="64" t="str">
        <f>IF(Z63+Z64=0,"",IF(Z63&lt;Z64,Q61,Q65))</f>
        <v>Savoy  David</v>
      </c>
      <c r="BY28" s="64"/>
      <c r="BZ28" s="64"/>
      <c r="CA28" s="64"/>
      <c r="CB28" s="64"/>
      <c r="CC28" s="64"/>
      <c r="CD28" s="64"/>
      <c r="CE28" s="64"/>
      <c r="CF28" s="64"/>
      <c r="CG28" s="64"/>
      <c r="CH28" s="7"/>
      <c r="CI28" s="6"/>
      <c r="CJ28" s="6"/>
      <c r="CK28" s="6"/>
      <c r="CL28" s="6"/>
      <c r="CM28" s="6"/>
      <c r="CN28" s="6"/>
      <c r="CO28" s="6"/>
      <c r="CP28" s="65"/>
      <c r="CQ28" s="66"/>
      <c r="CR28" s="15">
        <v>3</v>
      </c>
      <c r="CS28" s="6"/>
      <c r="CT28" s="6"/>
      <c r="CU28" s="6"/>
      <c r="CV28" s="6"/>
      <c r="CW28" s="6"/>
      <c r="CX28" s="6"/>
      <c r="CY28" s="6"/>
      <c r="CZ28" s="6"/>
      <c r="DA28" s="6"/>
      <c r="DB28" s="7"/>
      <c r="DC28" s="6"/>
      <c r="DD28" s="6"/>
      <c r="DE28" s="6"/>
      <c r="DF28" s="6"/>
      <c r="DG28" s="6"/>
      <c r="DH28" s="6"/>
      <c r="DI28" s="6"/>
      <c r="DJ28" s="6"/>
      <c r="DK28" s="6"/>
      <c r="DL28" s="7"/>
    </row>
    <row r="29" spans="1:126" x14ac:dyDescent="0.15">
      <c r="C29" s="6"/>
      <c r="D29" s="6"/>
      <c r="E29" s="6"/>
      <c r="F29" s="14"/>
      <c r="G29" s="6"/>
      <c r="H29" s="6"/>
      <c r="I29" s="6"/>
      <c r="J29" s="6"/>
      <c r="K29" s="6"/>
      <c r="L29" s="6"/>
      <c r="M29" s="6"/>
      <c r="N29" s="74">
        <v>5</v>
      </c>
      <c r="O29" s="75"/>
      <c r="P29" s="15">
        <v>1</v>
      </c>
      <c r="Q29" s="78" t="str">
        <f>IF(P29+P30=0,"",IF(P29&gt;P30,F28,F30))</f>
        <v>Jacquod  Thibaud</v>
      </c>
      <c r="R29" s="79"/>
      <c r="S29" s="79"/>
      <c r="T29" s="79"/>
      <c r="U29" s="79"/>
      <c r="V29" s="79"/>
      <c r="W29" s="79"/>
      <c r="X29" s="79"/>
      <c r="Y29" s="79"/>
      <c r="Z29" s="7"/>
      <c r="AA29" s="6"/>
      <c r="AB29" s="6"/>
      <c r="AC29" s="6"/>
      <c r="AD29" s="6"/>
      <c r="AE29" s="6"/>
      <c r="AF29" s="6"/>
      <c r="AG29" s="6"/>
      <c r="AH29" s="6"/>
      <c r="AI29" s="6"/>
      <c r="AJ29" s="7"/>
      <c r="AK29" s="6"/>
      <c r="AL29" s="6"/>
      <c r="AM29" s="6"/>
      <c r="AN29" s="6"/>
      <c r="AO29" s="6"/>
      <c r="AP29" s="6"/>
      <c r="AQ29" s="6"/>
      <c r="AR29" s="6"/>
      <c r="AS29" s="6"/>
      <c r="AT29" s="16"/>
      <c r="AU29" s="6"/>
      <c r="AV29" s="6"/>
      <c r="AW29" s="6"/>
      <c r="AX29" s="6"/>
      <c r="AY29" s="6"/>
      <c r="AZ29" s="6"/>
      <c r="BA29" s="6"/>
      <c r="BB29" s="6"/>
      <c r="BC29" s="6"/>
      <c r="BD29" s="1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X29" s="14"/>
      <c r="BY29" s="6"/>
      <c r="BZ29" s="6"/>
      <c r="CA29" s="6"/>
      <c r="CB29" s="6"/>
      <c r="CC29" s="6"/>
      <c r="CD29" s="6"/>
      <c r="CE29" s="6"/>
      <c r="CF29" s="74">
        <v>4</v>
      </c>
      <c r="CG29" s="75"/>
      <c r="CH29" s="15">
        <v>3</v>
      </c>
      <c r="CI29" s="78" t="str">
        <f>IF(CH29+CH30=0,"",IF(CH29&gt;CH30,BX28,BX30))</f>
        <v>Savoy  David</v>
      </c>
      <c r="CJ29" s="79"/>
      <c r="CK29" s="79"/>
      <c r="CL29" s="79"/>
      <c r="CM29" s="79"/>
      <c r="CN29" s="79"/>
      <c r="CO29" s="79"/>
      <c r="CP29" s="79"/>
      <c r="CQ29" s="81"/>
      <c r="CR29" s="16"/>
      <c r="CS29" s="6"/>
      <c r="CT29" s="6"/>
      <c r="CU29" s="6"/>
      <c r="CV29" s="6"/>
      <c r="CW29" s="6"/>
      <c r="CX29" s="6"/>
      <c r="CY29" s="6"/>
      <c r="CZ29" s="6"/>
      <c r="DA29" s="6"/>
      <c r="DB29" s="7"/>
      <c r="DC29" s="6"/>
      <c r="DD29" s="6"/>
      <c r="DE29" s="6"/>
      <c r="DF29" s="6"/>
      <c r="DG29" s="73" t="s">
        <v>150</v>
      </c>
      <c r="DH29" s="73"/>
      <c r="DI29" s="73"/>
      <c r="DJ29" s="73"/>
      <c r="DK29" s="73"/>
      <c r="DL29" s="73"/>
      <c r="DM29" s="73"/>
      <c r="DN29" s="73"/>
      <c r="DO29" s="73"/>
      <c r="DP29" s="73"/>
      <c r="DQ29" s="73"/>
      <c r="DR29" s="73"/>
      <c r="DS29" s="73"/>
      <c r="DT29" s="73"/>
      <c r="DU29" s="73"/>
      <c r="DV29" s="73"/>
    </row>
    <row r="30" spans="1:126" collapsed="1" x14ac:dyDescent="0.15">
      <c r="A30" s="69"/>
      <c r="B30" s="69"/>
      <c r="C30" s="70">
        <f>IF(A30&gt;0,A30,INDEX('Classements 128 j'!$CU$10:$CU$269,MATCH(28,'Classements 128 j'!$CD$10:$CD$269,0)))</f>
        <v>0</v>
      </c>
      <c r="D30" s="70"/>
      <c r="E30" s="6"/>
      <c r="F30" s="64" t="str">
        <f>IF(C30&gt;0,VLOOKUP(C30,'[3]Infos joueurs'!$B:$BT,11,FALSE)," ")&amp;"  "&amp;+IF(C30&gt;0,VLOOKUP(C30,'[3]Infos joueurs'!$B:$BT,27,FALSE),"28 ")</f>
        <v xml:space="preserve">   28 </v>
      </c>
      <c r="G30" s="64"/>
      <c r="H30" s="64"/>
      <c r="I30" s="64"/>
      <c r="J30" s="64"/>
      <c r="K30" s="64"/>
      <c r="L30" s="64"/>
      <c r="M30" s="64"/>
      <c r="N30" s="76"/>
      <c r="O30" s="77"/>
      <c r="P30" s="15"/>
      <c r="Q30" s="6"/>
      <c r="R30" s="6"/>
      <c r="S30" s="6"/>
      <c r="T30" s="6"/>
      <c r="U30" s="6"/>
      <c r="V30" s="6"/>
      <c r="W30" s="6"/>
      <c r="X30" s="6"/>
      <c r="Y30" s="6"/>
      <c r="Z30" s="16"/>
      <c r="AA30" s="6"/>
      <c r="AB30" s="6"/>
      <c r="AC30" s="6"/>
      <c r="AD30" s="6"/>
      <c r="AE30" s="6"/>
      <c r="AF30" s="6"/>
      <c r="AG30" s="6"/>
      <c r="AH30" s="6"/>
      <c r="AI30" s="6"/>
      <c r="AJ30" s="7"/>
      <c r="AK30" s="6"/>
      <c r="AL30" s="6"/>
      <c r="AM30" s="6"/>
      <c r="AN30" s="6"/>
      <c r="AO30" s="6"/>
      <c r="AP30" s="6"/>
      <c r="AQ30" s="6"/>
      <c r="AR30" s="6"/>
      <c r="AS30" s="6"/>
      <c r="AT30" s="16"/>
      <c r="AU30" s="6"/>
      <c r="AV30" s="6"/>
      <c r="AW30" s="6"/>
      <c r="AX30" s="6"/>
      <c r="AY30" s="6"/>
      <c r="AZ30" s="6"/>
      <c r="BA30" s="6"/>
      <c r="BB30" s="6"/>
      <c r="BC30" s="6"/>
      <c r="BD30" s="1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U30" s="80">
        <v>24</v>
      </c>
      <c r="BV30" s="80"/>
      <c r="BX30" s="64" t="str">
        <f>IF(Z71+Z72=0,"",IF(Z71&lt;Z72,Q69,Q73))</f>
        <v xml:space="preserve">   15 </v>
      </c>
      <c r="BY30" s="64"/>
      <c r="BZ30" s="64"/>
      <c r="CA30" s="64"/>
      <c r="CB30" s="64"/>
      <c r="CC30" s="64"/>
      <c r="CD30" s="64"/>
      <c r="CE30" s="64"/>
      <c r="CF30" s="76"/>
      <c r="CG30" s="77"/>
      <c r="CH30" s="15">
        <v>0</v>
      </c>
      <c r="CI30" s="6"/>
      <c r="CJ30" s="6"/>
      <c r="CK30" s="6"/>
      <c r="CL30" s="6"/>
      <c r="CM30" s="6"/>
      <c r="CN30" s="6"/>
      <c r="CO30" s="6"/>
      <c r="CP30" s="6"/>
      <c r="CQ30" s="6"/>
      <c r="CR30" s="7"/>
      <c r="CS30" s="6"/>
      <c r="CT30" s="6"/>
      <c r="CU30" s="6"/>
      <c r="CV30" s="6"/>
      <c r="CW30" s="6"/>
      <c r="CX30" s="6"/>
      <c r="CY30" s="6"/>
      <c r="CZ30" s="6"/>
      <c r="DA30" s="6"/>
      <c r="DB30" s="7"/>
      <c r="DC30" s="6"/>
      <c r="DD30" s="6"/>
      <c r="DE30" s="6"/>
      <c r="DF30" s="6"/>
      <c r="DG30" s="73"/>
      <c r="DH30" s="73"/>
      <c r="DI30" s="73"/>
      <c r="DJ30" s="73"/>
      <c r="DK30" s="73"/>
      <c r="DL30" s="73"/>
      <c r="DM30" s="73"/>
      <c r="DN30" s="73"/>
      <c r="DO30" s="73"/>
      <c r="DP30" s="73"/>
      <c r="DQ30" s="73"/>
      <c r="DR30" s="73"/>
      <c r="DS30" s="73"/>
      <c r="DT30" s="73"/>
      <c r="DU30" s="73"/>
      <c r="DV30" s="73"/>
    </row>
    <row r="31" spans="1:126" x14ac:dyDescent="0.25">
      <c r="C31" s="6"/>
      <c r="D31" s="6"/>
      <c r="E31" s="6"/>
      <c r="F31" s="14"/>
      <c r="G31" s="6"/>
      <c r="H31" s="6"/>
      <c r="I31" s="6"/>
      <c r="J31" s="6"/>
      <c r="K31" s="6"/>
      <c r="L31" s="6"/>
      <c r="M31" s="6"/>
      <c r="N31" s="6"/>
      <c r="O31" s="6"/>
      <c r="P31" s="7"/>
      <c r="Q31" s="6"/>
      <c r="R31" s="6"/>
      <c r="S31" s="6"/>
      <c r="T31" s="6"/>
      <c r="U31" s="6"/>
      <c r="V31" s="6"/>
      <c r="W31" s="6"/>
      <c r="X31" s="65">
        <v>19</v>
      </c>
      <c r="Y31" s="66"/>
      <c r="Z31" s="15">
        <v>3</v>
      </c>
      <c r="AA31" s="67" t="str">
        <f>IF(Z31+Z32=0,"",IF(Z31&gt;Z32,Q29,Q33))</f>
        <v>Jacquod  Thibaud</v>
      </c>
      <c r="AB31" s="68"/>
      <c r="AC31" s="68"/>
      <c r="AD31" s="68"/>
      <c r="AE31" s="68"/>
      <c r="AF31" s="68"/>
      <c r="AG31" s="68"/>
      <c r="AH31" s="68"/>
      <c r="AI31" s="68"/>
      <c r="AJ31" s="7"/>
      <c r="AK31" s="6"/>
      <c r="AL31" s="6"/>
      <c r="AM31" s="6"/>
      <c r="AN31" s="6"/>
      <c r="AO31" s="6"/>
      <c r="AP31" s="6"/>
      <c r="AQ31" s="6"/>
      <c r="AR31" s="6"/>
      <c r="AS31" s="6"/>
      <c r="AT31" s="16"/>
      <c r="AU31" s="6"/>
      <c r="AV31" s="6"/>
      <c r="AW31" s="6"/>
      <c r="AX31" s="6"/>
      <c r="AY31" s="6"/>
      <c r="AZ31" s="6"/>
      <c r="BA31" s="6"/>
      <c r="BB31" s="6"/>
      <c r="BC31" s="6"/>
      <c r="BD31" s="1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X31" s="14"/>
      <c r="BY31" s="6"/>
      <c r="BZ31" s="6"/>
      <c r="CA31" s="6"/>
      <c r="CB31" s="6"/>
      <c r="CC31" s="6"/>
      <c r="CD31" s="6"/>
      <c r="CE31" s="6"/>
      <c r="CF31" s="6"/>
      <c r="CG31" s="6"/>
      <c r="CH31" s="7"/>
      <c r="CI31" s="6"/>
      <c r="CJ31" s="6"/>
      <c r="CK31" s="6"/>
      <c r="CL31" s="6"/>
      <c r="CM31" s="6"/>
      <c r="CN31" s="6"/>
      <c r="CO31" s="6"/>
      <c r="CP31" s="6"/>
      <c r="CQ31" s="6"/>
      <c r="CR31" s="7"/>
      <c r="CS31" s="6"/>
      <c r="CT31" s="6"/>
      <c r="CU31" s="6"/>
      <c r="CV31" s="6"/>
      <c r="CW31" s="6"/>
      <c r="CX31" s="6"/>
      <c r="CY31" s="6"/>
      <c r="CZ31" s="6"/>
      <c r="DA31" s="6"/>
      <c r="DB31" s="7"/>
      <c r="DC31" s="6"/>
      <c r="DD31" s="6"/>
      <c r="DE31" s="6"/>
      <c r="DF31" s="6"/>
      <c r="DG31" s="73"/>
      <c r="DH31" s="73"/>
      <c r="DI31" s="73"/>
      <c r="DJ31" s="73"/>
      <c r="DK31" s="73"/>
      <c r="DL31" s="73"/>
      <c r="DM31" s="73"/>
      <c r="DN31" s="73"/>
      <c r="DO31" s="73"/>
      <c r="DP31" s="73"/>
      <c r="DQ31" s="73"/>
      <c r="DR31" s="73"/>
      <c r="DS31" s="73"/>
      <c r="DT31" s="73"/>
      <c r="DU31" s="73"/>
      <c r="DV31" s="73"/>
    </row>
    <row r="32" spans="1:126" x14ac:dyDescent="0.15">
      <c r="A32" s="69">
        <v>12</v>
      </c>
      <c r="B32" s="69"/>
      <c r="C32" s="70">
        <f>IF(A32&gt;0,A32,INDEX('Classements 128 j'!$CU$10:$CU$269,MATCH(21,'Classements 128 j'!$CD$10:$CD$269,0)))</f>
        <v>12</v>
      </c>
      <c r="D32" s="70"/>
      <c r="E32" s="6"/>
      <c r="F32" s="64" t="str">
        <f>IF(C32&gt;0,VLOOKUP(C32,'[3]Infos joueurs'!$B:$BT,11,FALSE)," ")&amp;"  "&amp;+IF(C32&gt;0,VLOOKUP(C32,'[3]Infos joueurs'!$B:$BT,27,FALSE),"21")</f>
        <v>Derivaz  Valentin</v>
      </c>
      <c r="G32" s="64"/>
      <c r="H32" s="64"/>
      <c r="I32" s="64"/>
      <c r="J32" s="64"/>
      <c r="K32" s="64"/>
      <c r="L32" s="64"/>
      <c r="M32" s="64"/>
      <c r="N32" s="64"/>
      <c r="O32" s="64"/>
      <c r="P32" s="7"/>
      <c r="Q32" s="6"/>
      <c r="R32" s="6"/>
      <c r="S32" s="6"/>
      <c r="T32" s="6"/>
      <c r="U32" s="6"/>
      <c r="V32" s="6"/>
      <c r="W32" s="6"/>
      <c r="X32" s="65"/>
      <c r="Y32" s="66"/>
      <c r="Z32" s="15">
        <v>0</v>
      </c>
      <c r="AA32" s="6"/>
      <c r="AB32" s="6"/>
      <c r="AC32" s="6"/>
      <c r="AD32" s="6"/>
      <c r="AE32" s="6"/>
      <c r="AF32" s="6"/>
      <c r="AG32" s="6"/>
      <c r="AH32" s="6"/>
      <c r="AI32" s="6"/>
      <c r="AJ32" s="16"/>
      <c r="AK32" s="6"/>
      <c r="AL32" s="6"/>
      <c r="AM32" s="6"/>
      <c r="AN32" s="6"/>
      <c r="AO32" s="6"/>
      <c r="AP32" s="6"/>
      <c r="AQ32" s="6"/>
      <c r="AR32" s="6"/>
      <c r="AS32" s="6"/>
      <c r="AT32" s="16"/>
      <c r="AU32" s="6"/>
      <c r="AV32" s="6"/>
      <c r="AW32" s="6"/>
      <c r="AX32" s="6"/>
      <c r="AY32" s="6"/>
      <c r="AZ32" s="6"/>
      <c r="BA32" s="6"/>
      <c r="BB32" s="6"/>
      <c r="BC32" s="6"/>
      <c r="BD32" s="1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DK32" s="6"/>
      <c r="DL32" s="6"/>
      <c r="DM32" s="6"/>
      <c r="DN32" s="6"/>
      <c r="DO32" s="6"/>
      <c r="DP32" s="6"/>
      <c r="DQ32" s="6"/>
      <c r="DR32" s="6"/>
      <c r="DS32" s="6"/>
    </row>
    <row r="33" spans="1:285" x14ac:dyDescent="0.15">
      <c r="C33" s="6"/>
      <c r="D33" s="6"/>
      <c r="E33" s="6"/>
      <c r="F33" s="14"/>
      <c r="G33" s="6"/>
      <c r="H33" s="6"/>
      <c r="I33" s="6"/>
      <c r="J33" s="6"/>
      <c r="K33" s="6"/>
      <c r="L33" s="6"/>
      <c r="M33" s="6"/>
      <c r="N33" s="74">
        <v>6</v>
      </c>
      <c r="O33" s="75"/>
      <c r="P33" s="15"/>
      <c r="Q33" s="78" t="str">
        <f>IF(P33+P34=0,"",IF(P33&gt;P34,F32,F34))</f>
        <v>Massy  Kenny</v>
      </c>
      <c r="R33" s="79"/>
      <c r="S33" s="79"/>
      <c r="T33" s="79"/>
      <c r="U33" s="79"/>
      <c r="V33" s="79"/>
      <c r="W33" s="79"/>
      <c r="X33" s="79"/>
      <c r="Y33" s="81"/>
      <c r="Z33" s="16"/>
      <c r="AA33" s="6"/>
      <c r="AB33" s="6"/>
      <c r="AC33" s="6"/>
      <c r="AD33" s="6"/>
      <c r="AE33" s="6"/>
      <c r="AF33" s="6"/>
      <c r="AG33" s="6"/>
      <c r="AH33" s="6"/>
      <c r="AI33" s="6"/>
      <c r="AJ33" s="16"/>
      <c r="AK33" s="6"/>
      <c r="AL33" s="6"/>
      <c r="AM33" s="6"/>
      <c r="AN33" s="6"/>
      <c r="AO33" s="6"/>
      <c r="AP33" s="6"/>
      <c r="AQ33" s="6"/>
      <c r="AR33" s="6"/>
      <c r="AS33" s="6"/>
      <c r="AT33" s="16"/>
      <c r="AU33" s="6"/>
      <c r="AV33" s="6"/>
      <c r="AW33" s="6"/>
      <c r="AX33" s="6"/>
      <c r="AY33" s="6"/>
      <c r="AZ33" s="6"/>
      <c r="BA33" s="6"/>
      <c r="BB33" s="6"/>
      <c r="BC33" s="6"/>
      <c r="BD33" s="1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DG33" s="80">
        <v>5</v>
      </c>
      <c r="DH33" s="80"/>
      <c r="DJ33" s="64" t="str">
        <f>IF(CR19+CR20=0,"",IF(CR19&lt;CR20,CI17,CI21))</f>
        <v xml:space="preserve">   17 </v>
      </c>
      <c r="DK33" s="64"/>
      <c r="DL33" s="64"/>
      <c r="DM33" s="64"/>
      <c r="DN33" s="64"/>
      <c r="DO33" s="64"/>
      <c r="DP33" s="64"/>
      <c r="DQ33" s="64"/>
      <c r="DR33" s="64"/>
      <c r="DS33" s="64"/>
      <c r="DT33" s="7"/>
      <c r="DU33" s="6"/>
      <c r="DV33" s="6"/>
      <c r="DW33" s="6"/>
      <c r="DX33" s="6"/>
      <c r="DY33" s="6"/>
      <c r="DZ33" s="6"/>
      <c r="EA33" s="6"/>
      <c r="EB33" s="6"/>
      <c r="EC33" s="6"/>
    </row>
    <row r="34" spans="1:285" x14ac:dyDescent="0.15">
      <c r="A34" s="69"/>
      <c r="B34" s="69"/>
      <c r="C34" s="70">
        <f>IF(A34&gt;0,A34,INDEX('Classements 128 j'!$CU$10:$CU$269,MATCH(12,'Classements 128 j'!$CD$10:$CD$269,0)))</f>
        <v>21</v>
      </c>
      <c r="D34" s="70"/>
      <c r="E34" s="6"/>
      <c r="F34" s="64" t="str">
        <f>IF(C34&gt;0,VLOOKUP(C34,'[3]Infos joueurs'!$B:$BT,11,FALSE)," ")&amp;"  "&amp;+IF(C34&gt;0,VLOOKUP(C34,'[3]Infos joueurs'!$B:$BT,27,FALSE),"12 ")</f>
        <v>Massy  Kenny</v>
      </c>
      <c r="G34" s="64"/>
      <c r="H34" s="64"/>
      <c r="I34" s="64"/>
      <c r="J34" s="64"/>
      <c r="K34" s="64"/>
      <c r="L34" s="64"/>
      <c r="M34" s="64"/>
      <c r="N34" s="76"/>
      <c r="O34" s="77"/>
      <c r="P34" s="15">
        <v>3</v>
      </c>
      <c r="Q34" s="6"/>
      <c r="R34" s="6"/>
      <c r="S34" s="6"/>
      <c r="T34" s="6"/>
      <c r="U34" s="6"/>
      <c r="V34" s="6"/>
      <c r="W34" s="6"/>
      <c r="X34" s="6"/>
      <c r="Y34" s="6"/>
      <c r="Z34" s="7"/>
      <c r="AA34" s="6"/>
      <c r="AB34" s="6"/>
      <c r="AC34" s="6"/>
      <c r="AD34" s="6"/>
      <c r="AE34" s="6"/>
      <c r="AF34" s="6"/>
      <c r="AG34" s="6"/>
      <c r="AH34" s="6"/>
      <c r="AI34" s="6"/>
      <c r="AJ34" s="16"/>
      <c r="AK34" s="6"/>
      <c r="AL34" s="6"/>
      <c r="AM34" s="6"/>
      <c r="AN34" s="6"/>
      <c r="AO34" s="6"/>
      <c r="AP34" s="6"/>
      <c r="AQ34" s="6"/>
      <c r="AR34" s="6"/>
      <c r="AS34" s="6"/>
      <c r="AT34" s="16"/>
      <c r="AU34" s="6"/>
      <c r="AV34" s="6"/>
      <c r="AW34" s="6"/>
      <c r="AX34" s="6"/>
      <c r="AY34" s="6"/>
      <c r="AZ34" s="6"/>
      <c r="BA34" s="6"/>
      <c r="BB34" s="6"/>
      <c r="BC34" s="6"/>
      <c r="BD34" s="1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DJ34" s="14"/>
      <c r="DK34" s="6"/>
      <c r="DL34" s="6"/>
      <c r="DM34" s="6"/>
      <c r="DN34" s="6"/>
      <c r="DO34" s="6"/>
      <c r="DP34" s="6"/>
      <c r="DQ34" s="6"/>
      <c r="DR34" s="74">
        <v>1</v>
      </c>
      <c r="DS34" s="75"/>
      <c r="DT34" s="15"/>
      <c r="DU34" s="79" t="str">
        <f>IF(DT34+DT35=0,"",IF(DT34&gt;DT35,DJ33,DJ35))</f>
        <v>Leite  Matilde</v>
      </c>
      <c r="DV34" s="79"/>
      <c r="DW34" s="79"/>
      <c r="DX34" s="79"/>
      <c r="DY34" s="79"/>
      <c r="DZ34" s="79"/>
      <c r="EA34" s="79"/>
      <c r="EB34" s="79"/>
      <c r="EC34" s="79"/>
    </row>
    <row r="35" spans="1:285" x14ac:dyDescent="0.15">
      <c r="C35" s="6"/>
      <c r="D35" s="6"/>
      <c r="E35" s="6"/>
      <c r="F35" s="14"/>
      <c r="G35" s="6"/>
      <c r="H35" s="6"/>
      <c r="I35" s="6"/>
      <c r="J35" s="6"/>
      <c r="K35" s="6"/>
      <c r="L35" s="6"/>
      <c r="M35" s="6"/>
      <c r="N35" s="6"/>
      <c r="O35" s="6"/>
      <c r="P35" s="7"/>
      <c r="Q35" s="6"/>
      <c r="R35" s="6"/>
      <c r="S35" s="6"/>
      <c r="T35" s="6"/>
      <c r="U35" s="6"/>
      <c r="V35" s="6"/>
      <c r="W35" s="6"/>
      <c r="X35" s="6"/>
      <c r="Y35" s="6"/>
      <c r="Z35" s="7"/>
      <c r="AA35" s="6"/>
      <c r="AB35" s="6"/>
      <c r="AC35" s="6"/>
      <c r="AD35" s="6"/>
      <c r="AE35" s="6"/>
      <c r="AF35" s="6"/>
      <c r="AG35" s="6"/>
      <c r="AH35" s="65">
        <v>26</v>
      </c>
      <c r="AI35" s="66"/>
      <c r="AJ35" s="15">
        <v>2</v>
      </c>
      <c r="AK35" s="67" t="str">
        <f>IF(AJ35+AJ36=0,"",IF(AJ35&gt;AJ36,AA31,AA39))</f>
        <v>Germanier  Enzo</v>
      </c>
      <c r="AL35" s="68"/>
      <c r="AM35" s="68"/>
      <c r="AN35" s="68"/>
      <c r="AO35" s="68"/>
      <c r="AP35" s="68"/>
      <c r="AQ35" s="68"/>
      <c r="AR35" s="68"/>
      <c r="AS35" s="82"/>
      <c r="AT35" s="16"/>
      <c r="AU35" s="6"/>
      <c r="AV35" s="6"/>
      <c r="AW35" s="6"/>
      <c r="AX35" s="6"/>
      <c r="AY35" s="6"/>
      <c r="AZ35" s="6"/>
      <c r="BA35" s="6"/>
      <c r="BB35" s="6"/>
      <c r="BC35" s="6"/>
      <c r="BD35" s="1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DG35" s="80">
        <v>6</v>
      </c>
      <c r="DH35" s="80"/>
      <c r="DJ35" s="64" t="str">
        <f>IF(CR27+CR28=0,"",IF(CR27&lt;CR28,CI25,CI29))</f>
        <v>Leite  Matilde</v>
      </c>
      <c r="DK35" s="64"/>
      <c r="DL35" s="64"/>
      <c r="DM35" s="64"/>
      <c r="DN35" s="64"/>
      <c r="DO35" s="64"/>
      <c r="DP35" s="64"/>
      <c r="DQ35" s="64"/>
      <c r="DR35" s="76"/>
      <c r="DS35" s="77"/>
      <c r="DT35" s="15">
        <v>3</v>
      </c>
      <c r="DU35" s="6"/>
      <c r="DV35" s="6"/>
      <c r="DW35" s="6"/>
      <c r="DX35" s="6"/>
      <c r="DY35" s="6"/>
      <c r="DZ35" s="6"/>
      <c r="EA35" s="6"/>
      <c r="EB35" s="6"/>
      <c r="EC35" s="6"/>
    </row>
    <row r="36" spans="1:285" x14ac:dyDescent="0.15">
      <c r="A36" s="69"/>
      <c r="B36" s="69"/>
      <c r="C36" s="70">
        <f>IF(A36&gt;0,A36,INDEX('Classements 128 j'!$CU$10:$CU$269,MATCH(13,'Classements 128 j'!$CD$10:$CD$269,0)))</f>
        <v>20</v>
      </c>
      <c r="D36" s="70"/>
      <c r="E36" s="6"/>
      <c r="F36" s="64" t="str">
        <f>IF(C36&gt;0,VLOOKUP(C36,'[3]Infos joueurs'!$B:$BT,11,FALSE)," ")&amp;"  "&amp;+IF(C36&gt;0,VLOOKUP(C36,'[3]Infos joueurs'!$B:$BT,27,FALSE),"13 ")</f>
        <v>Berisha  Fatlum</v>
      </c>
      <c r="G36" s="64"/>
      <c r="H36" s="64"/>
      <c r="I36" s="64"/>
      <c r="J36" s="64"/>
      <c r="K36" s="64"/>
      <c r="L36" s="64"/>
      <c r="M36" s="64"/>
      <c r="N36" s="64"/>
      <c r="O36" s="64"/>
      <c r="P36" s="7"/>
      <c r="Q36" s="6"/>
      <c r="R36" s="6"/>
      <c r="S36" s="6"/>
      <c r="T36" s="6"/>
      <c r="U36" s="6"/>
      <c r="V36" s="6"/>
      <c r="W36" s="6"/>
      <c r="X36" s="6"/>
      <c r="Y36" s="6"/>
      <c r="Z36" s="7"/>
      <c r="AA36" s="6"/>
      <c r="AB36" s="6"/>
      <c r="AC36" s="6"/>
      <c r="AD36" s="6"/>
      <c r="AE36" s="6"/>
      <c r="AF36" s="6"/>
      <c r="AG36" s="6"/>
      <c r="AH36" s="65"/>
      <c r="AI36" s="66"/>
      <c r="AJ36" s="15">
        <v>3</v>
      </c>
      <c r="AK36" s="6"/>
      <c r="AL36" s="6"/>
      <c r="AM36" s="6"/>
      <c r="AN36" s="6"/>
      <c r="AO36" s="6"/>
      <c r="AP36" s="6"/>
      <c r="AQ36" s="6"/>
      <c r="AR36" s="6"/>
      <c r="AS36" s="6"/>
      <c r="AT36" s="7"/>
      <c r="AU36" s="6"/>
      <c r="AV36" s="6"/>
      <c r="AW36" s="6"/>
      <c r="AX36" s="6"/>
      <c r="AY36" s="6"/>
      <c r="AZ36" s="6"/>
      <c r="BA36" s="6"/>
      <c r="BB36" s="6"/>
      <c r="BC36" s="6"/>
      <c r="BD36" s="1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</row>
    <row r="37" spans="1:285" x14ac:dyDescent="0.15">
      <c r="C37" s="6"/>
      <c r="D37" s="6"/>
      <c r="E37" s="6"/>
      <c r="F37" s="14"/>
      <c r="G37" s="6"/>
      <c r="H37" s="6"/>
      <c r="I37" s="6"/>
      <c r="J37" s="6"/>
      <c r="K37" s="6"/>
      <c r="L37" s="6"/>
      <c r="M37" s="6"/>
      <c r="N37" s="74">
        <v>7</v>
      </c>
      <c r="O37" s="75"/>
      <c r="P37" s="15">
        <v>3</v>
      </c>
      <c r="Q37" s="78" t="str">
        <f>IF(P37+P38=0,"",IF(P37&gt;P38,F36,F38))</f>
        <v>Berisha  Fatlum</v>
      </c>
      <c r="R37" s="79"/>
      <c r="S37" s="79"/>
      <c r="T37" s="79"/>
      <c r="U37" s="79"/>
      <c r="V37" s="79"/>
      <c r="W37" s="79"/>
      <c r="X37" s="79"/>
      <c r="Y37" s="79"/>
      <c r="Z37" s="7"/>
      <c r="AA37" s="6"/>
      <c r="AB37" s="6"/>
      <c r="AC37" s="6"/>
      <c r="AD37" s="6"/>
      <c r="AE37" s="6"/>
      <c r="AF37" s="6"/>
      <c r="AG37" s="6"/>
      <c r="AH37" s="6"/>
      <c r="AI37" s="6"/>
      <c r="AJ37" s="16"/>
      <c r="AK37" s="6"/>
      <c r="AL37" s="6"/>
      <c r="AM37" s="6"/>
      <c r="AN37" s="6"/>
      <c r="AO37" s="6"/>
      <c r="AP37" s="6"/>
      <c r="AQ37" s="6"/>
      <c r="AR37" s="6"/>
      <c r="AS37" s="6"/>
      <c r="AT37" s="7"/>
      <c r="AU37" s="6"/>
      <c r="AV37" s="6"/>
      <c r="AW37" s="6"/>
      <c r="AX37" s="6"/>
      <c r="AY37" s="6"/>
      <c r="AZ37" s="6"/>
      <c r="BA37" s="6"/>
      <c r="BB37" s="6"/>
      <c r="BC37" s="6"/>
      <c r="BD37" s="1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</row>
    <row r="38" spans="1:285" x14ac:dyDescent="0.15">
      <c r="A38" s="69"/>
      <c r="B38" s="69"/>
      <c r="C38" s="70">
        <f>IF(A38&gt;0,A38,INDEX('Classements 128 j'!$CU$10:$CU$269,MATCH(20,'Classements 128 j'!$CD$10:$CD$269,0)))</f>
        <v>0</v>
      </c>
      <c r="D38" s="70"/>
      <c r="E38" s="6"/>
      <c r="F38" s="64" t="str">
        <f>IF(C38&gt;0,VLOOKUP(C38,'[3]Infos joueurs'!$B:$BT,11,FALSE)," ")&amp;"  "&amp;+IF(C38&gt;0,VLOOKUP(C38,'[3]Infos joueurs'!$B:$BT,27,FALSE),"20 ")</f>
        <v xml:space="preserve">   20 </v>
      </c>
      <c r="G38" s="64"/>
      <c r="H38" s="64"/>
      <c r="I38" s="64"/>
      <c r="J38" s="64"/>
      <c r="K38" s="64"/>
      <c r="L38" s="64"/>
      <c r="M38" s="64"/>
      <c r="N38" s="76"/>
      <c r="O38" s="77"/>
      <c r="P38" s="15"/>
      <c r="Q38" s="6"/>
      <c r="R38" s="6"/>
      <c r="S38" s="6"/>
      <c r="T38" s="6"/>
      <c r="U38" s="6"/>
      <c r="V38" s="6"/>
      <c r="W38" s="6"/>
      <c r="X38" s="6"/>
      <c r="Y38" s="6"/>
      <c r="Z38" s="16"/>
      <c r="AA38" s="6"/>
      <c r="AB38" s="6"/>
      <c r="AC38" s="6"/>
      <c r="AD38" s="6"/>
      <c r="AE38" s="6"/>
      <c r="AF38" s="6"/>
      <c r="AG38" s="6"/>
      <c r="AH38" s="6"/>
      <c r="AI38" s="6"/>
      <c r="AJ38" s="16"/>
      <c r="AK38" s="6"/>
      <c r="AL38" s="6"/>
      <c r="AM38" s="6"/>
      <c r="AN38" s="6"/>
      <c r="AO38" s="6"/>
      <c r="AP38" s="6"/>
      <c r="AQ38" s="6"/>
      <c r="AR38" s="6"/>
      <c r="AS38" s="6"/>
      <c r="AT38" s="7"/>
      <c r="AU38" s="6"/>
      <c r="AV38" s="6"/>
      <c r="AW38" s="6"/>
      <c r="AX38" s="6"/>
      <c r="AY38" s="6"/>
      <c r="AZ38" s="6"/>
      <c r="BA38" s="6"/>
      <c r="BB38" s="6"/>
      <c r="BC38" s="6"/>
      <c r="BD38" s="1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</row>
    <row r="39" spans="1:285" x14ac:dyDescent="0.25">
      <c r="C39" s="6"/>
      <c r="D39" s="6"/>
      <c r="E39" s="6"/>
      <c r="F39" s="14"/>
      <c r="G39" s="6"/>
      <c r="H39" s="6"/>
      <c r="I39" s="6"/>
      <c r="J39" s="6"/>
      <c r="K39" s="6"/>
      <c r="L39" s="6"/>
      <c r="M39" s="6"/>
      <c r="N39" s="6"/>
      <c r="O39" s="6"/>
      <c r="P39" s="7"/>
      <c r="Q39" s="6"/>
      <c r="R39" s="6"/>
      <c r="S39" s="6"/>
      <c r="T39" s="6"/>
      <c r="U39" s="6"/>
      <c r="V39" s="6"/>
      <c r="W39" s="6"/>
      <c r="X39" s="65">
        <v>20</v>
      </c>
      <c r="Y39" s="66"/>
      <c r="Z39" s="15">
        <v>0</v>
      </c>
      <c r="AA39" s="67" t="str">
        <f>IF(Z39+Z40=0,"",IF(Z39&gt;Z40,Q37,Q41))</f>
        <v>Germanier  Enzo</v>
      </c>
      <c r="AB39" s="68"/>
      <c r="AC39" s="68"/>
      <c r="AD39" s="68"/>
      <c r="AE39" s="68"/>
      <c r="AF39" s="68"/>
      <c r="AG39" s="68"/>
      <c r="AH39" s="68"/>
      <c r="AI39" s="82"/>
      <c r="AJ39" s="16"/>
      <c r="AK39" s="6"/>
      <c r="AL39" s="6"/>
      <c r="AM39" s="6"/>
      <c r="AN39" s="6"/>
      <c r="AO39" s="6"/>
      <c r="AP39" s="6"/>
      <c r="AQ39" s="6"/>
      <c r="AR39" s="6"/>
      <c r="AS39" s="6"/>
      <c r="AT39" s="7"/>
      <c r="AU39" s="6"/>
      <c r="AV39" s="6"/>
      <c r="AW39" s="6"/>
      <c r="AX39" s="6"/>
      <c r="AY39" s="6"/>
      <c r="AZ39" s="6"/>
      <c r="BA39" s="6"/>
      <c r="BB39" s="6"/>
      <c r="BC39" s="6"/>
      <c r="BD39" s="1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</row>
    <row r="40" spans="1:285" x14ac:dyDescent="0.15">
      <c r="A40" s="69"/>
      <c r="B40" s="69"/>
      <c r="C40" s="70">
        <f>IF(A40&gt;0,A40,INDEX('Classements 128 j'!$CU$10:$CU$269,MATCH(29,'Classements 128 j'!$CD$10:$CD$269,0)))</f>
        <v>0</v>
      </c>
      <c r="D40" s="70"/>
      <c r="E40" s="6"/>
      <c r="F40" s="64" t="str">
        <f>IF(C40&gt;0,VLOOKUP(C40,'[3]Infos joueurs'!$B:$BT,11,FALSE)," ")&amp;"  "&amp;+IF(C40&gt;0,VLOOKUP(C40,'[3]Infos joueurs'!$B:$BT,27,FALSE),"29")</f>
        <v xml:space="preserve">   29</v>
      </c>
      <c r="G40" s="64"/>
      <c r="H40" s="64"/>
      <c r="I40" s="64"/>
      <c r="J40" s="64"/>
      <c r="K40" s="64"/>
      <c r="L40" s="64"/>
      <c r="M40" s="64"/>
      <c r="N40" s="64"/>
      <c r="O40" s="64"/>
      <c r="P40" s="7"/>
      <c r="Q40" s="6"/>
      <c r="R40" s="6"/>
      <c r="S40" s="6"/>
      <c r="T40" s="6"/>
      <c r="U40" s="6"/>
      <c r="V40" s="6"/>
      <c r="W40" s="6"/>
      <c r="X40" s="65"/>
      <c r="Y40" s="66"/>
      <c r="Z40" s="15">
        <v>3</v>
      </c>
      <c r="AA40" s="6"/>
      <c r="AB40" s="6"/>
      <c r="AC40" s="6"/>
      <c r="AD40" s="6"/>
      <c r="AE40" s="6"/>
      <c r="AF40" s="6"/>
      <c r="AG40" s="6"/>
      <c r="AH40" s="6"/>
      <c r="AI40" s="6"/>
      <c r="AJ40" s="7"/>
      <c r="AK40" s="6"/>
      <c r="AL40" s="6"/>
      <c r="AM40" s="6"/>
      <c r="AN40" s="6"/>
      <c r="AO40" s="6"/>
      <c r="AP40" s="6"/>
      <c r="AQ40" s="6"/>
      <c r="AR40" s="6"/>
      <c r="AS40" s="6"/>
      <c r="AT40" s="7"/>
      <c r="AU40" s="6"/>
      <c r="AV40" s="6"/>
      <c r="AW40" s="6"/>
      <c r="AX40" s="6"/>
      <c r="AY40" s="6"/>
      <c r="AZ40" s="6"/>
      <c r="BA40" s="6"/>
      <c r="BB40" s="6"/>
      <c r="BC40" s="6"/>
      <c r="BD40" s="1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</row>
    <row r="41" spans="1:285" x14ac:dyDescent="0.15">
      <c r="C41" s="6"/>
      <c r="D41" s="6"/>
      <c r="E41" s="6"/>
      <c r="F41" s="14"/>
      <c r="G41" s="6"/>
      <c r="H41" s="6"/>
      <c r="I41" s="6"/>
      <c r="J41" s="6"/>
      <c r="K41" s="6"/>
      <c r="L41" s="6"/>
      <c r="M41" s="6"/>
      <c r="N41" s="74">
        <v>8</v>
      </c>
      <c r="O41" s="75"/>
      <c r="P41" s="15"/>
      <c r="Q41" s="78" t="str">
        <f>IF(P41+P42=0,"",IF(P41&gt;P42,F40,F42))</f>
        <v>Germanier  Enzo</v>
      </c>
      <c r="R41" s="79"/>
      <c r="S41" s="79"/>
      <c r="T41" s="79"/>
      <c r="U41" s="79"/>
      <c r="V41" s="79"/>
      <c r="W41" s="79"/>
      <c r="X41" s="79"/>
      <c r="Y41" s="81"/>
      <c r="Z41" s="16"/>
      <c r="AA41" s="6"/>
      <c r="AB41" s="6"/>
      <c r="AC41" s="6"/>
      <c r="AD41" s="6"/>
      <c r="AE41" s="6"/>
      <c r="AF41" s="6"/>
      <c r="AG41" s="6"/>
      <c r="AH41" s="6"/>
      <c r="AI41" s="6"/>
      <c r="AJ41" s="7"/>
      <c r="AK41" s="6"/>
      <c r="AL41" s="6"/>
      <c r="AM41" s="6"/>
      <c r="AN41" s="6"/>
      <c r="AO41" s="6"/>
      <c r="AP41" s="6"/>
      <c r="AQ41" s="6"/>
      <c r="AR41" s="6"/>
      <c r="AS41" s="6"/>
      <c r="AT41" s="7"/>
      <c r="AU41" s="6"/>
      <c r="AV41" s="6"/>
      <c r="AW41" s="6"/>
      <c r="AX41" s="6"/>
      <c r="AY41" s="6"/>
      <c r="AZ41" s="6"/>
      <c r="BA41" s="6"/>
      <c r="BB41" s="6"/>
      <c r="BC41" s="6"/>
      <c r="BD41" s="1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</row>
    <row r="42" spans="1:285" x14ac:dyDescent="0.15">
      <c r="A42" s="69"/>
      <c r="B42" s="69"/>
      <c r="C42" s="70">
        <f>IF(A42&gt;0,A42,INDEX('Classements 128 j'!$CU$10:$CU$269,MATCH(4,'Classements 128 j'!$CD$10:$CD$269,0)))</f>
        <v>8</v>
      </c>
      <c r="D42" s="70"/>
      <c r="E42" s="6"/>
      <c r="F42" s="64" t="str">
        <f>IF(C42&gt;0,VLOOKUP(C42,'[3]Infos joueurs'!$B:$BT,11,FALSE)," ")&amp;"  "&amp;+IF(C42&gt;0,VLOOKUP(C42,'[3]Infos joueurs'!$B:$BT,27,FALSE),"4 ")</f>
        <v>Germanier  Enzo</v>
      </c>
      <c r="G42" s="64"/>
      <c r="H42" s="64"/>
      <c r="I42" s="64"/>
      <c r="J42" s="64"/>
      <c r="K42" s="64"/>
      <c r="L42" s="64"/>
      <c r="M42" s="64"/>
      <c r="N42" s="76"/>
      <c r="O42" s="77"/>
      <c r="P42" s="15">
        <v>1</v>
      </c>
      <c r="Q42" s="6"/>
      <c r="R42" s="6"/>
      <c r="S42" s="6"/>
      <c r="T42" s="6"/>
      <c r="U42" s="6"/>
      <c r="V42" s="6"/>
      <c r="W42" s="6"/>
      <c r="X42" s="6"/>
      <c r="Y42" s="6"/>
      <c r="Z42" s="7"/>
      <c r="AA42" s="6"/>
      <c r="AB42" s="6"/>
      <c r="AC42" s="6"/>
      <c r="AD42" s="6"/>
      <c r="AE42" s="6"/>
      <c r="AF42" s="6"/>
      <c r="AG42" s="6"/>
      <c r="AH42" s="6"/>
      <c r="AI42" s="6"/>
      <c r="AJ42" s="7"/>
      <c r="AK42" s="6"/>
      <c r="AL42" s="6"/>
      <c r="AM42" s="6"/>
      <c r="AN42" s="6"/>
      <c r="AO42" s="6"/>
      <c r="AP42" s="6"/>
      <c r="AQ42" s="6"/>
      <c r="AR42" s="6"/>
      <c r="AS42" s="6"/>
      <c r="AT42" s="7"/>
      <c r="AU42" s="6"/>
      <c r="AV42" s="6"/>
      <c r="AW42" s="6"/>
      <c r="AX42" s="6"/>
      <c r="AY42" s="6"/>
      <c r="AZ42" s="6"/>
      <c r="BA42" s="6"/>
      <c r="BB42" s="6"/>
      <c r="BC42" s="6"/>
      <c r="BD42" s="1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U42" s="73" t="s">
        <v>151</v>
      </c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DJ42" s="73" t="s">
        <v>152</v>
      </c>
      <c r="DK42" s="73"/>
      <c r="DL42" s="73"/>
      <c r="DM42" s="73"/>
      <c r="DN42" s="73"/>
      <c r="DO42" s="73"/>
      <c r="DP42" s="73"/>
      <c r="DQ42" s="73"/>
      <c r="DR42" s="73"/>
      <c r="DS42" s="73"/>
      <c r="DT42" s="73"/>
      <c r="DU42" s="73"/>
      <c r="DV42" s="73"/>
      <c r="DW42" s="73"/>
      <c r="DX42" s="73"/>
      <c r="DY42" s="73"/>
    </row>
    <row r="43" spans="1:285" x14ac:dyDescent="0.25">
      <c r="C43" s="6"/>
      <c r="D43" s="6"/>
      <c r="E43" s="6"/>
      <c r="F43" s="14"/>
      <c r="G43" s="6"/>
      <c r="H43" s="6"/>
      <c r="I43" s="6"/>
      <c r="J43" s="6"/>
      <c r="K43" s="6"/>
      <c r="L43" s="6"/>
      <c r="M43" s="6"/>
      <c r="N43" s="6"/>
      <c r="O43" s="6"/>
      <c r="P43" s="7"/>
      <c r="Q43" s="6"/>
      <c r="R43" s="6"/>
      <c r="S43" s="6"/>
      <c r="T43" s="6"/>
      <c r="U43" s="6"/>
      <c r="V43" s="6"/>
      <c r="W43" s="6"/>
      <c r="X43" s="6"/>
      <c r="Y43" s="6"/>
      <c r="Z43" s="7"/>
      <c r="AA43" s="6"/>
      <c r="AB43" s="6"/>
      <c r="AC43" s="6"/>
      <c r="AD43" s="6"/>
      <c r="AE43" s="6"/>
      <c r="AF43" s="6"/>
      <c r="AG43" s="6"/>
      <c r="AH43" s="6"/>
      <c r="AI43" s="6"/>
      <c r="AJ43" s="7"/>
      <c r="AK43" s="6"/>
      <c r="AL43" s="6"/>
      <c r="AM43" s="6"/>
      <c r="AN43" s="6"/>
      <c r="AO43" s="6"/>
      <c r="AP43" s="6"/>
      <c r="AQ43" s="6"/>
      <c r="AR43" s="6"/>
      <c r="AS43" s="6"/>
      <c r="AT43" s="7"/>
      <c r="AU43" s="6"/>
      <c r="AV43" s="6"/>
      <c r="AW43" s="6"/>
      <c r="AX43" s="6"/>
      <c r="AY43" s="6"/>
      <c r="AZ43" s="6"/>
      <c r="BA43" s="6"/>
      <c r="BB43" s="6"/>
      <c r="BC43" s="6"/>
      <c r="BD43" s="1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U43" s="73"/>
      <c r="BV43" s="73"/>
      <c r="BW43" s="73"/>
      <c r="BX43" s="73"/>
      <c r="BY43" s="73"/>
      <c r="BZ43" s="73"/>
      <c r="CA43" s="73"/>
      <c r="CB43" s="73"/>
      <c r="CC43" s="73"/>
      <c r="CD43" s="73"/>
      <c r="CE43" s="73"/>
      <c r="CF43" s="73"/>
      <c r="CG43" s="73"/>
      <c r="CH43" s="73"/>
      <c r="CI43" s="73"/>
      <c r="CJ43" s="73"/>
      <c r="DJ43" s="73"/>
      <c r="DK43" s="73"/>
      <c r="DL43" s="73"/>
      <c r="DM43" s="73"/>
      <c r="DN43" s="73"/>
      <c r="DO43" s="73"/>
      <c r="DP43" s="73"/>
      <c r="DQ43" s="73"/>
      <c r="DR43" s="73"/>
      <c r="DS43" s="73"/>
      <c r="DT43" s="73"/>
      <c r="DU43" s="73"/>
      <c r="DV43" s="73"/>
      <c r="DW43" s="73"/>
      <c r="DX43" s="73"/>
      <c r="DY43" s="73"/>
    </row>
    <row r="44" spans="1:285" x14ac:dyDescent="0.15">
      <c r="A44" s="69"/>
      <c r="B44" s="69"/>
      <c r="C44" s="70">
        <f>IF(A44&gt;0,A44,INDEX('Classements 128 j'!$CU$10:$CU$269,MATCH(3,'Classements 128 j'!$CD$10:$CD$269,0)))</f>
        <v>6</v>
      </c>
      <c r="D44" s="70"/>
      <c r="E44" s="6"/>
      <c r="F44" s="64" t="str">
        <f>IF(C44&gt;0,VLOOKUP(C44,'[3]Infos joueurs'!$B:$BT,11,FALSE)," ")&amp;"  "&amp;+IF(C44&gt;0,VLOOKUP(C44,'[3]Infos joueurs'!$B:$BT,27,FALSE),"3 ")</f>
        <v>Emboye  Tomas</v>
      </c>
      <c r="G44" s="64"/>
      <c r="H44" s="64"/>
      <c r="I44" s="64"/>
      <c r="J44" s="64"/>
      <c r="K44" s="64"/>
      <c r="L44" s="64"/>
      <c r="M44" s="64"/>
      <c r="N44" s="64"/>
      <c r="O44" s="64"/>
      <c r="P44" s="7"/>
      <c r="Q44" s="6"/>
      <c r="R44" s="6"/>
      <c r="S44" s="6"/>
      <c r="T44" s="6"/>
      <c r="U44" s="6"/>
      <c r="V44" s="6"/>
      <c r="W44" s="6"/>
      <c r="X44" s="6"/>
      <c r="Y44" s="6"/>
      <c r="Z44" s="7"/>
      <c r="AA44" s="6"/>
      <c r="AB44" s="6"/>
      <c r="AC44" s="6"/>
      <c r="AD44" s="6"/>
      <c r="AE44" s="6"/>
      <c r="AF44" s="6"/>
      <c r="AG44" s="6"/>
      <c r="AH44" s="6"/>
      <c r="AI44" s="6"/>
      <c r="AJ44" s="7"/>
      <c r="AK44" s="6"/>
      <c r="AL44" s="6"/>
      <c r="AM44" s="6"/>
      <c r="AN44" s="6"/>
      <c r="AO44" s="6"/>
      <c r="AP44" s="6"/>
      <c r="AQ44" s="6"/>
      <c r="AR44" s="6"/>
      <c r="AS44" s="6"/>
      <c r="AT44" s="7"/>
      <c r="AU44" s="6"/>
      <c r="AV44" s="6"/>
      <c r="AW44" s="6"/>
      <c r="AX44" s="6"/>
      <c r="AY44" s="6"/>
      <c r="AZ44" s="6"/>
      <c r="BA44" s="6"/>
      <c r="BB44" s="65">
        <v>31</v>
      </c>
      <c r="BC44" s="66"/>
      <c r="BD44" s="15">
        <v>3</v>
      </c>
      <c r="BE44" s="67" t="str">
        <f>IF(BD44+BD45=0,"",IF(BD44&gt;BD45,AU27,AU59))</f>
        <v>Clausix  Adam</v>
      </c>
      <c r="BF44" s="68"/>
      <c r="BG44" s="68"/>
      <c r="BH44" s="68"/>
      <c r="BI44" s="68"/>
      <c r="BJ44" s="68"/>
      <c r="BK44" s="68"/>
      <c r="BL44" s="68"/>
      <c r="BM44" s="68"/>
      <c r="BN44" s="6"/>
      <c r="BO44" s="6"/>
      <c r="BP44" s="6"/>
      <c r="BQ44" s="6"/>
      <c r="BR44" s="6"/>
      <c r="BU44" s="73"/>
      <c r="BV44" s="73"/>
      <c r="BW44" s="73"/>
      <c r="BX44" s="73"/>
      <c r="BY44" s="73"/>
      <c r="BZ44" s="73"/>
      <c r="CA44" s="73"/>
      <c r="CB44" s="73"/>
      <c r="CC44" s="73"/>
      <c r="CD44" s="73"/>
      <c r="CE44" s="73"/>
      <c r="CF44" s="73"/>
      <c r="CG44" s="73"/>
      <c r="CH44" s="73"/>
      <c r="CI44" s="73"/>
      <c r="CJ44" s="73"/>
      <c r="DJ44" s="73"/>
      <c r="DK44" s="73"/>
      <c r="DL44" s="73"/>
      <c r="DM44" s="73"/>
      <c r="DN44" s="73"/>
      <c r="DO44" s="73"/>
      <c r="DP44" s="73"/>
      <c r="DQ44" s="73"/>
      <c r="DR44" s="73"/>
      <c r="DS44" s="73"/>
      <c r="DT44" s="73"/>
      <c r="DU44" s="73"/>
      <c r="DV44" s="73"/>
      <c r="DW44" s="73"/>
      <c r="DX44" s="73"/>
      <c r="DY44" s="73"/>
    </row>
    <row r="45" spans="1:285" x14ac:dyDescent="0.15">
      <c r="C45" s="6"/>
      <c r="D45" s="6"/>
      <c r="E45" s="6"/>
      <c r="F45" s="14"/>
      <c r="G45" s="6"/>
      <c r="H45" s="6"/>
      <c r="I45" s="6"/>
      <c r="J45" s="6"/>
      <c r="K45" s="6"/>
      <c r="L45" s="6"/>
      <c r="M45" s="6"/>
      <c r="N45" s="74">
        <v>9</v>
      </c>
      <c r="O45" s="75"/>
      <c r="P45" s="15">
        <v>1</v>
      </c>
      <c r="Q45" s="78" t="str">
        <f>IF(P45+P46=0,"",IF(P45&gt;P46,F44,F46))</f>
        <v>Emboye  Tomas</v>
      </c>
      <c r="R45" s="79"/>
      <c r="S45" s="79"/>
      <c r="T45" s="79"/>
      <c r="U45" s="79"/>
      <c r="V45" s="79"/>
      <c r="W45" s="79"/>
      <c r="X45" s="79"/>
      <c r="Y45" s="79"/>
      <c r="Z45" s="7"/>
      <c r="AA45" s="6"/>
      <c r="AB45" s="6"/>
      <c r="AC45" s="6"/>
      <c r="AD45" s="6"/>
      <c r="AE45" s="6"/>
      <c r="AF45" s="6"/>
      <c r="AG45" s="6"/>
      <c r="AH45" s="6"/>
      <c r="AI45" s="6"/>
      <c r="AJ45" s="7"/>
      <c r="AK45" s="6"/>
      <c r="AL45" s="6"/>
      <c r="AM45" s="6"/>
      <c r="AN45" s="6"/>
      <c r="AO45" s="6"/>
      <c r="AP45" s="6"/>
      <c r="AQ45" s="6"/>
      <c r="AR45" s="6"/>
      <c r="AS45" s="6"/>
      <c r="AT45" s="7"/>
      <c r="AU45" s="6"/>
      <c r="AV45" s="6"/>
      <c r="AW45" s="6"/>
      <c r="AX45" s="6"/>
      <c r="AY45" s="6"/>
      <c r="AZ45" s="6"/>
      <c r="BA45" s="6"/>
      <c r="BB45" s="65"/>
      <c r="BC45" s="66"/>
      <c r="BD45" s="15">
        <v>0</v>
      </c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DN45" s="6"/>
      <c r="DO45" s="6"/>
      <c r="DP45" s="6"/>
      <c r="DQ45" s="6"/>
      <c r="DR45" s="6"/>
      <c r="DS45" s="6"/>
      <c r="DT45" s="6"/>
    </row>
    <row r="46" spans="1:285" x14ac:dyDescent="0.15">
      <c r="A46" s="69"/>
      <c r="B46" s="69"/>
      <c r="C46" s="70">
        <f>IF(A46&gt;0,A46,INDEX('Classements 128 j'!$CU$10:$CU$269,MATCH(30,'Classements 128 j'!$CD$10:$CD$269,0)))</f>
        <v>0</v>
      </c>
      <c r="D46" s="70"/>
      <c r="E46" s="6"/>
      <c r="F46" s="64" t="str">
        <f>IF(C46&gt;0,VLOOKUP(C46,'[3]Infos joueurs'!$B:$BT,11,FALSE)," ")&amp;"  "&amp;+IF(C46&gt;0,VLOOKUP(C46,'[3]Infos joueurs'!$B:$BT,27,FALSE),"30")</f>
        <v xml:space="preserve">   30</v>
      </c>
      <c r="G46" s="64"/>
      <c r="H46" s="64"/>
      <c r="I46" s="64"/>
      <c r="J46" s="64"/>
      <c r="K46" s="64"/>
      <c r="L46" s="64"/>
      <c r="M46" s="64"/>
      <c r="N46" s="76"/>
      <c r="O46" s="77"/>
      <c r="P46" s="15"/>
      <c r="Q46" s="6"/>
      <c r="R46" s="6"/>
      <c r="S46" s="6"/>
      <c r="T46" s="6"/>
      <c r="U46" s="6"/>
      <c r="V46" s="6"/>
      <c r="W46" s="6"/>
      <c r="X46" s="6"/>
      <c r="Y46" s="6"/>
      <c r="Z46" s="16"/>
      <c r="AA46" s="6"/>
      <c r="AB46" s="6"/>
      <c r="AC46" s="6"/>
      <c r="AD46" s="6"/>
      <c r="AE46" s="6"/>
      <c r="AF46" s="6"/>
      <c r="AG46" s="6"/>
      <c r="AH46" s="6"/>
      <c r="AI46" s="6"/>
      <c r="AJ46" s="7"/>
      <c r="AK46" s="6"/>
      <c r="AL46" s="6"/>
      <c r="AM46" s="6"/>
      <c r="AN46" s="6"/>
      <c r="AO46" s="6"/>
      <c r="AP46" s="6"/>
      <c r="AQ46" s="6"/>
      <c r="AR46" s="6"/>
      <c r="AS46" s="6"/>
      <c r="AT46" s="7"/>
      <c r="AU46" s="6"/>
      <c r="AV46" s="6"/>
      <c r="AW46" s="6"/>
      <c r="AX46" s="6"/>
      <c r="AY46" s="6"/>
      <c r="AZ46" s="6"/>
      <c r="BA46" s="6"/>
      <c r="BB46" s="6"/>
      <c r="BC46" s="6"/>
      <c r="BD46" s="1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U46" s="80">
        <v>1</v>
      </c>
      <c r="BV46" s="80"/>
      <c r="BX46" s="64" t="str">
        <f>IF(CH17+CH18=0,"",IF(CH17&lt;CH18,BX16,BX18))</f>
        <v>Spano  Emilien</v>
      </c>
      <c r="BY46" s="64"/>
      <c r="BZ46" s="64"/>
      <c r="CA46" s="64"/>
      <c r="CB46" s="64"/>
      <c r="CC46" s="64"/>
      <c r="CD46" s="64"/>
      <c r="CE46" s="64"/>
      <c r="CF46" s="64"/>
      <c r="CG46" s="64"/>
      <c r="CH46" s="7"/>
      <c r="CI46" s="6"/>
      <c r="CJ46" s="6"/>
      <c r="CK46" s="6"/>
      <c r="CL46" s="6"/>
      <c r="CM46" s="6"/>
      <c r="CN46" s="6"/>
      <c r="CO46" s="6"/>
      <c r="CP46" s="6"/>
      <c r="CQ46" s="6"/>
      <c r="CR46" s="7"/>
      <c r="CS46" s="6"/>
      <c r="CT46" s="6"/>
      <c r="CU46" s="6"/>
      <c r="CV46" s="6"/>
      <c r="CW46" s="6"/>
      <c r="CX46" s="6"/>
      <c r="CY46" s="6"/>
      <c r="CZ46" s="6"/>
      <c r="DA46" s="6"/>
      <c r="DB46" s="7"/>
      <c r="DJ46" s="80">
        <v>1</v>
      </c>
      <c r="DK46" s="80"/>
      <c r="DM46" s="64" t="str">
        <f>IF(CH47+CH48=0,"",IF(CH47&lt;CH48,BX46,BX48))</f>
        <v>Berisha  Fatlum</v>
      </c>
      <c r="DN46" s="64"/>
      <c r="DO46" s="64"/>
      <c r="DP46" s="64"/>
      <c r="DQ46" s="64"/>
      <c r="DR46" s="64"/>
      <c r="DS46" s="64"/>
      <c r="DT46" s="64"/>
      <c r="DU46" s="64"/>
      <c r="DV46" s="64"/>
      <c r="DW46" s="7"/>
      <c r="DX46" s="6"/>
      <c r="DY46" s="6"/>
      <c r="DZ46" s="6"/>
      <c r="EA46" s="6"/>
      <c r="EB46" s="6"/>
      <c r="EC46" s="6"/>
      <c r="ED46" s="6"/>
      <c r="EE46" s="6"/>
      <c r="EF46" s="6"/>
      <c r="EG46" s="7"/>
      <c r="JV46" s="6"/>
      <c r="JW46" s="6"/>
      <c r="JX46" s="6"/>
      <c r="JY46" s="6"/>
    </row>
    <row r="47" spans="1:285" x14ac:dyDescent="0.15">
      <c r="C47" s="6"/>
      <c r="D47" s="6"/>
      <c r="E47" s="6"/>
      <c r="F47" s="14"/>
      <c r="G47" s="6"/>
      <c r="H47" s="6"/>
      <c r="I47" s="6"/>
      <c r="J47" s="6"/>
      <c r="K47" s="6"/>
      <c r="L47" s="6"/>
      <c r="M47" s="6"/>
      <c r="N47" s="6"/>
      <c r="O47" s="6"/>
      <c r="P47" s="7"/>
      <c r="Q47" s="6"/>
      <c r="R47" s="6"/>
      <c r="S47" s="6"/>
      <c r="T47" s="6"/>
      <c r="U47" s="6"/>
      <c r="V47" s="6"/>
      <c r="W47" s="6"/>
      <c r="X47" s="65">
        <v>21</v>
      </c>
      <c r="Y47" s="66"/>
      <c r="Z47" s="15">
        <v>3</v>
      </c>
      <c r="AA47" s="67" t="str">
        <f>IF(Z47+Z48=0,"",IF(Z47&gt;Z48,Q45,Q49))</f>
        <v>Emboye  Tomas</v>
      </c>
      <c r="AB47" s="68"/>
      <c r="AC47" s="68"/>
      <c r="AD47" s="68"/>
      <c r="AE47" s="68"/>
      <c r="AF47" s="68"/>
      <c r="AG47" s="68"/>
      <c r="AH47" s="68"/>
      <c r="AI47" s="68"/>
      <c r="AJ47" s="7"/>
      <c r="AK47" s="6"/>
      <c r="AL47" s="6"/>
      <c r="AM47" s="6"/>
      <c r="AN47" s="6"/>
      <c r="AO47" s="6"/>
      <c r="AP47" s="6"/>
      <c r="AQ47" s="6"/>
      <c r="AR47" s="6"/>
      <c r="AS47" s="6"/>
      <c r="AT47" s="7"/>
      <c r="AU47" s="6"/>
      <c r="AV47" s="6"/>
      <c r="AW47" s="6"/>
      <c r="AX47" s="6"/>
      <c r="AY47" s="6"/>
      <c r="AZ47" s="6"/>
      <c r="BA47" s="6"/>
      <c r="BB47" s="6"/>
      <c r="BC47" s="6"/>
      <c r="BD47" s="1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X47" s="14"/>
      <c r="BY47" s="6"/>
      <c r="BZ47" s="6"/>
      <c r="CA47" s="6"/>
      <c r="CB47" s="6"/>
      <c r="CC47" s="6"/>
      <c r="CD47" s="6"/>
      <c r="CE47" s="6"/>
      <c r="CF47" s="74">
        <v>1</v>
      </c>
      <c r="CG47" s="75"/>
      <c r="CH47" s="15">
        <v>3</v>
      </c>
      <c r="CI47" s="79" t="str">
        <f>IF(CH47+CH48=0,"",IF(CH47&gt;CH48,BX46,BX48))</f>
        <v>Spano  Emilien</v>
      </c>
      <c r="CJ47" s="79"/>
      <c r="CK47" s="79"/>
      <c r="CL47" s="79"/>
      <c r="CM47" s="79"/>
      <c r="CN47" s="79"/>
      <c r="CO47" s="79"/>
      <c r="CP47" s="79"/>
      <c r="CQ47" s="79"/>
      <c r="CR47" s="7"/>
      <c r="CS47" s="6"/>
      <c r="CT47" s="6"/>
      <c r="CU47" s="6"/>
      <c r="CV47" s="6"/>
      <c r="CW47" s="6"/>
      <c r="CX47" s="6"/>
      <c r="CY47" s="6"/>
      <c r="CZ47" s="6"/>
      <c r="DA47" s="6"/>
      <c r="DB47" s="7"/>
      <c r="DM47" s="14"/>
      <c r="DN47" s="6"/>
      <c r="DO47" s="6"/>
      <c r="DP47" s="6"/>
      <c r="DQ47" s="6"/>
      <c r="DR47" s="6"/>
      <c r="DS47" s="6"/>
      <c r="DT47" s="6"/>
      <c r="DU47" s="74">
        <v>1</v>
      </c>
      <c r="DV47" s="75"/>
      <c r="DW47" s="15">
        <v>3</v>
      </c>
      <c r="DX47" s="79" t="str">
        <f>IF(DW47+DW48=0,"",IF(DW47&gt;DW48,DM46,DM48))</f>
        <v>Berisha  Fatlum</v>
      </c>
      <c r="DY47" s="79"/>
      <c r="DZ47" s="79"/>
      <c r="EA47" s="79"/>
      <c r="EB47" s="79"/>
      <c r="EC47" s="79"/>
      <c r="ED47" s="79"/>
      <c r="EE47" s="79"/>
      <c r="EF47" s="79"/>
      <c r="EG47" s="7"/>
      <c r="JV47" s="6"/>
      <c r="JW47" s="6"/>
      <c r="JX47" s="6"/>
      <c r="JY47" s="6"/>
    </row>
    <row r="48" spans="1:285" x14ac:dyDescent="0.15">
      <c r="A48" s="69">
        <v>24</v>
      </c>
      <c r="B48" s="69"/>
      <c r="C48" s="70">
        <f>IF(A48&gt;0,A48,INDEX('Classements 128 j'!$CU$10:$CU$269,MATCH(19,'Classements 128 j'!$CD$10:$CD$269,0)))</f>
        <v>24</v>
      </c>
      <c r="D48" s="70"/>
      <c r="E48" s="6"/>
      <c r="F48" s="64" t="str">
        <f>IF(C48&gt;0,VLOOKUP(C48,'[3]Infos joueurs'!$B:$BT,11,FALSE)," ")&amp;"  "&amp;+IF(C48&gt;0,VLOOKUP(C48,'[3]Infos joueurs'!$B:$BT,27,FALSE),"19 ")</f>
        <v>Clerc  Manon</v>
      </c>
      <c r="G48" s="64"/>
      <c r="H48" s="64"/>
      <c r="I48" s="64"/>
      <c r="J48" s="64"/>
      <c r="K48" s="64"/>
      <c r="L48" s="64"/>
      <c r="M48" s="64"/>
      <c r="N48" s="64"/>
      <c r="O48" s="64"/>
      <c r="P48" s="7"/>
      <c r="Q48" s="6"/>
      <c r="R48" s="6"/>
      <c r="S48" s="6"/>
      <c r="T48" s="6"/>
      <c r="U48" s="6"/>
      <c r="V48" s="6"/>
      <c r="W48" s="6"/>
      <c r="X48" s="65"/>
      <c r="Y48" s="66"/>
      <c r="Z48" s="15">
        <v>1</v>
      </c>
      <c r="AA48" s="6"/>
      <c r="AB48" s="6"/>
      <c r="AC48" s="6"/>
      <c r="AD48" s="6"/>
      <c r="AE48" s="6"/>
      <c r="AF48" s="6"/>
      <c r="AG48" s="6"/>
      <c r="AH48" s="6"/>
      <c r="AI48" s="6"/>
      <c r="AJ48" s="16"/>
      <c r="AK48" s="6"/>
      <c r="AL48" s="6"/>
      <c r="AM48" s="6"/>
      <c r="AN48" s="6"/>
      <c r="AO48" s="6"/>
      <c r="AP48" s="6"/>
      <c r="AQ48" s="6"/>
      <c r="AR48" s="6"/>
      <c r="AS48" s="6"/>
      <c r="AT48" s="7"/>
      <c r="AU48" s="6"/>
      <c r="AV48" s="6"/>
      <c r="AW48" s="6"/>
      <c r="AX48" s="6"/>
      <c r="AY48" s="6"/>
      <c r="AZ48" s="6"/>
      <c r="BA48" s="6"/>
      <c r="BB48" s="6"/>
      <c r="BC48" s="6"/>
      <c r="BD48" s="1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U48" s="80">
        <v>2</v>
      </c>
      <c r="BV48" s="80"/>
      <c r="BX48" s="64" t="str">
        <f>IF(CH21+CH22=0,"",IF(CH21&lt;CH22,BX20,BX22))</f>
        <v>Berisha  Fatlum</v>
      </c>
      <c r="BY48" s="64"/>
      <c r="BZ48" s="64"/>
      <c r="CA48" s="64"/>
      <c r="CB48" s="64"/>
      <c r="CC48" s="64"/>
      <c r="CD48" s="64"/>
      <c r="CE48" s="64"/>
      <c r="CF48" s="76"/>
      <c r="CG48" s="77"/>
      <c r="CH48" s="15">
        <v>2</v>
      </c>
      <c r="CI48" s="6"/>
      <c r="CJ48" s="6"/>
      <c r="CK48" s="6"/>
      <c r="CL48" s="6"/>
      <c r="CM48" s="6"/>
      <c r="CN48" s="6"/>
      <c r="CO48" s="6"/>
      <c r="CP48" s="6"/>
      <c r="CQ48" s="6"/>
      <c r="CR48" s="16"/>
      <c r="CS48" s="6"/>
      <c r="CT48" s="6"/>
      <c r="CU48" s="6"/>
      <c r="CV48" s="6"/>
      <c r="CW48" s="6"/>
      <c r="CX48" s="6"/>
      <c r="CY48" s="6"/>
      <c r="CZ48" s="6"/>
      <c r="DA48" s="6"/>
      <c r="DB48" s="7"/>
      <c r="DJ48" s="80">
        <v>2</v>
      </c>
      <c r="DK48" s="80"/>
      <c r="DM48" s="64" t="str">
        <f>IF(CH51+CH52=0,"",IF(CH51&lt;CH52,BX50,BX52))</f>
        <v xml:space="preserve">   15 </v>
      </c>
      <c r="DN48" s="64"/>
      <c r="DO48" s="64"/>
      <c r="DP48" s="64"/>
      <c r="DQ48" s="64"/>
      <c r="DR48" s="64"/>
      <c r="DS48" s="64"/>
      <c r="DT48" s="64"/>
      <c r="DU48" s="76"/>
      <c r="DV48" s="77"/>
      <c r="DW48" s="15">
        <v>0</v>
      </c>
      <c r="DX48" s="6"/>
      <c r="DY48" s="6"/>
      <c r="DZ48" s="6"/>
      <c r="EA48" s="6"/>
      <c r="EB48" s="6"/>
      <c r="EC48" s="6"/>
      <c r="ED48" s="6"/>
      <c r="EE48" s="6"/>
      <c r="EF48" s="6"/>
      <c r="EG48" s="7"/>
      <c r="JV48" s="6"/>
      <c r="JW48" s="6"/>
      <c r="JX48" s="6"/>
      <c r="JY48" s="6"/>
    </row>
    <row r="49" spans="1:285" x14ac:dyDescent="0.15">
      <c r="C49" s="6"/>
      <c r="D49" s="6"/>
      <c r="E49" s="6"/>
      <c r="F49" s="14"/>
      <c r="G49" s="6"/>
      <c r="H49" s="6"/>
      <c r="I49" s="6"/>
      <c r="J49" s="6"/>
      <c r="K49" s="6"/>
      <c r="L49" s="6"/>
      <c r="M49" s="6"/>
      <c r="N49" s="74">
        <v>10</v>
      </c>
      <c r="O49" s="75"/>
      <c r="P49" s="15">
        <v>3</v>
      </c>
      <c r="Q49" s="78" t="str">
        <f>IF(P49+P50=0,"",IF(P49&gt;P50,F48,F50))</f>
        <v>Clerc  Manon</v>
      </c>
      <c r="R49" s="79"/>
      <c r="S49" s="79"/>
      <c r="T49" s="79"/>
      <c r="U49" s="79"/>
      <c r="V49" s="79"/>
      <c r="W49" s="79"/>
      <c r="X49" s="79"/>
      <c r="Y49" s="81"/>
      <c r="Z49" s="16"/>
      <c r="AA49" s="6"/>
      <c r="AB49" s="6"/>
      <c r="AC49" s="6"/>
      <c r="AD49" s="6"/>
      <c r="AE49" s="6"/>
      <c r="AF49" s="6"/>
      <c r="AG49" s="6"/>
      <c r="AH49" s="6"/>
      <c r="AI49" s="6"/>
      <c r="AJ49" s="16"/>
      <c r="AK49" s="6"/>
      <c r="AL49" s="6"/>
      <c r="AM49" s="6"/>
      <c r="AN49" s="6"/>
      <c r="AO49" s="6"/>
      <c r="AP49" s="6"/>
      <c r="AQ49" s="6"/>
      <c r="AR49" s="6"/>
      <c r="AS49" s="6"/>
      <c r="AT49" s="7"/>
      <c r="AU49" s="6"/>
      <c r="AV49" s="6"/>
      <c r="AW49" s="6"/>
      <c r="AX49" s="6"/>
      <c r="AY49" s="6"/>
      <c r="AZ49" s="6"/>
      <c r="BA49" s="6"/>
      <c r="BB49" s="6"/>
      <c r="BC49" s="6"/>
      <c r="BD49" s="1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X49" s="14"/>
      <c r="BY49" s="6"/>
      <c r="BZ49" s="6"/>
      <c r="CA49" s="6"/>
      <c r="CB49" s="6"/>
      <c r="CC49" s="6"/>
      <c r="CD49" s="6"/>
      <c r="CE49" s="6"/>
      <c r="CF49" s="6"/>
      <c r="CG49" s="6"/>
      <c r="CH49" s="7"/>
      <c r="CI49" s="6"/>
      <c r="CJ49" s="6"/>
      <c r="CK49" s="6"/>
      <c r="CL49" s="6"/>
      <c r="CM49" s="6"/>
      <c r="CN49" s="6"/>
      <c r="CO49" s="6"/>
      <c r="CP49" s="65">
        <v>3</v>
      </c>
      <c r="CQ49" s="66"/>
      <c r="CR49" s="15">
        <v>3</v>
      </c>
      <c r="CS49" s="67" t="str">
        <f>IF(CR49+CR50=0,"",IF(CR49&gt;CR50,CI47,CI51))</f>
        <v>Spano  Emilien</v>
      </c>
      <c r="CT49" s="68"/>
      <c r="CU49" s="68"/>
      <c r="CV49" s="68"/>
      <c r="CW49" s="68"/>
      <c r="CX49" s="68"/>
      <c r="CY49" s="68"/>
      <c r="CZ49" s="68"/>
      <c r="DA49" s="68"/>
      <c r="DB49" s="7"/>
      <c r="JV49" s="6"/>
      <c r="JW49" s="6"/>
      <c r="JX49" s="6"/>
      <c r="JY49" s="6"/>
    </row>
    <row r="50" spans="1:285" x14ac:dyDescent="0.15">
      <c r="A50" s="69"/>
      <c r="B50" s="69"/>
      <c r="C50" s="70">
        <f>IF(A50&gt;0,A50,INDEX('Classements 128 j'!$CU$10:$CU$269,MATCH(14,'Classements 128 j'!$CD$10:$CD$269,0)))</f>
        <v>3</v>
      </c>
      <c r="D50" s="70"/>
      <c r="E50" s="6"/>
      <c r="F50" s="64" t="str">
        <f>IF(C50&gt;0,VLOOKUP(C50,'[3]Infos joueurs'!$B:$BT,11,FALSE)," ")&amp;"  "&amp;+IF(C50&gt;0,VLOOKUP(C50,'[3]Infos joueurs'!$B:$BT,27,FALSE),"14 ")</f>
        <v>Salamin  Elona</v>
      </c>
      <c r="G50" s="64"/>
      <c r="H50" s="64"/>
      <c r="I50" s="64"/>
      <c r="J50" s="64"/>
      <c r="K50" s="64"/>
      <c r="L50" s="64"/>
      <c r="M50" s="64"/>
      <c r="N50" s="76"/>
      <c r="O50" s="77"/>
      <c r="P50" s="15"/>
      <c r="Q50" s="6"/>
      <c r="R50" s="6"/>
      <c r="S50" s="6"/>
      <c r="T50" s="6"/>
      <c r="U50" s="6"/>
      <c r="V50" s="6"/>
      <c r="W50" s="6"/>
      <c r="X50" s="6"/>
      <c r="Y50" s="6"/>
      <c r="Z50" s="7"/>
      <c r="AA50" s="6"/>
      <c r="AB50" s="6"/>
      <c r="AC50" s="6"/>
      <c r="AD50" s="6"/>
      <c r="AE50" s="6"/>
      <c r="AF50" s="6"/>
      <c r="AG50" s="6"/>
      <c r="AH50" s="6"/>
      <c r="AI50" s="6"/>
      <c r="AJ50" s="16"/>
      <c r="AK50" s="6"/>
      <c r="AL50" s="6"/>
      <c r="AM50" s="6"/>
      <c r="AN50" s="6"/>
      <c r="AO50" s="6"/>
      <c r="AP50" s="6"/>
      <c r="AQ50" s="6"/>
      <c r="AR50" s="6"/>
      <c r="AS50" s="6"/>
      <c r="AT50" s="7"/>
      <c r="AU50" s="6"/>
      <c r="AV50" s="6"/>
      <c r="AW50" s="6"/>
      <c r="AX50" s="6"/>
      <c r="AY50" s="6"/>
      <c r="AZ50" s="6"/>
      <c r="BA50" s="6"/>
      <c r="BB50" s="6"/>
      <c r="BC50" s="6"/>
      <c r="BD50" s="1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U50" s="80">
        <v>3</v>
      </c>
      <c r="BV50" s="80"/>
      <c r="BX50" s="64" t="str">
        <f>IF(CH25+CH26=0,"",IF(CH25&lt;CH26,BX24,BX26))</f>
        <v>Clerc  Manon</v>
      </c>
      <c r="BY50" s="64"/>
      <c r="BZ50" s="64"/>
      <c r="CA50" s="64"/>
      <c r="CB50" s="64"/>
      <c r="CC50" s="64"/>
      <c r="CD50" s="64"/>
      <c r="CE50" s="64"/>
      <c r="CF50" s="64"/>
      <c r="CG50" s="64"/>
      <c r="CH50" s="7"/>
      <c r="CI50" s="6"/>
      <c r="CJ50" s="6"/>
      <c r="CK50" s="6"/>
      <c r="CL50" s="6"/>
      <c r="CM50" s="6"/>
      <c r="CN50" s="6"/>
      <c r="CO50" s="6"/>
      <c r="CP50" s="65"/>
      <c r="CQ50" s="66"/>
      <c r="CR50" s="15">
        <v>0</v>
      </c>
      <c r="CS50" s="6"/>
      <c r="CT50" s="6"/>
      <c r="CU50" s="6"/>
      <c r="CV50" s="6"/>
      <c r="CW50" s="6"/>
      <c r="CX50" s="6"/>
      <c r="CY50" s="6"/>
      <c r="CZ50" s="6"/>
      <c r="DA50" s="6"/>
      <c r="DB50" s="7"/>
      <c r="DN50" s="6"/>
      <c r="DO50" s="6"/>
      <c r="DP50" s="6"/>
      <c r="DQ50" s="6"/>
      <c r="DR50" s="6"/>
      <c r="DS50" s="6"/>
      <c r="DT50" s="6"/>
      <c r="DU50" s="6"/>
      <c r="DV50" s="6"/>
      <c r="JV50" s="6"/>
      <c r="JW50" s="6"/>
      <c r="JX50" s="6"/>
      <c r="JY50" s="6"/>
    </row>
    <row r="51" spans="1:285" x14ac:dyDescent="0.15">
      <c r="C51" s="6"/>
      <c r="D51" s="6"/>
      <c r="E51" s="6"/>
      <c r="F51" s="14"/>
      <c r="G51" s="6"/>
      <c r="H51" s="6"/>
      <c r="I51" s="6"/>
      <c r="J51" s="6"/>
      <c r="K51" s="6"/>
      <c r="L51" s="6"/>
      <c r="M51" s="6"/>
      <c r="N51" s="6"/>
      <c r="O51" s="6"/>
      <c r="P51" s="7"/>
      <c r="Q51" s="6"/>
      <c r="R51" s="6"/>
      <c r="S51" s="6"/>
      <c r="T51" s="6"/>
      <c r="U51" s="6"/>
      <c r="V51" s="6"/>
      <c r="W51" s="6"/>
      <c r="X51" s="6"/>
      <c r="Y51" s="6"/>
      <c r="Z51" s="7"/>
      <c r="AA51" s="6"/>
      <c r="AB51" s="6"/>
      <c r="AC51" s="6"/>
      <c r="AD51" s="6"/>
      <c r="AE51" s="6"/>
      <c r="AF51" s="6"/>
      <c r="AG51" s="6"/>
      <c r="AH51" s="65">
        <v>27</v>
      </c>
      <c r="AI51" s="66"/>
      <c r="AJ51" s="15">
        <v>3</v>
      </c>
      <c r="AK51" s="67" t="str">
        <f>IF(AJ51+AJ52=0,"",IF(AJ51&gt;AJ52,AA47,AA55))</f>
        <v>Emboye  Tomas</v>
      </c>
      <c r="AL51" s="68"/>
      <c r="AM51" s="68"/>
      <c r="AN51" s="68"/>
      <c r="AO51" s="68"/>
      <c r="AP51" s="68"/>
      <c r="AQ51" s="68"/>
      <c r="AR51" s="68"/>
      <c r="AS51" s="68"/>
      <c r="AT51" s="7"/>
      <c r="AU51" s="6"/>
      <c r="AV51" s="6"/>
      <c r="AW51" s="6"/>
      <c r="AX51" s="6"/>
      <c r="AY51" s="6"/>
      <c r="AZ51" s="6"/>
      <c r="BA51" s="6"/>
      <c r="BB51" s="6"/>
      <c r="BC51" s="6"/>
      <c r="BD51" s="1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X51" s="14"/>
      <c r="BY51" s="6"/>
      <c r="BZ51" s="6"/>
      <c r="CA51" s="6"/>
      <c r="CB51" s="6"/>
      <c r="CC51" s="6"/>
      <c r="CD51" s="6"/>
      <c r="CE51" s="6"/>
      <c r="CF51" s="74">
        <v>2</v>
      </c>
      <c r="CG51" s="75"/>
      <c r="CH51" s="15">
        <v>3</v>
      </c>
      <c r="CI51" s="78" t="str">
        <f>IF(CH51+CH52=0,"",IF(CH51&gt;CH52,BX50,BX52))</f>
        <v>Clerc  Manon</v>
      </c>
      <c r="CJ51" s="79"/>
      <c r="CK51" s="79"/>
      <c r="CL51" s="79"/>
      <c r="CM51" s="79"/>
      <c r="CN51" s="79"/>
      <c r="CO51" s="79"/>
      <c r="CP51" s="79"/>
      <c r="CQ51" s="81"/>
      <c r="CR51" s="16"/>
      <c r="CS51" s="6"/>
      <c r="CT51" s="6"/>
      <c r="CU51" s="6"/>
      <c r="CV51" s="6"/>
      <c r="CW51" s="6"/>
      <c r="CX51" s="6"/>
      <c r="CY51" s="6"/>
      <c r="CZ51" s="6"/>
      <c r="DA51" s="6"/>
      <c r="DB51" s="7"/>
      <c r="DN51" s="6"/>
      <c r="DO51" s="6"/>
      <c r="DP51" s="6"/>
      <c r="DQ51" s="6"/>
      <c r="DR51" s="6"/>
      <c r="DS51" s="6"/>
      <c r="DT51" s="6"/>
      <c r="DU51" s="6"/>
      <c r="DV51" s="6"/>
      <c r="JV51" s="6"/>
      <c r="JW51" s="6"/>
      <c r="JX51" s="6"/>
      <c r="JY51" s="6"/>
    </row>
    <row r="52" spans="1:285" x14ac:dyDescent="0.15">
      <c r="A52" s="69"/>
      <c r="B52" s="69"/>
      <c r="C52" s="70">
        <f>IF(A52&gt;0,A52,INDEX('Classements 128 j'!$CU$10:$CU$269,MATCH(11,'Classements 128 j'!$CD$10:$CD$269,0)))</f>
        <v>2</v>
      </c>
      <c r="D52" s="70"/>
      <c r="E52" s="6"/>
      <c r="F52" s="64" t="str">
        <f>IF(C52&gt;0,VLOOKUP(C52,'[3]Infos joueurs'!$B:$BT,11,FALSE)," ")&amp;"  "&amp;+IF(C52&gt;0,VLOOKUP(C52,'[3]Infos joueurs'!$B:$BT,27,FALSE),"11 ")</f>
        <v>Leite  Matilde</v>
      </c>
      <c r="G52" s="64"/>
      <c r="H52" s="64"/>
      <c r="I52" s="64"/>
      <c r="J52" s="64"/>
      <c r="K52" s="64"/>
      <c r="L52" s="64"/>
      <c r="M52" s="64"/>
      <c r="N52" s="64"/>
      <c r="O52" s="64"/>
      <c r="P52" s="7"/>
      <c r="Q52" s="6"/>
      <c r="R52" s="6"/>
      <c r="S52" s="6"/>
      <c r="T52" s="6"/>
      <c r="U52" s="6"/>
      <c r="V52" s="6"/>
      <c r="W52" s="6"/>
      <c r="X52" s="6"/>
      <c r="Y52" s="6"/>
      <c r="Z52" s="7"/>
      <c r="AA52" s="6"/>
      <c r="AB52" s="6"/>
      <c r="AC52" s="6"/>
      <c r="AD52" s="6"/>
      <c r="AE52" s="6"/>
      <c r="AF52" s="6"/>
      <c r="AG52" s="6"/>
      <c r="AH52" s="65"/>
      <c r="AI52" s="66"/>
      <c r="AJ52" s="15">
        <v>2</v>
      </c>
      <c r="AK52" s="6"/>
      <c r="AL52" s="6"/>
      <c r="AM52" s="6"/>
      <c r="AN52" s="6"/>
      <c r="AO52" s="6"/>
      <c r="AP52" s="6"/>
      <c r="AQ52" s="6"/>
      <c r="AR52" s="6"/>
      <c r="AS52" s="6"/>
      <c r="AT52" s="16"/>
      <c r="AU52" s="6"/>
      <c r="AV52" s="6"/>
      <c r="AW52" s="6"/>
      <c r="AX52" s="6"/>
      <c r="AY52" s="6"/>
      <c r="AZ52" s="6"/>
      <c r="BA52" s="6"/>
      <c r="BB52" s="6"/>
      <c r="BC52" s="6"/>
      <c r="BD52" s="1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U52" s="80">
        <v>4</v>
      </c>
      <c r="BV52" s="80"/>
      <c r="BX52" s="64" t="str">
        <f>IF(CH29+CH30=0,"",IF(CH29&lt;CH30,BX28,BX30))</f>
        <v xml:space="preserve">   15 </v>
      </c>
      <c r="BY52" s="64"/>
      <c r="BZ52" s="64"/>
      <c r="CA52" s="64"/>
      <c r="CB52" s="64"/>
      <c r="CC52" s="64"/>
      <c r="CD52" s="64"/>
      <c r="CE52" s="64"/>
      <c r="CF52" s="76"/>
      <c r="CG52" s="77"/>
      <c r="CH52" s="15">
        <v>0</v>
      </c>
      <c r="CI52" s="6"/>
      <c r="CJ52" s="6"/>
      <c r="CK52" s="6"/>
      <c r="CL52" s="6"/>
      <c r="CM52" s="6"/>
      <c r="CN52" s="6"/>
      <c r="CO52" s="6"/>
      <c r="CP52" s="6"/>
      <c r="CQ52" s="6"/>
      <c r="CR52" s="7"/>
      <c r="CS52" s="6"/>
      <c r="CT52" s="6"/>
      <c r="CU52" s="6"/>
      <c r="CV52" s="6"/>
      <c r="CW52" s="6"/>
      <c r="CX52" s="6"/>
      <c r="CY52" s="6"/>
      <c r="CZ52" s="6"/>
      <c r="DA52" s="6"/>
      <c r="DB52" s="7"/>
      <c r="JV52" s="6"/>
      <c r="JW52" s="6"/>
      <c r="JX52" s="6"/>
      <c r="JY52" s="6"/>
    </row>
    <row r="53" spans="1:285" x14ac:dyDescent="0.15">
      <c r="C53" s="6"/>
      <c r="D53" s="6"/>
      <c r="E53" s="6"/>
      <c r="F53" s="14"/>
      <c r="G53" s="6"/>
      <c r="H53" s="6"/>
      <c r="I53" s="6"/>
      <c r="J53" s="6"/>
      <c r="K53" s="6"/>
      <c r="L53" s="6"/>
      <c r="M53" s="6"/>
      <c r="N53" s="74">
        <v>11</v>
      </c>
      <c r="O53" s="75"/>
      <c r="P53" s="15">
        <v>3</v>
      </c>
      <c r="Q53" s="78" t="str">
        <f>IF(P53+P54=0,"",IF(P53&gt;P54,F52,F54))</f>
        <v>Leite  Matilde</v>
      </c>
      <c r="R53" s="79"/>
      <c r="S53" s="79"/>
      <c r="T53" s="79"/>
      <c r="U53" s="79"/>
      <c r="V53" s="79"/>
      <c r="W53" s="79"/>
      <c r="X53" s="79"/>
      <c r="Y53" s="79"/>
      <c r="Z53" s="7"/>
      <c r="AA53" s="6"/>
      <c r="AB53" s="6"/>
      <c r="AC53" s="6"/>
      <c r="AD53" s="6"/>
      <c r="AE53" s="6"/>
      <c r="AF53" s="6"/>
      <c r="AG53" s="6"/>
      <c r="AH53" s="6"/>
      <c r="AI53" s="6"/>
      <c r="AJ53" s="16"/>
      <c r="AK53" s="6"/>
      <c r="AL53" s="6"/>
      <c r="AM53" s="6"/>
      <c r="AN53" s="6"/>
      <c r="AO53" s="6"/>
      <c r="AP53" s="6"/>
      <c r="AQ53" s="6"/>
      <c r="AR53" s="6"/>
      <c r="AS53" s="6"/>
      <c r="AT53" s="16"/>
      <c r="AU53" s="6"/>
      <c r="AV53" s="6"/>
      <c r="AW53" s="6"/>
      <c r="AX53" s="6"/>
      <c r="AY53" s="6"/>
      <c r="AZ53" s="6"/>
      <c r="BA53" s="6"/>
      <c r="BB53" s="6"/>
      <c r="BC53" s="6"/>
      <c r="BD53" s="1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JV53" s="6"/>
      <c r="JW53" s="6"/>
      <c r="JX53" s="6"/>
      <c r="JY53" s="6"/>
    </row>
    <row r="54" spans="1:285" x14ac:dyDescent="0.15">
      <c r="A54" s="69"/>
      <c r="B54" s="69"/>
      <c r="C54" s="70">
        <f>IF(A54&gt;0,A54,INDEX('Classements 128 j'!$CU$10:$CU$269,MATCH(22,'Classements 128 j'!$CD$10:$CD$269,0)))</f>
        <v>0</v>
      </c>
      <c r="D54" s="70"/>
      <c r="E54" s="6"/>
      <c r="F54" s="64" t="str">
        <f>IF(C54&gt;0,VLOOKUP(C54,'[3]Infos joueurs'!$B:$BT,11,FALSE)," ")&amp;"  "&amp;+IF(C54&gt;0,VLOOKUP(C54,'[3]Infos joueurs'!$B:$BT,27,FALSE),"22 ")</f>
        <v xml:space="preserve">   22 </v>
      </c>
      <c r="G54" s="64"/>
      <c r="H54" s="64"/>
      <c r="I54" s="64"/>
      <c r="J54" s="64"/>
      <c r="K54" s="64"/>
      <c r="L54" s="64"/>
      <c r="M54" s="64"/>
      <c r="N54" s="76"/>
      <c r="O54" s="77"/>
      <c r="P54" s="15"/>
      <c r="Q54" s="6"/>
      <c r="R54" s="6"/>
      <c r="S54" s="6"/>
      <c r="T54" s="6"/>
      <c r="U54" s="6"/>
      <c r="V54" s="6"/>
      <c r="W54" s="6"/>
      <c r="X54" s="6"/>
      <c r="Y54" s="6"/>
      <c r="Z54" s="16"/>
      <c r="AA54" s="6"/>
      <c r="AB54" s="6"/>
      <c r="AC54" s="6"/>
      <c r="AD54" s="6"/>
      <c r="AE54" s="6"/>
      <c r="AF54" s="6"/>
      <c r="AG54" s="6"/>
      <c r="AH54" s="6"/>
      <c r="AI54" s="6"/>
      <c r="AJ54" s="16"/>
      <c r="AK54" s="6"/>
      <c r="AL54" s="6"/>
      <c r="AM54" s="6"/>
      <c r="AN54" s="6"/>
      <c r="AO54" s="6"/>
      <c r="AP54" s="6"/>
      <c r="AQ54" s="6"/>
      <c r="AR54" s="6"/>
      <c r="AS54" s="6"/>
      <c r="AT54" s="16"/>
      <c r="AU54" s="6"/>
      <c r="AV54" s="6"/>
      <c r="AW54" s="6"/>
      <c r="AX54" s="6"/>
      <c r="AY54" s="6"/>
      <c r="AZ54" s="6"/>
      <c r="BA54" s="6"/>
      <c r="BB54" s="6"/>
      <c r="BC54" s="6"/>
      <c r="BD54" s="1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JV54" s="6"/>
      <c r="JW54" s="6"/>
      <c r="JX54" s="6"/>
      <c r="JY54" s="6"/>
    </row>
    <row r="55" spans="1:285" x14ac:dyDescent="0.25">
      <c r="C55" s="6"/>
      <c r="D55" s="6"/>
      <c r="E55" s="6"/>
      <c r="F55" s="14"/>
      <c r="G55" s="6"/>
      <c r="H55" s="6"/>
      <c r="I55" s="6"/>
      <c r="J55" s="6"/>
      <c r="K55" s="6"/>
      <c r="L55" s="6"/>
      <c r="M55" s="6"/>
      <c r="N55" s="6"/>
      <c r="O55" s="6"/>
      <c r="P55" s="7"/>
      <c r="Q55" s="6"/>
      <c r="R55" s="6"/>
      <c r="S55" s="6"/>
      <c r="T55" s="6"/>
      <c r="U55" s="6"/>
      <c r="V55" s="6"/>
      <c r="W55" s="6"/>
      <c r="X55" s="65">
        <v>22</v>
      </c>
      <c r="Y55" s="66"/>
      <c r="Z55" s="15">
        <v>0</v>
      </c>
      <c r="AA55" s="67" t="str">
        <f>IF(Z55+Z56=0,"",IF(Z55&gt;Z56,Q53,Q57))</f>
        <v>Bellon  Antoine</v>
      </c>
      <c r="AB55" s="68"/>
      <c r="AC55" s="68"/>
      <c r="AD55" s="68"/>
      <c r="AE55" s="68"/>
      <c r="AF55" s="68"/>
      <c r="AG55" s="68"/>
      <c r="AH55" s="68"/>
      <c r="AI55" s="82"/>
      <c r="AJ55" s="16"/>
      <c r="AK55" s="6"/>
      <c r="AL55" s="6"/>
      <c r="AM55" s="6"/>
      <c r="AN55" s="6"/>
      <c r="AO55" s="6"/>
      <c r="AP55" s="6"/>
      <c r="AQ55" s="6"/>
      <c r="AR55" s="6"/>
      <c r="AS55" s="6"/>
      <c r="AT55" s="16"/>
      <c r="AU55" s="6"/>
      <c r="AV55" s="6"/>
      <c r="AW55" s="6"/>
      <c r="AX55" s="6"/>
      <c r="AY55" s="6"/>
      <c r="AZ55" s="6"/>
      <c r="BA55" s="6"/>
      <c r="BB55" s="6"/>
      <c r="BC55" s="6"/>
      <c r="BD55" s="1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JV55" s="6"/>
      <c r="JW55" s="6"/>
      <c r="JX55" s="6"/>
      <c r="JY55" s="6"/>
    </row>
    <row r="56" spans="1:285" x14ac:dyDescent="0.15">
      <c r="A56" s="69"/>
      <c r="B56" s="69"/>
      <c r="C56" s="70">
        <f>IF(A56&gt;0,A56,INDEX('Classements 128 j'!$CU$10:$CU$269,MATCH(27,'Classements 128 j'!$CD$10:$CD$269,0)))</f>
        <v>0</v>
      </c>
      <c r="D56" s="70"/>
      <c r="E56" s="6"/>
      <c r="F56" s="64" t="str">
        <f>IF(C56&gt;0,VLOOKUP(C56,'[3]Infos joueurs'!$B:$BT,11,FALSE)," ")&amp;"  "&amp;+IF(C56&gt;0,VLOOKUP(C56,'[3]Infos joueurs'!$B:$BT,27,FALSE),"27 ")</f>
        <v xml:space="preserve">   27 </v>
      </c>
      <c r="G56" s="64"/>
      <c r="H56" s="64"/>
      <c r="I56" s="64"/>
      <c r="J56" s="64"/>
      <c r="K56" s="64"/>
      <c r="L56" s="64"/>
      <c r="M56" s="64"/>
      <c r="N56" s="64"/>
      <c r="O56" s="64"/>
      <c r="P56" s="7"/>
      <c r="Q56" s="6"/>
      <c r="R56" s="6"/>
      <c r="S56" s="6"/>
      <c r="T56" s="6"/>
      <c r="U56" s="6"/>
      <c r="V56" s="6"/>
      <c r="W56" s="6"/>
      <c r="X56" s="65"/>
      <c r="Y56" s="66"/>
      <c r="Z56" s="15">
        <v>3</v>
      </c>
      <c r="AA56" s="6"/>
      <c r="AB56" s="6"/>
      <c r="AC56" s="6"/>
      <c r="AD56" s="6"/>
      <c r="AE56" s="6"/>
      <c r="AF56" s="6"/>
      <c r="AG56" s="6"/>
      <c r="AH56" s="6"/>
      <c r="AI56" s="6"/>
      <c r="AJ56" s="7"/>
      <c r="AK56" s="6"/>
      <c r="AL56" s="6"/>
      <c r="AM56" s="6"/>
      <c r="AN56" s="6"/>
      <c r="AO56" s="6"/>
      <c r="AP56" s="6"/>
      <c r="AQ56" s="6"/>
      <c r="AR56" s="6"/>
      <c r="AS56" s="6"/>
      <c r="AT56" s="16"/>
      <c r="AU56" s="6"/>
      <c r="AV56" s="6"/>
      <c r="AW56" s="6"/>
      <c r="AX56" s="6"/>
      <c r="AY56" s="6"/>
      <c r="AZ56" s="6"/>
      <c r="BA56" s="6"/>
      <c r="BB56" s="6"/>
      <c r="BC56" s="6"/>
      <c r="BD56" s="1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U56" s="73" t="s">
        <v>153</v>
      </c>
      <c r="BV56" s="73"/>
      <c r="BW56" s="73"/>
      <c r="BX56" s="73"/>
      <c r="BY56" s="73"/>
      <c r="BZ56" s="73"/>
      <c r="CA56" s="73"/>
      <c r="CB56" s="73"/>
      <c r="CC56" s="73"/>
      <c r="CD56" s="73"/>
      <c r="CE56" s="73"/>
      <c r="CF56" s="73"/>
      <c r="CG56" s="73"/>
      <c r="CH56" s="73"/>
      <c r="CI56" s="73"/>
      <c r="CJ56" s="73"/>
      <c r="DJ56" s="73" t="s">
        <v>154</v>
      </c>
      <c r="DK56" s="73"/>
      <c r="DL56" s="73"/>
      <c r="DM56" s="73"/>
      <c r="DN56" s="73"/>
      <c r="DO56" s="73"/>
      <c r="DP56" s="73"/>
      <c r="DQ56" s="73"/>
      <c r="DR56" s="73"/>
      <c r="DS56" s="73"/>
      <c r="DT56" s="73"/>
      <c r="DU56" s="73"/>
      <c r="DV56" s="73"/>
      <c r="DW56" s="73"/>
      <c r="DX56" s="73"/>
      <c r="DY56" s="73"/>
      <c r="JV56" s="6"/>
      <c r="JW56" s="6"/>
      <c r="JX56" s="6"/>
      <c r="JY56" s="6"/>
    </row>
    <row r="57" spans="1:285" x14ac:dyDescent="0.15">
      <c r="C57" s="6"/>
      <c r="D57" s="6"/>
      <c r="E57" s="6"/>
      <c r="F57" s="14"/>
      <c r="G57" s="6"/>
      <c r="H57" s="6"/>
      <c r="I57" s="6"/>
      <c r="J57" s="6"/>
      <c r="K57" s="6"/>
      <c r="L57" s="6"/>
      <c r="M57" s="6"/>
      <c r="N57" s="74">
        <v>12</v>
      </c>
      <c r="O57" s="75"/>
      <c r="P57" s="15"/>
      <c r="Q57" s="78" t="str">
        <f>IF(P57+P58=0,"",IF(P57&gt;P58,F56,F58))</f>
        <v>Bellon  Antoine</v>
      </c>
      <c r="R57" s="79"/>
      <c r="S57" s="79"/>
      <c r="T57" s="79"/>
      <c r="U57" s="79"/>
      <c r="V57" s="79"/>
      <c r="W57" s="79"/>
      <c r="X57" s="79"/>
      <c r="Y57" s="81"/>
      <c r="Z57" s="16"/>
      <c r="AA57" s="6"/>
      <c r="AB57" s="6"/>
      <c r="AC57" s="6"/>
      <c r="AD57" s="6"/>
      <c r="AE57" s="6"/>
      <c r="AF57" s="6"/>
      <c r="AG57" s="6"/>
      <c r="AH57" s="6"/>
      <c r="AI57" s="6"/>
      <c r="AJ57" s="7"/>
      <c r="AK57" s="6"/>
      <c r="AL57" s="6"/>
      <c r="AM57" s="6"/>
      <c r="AN57" s="6"/>
      <c r="AO57" s="6"/>
      <c r="AP57" s="6"/>
      <c r="AQ57" s="6"/>
      <c r="AR57" s="6"/>
      <c r="AS57" s="6"/>
      <c r="AT57" s="16"/>
      <c r="AU57" s="6"/>
      <c r="AV57" s="6"/>
      <c r="AW57" s="6"/>
      <c r="AX57" s="6"/>
      <c r="AY57" s="6"/>
      <c r="AZ57" s="6"/>
      <c r="BA57" s="6"/>
      <c r="BB57" s="6"/>
      <c r="BC57" s="6"/>
      <c r="BD57" s="1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U57" s="73"/>
      <c r="BV57" s="73"/>
      <c r="BW57" s="73"/>
      <c r="BX57" s="73"/>
      <c r="BY57" s="73"/>
      <c r="BZ57" s="73"/>
      <c r="CA57" s="73"/>
      <c r="CB57" s="73"/>
      <c r="CC57" s="73"/>
      <c r="CD57" s="73"/>
      <c r="CE57" s="73"/>
      <c r="CF57" s="73"/>
      <c r="CG57" s="73"/>
      <c r="CH57" s="73"/>
      <c r="CI57" s="73"/>
      <c r="CJ57" s="73"/>
      <c r="DJ57" s="73"/>
      <c r="DK57" s="73"/>
      <c r="DL57" s="73"/>
      <c r="DM57" s="73"/>
      <c r="DN57" s="73"/>
      <c r="DO57" s="73"/>
      <c r="DP57" s="73"/>
      <c r="DQ57" s="73"/>
      <c r="DR57" s="73"/>
      <c r="DS57" s="73"/>
      <c r="DT57" s="73"/>
      <c r="DU57" s="73"/>
      <c r="DV57" s="73"/>
      <c r="DW57" s="73"/>
      <c r="DX57" s="73"/>
      <c r="DY57" s="73"/>
      <c r="JV57" s="6"/>
      <c r="JW57" s="6"/>
      <c r="JX57" s="6"/>
      <c r="JY57" s="6"/>
    </row>
    <row r="58" spans="1:285" x14ac:dyDescent="0.15">
      <c r="A58" s="69"/>
      <c r="B58" s="69"/>
      <c r="C58" s="70">
        <f>IF(A58&gt;0,A58,INDEX('Classements 128 j'!$CU$10:$CU$269,MATCH(6,'Classements 128 j'!$CD$10:$CD$269,0)))</f>
        <v>19</v>
      </c>
      <c r="D58" s="70"/>
      <c r="E58" s="6"/>
      <c r="F58" s="64" t="str">
        <f>IF(C58&gt;0,VLOOKUP(C58,'[3]Infos joueurs'!$B:$BT,11,FALSE)," ")&amp;"  "&amp;+IF(C58&gt;0,VLOOKUP(C58,'[3]Infos joueurs'!$B:$BT,27,FALSE),"6 ")</f>
        <v>Bellon  Antoine</v>
      </c>
      <c r="G58" s="64"/>
      <c r="H58" s="64"/>
      <c r="I58" s="64"/>
      <c r="J58" s="64"/>
      <c r="K58" s="64"/>
      <c r="L58" s="64"/>
      <c r="M58" s="64"/>
      <c r="N58" s="76"/>
      <c r="O58" s="77"/>
      <c r="P58" s="15">
        <v>1</v>
      </c>
      <c r="Q58" s="6"/>
      <c r="R58" s="6"/>
      <c r="S58" s="6"/>
      <c r="T58" s="6"/>
      <c r="U58" s="6"/>
      <c r="V58" s="6"/>
      <c r="W58" s="6"/>
      <c r="X58" s="6"/>
      <c r="Y58" s="6"/>
      <c r="Z58" s="7"/>
      <c r="AA58" s="6"/>
      <c r="AB58" s="6"/>
      <c r="AC58" s="6"/>
      <c r="AD58" s="6"/>
      <c r="AE58" s="6"/>
      <c r="AF58" s="6"/>
      <c r="AG58" s="6"/>
      <c r="AH58" s="6"/>
      <c r="AI58" s="6"/>
      <c r="AJ58" s="7"/>
      <c r="AK58" s="6"/>
      <c r="AL58" s="6"/>
      <c r="AM58" s="6"/>
      <c r="AN58" s="6"/>
      <c r="AO58" s="6"/>
      <c r="AP58" s="6"/>
      <c r="AQ58" s="6"/>
      <c r="AR58" s="6"/>
      <c r="AS58" s="6"/>
      <c r="AT58" s="16"/>
      <c r="AU58" s="6"/>
      <c r="AV58" s="6"/>
      <c r="AW58" s="6"/>
      <c r="AX58" s="6"/>
      <c r="AY58" s="6"/>
      <c r="AZ58" s="6"/>
      <c r="BA58" s="6"/>
      <c r="BB58" s="6"/>
      <c r="BC58" s="6"/>
      <c r="BD58" s="1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DJ58" s="73"/>
      <c r="DK58" s="73"/>
      <c r="DL58" s="73"/>
      <c r="DM58" s="73"/>
      <c r="DN58" s="73"/>
      <c r="DO58" s="73"/>
      <c r="DP58" s="73"/>
      <c r="DQ58" s="73"/>
      <c r="DR58" s="73"/>
      <c r="DS58" s="73"/>
      <c r="DT58" s="73"/>
      <c r="DU58" s="73"/>
      <c r="DV58" s="73"/>
      <c r="DW58" s="73"/>
      <c r="DX58" s="73"/>
      <c r="DY58" s="73"/>
      <c r="JV58" s="6"/>
      <c r="JW58" s="6"/>
      <c r="JX58" s="6"/>
      <c r="JY58" s="6"/>
    </row>
    <row r="59" spans="1:285" x14ac:dyDescent="0.25">
      <c r="C59" s="6"/>
      <c r="D59" s="6"/>
      <c r="E59" s="6"/>
      <c r="F59" s="14"/>
      <c r="G59" s="6"/>
      <c r="H59" s="6"/>
      <c r="I59" s="6"/>
      <c r="J59" s="6"/>
      <c r="K59" s="6"/>
      <c r="L59" s="6"/>
      <c r="M59" s="6"/>
      <c r="N59" s="6"/>
      <c r="O59" s="6"/>
      <c r="P59" s="7"/>
      <c r="Q59" s="6"/>
      <c r="R59" s="6"/>
      <c r="S59" s="6"/>
      <c r="T59" s="6"/>
      <c r="U59" s="6"/>
      <c r="V59" s="6"/>
      <c r="W59" s="6"/>
      <c r="X59" s="6"/>
      <c r="Y59" s="6"/>
      <c r="Z59" s="7"/>
      <c r="AA59" s="6"/>
      <c r="AB59" s="6"/>
      <c r="AC59" s="6"/>
      <c r="AD59" s="6"/>
      <c r="AE59" s="6"/>
      <c r="AF59" s="6"/>
      <c r="AG59" s="6"/>
      <c r="AH59" s="6"/>
      <c r="AI59" s="6"/>
      <c r="AJ59" s="7"/>
      <c r="AK59" s="6"/>
      <c r="AL59" s="6"/>
      <c r="AM59" s="6"/>
      <c r="AN59" s="6"/>
      <c r="AO59" s="6"/>
      <c r="AP59" s="6"/>
      <c r="AQ59" s="6"/>
      <c r="AR59" s="65">
        <v>30</v>
      </c>
      <c r="AS59" s="66"/>
      <c r="AT59" s="15">
        <v>3</v>
      </c>
      <c r="AU59" s="67" t="str">
        <f>IF(AT59+AT60=0,"",IF(AT59&gt;AT60,AK51,AK67))</f>
        <v>Emboye  Tomas</v>
      </c>
      <c r="AV59" s="68"/>
      <c r="AW59" s="68"/>
      <c r="AX59" s="68"/>
      <c r="AY59" s="68"/>
      <c r="AZ59" s="68"/>
      <c r="BA59" s="68"/>
      <c r="BB59" s="68"/>
      <c r="BC59" s="82"/>
      <c r="BD59" s="1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DD59" s="6"/>
      <c r="DE59" s="6"/>
      <c r="DF59" s="6"/>
      <c r="DG59" s="6"/>
      <c r="DH59" s="6"/>
      <c r="DI59" s="6"/>
      <c r="DJ59" s="6"/>
      <c r="DK59" s="6"/>
      <c r="DL59" s="6"/>
      <c r="DM59" s="7"/>
      <c r="DN59" s="6"/>
      <c r="DO59" s="6"/>
      <c r="DP59" s="6"/>
      <c r="DQ59" s="6"/>
      <c r="DR59" s="6"/>
      <c r="DS59" s="6"/>
      <c r="DT59" s="6"/>
      <c r="JV59" s="6"/>
      <c r="JW59" s="6"/>
      <c r="JX59" s="6"/>
      <c r="JY59" s="6"/>
    </row>
    <row r="60" spans="1:285" x14ac:dyDescent="0.15">
      <c r="A60" s="69"/>
      <c r="B60" s="69"/>
      <c r="C60" s="70">
        <f>IF(A60&gt;0,A60,INDEX('Classements 128 j'!$CU$10:$CU$269,MATCH(7,'Classements 128 j'!$CD$10:$CD$269,0)))</f>
        <v>14</v>
      </c>
      <c r="D60" s="70"/>
      <c r="E60" s="6"/>
      <c r="F60" s="64" t="str">
        <f>IF(C60&gt;0,VLOOKUP(C60,'[3]Infos joueurs'!$B:$BT,11,FALSE)," ")&amp;"  "&amp;+IF(C60&gt;0,VLOOKUP(C60,'[3]Infos joueurs'!$B:$BT,27,FALSE),"7 ")</f>
        <v>Marjay  David</v>
      </c>
      <c r="G60" s="64"/>
      <c r="H60" s="64"/>
      <c r="I60" s="64"/>
      <c r="J60" s="64"/>
      <c r="K60" s="64"/>
      <c r="L60" s="64"/>
      <c r="M60" s="64"/>
      <c r="N60" s="64"/>
      <c r="O60" s="64"/>
      <c r="P60" s="7"/>
      <c r="Q60" s="6"/>
      <c r="R60" s="6"/>
      <c r="S60" s="6"/>
      <c r="T60" s="6"/>
      <c r="U60" s="6"/>
      <c r="V60" s="6"/>
      <c r="W60" s="6"/>
      <c r="X60" s="6"/>
      <c r="Y60" s="6"/>
      <c r="Z60" s="7"/>
      <c r="AA60" s="6"/>
      <c r="AB60" s="6"/>
      <c r="AC60" s="6"/>
      <c r="AD60" s="6"/>
      <c r="AE60" s="6"/>
      <c r="AF60" s="6"/>
      <c r="AG60" s="6"/>
      <c r="AH60" s="6"/>
      <c r="AI60" s="6"/>
      <c r="AJ60" s="7"/>
      <c r="AK60" s="6"/>
      <c r="AL60" s="6"/>
      <c r="AM60" s="6"/>
      <c r="AN60" s="6"/>
      <c r="AO60" s="6"/>
      <c r="AP60" s="6"/>
      <c r="AQ60" s="6"/>
      <c r="AR60" s="65"/>
      <c r="AS60" s="66"/>
      <c r="AT60" s="15">
        <v>2</v>
      </c>
      <c r="AU60" s="6"/>
      <c r="AV60" s="6"/>
      <c r="AW60" s="6"/>
      <c r="AX60" s="6"/>
      <c r="AY60" s="6"/>
      <c r="AZ60" s="6"/>
      <c r="BA60" s="6"/>
      <c r="BB60" s="6"/>
      <c r="BC60" s="6"/>
      <c r="BD60" s="7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U60" s="80">
        <v>25</v>
      </c>
      <c r="BV60" s="80"/>
      <c r="BW60" s="6"/>
      <c r="BX60" s="64" t="str">
        <f>IF(AJ19+AJ20=0,"",IF(AJ19&lt;AJ20,AA15,AA23))</f>
        <v>Frezghi  Tarik</v>
      </c>
      <c r="BY60" s="64"/>
      <c r="BZ60" s="64"/>
      <c r="CA60" s="64"/>
      <c r="CB60" s="64"/>
      <c r="CC60" s="64"/>
      <c r="CD60" s="64"/>
      <c r="CE60" s="64"/>
      <c r="CF60" s="64"/>
      <c r="CG60" s="64"/>
      <c r="CH60" s="7"/>
      <c r="CI60" s="6"/>
      <c r="CJ60" s="6"/>
      <c r="CK60" s="6"/>
      <c r="CL60" s="6"/>
      <c r="CM60" s="6"/>
      <c r="CN60" s="6"/>
      <c r="CO60" s="6"/>
      <c r="CP60" s="6"/>
      <c r="CQ60" s="6"/>
      <c r="CR60" s="7"/>
      <c r="CS60" s="6"/>
      <c r="CT60" s="6"/>
      <c r="CU60" s="6"/>
      <c r="CV60" s="6"/>
      <c r="CW60" s="6"/>
      <c r="CX60" s="6"/>
      <c r="CY60" s="6"/>
      <c r="CZ60" s="6"/>
      <c r="DA60" s="6"/>
      <c r="DB60" s="7"/>
      <c r="DD60" s="6"/>
      <c r="DE60" s="6"/>
      <c r="DF60" s="6"/>
      <c r="DG60" s="6"/>
      <c r="DH60" s="6"/>
      <c r="DI60" s="6"/>
      <c r="DJ60" s="80">
        <v>1</v>
      </c>
      <c r="DK60" s="80"/>
      <c r="DM60" s="64" t="str">
        <f>IF(CH61+CH62=0,"",IF(CH61&lt;CH62,BX60,BX62))</f>
        <v>Jacquod  Thibaud</v>
      </c>
      <c r="DN60" s="64"/>
      <c r="DO60" s="64"/>
      <c r="DP60" s="64"/>
      <c r="DQ60" s="64"/>
      <c r="DR60" s="64"/>
      <c r="DS60" s="64"/>
      <c r="DT60" s="64"/>
      <c r="DU60" s="64"/>
      <c r="DV60" s="64"/>
      <c r="DW60" s="7"/>
      <c r="DX60" s="6"/>
      <c r="DY60" s="6"/>
      <c r="DZ60" s="6"/>
      <c r="EA60" s="6"/>
      <c r="EB60" s="6"/>
      <c r="EC60" s="6"/>
      <c r="ED60" s="6"/>
      <c r="EE60" s="6"/>
      <c r="EF60" s="6"/>
      <c r="EG60" s="7"/>
      <c r="JV60" s="6"/>
      <c r="JW60" s="6"/>
      <c r="JX60" s="6"/>
      <c r="JY60" s="6"/>
    </row>
    <row r="61" spans="1:285" x14ac:dyDescent="0.15">
      <c r="C61" s="6"/>
      <c r="D61" s="6"/>
      <c r="E61" s="6"/>
      <c r="F61" s="14"/>
      <c r="G61" s="6"/>
      <c r="H61" s="6"/>
      <c r="I61" s="6"/>
      <c r="J61" s="6"/>
      <c r="K61" s="6"/>
      <c r="L61" s="6"/>
      <c r="M61" s="6"/>
      <c r="N61" s="74">
        <v>13</v>
      </c>
      <c r="O61" s="75"/>
      <c r="P61" s="15">
        <v>1</v>
      </c>
      <c r="Q61" s="78" t="str">
        <f>IF(P61+P62=0,"",IF(P61&gt;P62,F60,F62))</f>
        <v>Marjay  David</v>
      </c>
      <c r="R61" s="79"/>
      <c r="S61" s="79"/>
      <c r="T61" s="79"/>
      <c r="U61" s="79"/>
      <c r="V61" s="79"/>
      <c r="W61" s="79"/>
      <c r="X61" s="79"/>
      <c r="Y61" s="79"/>
      <c r="Z61" s="7"/>
      <c r="AA61" s="6"/>
      <c r="AB61" s="6"/>
      <c r="AC61" s="6"/>
      <c r="AD61" s="6"/>
      <c r="AE61" s="6"/>
      <c r="AF61" s="6"/>
      <c r="AG61" s="6"/>
      <c r="AH61" s="6"/>
      <c r="AI61" s="6"/>
      <c r="AJ61" s="7"/>
      <c r="AK61" s="6"/>
      <c r="AL61" s="6"/>
      <c r="AM61" s="6"/>
      <c r="AN61" s="6"/>
      <c r="AO61" s="6"/>
      <c r="AP61" s="6"/>
      <c r="AQ61" s="6"/>
      <c r="AR61" s="6"/>
      <c r="AS61" s="6"/>
      <c r="AT61" s="16"/>
      <c r="AU61" s="6"/>
      <c r="AV61" s="6"/>
      <c r="AW61" s="6"/>
      <c r="AX61" s="6"/>
      <c r="AY61" s="6"/>
      <c r="AZ61" s="6"/>
      <c r="BA61" s="6"/>
      <c r="BB61" s="6"/>
      <c r="BC61" s="6"/>
      <c r="BD61" s="7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V61" s="6"/>
      <c r="BW61" s="6"/>
      <c r="BX61" s="14"/>
      <c r="BY61" s="6"/>
      <c r="BZ61" s="6"/>
      <c r="CA61" s="6"/>
      <c r="CB61" s="6"/>
      <c r="CC61" s="6"/>
      <c r="CD61" s="6"/>
      <c r="CE61" s="6"/>
      <c r="CF61" s="74">
        <v>1</v>
      </c>
      <c r="CG61" s="75"/>
      <c r="CH61" s="15">
        <v>3</v>
      </c>
      <c r="CI61" s="79" t="str">
        <f>IF(CH61+CH62=0,"",IF(CH61&gt;CH62,BX60,BX62))</f>
        <v>Frezghi  Tarik</v>
      </c>
      <c r="CJ61" s="79"/>
      <c r="CK61" s="79"/>
      <c r="CL61" s="79"/>
      <c r="CM61" s="79"/>
      <c r="CN61" s="79"/>
      <c r="CO61" s="79"/>
      <c r="CP61" s="79"/>
      <c r="CQ61" s="79"/>
      <c r="CR61" s="7"/>
      <c r="CS61" s="6"/>
      <c r="CT61" s="6"/>
      <c r="CU61" s="6"/>
      <c r="CV61" s="6"/>
      <c r="CW61" s="6"/>
      <c r="CX61" s="6"/>
      <c r="CY61" s="6"/>
      <c r="CZ61" s="6"/>
      <c r="DA61" s="6"/>
      <c r="DB61" s="7"/>
      <c r="DD61" s="6"/>
      <c r="DE61" s="6"/>
      <c r="DF61" s="6"/>
      <c r="DG61" s="6"/>
      <c r="DH61" s="6"/>
      <c r="DI61" s="6"/>
      <c r="DM61" s="14"/>
      <c r="DN61" s="6"/>
      <c r="DO61" s="6"/>
      <c r="DP61" s="6"/>
      <c r="DQ61" s="6"/>
      <c r="DR61" s="6"/>
      <c r="DS61" s="6"/>
      <c r="DT61" s="6"/>
      <c r="DU61" s="74">
        <v>1</v>
      </c>
      <c r="DV61" s="75"/>
      <c r="DW61" s="15">
        <v>3</v>
      </c>
      <c r="DX61" s="79" t="str">
        <f>IF(DW61+DW62=0,"",IF(DW61&gt;DW62,DM60,DM62))</f>
        <v>Jacquod  Thibaud</v>
      </c>
      <c r="DY61" s="79"/>
      <c r="DZ61" s="79"/>
      <c r="EA61" s="79"/>
      <c r="EB61" s="79"/>
      <c r="EC61" s="79"/>
      <c r="ED61" s="79"/>
      <c r="EE61" s="79"/>
      <c r="EF61" s="79"/>
      <c r="EG61" s="7"/>
      <c r="JV61" s="6"/>
      <c r="JW61" s="6"/>
      <c r="JX61" s="6"/>
      <c r="JY61" s="6"/>
    </row>
    <row r="62" spans="1:285" x14ac:dyDescent="0.15">
      <c r="A62" s="69"/>
      <c r="B62" s="69"/>
      <c r="C62" s="70">
        <f>IF(A62&gt;0,A62,INDEX('Classements 128 j'!$CU$10:$CU$269,MATCH(26,'Classements 128 j'!$CD$10:$CD$269,0)))</f>
        <v>0</v>
      </c>
      <c r="D62" s="70"/>
      <c r="E62" s="6"/>
      <c r="F62" s="64" t="str">
        <f>IF(C62&gt;0,VLOOKUP(C62,'[3]Infos joueurs'!$B:$BT,11,FALSE)," ")&amp;"  "&amp;+IF(C62&gt;0,VLOOKUP(C62,'[3]Infos joueurs'!$B:$BT,27,FALSE),"26 ")</f>
        <v xml:space="preserve">   26 </v>
      </c>
      <c r="G62" s="64"/>
      <c r="H62" s="64"/>
      <c r="I62" s="64"/>
      <c r="J62" s="64"/>
      <c r="K62" s="64"/>
      <c r="L62" s="64"/>
      <c r="M62" s="64"/>
      <c r="N62" s="76"/>
      <c r="O62" s="77"/>
      <c r="P62" s="15"/>
      <c r="Q62" s="6"/>
      <c r="R62" s="6"/>
      <c r="S62" s="6"/>
      <c r="T62" s="6"/>
      <c r="U62" s="6"/>
      <c r="V62" s="6"/>
      <c r="W62" s="6"/>
      <c r="X62" s="6"/>
      <c r="Y62" s="6"/>
      <c r="Z62" s="16"/>
      <c r="AA62" s="6"/>
      <c r="AB62" s="6"/>
      <c r="AC62" s="6"/>
      <c r="AD62" s="6"/>
      <c r="AE62" s="6"/>
      <c r="AF62" s="6"/>
      <c r="AG62" s="6"/>
      <c r="AH62" s="6"/>
      <c r="AI62" s="6"/>
      <c r="AJ62" s="7"/>
      <c r="AK62" s="6"/>
      <c r="AL62" s="6"/>
      <c r="AM62" s="6"/>
      <c r="AN62" s="6"/>
      <c r="AO62" s="6"/>
      <c r="AP62" s="6"/>
      <c r="AQ62" s="6"/>
      <c r="AR62" s="6"/>
      <c r="AS62" s="6"/>
      <c r="AT62" s="16"/>
      <c r="AU62" s="6"/>
      <c r="AV62" s="6"/>
      <c r="AW62" s="6"/>
      <c r="AX62" s="6"/>
      <c r="AY62" s="6"/>
      <c r="AZ62" s="6"/>
      <c r="BA62" s="6"/>
      <c r="BB62" s="6"/>
      <c r="BC62" s="6"/>
      <c r="BD62" s="7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U62" s="80">
        <v>26</v>
      </c>
      <c r="BV62" s="80"/>
      <c r="BW62" s="6"/>
      <c r="BX62" s="64" t="str">
        <f>IF(AJ35+AJ36=0,"",IF(AJ35&lt;AJ36,AA31,AA39))</f>
        <v>Jacquod  Thibaud</v>
      </c>
      <c r="BY62" s="64"/>
      <c r="BZ62" s="64"/>
      <c r="CA62" s="64"/>
      <c r="CB62" s="64"/>
      <c r="CC62" s="64"/>
      <c r="CD62" s="64"/>
      <c r="CE62" s="64"/>
      <c r="CF62" s="76"/>
      <c r="CG62" s="77"/>
      <c r="CH62" s="15">
        <v>0</v>
      </c>
      <c r="CI62" s="6"/>
      <c r="CJ62" s="6"/>
      <c r="CK62" s="6"/>
      <c r="CL62" s="6"/>
      <c r="CM62" s="6"/>
      <c r="CN62" s="6"/>
      <c r="CO62" s="6"/>
      <c r="CP62" s="6"/>
      <c r="CQ62" s="6"/>
      <c r="CR62" s="16"/>
      <c r="CS62" s="6"/>
      <c r="CT62" s="6"/>
      <c r="CU62" s="6"/>
      <c r="CV62" s="6"/>
      <c r="CW62" s="6"/>
      <c r="CX62" s="6"/>
      <c r="CY62" s="6"/>
      <c r="CZ62" s="6"/>
      <c r="DA62" s="6"/>
      <c r="DB62" s="7"/>
      <c r="DD62" s="6"/>
      <c r="DE62" s="6"/>
      <c r="DF62" s="6"/>
      <c r="DG62" s="6"/>
      <c r="DH62" s="6"/>
      <c r="DI62" s="6"/>
      <c r="DJ62" s="80">
        <v>2</v>
      </c>
      <c r="DK62" s="80"/>
      <c r="DM62" s="64" t="str">
        <f>IF(CH65+CH66=0,"",IF(CH65&lt;CH66,BX64,BX66))</f>
        <v>Marjay  David</v>
      </c>
      <c r="DN62" s="64"/>
      <c r="DO62" s="64"/>
      <c r="DP62" s="64"/>
      <c r="DQ62" s="64"/>
      <c r="DR62" s="64"/>
      <c r="DS62" s="64"/>
      <c r="DT62" s="64"/>
      <c r="DU62" s="76"/>
      <c r="DV62" s="77"/>
      <c r="DW62" s="15"/>
      <c r="DX62" s="6"/>
      <c r="DY62" s="6"/>
      <c r="DZ62" s="6"/>
      <c r="EA62" s="6"/>
      <c r="EB62" s="6"/>
      <c r="EC62" s="6"/>
      <c r="ED62" s="6"/>
      <c r="EE62" s="6"/>
      <c r="EF62" s="6"/>
      <c r="EG62" s="7"/>
      <c r="JV62" s="6"/>
      <c r="JW62" s="6"/>
      <c r="JX62" s="6"/>
      <c r="JY62" s="6"/>
    </row>
    <row r="63" spans="1:285" x14ac:dyDescent="0.25">
      <c r="C63" s="6"/>
      <c r="D63" s="6"/>
      <c r="E63" s="6"/>
      <c r="F63" s="14"/>
      <c r="G63" s="6"/>
      <c r="H63" s="6"/>
      <c r="I63" s="6"/>
      <c r="J63" s="6"/>
      <c r="K63" s="6"/>
      <c r="L63" s="6"/>
      <c r="M63" s="6"/>
      <c r="N63" s="6"/>
      <c r="O63" s="6"/>
      <c r="P63" s="7"/>
      <c r="Q63" s="6"/>
      <c r="R63" s="6"/>
      <c r="S63" s="6"/>
      <c r="T63" s="6"/>
      <c r="U63" s="6"/>
      <c r="V63" s="6"/>
      <c r="W63" s="6"/>
      <c r="X63" s="65">
        <v>23</v>
      </c>
      <c r="Y63" s="66"/>
      <c r="Z63" s="15">
        <v>3</v>
      </c>
      <c r="AA63" s="67" t="str">
        <f>IF(Z63+Z64=0,"",IF(Z63&gt;Z64,Q61,Q65))</f>
        <v>Marjay  David</v>
      </c>
      <c r="AB63" s="68"/>
      <c r="AC63" s="68"/>
      <c r="AD63" s="68"/>
      <c r="AE63" s="68"/>
      <c r="AF63" s="68"/>
      <c r="AG63" s="68"/>
      <c r="AH63" s="68"/>
      <c r="AI63" s="68"/>
      <c r="AJ63" s="7"/>
      <c r="AK63" s="6"/>
      <c r="AL63" s="6"/>
      <c r="AM63" s="6"/>
      <c r="AN63" s="6"/>
      <c r="AO63" s="6"/>
      <c r="AP63" s="6"/>
      <c r="AQ63" s="6"/>
      <c r="AR63" s="6"/>
      <c r="AS63" s="6"/>
      <c r="AT63" s="16"/>
      <c r="AU63" s="6"/>
      <c r="AV63" s="6"/>
      <c r="AW63" s="6"/>
      <c r="AX63" s="6"/>
      <c r="AY63" s="6"/>
      <c r="AZ63" s="6"/>
      <c r="BA63" s="6"/>
      <c r="BB63" s="6"/>
      <c r="BC63" s="6"/>
      <c r="BD63" s="7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V63" s="6"/>
      <c r="BW63" s="6"/>
      <c r="BX63" s="14"/>
      <c r="BY63" s="6"/>
      <c r="BZ63" s="6"/>
      <c r="CA63" s="6"/>
      <c r="CB63" s="6"/>
      <c r="CC63" s="6"/>
      <c r="CD63" s="6"/>
      <c r="CE63" s="6"/>
      <c r="CF63" s="6"/>
      <c r="CG63" s="6"/>
      <c r="CH63" s="7"/>
      <c r="CI63" s="6"/>
      <c r="CJ63" s="6"/>
      <c r="CK63" s="6"/>
      <c r="CL63" s="6"/>
      <c r="CM63" s="6"/>
      <c r="CN63" s="6"/>
      <c r="CO63" s="6"/>
      <c r="CP63" s="65">
        <v>3</v>
      </c>
      <c r="CQ63" s="66"/>
      <c r="CR63" s="15">
        <v>3</v>
      </c>
      <c r="CS63" s="67" t="str">
        <f>IF(CR63+CR64=0,"",IF(CR63&gt;CR64,CI61,CI65))</f>
        <v>Frezghi  Tarik</v>
      </c>
      <c r="CT63" s="68"/>
      <c r="CU63" s="68"/>
      <c r="CV63" s="68"/>
      <c r="CW63" s="68"/>
      <c r="CX63" s="68"/>
      <c r="CY63" s="68"/>
      <c r="CZ63" s="68"/>
      <c r="DA63" s="68"/>
      <c r="DB63" s="7"/>
      <c r="DD63" s="6"/>
      <c r="DE63" s="6"/>
      <c r="DF63" s="6"/>
      <c r="DG63" s="6"/>
      <c r="DH63" s="6"/>
      <c r="DI63" s="6"/>
      <c r="JV63" s="6"/>
      <c r="JW63" s="6"/>
      <c r="JX63" s="6"/>
      <c r="JY63" s="6"/>
    </row>
    <row r="64" spans="1:285" x14ac:dyDescent="0.15">
      <c r="A64" s="69"/>
      <c r="B64" s="69"/>
      <c r="C64" s="70">
        <f>IF(A64&gt;0,A64,INDEX('Classements 128 j'!$CU$10:$CU$269,MATCH(23,'Classements 128 j'!$CD$10:$CD$269,0)))</f>
        <v>0</v>
      </c>
      <c r="D64" s="70"/>
      <c r="E64" s="6"/>
      <c r="F64" s="64" t="str">
        <f>IF(C64&gt;0,VLOOKUP(C64,'[3]Infos joueurs'!$B:$BT,11,FALSE)," ")&amp;"  "&amp;+IF(C64&gt;0,VLOOKUP(C64,'[3]Infos joueurs'!$B:$BT,27,FALSE),"23")</f>
        <v xml:space="preserve">   23</v>
      </c>
      <c r="G64" s="64"/>
      <c r="H64" s="64"/>
      <c r="I64" s="64"/>
      <c r="J64" s="64"/>
      <c r="K64" s="64"/>
      <c r="L64" s="64"/>
      <c r="M64" s="64"/>
      <c r="N64" s="64"/>
      <c r="O64" s="64"/>
      <c r="P64" s="7"/>
      <c r="Q64" s="6"/>
      <c r="R64" s="6"/>
      <c r="S64" s="6"/>
      <c r="T64" s="6"/>
      <c r="U64" s="6"/>
      <c r="V64" s="6"/>
      <c r="W64" s="6"/>
      <c r="X64" s="65"/>
      <c r="Y64" s="66"/>
      <c r="Z64" s="15">
        <v>0</v>
      </c>
      <c r="AA64" s="6"/>
      <c r="AB64" s="6"/>
      <c r="AC64" s="6"/>
      <c r="AD64" s="6"/>
      <c r="AE64" s="6"/>
      <c r="AF64" s="6"/>
      <c r="AG64" s="6"/>
      <c r="AH64" s="6"/>
      <c r="AI64" s="6"/>
      <c r="AJ64" s="16"/>
      <c r="AK64" s="6"/>
      <c r="AL64" s="6"/>
      <c r="AM64" s="6"/>
      <c r="AN64" s="6"/>
      <c r="AO64" s="6"/>
      <c r="AP64" s="6"/>
      <c r="AQ64" s="6"/>
      <c r="AR64" s="6"/>
      <c r="AS64" s="6"/>
      <c r="AT64" s="16"/>
      <c r="AU64" s="6"/>
      <c r="AV64" s="6"/>
      <c r="AW64" s="6"/>
      <c r="AX64" s="6"/>
      <c r="AY64" s="6"/>
      <c r="AZ64" s="6"/>
      <c r="BA64" s="6"/>
      <c r="BB64" s="6"/>
      <c r="BC64" s="6"/>
      <c r="BD64" s="7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U64" s="80">
        <v>27</v>
      </c>
      <c r="BV64" s="80"/>
      <c r="BW64" s="6"/>
      <c r="BX64" s="64" t="str">
        <f>IF(AJ51+AJ52=0,"",IF(AJ51&lt;AJ52,AA47,AA55))</f>
        <v>Bellon  Antoine</v>
      </c>
      <c r="BY64" s="64"/>
      <c r="BZ64" s="64"/>
      <c r="CA64" s="64"/>
      <c r="CB64" s="64"/>
      <c r="CC64" s="64"/>
      <c r="CD64" s="64"/>
      <c r="CE64" s="64"/>
      <c r="CF64" s="64"/>
      <c r="CG64" s="64"/>
      <c r="CH64" s="7"/>
      <c r="CI64" s="6"/>
      <c r="CJ64" s="6"/>
      <c r="CK64" s="6"/>
      <c r="CL64" s="6"/>
      <c r="CM64" s="6"/>
      <c r="CN64" s="6"/>
      <c r="CO64" s="6"/>
      <c r="CP64" s="65"/>
      <c r="CQ64" s="66"/>
      <c r="CR64" s="15">
        <v>0</v>
      </c>
      <c r="CS64" s="6"/>
      <c r="CT64" s="6"/>
      <c r="CU64" s="6"/>
      <c r="CV64" s="6"/>
      <c r="CW64" s="6"/>
      <c r="CX64" s="6"/>
      <c r="CY64" s="6"/>
      <c r="CZ64" s="6"/>
      <c r="DA64" s="6"/>
      <c r="DB64" s="7"/>
      <c r="DD64" s="6"/>
      <c r="DE64" s="6"/>
      <c r="DF64" s="6"/>
      <c r="DG64" s="6"/>
      <c r="DH64" s="6"/>
      <c r="DI64" s="6"/>
      <c r="JV64" s="6"/>
      <c r="JW64" s="6"/>
      <c r="JX64" s="6"/>
      <c r="JY64" s="6"/>
    </row>
    <row r="65" spans="1:285" x14ac:dyDescent="0.15">
      <c r="C65" s="6"/>
      <c r="D65" s="6"/>
      <c r="E65" s="6"/>
      <c r="F65" s="14"/>
      <c r="G65" s="6"/>
      <c r="H65" s="6"/>
      <c r="I65" s="6"/>
      <c r="J65" s="6"/>
      <c r="K65" s="6"/>
      <c r="L65" s="6"/>
      <c r="M65" s="6"/>
      <c r="N65" s="74">
        <v>14</v>
      </c>
      <c r="O65" s="75"/>
      <c r="P65" s="15"/>
      <c r="Q65" s="78" t="str">
        <f>IF(P65+P66=0,"",IF(P65&gt;P66,F64,F66))</f>
        <v>Savoy  David</v>
      </c>
      <c r="R65" s="79"/>
      <c r="S65" s="79"/>
      <c r="T65" s="79"/>
      <c r="U65" s="79"/>
      <c r="V65" s="79"/>
      <c r="W65" s="79"/>
      <c r="X65" s="79"/>
      <c r="Y65" s="81"/>
      <c r="Z65" s="16"/>
      <c r="AA65" s="6"/>
      <c r="AB65" s="6"/>
      <c r="AC65" s="6"/>
      <c r="AD65" s="6"/>
      <c r="AE65" s="6"/>
      <c r="AF65" s="6"/>
      <c r="AG65" s="6"/>
      <c r="AH65" s="6"/>
      <c r="AI65" s="6"/>
      <c r="AJ65" s="16"/>
      <c r="AK65" s="6"/>
      <c r="AL65" s="6"/>
      <c r="AM65" s="6"/>
      <c r="AN65" s="6"/>
      <c r="AO65" s="6"/>
      <c r="AP65" s="6"/>
      <c r="AQ65" s="6"/>
      <c r="AR65" s="6"/>
      <c r="AS65" s="6"/>
      <c r="AT65" s="16"/>
      <c r="AU65" s="6"/>
      <c r="AV65" s="6"/>
      <c r="AW65" s="6"/>
      <c r="AX65" s="6"/>
      <c r="AY65" s="6"/>
      <c r="AZ65" s="6"/>
      <c r="BA65" s="6"/>
      <c r="BB65" s="6"/>
      <c r="BC65" s="6"/>
      <c r="BD65" s="7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V65" s="6"/>
      <c r="BW65" s="6"/>
      <c r="BX65" s="14"/>
      <c r="BY65" s="6"/>
      <c r="BZ65" s="6"/>
      <c r="CA65" s="6"/>
      <c r="CB65" s="6"/>
      <c r="CC65" s="6"/>
      <c r="CD65" s="6"/>
      <c r="CE65" s="6"/>
      <c r="CF65" s="74">
        <v>2</v>
      </c>
      <c r="CG65" s="75"/>
      <c r="CH65" s="15">
        <v>3</v>
      </c>
      <c r="CI65" s="78" t="str">
        <f>IF(CH65+CH66=0,"",IF(CH65&gt;CH66,BX64,BX66))</f>
        <v>Bellon  Antoine</v>
      </c>
      <c r="CJ65" s="79"/>
      <c r="CK65" s="79"/>
      <c r="CL65" s="79"/>
      <c r="CM65" s="79"/>
      <c r="CN65" s="79"/>
      <c r="CO65" s="79"/>
      <c r="CP65" s="79"/>
      <c r="CQ65" s="81"/>
      <c r="CR65" s="16"/>
      <c r="CS65" s="6"/>
      <c r="CT65" s="6"/>
      <c r="CU65" s="6"/>
      <c r="CV65" s="6"/>
      <c r="CW65" s="6"/>
      <c r="CX65" s="6"/>
      <c r="CY65" s="6"/>
      <c r="CZ65" s="6"/>
      <c r="DA65" s="6"/>
      <c r="DB65" s="7"/>
      <c r="DD65" s="6"/>
      <c r="DE65" s="6"/>
      <c r="DF65" s="6"/>
      <c r="DG65" s="6"/>
      <c r="DH65" s="6"/>
      <c r="DI65" s="6"/>
      <c r="DJ65" s="6"/>
      <c r="DK65" s="6"/>
      <c r="DL65" s="6"/>
      <c r="DM65" s="7"/>
      <c r="DN65" s="6"/>
      <c r="DO65" s="6"/>
      <c r="DP65" s="6"/>
      <c r="DQ65" s="6"/>
      <c r="DR65" s="6"/>
      <c r="DS65" s="6"/>
      <c r="DT65" s="6"/>
      <c r="DU65" s="6"/>
      <c r="DV65" s="6"/>
      <c r="JV65" s="6"/>
      <c r="JW65" s="6"/>
      <c r="JX65" s="6"/>
      <c r="JY65" s="6"/>
    </row>
    <row r="66" spans="1:285" x14ac:dyDescent="0.15">
      <c r="A66" s="69"/>
      <c r="B66" s="69"/>
      <c r="C66" s="70">
        <f>IF(A66&gt;0,A66,INDEX('Classements 128 j'!$CU$10:$CU$269,MATCH(10,'Classements 128 j'!$CD$10:$CD$269,0)))</f>
        <v>26</v>
      </c>
      <c r="D66" s="70"/>
      <c r="E66" s="6"/>
      <c r="F66" s="64" t="str">
        <f>IF(C66&gt;0,VLOOKUP(C66,'[3]Infos joueurs'!$B:$BT,11,FALSE)," ")&amp;"  "&amp;+IF(C66&gt;0,VLOOKUP(C66,'[3]Infos joueurs'!$B:$BT,27,FALSE),"10")</f>
        <v>Savoy  David</v>
      </c>
      <c r="G66" s="64"/>
      <c r="H66" s="64"/>
      <c r="I66" s="64"/>
      <c r="J66" s="64"/>
      <c r="K66" s="64"/>
      <c r="L66" s="64"/>
      <c r="M66" s="64"/>
      <c r="N66" s="76"/>
      <c r="O66" s="77"/>
      <c r="P66" s="15">
        <v>1</v>
      </c>
      <c r="Q66" s="6"/>
      <c r="R66" s="6"/>
      <c r="S66" s="6"/>
      <c r="T66" s="6"/>
      <c r="U66" s="6"/>
      <c r="V66" s="6"/>
      <c r="W66" s="6"/>
      <c r="X66" s="6"/>
      <c r="Y66" s="6"/>
      <c r="Z66" s="7"/>
      <c r="AA66" s="6"/>
      <c r="AB66" s="6"/>
      <c r="AC66" s="6"/>
      <c r="AD66" s="6"/>
      <c r="AE66" s="6"/>
      <c r="AF66" s="6"/>
      <c r="AG66" s="6"/>
      <c r="AH66" s="6"/>
      <c r="AI66" s="6"/>
      <c r="AJ66" s="16"/>
      <c r="AK66" s="6"/>
      <c r="AL66" s="6"/>
      <c r="AM66" s="6"/>
      <c r="AN66" s="6"/>
      <c r="AO66" s="6"/>
      <c r="AP66" s="6"/>
      <c r="AQ66" s="6"/>
      <c r="AR66" s="6"/>
      <c r="AS66" s="6"/>
      <c r="AT66" s="16"/>
      <c r="AU66" s="6"/>
      <c r="AV66" s="6"/>
      <c r="AW66" s="6"/>
      <c r="AX66" s="6"/>
      <c r="AY66" s="6"/>
      <c r="AZ66" s="6"/>
      <c r="BA66" s="6"/>
      <c r="BB66" s="6"/>
      <c r="BC66" s="6"/>
      <c r="BD66" s="7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U66" s="80">
        <v>28</v>
      </c>
      <c r="BV66" s="80"/>
      <c r="BW66" s="6"/>
      <c r="BX66" s="64" t="str">
        <f>IF(AJ67+AJ68=0,"",IF(AJ67&lt;AJ68,AA63,AA71))</f>
        <v>Marjay  David</v>
      </c>
      <c r="BY66" s="64"/>
      <c r="BZ66" s="64"/>
      <c r="CA66" s="64"/>
      <c r="CB66" s="64"/>
      <c r="CC66" s="64"/>
      <c r="CD66" s="64"/>
      <c r="CE66" s="64"/>
      <c r="CF66" s="76"/>
      <c r="CG66" s="77"/>
      <c r="CH66" s="15"/>
      <c r="CI66" s="6"/>
      <c r="CJ66" s="6"/>
      <c r="CK66" s="6"/>
      <c r="CL66" s="6"/>
      <c r="CM66" s="6"/>
      <c r="CN66" s="6"/>
      <c r="CO66" s="6"/>
      <c r="CP66" s="6"/>
      <c r="CQ66" s="6"/>
      <c r="CR66" s="7"/>
      <c r="CS66" s="6"/>
      <c r="CT66" s="6"/>
      <c r="CU66" s="6"/>
      <c r="CV66" s="6"/>
      <c r="CW66" s="6"/>
      <c r="CX66" s="6"/>
      <c r="CY66" s="6"/>
      <c r="CZ66" s="6"/>
      <c r="DA66" s="6"/>
      <c r="DB66" s="7"/>
      <c r="JV66" s="6"/>
      <c r="JW66" s="6"/>
      <c r="JX66" s="6"/>
      <c r="JY66" s="6"/>
    </row>
    <row r="67" spans="1:285" x14ac:dyDescent="0.25">
      <c r="C67" s="6"/>
      <c r="D67" s="6"/>
      <c r="E67" s="6"/>
      <c r="F67" s="14"/>
      <c r="G67" s="6"/>
      <c r="H67" s="6"/>
      <c r="I67" s="6"/>
      <c r="J67" s="6"/>
      <c r="K67" s="6"/>
      <c r="L67" s="6"/>
      <c r="M67" s="6"/>
      <c r="N67" s="6"/>
      <c r="O67" s="6"/>
      <c r="P67" s="7"/>
      <c r="Q67" s="6"/>
      <c r="R67" s="6"/>
      <c r="S67" s="6"/>
      <c r="T67" s="6"/>
      <c r="U67" s="6"/>
      <c r="V67" s="6"/>
      <c r="W67" s="6"/>
      <c r="X67" s="6"/>
      <c r="Y67" s="6"/>
      <c r="Z67" s="7"/>
      <c r="AA67" s="6"/>
      <c r="AB67" s="6"/>
      <c r="AC67" s="6"/>
      <c r="AD67" s="6"/>
      <c r="AE67" s="6"/>
      <c r="AF67" s="6"/>
      <c r="AG67" s="6"/>
      <c r="AH67" s="65">
        <v>28</v>
      </c>
      <c r="AI67" s="66"/>
      <c r="AJ67" s="15">
        <v>2</v>
      </c>
      <c r="AK67" s="67" t="str">
        <f>IF(AJ67+AJ68=0,"",IF(AJ67&gt;AJ68,AA63,AA71))</f>
        <v>Nanez  Diego</v>
      </c>
      <c r="AL67" s="68"/>
      <c r="AM67" s="68"/>
      <c r="AN67" s="68"/>
      <c r="AO67" s="68"/>
      <c r="AP67" s="68"/>
      <c r="AQ67" s="68"/>
      <c r="AR67" s="68"/>
      <c r="AS67" s="82"/>
      <c r="AT67" s="16"/>
      <c r="AU67" s="6"/>
      <c r="AV67" s="6"/>
      <c r="AW67" s="6"/>
      <c r="AX67" s="6"/>
      <c r="AY67" s="6"/>
      <c r="AZ67" s="6"/>
      <c r="BA67" s="6"/>
      <c r="BB67" s="6"/>
      <c r="BC67" s="6"/>
      <c r="BD67" s="7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JV67" s="6"/>
      <c r="JW67" s="6"/>
      <c r="JX67" s="6"/>
      <c r="JY67" s="6"/>
    </row>
    <row r="68" spans="1:285" x14ac:dyDescent="0.15">
      <c r="A68" s="69"/>
      <c r="B68" s="69"/>
      <c r="C68" s="70">
        <f>IF(A68&gt;0,A68,INDEX('Classements 128 j'!$CU$10:$CU$269,MATCH(15,'Classements 128 j'!$CD$10:$CD$269,0)))</f>
        <v>0</v>
      </c>
      <c r="D68" s="70"/>
      <c r="E68" s="6"/>
      <c r="F68" s="64" t="str">
        <f>IF(C68&gt;0,VLOOKUP(C68,'[3]Infos joueurs'!$B:$BT,11,FALSE)," ")&amp;"  "&amp;+IF(C68&gt;0,VLOOKUP(C68,'[3]Infos joueurs'!$B:$BT,27,FALSE),"15 ")</f>
        <v xml:space="preserve">   15 </v>
      </c>
      <c r="G68" s="64"/>
      <c r="H68" s="64"/>
      <c r="I68" s="64"/>
      <c r="J68" s="64"/>
      <c r="K68" s="64"/>
      <c r="L68" s="64"/>
      <c r="M68" s="64"/>
      <c r="N68" s="64"/>
      <c r="O68" s="64"/>
      <c r="P68" s="7"/>
      <c r="Q68" s="6"/>
      <c r="R68" s="6"/>
      <c r="S68" s="6"/>
      <c r="T68" s="6"/>
      <c r="U68" s="6"/>
      <c r="V68" s="6"/>
      <c r="W68" s="6"/>
      <c r="X68" s="6"/>
      <c r="Y68" s="6"/>
      <c r="Z68" s="7"/>
      <c r="AA68" s="6"/>
      <c r="AB68" s="6"/>
      <c r="AC68" s="6"/>
      <c r="AD68" s="6"/>
      <c r="AE68" s="6"/>
      <c r="AF68" s="6"/>
      <c r="AG68" s="6"/>
      <c r="AH68" s="65"/>
      <c r="AI68" s="66"/>
      <c r="AJ68" s="15">
        <v>3</v>
      </c>
      <c r="AK68" s="6"/>
      <c r="AL68" s="6"/>
      <c r="AM68" s="6"/>
      <c r="AN68" s="6"/>
      <c r="AO68" s="6"/>
      <c r="AP68" s="6"/>
      <c r="AQ68" s="6"/>
      <c r="AR68" s="6"/>
      <c r="AS68" s="6"/>
      <c r="AT68" s="7"/>
      <c r="AU68" s="6"/>
      <c r="AV68" s="6"/>
      <c r="AW68" s="6"/>
      <c r="AX68" s="6"/>
      <c r="AY68" s="6"/>
      <c r="AZ68" s="6"/>
      <c r="BA68" s="6"/>
      <c r="BB68" s="6"/>
      <c r="BC68" s="6"/>
      <c r="BD68" s="7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JV68" s="6"/>
      <c r="JW68" s="6"/>
      <c r="JX68" s="6"/>
      <c r="JY68" s="6"/>
    </row>
    <row r="69" spans="1:285" x14ac:dyDescent="0.15">
      <c r="A69" s="6"/>
      <c r="C69" s="6"/>
      <c r="D69" s="6"/>
      <c r="E69" s="6"/>
      <c r="F69" s="14"/>
      <c r="G69" s="6"/>
      <c r="H69" s="6"/>
      <c r="I69" s="6"/>
      <c r="J69" s="6"/>
      <c r="K69" s="6"/>
      <c r="L69" s="6"/>
      <c r="M69" s="6"/>
      <c r="N69" s="74">
        <v>15</v>
      </c>
      <c r="O69" s="75"/>
      <c r="P69" s="15">
        <v>3</v>
      </c>
      <c r="Q69" s="78" t="str">
        <f>IF(P69+P70=0,"",IF(P69&gt;P70,F68,F70))</f>
        <v xml:space="preserve">   15 </v>
      </c>
      <c r="R69" s="79"/>
      <c r="S69" s="79"/>
      <c r="T69" s="79"/>
      <c r="U69" s="79"/>
      <c r="V69" s="79"/>
      <c r="W69" s="79"/>
      <c r="X69" s="79"/>
      <c r="Y69" s="79"/>
      <c r="Z69" s="7"/>
      <c r="AA69" s="6"/>
      <c r="AB69" s="6"/>
      <c r="AC69" s="6"/>
      <c r="AD69" s="6"/>
      <c r="AE69" s="6"/>
      <c r="AF69" s="6"/>
      <c r="AG69" s="6"/>
      <c r="AH69" s="6"/>
      <c r="AI69" s="6"/>
      <c r="AJ69" s="16"/>
      <c r="AK69" s="6"/>
      <c r="AL69" s="6"/>
      <c r="AM69" s="6"/>
      <c r="AN69" s="6"/>
      <c r="AO69" s="6"/>
      <c r="AP69" s="6"/>
      <c r="AQ69" s="6"/>
      <c r="AR69" s="6"/>
      <c r="AS69" s="6"/>
      <c r="AT69" s="7"/>
      <c r="AU69" s="6"/>
      <c r="AV69" s="6"/>
      <c r="AW69" s="6"/>
      <c r="AX69" s="6"/>
      <c r="AY69" s="6"/>
      <c r="AZ69" s="6"/>
      <c r="BA69" s="6"/>
      <c r="BB69" s="6"/>
      <c r="BC69" s="6"/>
      <c r="BD69" s="7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JV69" s="6"/>
      <c r="JW69" s="6"/>
      <c r="JX69" s="6"/>
      <c r="JY69" s="6"/>
    </row>
    <row r="70" spans="1:285" x14ac:dyDescent="0.15">
      <c r="A70" s="69"/>
      <c r="B70" s="69"/>
      <c r="C70" s="70">
        <f>IF(A70&gt;0,A70,INDEX('Classements 128 j'!$CU$10:$CU$269,MATCH(18,'Classements 128 j'!$CD$10:$CD$269,0)))</f>
        <v>0</v>
      </c>
      <c r="D70" s="70"/>
      <c r="E70" s="6"/>
      <c r="F70" s="64" t="str">
        <f>IF(C70&gt;0,VLOOKUP(C70,'[3]Infos joueurs'!$B:$BT,11,FALSE)," ")&amp;"  "&amp;+IF(C70&gt;0,VLOOKUP(C70,'[3]Infos joueurs'!$B:$BT,27,FALSE),"18")</f>
        <v xml:space="preserve">   18</v>
      </c>
      <c r="G70" s="64"/>
      <c r="H70" s="64"/>
      <c r="I70" s="64"/>
      <c r="J70" s="64"/>
      <c r="K70" s="64"/>
      <c r="L70" s="64"/>
      <c r="M70" s="64"/>
      <c r="N70" s="76"/>
      <c r="O70" s="77"/>
      <c r="P70" s="15">
        <v>2</v>
      </c>
      <c r="Q70" s="6"/>
      <c r="R70" s="6"/>
      <c r="S70" s="6"/>
      <c r="T70" s="6"/>
      <c r="U70" s="6"/>
      <c r="V70" s="6"/>
      <c r="W70" s="6"/>
      <c r="X70" s="6"/>
      <c r="Y70" s="6"/>
      <c r="Z70" s="16"/>
      <c r="AA70" s="6"/>
      <c r="AB70" s="6"/>
      <c r="AC70" s="6"/>
      <c r="AD70" s="6"/>
      <c r="AE70" s="6"/>
      <c r="AF70" s="6"/>
      <c r="AG70" s="6"/>
      <c r="AH70" s="6"/>
      <c r="AI70" s="6"/>
      <c r="AJ70" s="16"/>
      <c r="AK70" s="6"/>
      <c r="AL70" s="6"/>
      <c r="AM70" s="6"/>
      <c r="AN70" s="6"/>
      <c r="AO70" s="6"/>
      <c r="AP70" s="6"/>
      <c r="AQ70" s="6"/>
      <c r="AR70" s="6"/>
      <c r="AS70" s="6"/>
      <c r="AT70" s="7"/>
      <c r="AU70" s="6"/>
      <c r="AV70" s="6"/>
      <c r="AW70" s="6"/>
      <c r="AX70" s="6"/>
      <c r="AY70" s="6"/>
      <c r="AZ70" s="6"/>
      <c r="BA70" s="6"/>
      <c r="BB70" s="6"/>
      <c r="BC70" s="6"/>
      <c r="BD70" s="7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U70" s="73" t="s">
        <v>155</v>
      </c>
      <c r="BV70" s="73"/>
      <c r="BW70" s="73"/>
      <c r="BX70" s="73"/>
      <c r="BY70" s="73"/>
      <c r="BZ70" s="73"/>
      <c r="CA70" s="73"/>
      <c r="CB70" s="73"/>
      <c r="CC70" s="73"/>
      <c r="CD70" s="73"/>
      <c r="CE70" s="73"/>
      <c r="CF70" s="73"/>
      <c r="CG70" s="73"/>
      <c r="CH70" s="73"/>
      <c r="CI70" s="73"/>
      <c r="CJ70" s="73"/>
      <c r="DK70" s="73" t="s">
        <v>156</v>
      </c>
      <c r="DL70" s="73"/>
      <c r="DM70" s="73"/>
      <c r="DN70" s="73"/>
      <c r="DO70" s="73"/>
      <c r="DP70" s="73"/>
      <c r="DQ70" s="73"/>
      <c r="DR70" s="73"/>
      <c r="DS70" s="73"/>
      <c r="DT70" s="73"/>
      <c r="DU70" s="73"/>
      <c r="DV70" s="73"/>
      <c r="DW70" s="73"/>
      <c r="DX70" s="73"/>
      <c r="DY70" s="73"/>
      <c r="DZ70" s="73"/>
      <c r="EG70" s="7"/>
      <c r="JV70" s="6"/>
      <c r="JW70" s="6"/>
      <c r="JX70" s="6"/>
      <c r="JY70" s="6"/>
    </row>
    <row r="71" spans="1:285" x14ac:dyDescent="0.15">
      <c r="A71" s="6"/>
      <c r="C71" s="6"/>
      <c r="D71" s="6"/>
      <c r="E71" s="6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7"/>
      <c r="Q71" s="6"/>
      <c r="R71" s="6"/>
      <c r="S71" s="6"/>
      <c r="T71" s="6"/>
      <c r="U71" s="6"/>
      <c r="V71" s="6"/>
      <c r="W71" s="6"/>
      <c r="X71" s="65">
        <v>24</v>
      </c>
      <c r="Y71" s="66"/>
      <c r="Z71" s="15">
        <v>0</v>
      </c>
      <c r="AA71" s="67" t="str">
        <f>IF(Z71+Z72=0,"",IF(Z71&gt;Z72,Q69,Q73))</f>
        <v>Nanez  Diego</v>
      </c>
      <c r="AB71" s="68"/>
      <c r="AC71" s="68"/>
      <c r="AD71" s="68"/>
      <c r="AE71" s="68"/>
      <c r="AF71" s="68"/>
      <c r="AG71" s="68"/>
      <c r="AH71" s="68"/>
      <c r="AI71" s="82"/>
      <c r="AJ71" s="16"/>
      <c r="AK71" s="6"/>
      <c r="AL71" s="6"/>
      <c r="AM71" s="6"/>
      <c r="AN71" s="6"/>
      <c r="AO71" s="6"/>
      <c r="AP71" s="6"/>
      <c r="AQ71" s="6"/>
      <c r="AR71" s="6"/>
      <c r="AS71" s="6"/>
      <c r="AT71" s="7"/>
      <c r="AU71" s="6"/>
      <c r="AV71" s="6"/>
      <c r="AW71" s="6"/>
      <c r="AX71" s="6"/>
      <c r="AY71" s="6"/>
      <c r="AZ71" s="6"/>
      <c r="BA71" s="6"/>
      <c r="BB71" s="6"/>
      <c r="BC71" s="6"/>
      <c r="BD71" s="7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U71" s="73"/>
      <c r="BV71" s="73"/>
      <c r="BW71" s="73"/>
      <c r="BX71" s="73"/>
      <c r="BY71" s="73"/>
      <c r="BZ71" s="73"/>
      <c r="CA71" s="73"/>
      <c r="CB71" s="73"/>
      <c r="CC71" s="73"/>
      <c r="CD71" s="73"/>
      <c r="CE71" s="73"/>
      <c r="CF71" s="73"/>
      <c r="CG71" s="73"/>
      <c r="CH71" s="73"/>
      <c r="CI71" s="73"/>
      <c r="CJ71" s="73"/>
      <c r="DK71" s="73"/>
      <c r="DL71" s="73"/>
      <c r="DM71" s="73"/>
      <c r="DN71" s="73"/>
      <c r="DO71" s="73"/>
      <c r="DP71" s="73"/>
      <c r="DQ71" s="73"/>
      <c r="DR71" s="73"/>
      <c r="DS71" s="73"/>
      <c r="DT71" s="73"/>
      <c r="DU71" s="73"/>
      <c r="DV71" s="73"/>
      <c r="DW71" s="73"/>
      <c r="DX71" s="73"/>
      <c r="DY71" s="73"/>
      <c r="DZ71" s="73"/>
      <c r="EG71" s="7"/>
      <c r="JV71" s="6"/>
      <c r="JW71" s="6"/>
      <c r="JX71" s="6"/>
      <c r="JY71" s="6"/>
    </row>
    <row r="72" spans="1:285" x14ac:dyDescent="0.15">
      <c r="A72" s="69"/>
      <c r="B72" s="69"/>
      <c r="C72" s="70">
        <f>IF(A72&gt;0,A72,INDEX('Classements 128 j'!$CU$10:$CU$269,MATCH(31,'Classements 128 j'!$CD$10:$CD$269,0)))</f>
        <v>0</v>
      </c>
      <c r="D72" s="70"/>
      <c r="E72" s="6"/>
      <c r="F72" s="64" t="str">
        <f>IF(C72&gt;0,VLOOKUP(C72,'[3]Infos joueurs'!$B:$BT,11,FALSE)," ")&amp;"  "&amp;+IF(C72&gt;0,VLOOKUP(C72,'[3]Infos joueurs'!$B:$BT,27,FALSE),"31")</f>
        <v xml:space="preserve">   31</v>
      </c>
      <c r="G72" s="64"/>
      <c r="H72" s="64"/>
      <c r="I72" s="64"/>
      <c r="J72" s="64"/>
      <c r="K72" s="64"/>
      <c r="L72" s="64"/>
      <c r="M72" s="64"/>
      <c r="N72" s="64"/>
      <c r="O72" s="64"/>
      <c r="P72" s="7"/>
      <c r="Q72" s="6"/>
      <c r="R72" s="6"/>
      <c r="S72" s="6"/>
      <c r="T72" s="6"/>
      <c r="U72" s="6"/>
      <c r="V72" s="6"/>
      <c r="W72" s="6"/>
      <c r="X72" s="65"/>
      <c r="Y72" s="66"/>
      <c r="Z72" s="15">
        <v>3</v>
      </c>
      <c r="AA72" s="6"/>
      <c r="AB72" s="6"/>
      <c r="AC72" s="6"/>
      <c r="AD72" s="6"/>
      <c r="AE72" s="6"/>
      <c r="AF72" s="6"/>
      <c r="AG72" s="6"/>
      <c r="AH72" s="6"/>
      <c r="AI72" s="6"/>
      <c r="AJ72" s="7"/>
      <c r="AK72" s="6"/>
      <c r="AL72" s="6"/>
      <c r="AM72" s="6"/>
      <c r="AN72" s="6"/>
      <c r="AO72" s="6"/>
      <c r="AP72" s="6"/>
      <c r="AQ72" s="6"/>
      <c r="AR72" s="6"/>
      <c r="AS72" s="6"/>
      <c r="AT72" s="7"/>
      <c r="AU72" s="6"/>
      <c r="AV72" s="6"/>
      <c r="AW72" s="6"/>
      <c r="AX72" s="6"/>
      <c r="AY72" s="6"/>
      <c r="AZ72" s="6"/>
      <c r="BA72" s="6"/>
      <c r="BB72" s="6"/>
      <c r="BC72" s="6"/>
      <c r="BD72" s="7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U72" s="73"/>
      <c r="BV72" s="73"/>
      <c r="BW72" s="73"/>
      <c r="BX72" s="73"/>
      <c r="BY72" s="73"/>
      <c r="BZ72" s="73"/>
      <c r="CA72" s="73"/>
      <c r="CB72" s="73"/>
      <c r="CC72" s="73"/>
      <c r="CD72" s="73"/>
      <c r="CE72" s="73"/>
      <c r="CF72" s="73"/>
      <c r="CG72" s="73"/>
      <c r="CH72" s="73"/>
      <c r="CI72" s="73"/>
      <c r="CJ72" s="73"/>
      <c r="DK72" s="73"/>
      <c r="DL72" s="73"/>
      <c r="DM72" s="73"/>
      <c r="DN72" s="73"/>
      <c r="DO72" s="73"/>
      <c r="DP72" s="73"/>
      <c r="DQ72" s="73"/>
      <c r="DR72" s="73"/>
      <c r="DS72" s="73"/>
      <c r="DT72" s="73"/>
      <c r="DU72" s="73"/>
      <c r="DV72" s="73"/>
      <c r="DW72" s="73"/>
      <c r="DX72" s="73"/>
      <c r="DY72" s="73"/>
      <c r="DZ72" s="73"/>
      <c r="EG72" s="7"/>
      <c r="JV72" s="6"/>
      <c r="JW72" s="6"/>
      <c r="JX72" s="6"/>
      <c r="JY72" s="6"/>
    </row>
    <row r="73" spans="1:285" x14ac:dyDescent="0.15">
      <c r="A73" s="6"/>
      <c r="C73" s="6"/>
      <c r="D73" s="6"/>
      <c r="E73" s="6"/>
      <c r="F73" s="17"/>
      <c r="G73" s="17"/>
      <c r="H73" s="17"/>
      <c r="I73" s="17"/>
      <c r="J73" s="17"/>
      <c r="K73" s="17"/>
      <c r="L73" s="17"/>
      <c r="M73" s="17"/>
      <c r="N73" s="74">
        <v>16</v>
      </c>
      <c r="O73" s="75"/>
      <c r="P73" s="15"/>
      <c r="Q73" s="78" t="str">
        <f>IF(P73+P74=0,"",IF(P73&gt;P74,F72,F74))</f>
        <v>Nanez  Diego</v>
      </c>
      <c r="R73" s="79"/>
      <c r="S73" s="79"/>
      <c r="T73" s="79"/>
      <c r="U73" s="79"/>
      <c r="V73" s="79"/>
      <c r="W73" s="79"/>
      <c r="X73" s="79"/>
      <c r="Y73" s="81"/>
      <c r="Z73" s="16"/>
      <c r="AA73" s="6"/>
      <c r="AB73" s="6"/>
      <c r="AC73" s="6"/>
      <c r="AD73" s="6"/>
      <c r="AE73" s="6"/>
      <c r="AF73" s="6"/>
      <c r="AG73" s="6"/>
      <c r="AH73" s="6"/>
      <c r="AI73" s="6"/>
      <c r="AJ73" s="7"/>
      <c r="AK73" s="6"/>
      <c r="AL73" s="6"/>
      <c r="AM73" s="6"/>
      <c r="AN73" s="6"/>
      <c r="AO73" s="6"/>
      <c r="AP73" s="6"/>
      <c r="AQ73" s="6"/>
      <c r="AR73" s="6"/>
      <c r="AS73" s="6"/>
      <c r="AT73" s="7"/>
      <c r="AU73" s="6"/>
      <c r="AV73" s="6"/>
      <c r="JV73" s="6"/>
      <c r="JW73" s="6"/>
      <c r="JX73" s="6"/>
      <c r="JY73" s="6"/>
    </row>
    <row r="74" spans="1:285" x14ac:dyDescent="0.15">
      <c r="A74" s="69"/>
      <c r="B74" s="69"/>
      <c r="C74" s="70">
        <f>IF(A74&gt;0,A74,INDEX('Classements 128 j'!$CU$10:$CU$269,MATCH(2,'Classements 128 j'!$CD$10:$CD$269,0)))</f>
        <v>10</v>
      </c>
      <c r="D74" s="70"/>
      <c r="E74" s="6"/>
      <c r="F74" s="64" t="str">
        <f>IF(C74&gt;0,VLOOKUP(C74,'[3]Infos joueurs'!$B:$BT,11,FALSE)," ")&amp;"  "&amp;+IF(C74&gt;0,VLOOKUP(C74,'[3]Infos joueurs'!$B:$BT,27,FALSE),"2 ")</f>
        <v>Nanez  Diego</v>
      </c>
      <c r="G74" s="64"/>
      <c r="H74" s="64"/>
      <c r="I74" s="64"/>
      <c r="J74" s="64"/>
      <c r="K74" s="64"/>
      <c r="L74" s="64"/>
      <c r="M74" s="64"/>
      <c r="N74" s="76"/>
      <c r="O74" s="77"/>
      <c r="P74" s="15">
        <v>1</v>
      </c>
      <c r="Q74" s="6"/>
      <c r="R74" s="6"/>
      <c r="S74" s="6"/>
      <c r="T74" s="6"/>
      <c r="U74" s="6"/>
      <c r="V74" s="6"/>
      <c r="W74" s="6"/>
      <c r="X74" s="6"/>
      <c r="Y74" s="6"/>
      <c r="Z74" s="7"/>
      <c r="AA74" s="6"/>
      <c r="AB74" s="6"/>
      <c r="AC74" s="6"/>
      <c r="AD74" s="6"/>
      <c r="AE74" s="6"/>
      <c r="AF74" s="6"/>
      <c r="AG74" s="6"/>
      <c r="AH74" s="6"/>
      <c r="AI74" s="6"/>
      <c r="AJ74" s="7"/>
      <c r="AK74" s="6"/>
      <c r="AL74" s="6"/>
      <c r="AM74" s="6"/>
      <c r="AN74" s="6"/>
      <c r="AO74" s="6"/>
      <c r="AP74" s="6"/>
      <c r="AQ74" s="6"/>
      <c r="AR74" s="6"/>
      <c r="AS74" s="6"/>
      <c r="AT74" s="7"/>
      <c r="AU74" s="6"/>
      <c r="BU74" s="80">
        <v>9</v>
      </c>
      <c r="BV74" s="80"/>
      <c r="BX74" s="64" t="str">
        <f>IF(Y111+Y112=0,"",IF(Y111&lt;Y112,P109,P113))</f>
        <v xml:space="preserve">   24 </v>
      </c>
      <c r="BY74" s="64"/>
      <c r="BZ74" s="64"/>
      <c r="CA74" s="64"/>
      <c r="CB74" s="64"/>
      <c r="CC74" s="64"/>
      <c r="CD74" s="64"/>
      <c r="CE74" s="64"/>
      <c r="CF74" s="64"/>
      <c r="CG74" s="7"/>
      <c r="CH74" s="6"/>
      <c r="CI74" s="6"/>
      <c r="CJ74" s="6"/>
      <c r="CK74" s="6"/>
      <c r="CL74" s="6"/>
      <c r="CM74" s="6"/>
      <c r="CN74" s="6"/>
      <c r="CO74" s="6"/>
      <c r="CP74" s="6"/>
      <c r="CQ74" s="7"/>
      <c r="CR74" s="6"/>
      <c r="CS74" s="6"/>
      <c r="CT74" s="6"/>
      <c r="CU74" s="6"/>
      <c r="CV74" s="6"/>
      <c r="CW74" s="6"/>
      <c r="CX74" s="6"/>
      <c r="CY74" s="6"/>
      <c r="CZ74" s="6"/>
      <c r="DA74" s="7"/>
      <c r="DK74" s="80">
        <v>1</v>
      </c>
      <c r="DL74" s="80"/>
      <c r="DN74" s="64" t="str">
        <f>IF(CG75+CG76=0,"",IF(CG75&lt;CG76,BX74,BX76))</f>
        <v xml:space="preserve">   24 </v>
      </c>
      <c r="DO74" s="64"/>
      <c r="DP74" s="64"/>
      <c r="DQ74" s="64"/>
      <c r="DR74" s="64"/>
      <c r="DS74" s="64"/>
      <c r="DT74" s="64"/>
      <c r="DU74" s="64"/>
      <c r="DV74" s="64"/>
      <c r="DW74" s="7"/>
      <c r="DX74" s="6"/>
      <c r="DY74" s="6"/>
      <c r="DZ74" s="6"/>
      <c r="EA74" s="6"/>
      <c r="EB74" s="6"/>
      <c r="EC74" s="6"/>
      <c r="ED74" s="6"/>
      <c r="EE74" s="6"/>
      <c r="EF74" s="6"/>
      <c r="JV74" s="6"/>
      <c r="JW74" s="6"/>
      <c r="JX74" s="6"/>
      <c r="JY74" s="6"/>
    </row>
    <row r="75" spans="1:285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7"/>
      <c r="Q75" s="6"/>
      <c r="R75" s="6"/>
      <c r="S75" s="6"/>
      <c r="T75" s="6"/>
      <c r="U75" s="6"/>
      <c r="V75" s="6"/>
      <c r="W75" s="6"/>
      <c r="X75" s="6"/>
      <c r="Y75" s="6"/>
      <c r="Z75" s="7"/>
      <c r="AA75" s="6"/>
      <c r="AB75" s="6"/>
      <c r="AC75" s="6"/>
      <c r="AD75" s="6"/>
      <c r="AE75" s="6"/>
      <c r="AF75" s="6"/>
      <c r="AG75" s="6"/>
      <c r="AH75" s="6"/>
      <c r="AI75" s="6"/>
      <c r="AJ75" s="7"/>
      <c r="AK75" s="6"/>
      <c r="AL75" s="6"/>
      <c r="AM75" s="6"/>
      <c r="AN75" s="73" t="s">
        <v>157</v>
      </c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3"/>
      <c r="BB75" s="73"/>
      <c r="BC75" s="73"/>
      <c r="BD75" s="6"/>
      <c r="BE75" s="6"/>
      <c r="BF75" s="6"/>
      <c r="BG75" s="6"/>
      <c r="BH75" s="6"/>
      <c r="BI75" s="6"/>
      <c r="BX75" s="14"/>
      <c r="BY75" s="6"/>
      <c r="BZ75" s="6"/>
      <c r="CA75" s="6"/>
      <c r="CB75" s="6"/>
      <c r="CC75" s="6"/>
      <c r="CD75" s="6"/>
      <c r="CE75" s="74">
        <v>1</v>
      </c>
      <c r="CF75" s="75"/>
      <c r="CG75" s="15"/>
      <c r="CH75" s="79" t="str">
        <f>IF(CG75+CG76=0,"",IF(CG75&gt;CG76,BX74,BX76))</f>
        <v>Derivaz  Valentin</v>
      </c>
      <c r="CI75" s="79"/>
      <c r="CJ75" s="79"/>
      <c r="CK75" s="79"/>
      <c r="CL75" s="79"/>
      <c r="CM75" s="79"/>
      <c r="CN75" s="79"/>
      <c r="CO75" s="79"/>
      <c r="CP75" s="79"/>
      <c r="CQ75" s="7"/>
      <c r="CR75" s="6"/>
      <c r="CS75" s="6"/>
      <c r="CT75" s="6"/>
      <c r="CU75" s="6"/>
      <c r="CV75" s="6"/>
      <c r="CW75" s="6"/>
      <c r="CX75" s="6"/>
      <c r="CY75" s="6"/>
      <c r="CZ75" s="6"/>
      <c r="DA75" s="7"/>
      <c r="DN75" s="14"/>
      <c r="DO75" s="6"/>
      <c r="DP75" s="6"/>
      <c r="DQ75" s="6"/>
      <c r="DR75" s="6"/>
      <c r="DS75" s="6"/>
      <c r="DT75" s="6"/>
      <c r="DU75" s="74">
        <v>1</v>
      </c>
      <c r="DV75" s="75"/>
      <c r="DW75" s="15">
        <v>3</v>
      </c>
      <c r="DX75" s="78" t="str">
        <f>IF(DW75+DW76=0,"",IF(DW75&gt;DW76,DN74,DN76))</f>
        <v xml:space="preserve">   24 </v>
      </c>
      <c r="DY75" s="79"/>
      <c r="DZ75" s="79"/>
      <c r="EA75" s="79"/>
      <c r="EB75" s="79"/>
      <c r="EC75" s="79"/>
      <c r="ED75" s="79"/>
      <c r="EE75" s="79"/>
      <c r="EF75" s="79"/>
      <c r="JV75" s="6"/>
      <c r="JW75" s="6"/>
      <c r="JX75" s="6"/>
      <c r="JY75" s="6"/>
    </row>
    <row r="76" spans="1:285" x14ac:dyDescent="0.15">
      <c r="A76" s="6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73"/>
      <c r="BD76" s="6"/>
      <c r="BE76" s="6"/>
      <c r="BF76" s="6"/>
      <c r="BG76" s="6"/>
      <c r="BH76" s="6"/>
      <c r="BI76" s="6"/>
      <c r="BU76" s="80">
        <v>10</v>
      </c>
      <c r="BV76" s="80"/>
      <c r="BX76" s="64" t="str">
        <f>IF(Y119+Y120=0,"",IF(Y119&lt;Y120,P117,P121))</f>
        <v>Derivaz  Valentin</v>
      </c>
      <c r="BY76" s="64"/>
      <c r="BZ76" s="64"/>
      <c r="CA76" s="64"/>
      <c r="CB76" s="64"/>
      <c r="CC76" s="64"/>
      <c r="CD76" s="64"/>
      <c r="CE76" s="76"/>
      <c r="CF76" s="77"/>
      <c r="CG76" s="15">
        <v>3</v>
      </c>
      <c r="CH76" s="6"/>
      <c r="CI76" s="6"/>
      <c r="CJ76" s="6"/>
      <c r="CK76" s="6"/>
      <c r="CL76" s="6"/>
      <c r="CM76" s="6"/>
      <c r="CN76" s="6"/>
      <c r="CO76" s="6"/>
      <c r="CP76" s="6"/>
      <c r="CQ76" s="16"/>
      <c r="CR76" s="6"/>
      <c r="CS76" s="6"/>
      <c r="CT76" s="6"/>
      <c r="CU76" s="6"/>
      <c r="CV76" s="6"/>
      <c r="CW76" s="6"/>
      <c r="CX76" s="6"/>
      <c r="CY76" s="6"/>
      <c r="CZ76" s="6"/>
      <c r="DA76" s="7"/>
      <c r="DK76" s="80">
        <v>2</v>
      </c>
      <c r="DL76" s="80"/>
      <c r="DN76" s="64" t="str">
        <f>IF(CG79+CG80=0,"",IF(CG79&lt;CG80,BX78,BX80))</f>
        <v xml:space="preserve">   26 </v>
      </c>
      <c r="DO76" s="64"/>
      <c r="DP76" s="64"/>
      <c r="DQ76" s="64"/>
      <c r="DR76" s="64"/>
      <c r="DS76" s="64"/>
      <c r="DT76" s="64"/>
      <c r="DU76" s="76"/>
      <c r="DV76" s="77"/>
      <c r="DW76" s="15"/>
      <c r="DX76" s="6"/>
      <c r="DY76" s="6"/>
      <c r="DZ76" s="6"/>
      <c r="EA76" s="6"/>
      <c r="EB76" s="6"/>
      <c r="EC76" s="6"/>
      <c r="ED76" s="6"/>
      <c r="EE76" s="6"/>
      <c r="EF76" s="6"/>
      <c r="JV76" s="6"/>
      <c r="JW76" s="6"/>
      <c r="JX76" s="6"/>
      <c r="JY76" s="6"/>
    </row>
    <row r="77" spans="1:285" x14ac:dyDescent="0.25">
      <c r="A77" s="6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3"/>
      <c r="BB77" s="73"/>
      <c r="BC77" s="73"/>
      <c r="BH77" s="6"/>
      <c r="BI77" s="6"/>
      <c r="BX77" s="14"/>
      <c r="BY77" s="6"/>
      <c r="BZ77" s="6"/>
      <c r="CA77" s="6"/>
      <c r="CB77" s="6"/>
      <c r="CC77" s="6"/>
      <c r="CD77" s="6"/>
      <c r="CE77" s="6"/>
      <c r="CF77" s="6"/>
      <c r="CG77" s="7"/>
      <c r="CH77" s="6"/>
      <c r="CI77" s="6"/>
      <c r="CJ77" s="6"/>
      <c r="CK77" s="6"/>
      <c r="CL77" s="6"/>
      <c r="CM77" s="6"/>
      <c r="CN77" s="6"/>
      <c r="CO77" s="65">
        <v>3</v>
      </c>
      <c r="CP77" s="66"/>
      <c r="CQ77" s="15">
        <v>3</v>
      </c>
      <c r="CR77" s="67" t="str">
        <f>IF(CQ77+CQ78=0,"",IF(CQ77&gt;CQ78,CH75,CH79))</f>
        <v>Derivaz  Valentin</v>
      </c>
      <c r="CS77" s="68"/>
      <c r="CT77" s="68"/>
      <c r="CU77" s="68"/>
      <c r="CV77" s="68"/>
      <c r="CW77" s="68"/>
      <c r="CX77" s="68"/>
      <c r="CY77" s="68"/>
      <c r="CZ77" s="68"/>
      <c r="DA77" s="7"/>
      <c r="JV77" s="6"/>
      <c r="JW77" s="6"/>
      <c r="JX77" s="6"/>
      <c r="JY77" s="6"/>
    </row>
    <row r="78" spans="1:285" x14ac:dyDescent="0.15">
      <c r="A78" s="6"/>
      <c r="AS78" s="8"/>
      <c r="AU78" s="10"/>
      <c r="BC78" s="8"/>
      <c r="BH78" s="6"/>
      <c r="BI78" s="6"/>
      <c r="BU78" s="80">
        <v>11</v>
      </c>
      <c r="BV78" s="80"/>
      <c r="BX78" s="64" t="str">
        <f>IF(Y127+Y128=0,"",IF(Y127&lt;Y128,P125,P129))</f>
        <v xml:space="preserve">   22 </v>
      </c>
      <c r="BY78" s="64"/>
      <c r="BZ78" s="64"/>
      <c r="CA78" s="64"/>
      <c r="CB78" s="64"/>
      <c r="CC78" s="64"/>
      <c r="CD78" s="64"/>
      <c r="CE78" s="64"/>
      <c r="CF78" s="64"/>
      <c r="CG78" s="7"/>
      <c r="CH78" s="6"/>
      <c r="CI78" s="6"/>
      <c r="CJ78" s="6"/>
      <c r="CK78" s="6"/>
      <c r="CL78" s="6"/>
      <c r="CM78" s="6"/>
      <c r="CN78" s="6"/>
      <c r="CO78" s="65"/>
      <c r="CP78" s="66"/>
      <c r="CQ78" s="15">
        <v>2</v>
      </c>
      <c r="CR78" s="6"/>
      <c r="CS78" s="6"/>
      <c r="CT78" s="6"/>
      <c r="CU78" s="6"/>
      <c r="CV78" s="6"/>
      <c r="CW78" s="6"/>
      <c r="CX78" s="6"/>
      <c r="CY78" s="6"/>
      <c r="CZ78" s="6"/>
      <c r="DA78" s="7"/>
      <c r="JV78" s="6"/>
      <c r="JW78" s="6"/>
      <c r="JX78" s="6"/>
      <c r="JY78" s="6"/>
    </row>
    <row r="79" spans="1:285" x14ac:dyDescent="0.15">
      <c r="A79" s="6"/>
      <c r="AN79" s="80">
        <v>29</v>
      </c>
      <c r="AO79" s="80"/>
      <c r="AP79" s="6"/>
      <c r="AQ79" s="64" t="str">
        <f>IF(AT27+AT28=0,"",IF(AT27&lt;AT28,AK19,AK35))</f>
        <v>Germanier  Enzo</v>
      </c>
      <c r="AR79" s="64"/>
      <c r="AS79" s="64"/>
      <c r="AT79" s="64"/>
      <c r="AU79" s="64"/>
      <c r="AV79" s="64"/>
      <c r="AW79" s="64"/>
      <c r="AX79" s="64"/>
      <c r="AY79" s="64"/>
      <c r="AZ79" s="7"/>
      <c r="BA79" s="6"/>
      <c r="BB79" s="6"/>
      <c r="BC79" s="6"/>
      <c r="BD79" s="6"/>
      <c r="BE79" s="6"/>
      <c r="BF79" s="6"/>
      <c r="BG79" s="6"/>
      <c r="BH79" s="6"/>
      <c r="BI79" s="6"/>
      <c r="BX79" s="14"/>
      <c r="BY79" s="6"/>
      <c r="BZ79" s="6"/>
      <c r="CA79" s="6"/>
      <c r="CB79" s="6"/>
      <c r="CC79" s="6"/>
      <c r="CD79" s="6"/>
      <c r="CE79" s="74">
        <v>2</v>
      </c>
      <c r="CF79" s="75"/>
      <c r="CG79" s="15">
        <v>3</v>
      </c>
      <c r="CH79" s="78" t="str">
        <f>IF(CG79+CG80=0,"",IF(CG79&gt;CG80,BX78,BX80))</f>
        <v xml:space="preserve">   22 </v>
      </c>
      <c r="CI79" s="79"/>
      <c r="CJ79" s="79"/>
      <c r="CK79" s="79"/>
      <c r="CL79" s="79"/>
      <c r="CM79" s="79"/>
      <c r="CN79" s="79"/>
      <c r="CO79" s="79"/>
      <c r="CP79" s="81"/>
      <c r="CQ79" s="16"/>
      <c r="CR79" s="6"/>
      <c r="CS79" s="6"/>
      <c r="CT79" s="6"/>
      <c r="CU79" s="6"/>
      <c r="CV79" s="6"/>
      <c r="CW79" s="6"/>
      <c r="CX79" s="6"/>
      <c r="CY79" s="6"/>
      <c r="CZ79" s="6"/>
      <c r="DA79" s="7"/>
      <c r="JV79" s="6"/>
      <c r="JW79" s="6"/>
      <c r="JX79" s="6"/>
      <c r="JY79" s="6"/>
    </row>
    <row r="80" spans="1:285" x14ac:dyDescent="0.15">
      <c r="A80" s="6"/>
      <c r="AO80" s="6"/>
      <c r="AP80" s="6"/>
      <c r="AQ80" s="14"/>
      <c r="AR80" s="6"/>
      <c r="AS80" s="6"/>
      <c r="AT80" s="6"/>
      <c r="AU80" s="6"/>
      <c r="AV80" s="6"/>
      <c r="AW80" s="6"/>
      <c r="AX80" s="74">
        <v>1</v>
      </c>
      <c r="AY80" s="75"/>
      <c r="AZ80" s="15">
        <v>3</v>
      </c>
      <c r="BA80" s="79" t="str">
        <f>IF(AZ80+AZ81=0,"",IF(AZ80&gt;AZ81,AQ79,AQ81))</f>
        <v>Germanier  Enzo</v>
      </c>
      <c r="BB80" s="79"/>
      <c r="BC80" s="79"/>
      <c r="BD80" s="79"/>
      <c r="BE80" s="79"/>
      <c r="BF80" s="79"/>
      <c r="BG80" s="79"/>
      <c r="BH80" s="79"/>
      <c r="BI80" s="79"/>
      <c r="BU80" s="80">
        <v>12</v>
      </c>
      <c r="BV80" s="80"/>
      <c r="BX80" s="64" t="str">
        <f>IF(Y135+Y136=0,"",IF(Y135&lt;Y136,P133,P137))</f>
        <v xml:space="preserve">   26 </v>
      </c>
      <c r="BY80" s="64"/>
      <c r="BZ80" s="64"/>
      <c r="CA80" s="64"/>
      <c r="CB80" s="64"/>
      <c r="CC80" s="64"/>
      <c r="CD80" s="64"/>
      <c r="CE80" s="76"/>
      <c r="CF80" s="77"/>
      <c r="CG80" s="15"/>
      <c r="CH80" s="6"/>
      <c r="CI80" s="6"/>
      <c r="CJ80" s="6"/>
      <c r="CK80" s="6"/>
      <c r="CL80" s="6"/>
      <c r="CM80" s="6"/>
      <c r="CN80" s="6"/>
      <c r="CO80" s="6"/>
      <c r="CP80" s="6"/>
      <c r="CQ80" s="7"/>
      <c r="CR80" s="6"/>
      <c r="CS80" s="6"/>
      <c r="CT80" s="6"/>
      <c r="CU80" s="6"/>
      <c r="CV80" s="6"/>
      <c r="CW80" s="6"/>
      <c r="CX80" s="6"/>
      <c r="CY80" s="6"/>
      <c r="CZ80" s="6"/>
      <c r="DA80" s="7"/>
      <c r="JV80" s="6"/>
      <c r="JW80" s="6"/>
      <c r="JX80" s="6"/>
      <c r="JY80" s="6"/>
    </row>
    <row r="81" spans="1:285" x14ac:dyDescent="0.15">
      <c r="A81" s="6"/>
      <c r="AN81" s="80">
        <v>30</v>
      </c>
      <c r="AO81" s="80"/>
      <c r="AP81" s="6"/>
      <c r="AQ81" s="64" t="str">
        <f>IF(AT59+AT60=0,"",IF(AT59&lt;AT60,AK51,AK67))</f>
        <v>Nanez  Diego</v>
      </c>
      <c r="AR81" s="64"/>
      <c r="AS81" s="64"/>
      <c r="AT81" s="64"/>
      <c r="AU81" s="64"/>
      <c r="AV81" s="64"/>
      <c r="AW81" s="64"/>
      <c r="AX81" s="76"/>
      <c r="AY81" s="77"/>
      <c r="AZ81" s="15">
        <v>1</v>
      </c>
      <c r="BA81" s="6"/>
      <c r="BB81" s="6"/>
      <c r="BC81" s="6"/>
      <c r="BD81" s="6"/>
      <c r="BE81" s="6"/>
      <c r="BF81" s="6"/>
      <c r="BG81" s="6"/>
      <c r="BH81" s="6"/>
      <c r="BI81" s="6"/>
      <c r="JV81" s="6"/>
      <c r="JW81" s="6"/>
      <c r="JX81" s="6"/>
      <c r="JY81" s="6"/>
    </row>
    <row r="82" spans="1:285" x14ac:dyDescent="0.25">
      <c r="A82" s="6"/>
      <c r="AS82" s="8"/>
      <c r="BC82" s="8"/>
      <c r="BP82" s="6"/>
      <c r="BQ82" s="6"/>
      <c r="BR82" s="6"/>
      <c r="JV82" s="6"/>
      <c r="JW82" s="6"/>
      <c r="JX82" s="6"/>
      <c r="JY82" s="6"/>
    </row>
    <row r="83" spans="1:285" x14ac:dyDescent="0.25">
      <c r="A83" s="6"/>
      <c r="BP83" s="6"/>
      <c r="BQ83" s="6"/>
      <c r="BR83" s="6"/>
      <c r="JV83" s="6"/>
      <c r="JW83" s="6"/>
      <c r="JX83" s="6"/>
      <c r="JY83" s="6"/>
    </row>
    <row r="84" spans="1:285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7"/>
      <c r="Q84" s="6"/>
      <c r="R84" s="6"/>
      <c r="S84" s="6"/>
      <c r="T84" s="6"/>
      <c r="U84" s="6"/>
      <c r="V84" s="6"/>
      <c r="W84" s="6"/>
      <c r="X84" s="6"/>
      <c r="Y84" s="6"/>
      <c r="Z84" s="7"/>
      <c r="AA84" s="6"/>
      <c r="AB84" s="6"/>
      <c r="AC84" s="6"/>
      <c r="AD84" s="6"/>
      <c r="AE84" s="6"/>
      <c r="AF84" s="6"/>
      <c r="AG84" s="6"/>
      <c r="AH84" s="6"/>
      <c r="AI84" s="6"/>
      <c r="AJ84" s="7"/>
      <c r="AK84" s="6"/>
      <c r="AL84" s="6"/>
      <c r="AM84" s="6"/>
      <c r="AN84" s="6"/>
      <c r="AO84" s="6"/>
      <c r="AP84" s="6"/>
      <c r="AQ84" s="6"/>
      <c r="AR84" s="6"/>
      <c r="AS84" s="6"/>
      <c r="AT84" s="7"/>
      <c r="AU84" s="6"/>
      <c r="AV84" s="6"/>
      <c r="AW84" s="6"/>
      <c r="AX84" s="6"/>
      <c r="AY84" s="6"/>
      <c r="AZ84" s="6"/>
      <c r="BA84" s="6"/>
      <c r="BB84" s="6"/>
      <c r="BC84" s="6"/>
      <c r="BD84" s="7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U84" s="73" t="s">
        <v>158</v>
      </c>
      <c r="BV84" s="73"/>
      <c r="BW84" s="73"/>
      <c r="BX84" s="73"/>
      <c r="BY84" s="73"/>
      <c r="BZ84" s="73"/>
      <c r="CA84" s="73"/>
      <c r="CB84" s="73"/>
      <c r="CC84" s="73"/>
      <c r="CD84" s="73"/>
      <c r="CE84" s="73"/>
      <c r="CF84" s="73"/>
      <c r="CG84" s="73"/>
      <c r="CH84" s="73"/>
      <c r="CI84" s="73"/>
      <c r="CJ84" s="73"/>
      <c r="JV84" s="6"/>
      <c r="JW84" s="6"/>
      <c r="JX84" s="6"/>
      <c r="JY84" s="6"/>
    </row>
    <row r="85" spans="1:285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7"/>
      <c r="Q85" s="6"/>
      <c r="R85" s="6"/>
      <c r="S85" s="6"/>
      <c r="T85" s="6"/>
      <c r="U85" s="6"/>
      <c r="V85" s="6"/>
      <c r="W85" s="6"/>
      <c r="X85" s="6"/>
      <c r="Y85" s="6"/>
      <c r="Z85" s="7"/>
      <c r="AA85" s="6"/>
      <c r="AB85" s="6"/>
      <c r="AC85" s="6"/>
      <c r="AD85" s="6"/>
      <c r="AE85" s="6"/>
      <c r="AF85" s="6"/>
      <c r="AG85" s="6"/>
      <c r="AH85" s="6"/>
      <c r="AI85" s="6"/>
      <c r="AJ85" s="7"/>
      <c r="AK85" s="6"/>
      <c r="AL85" s="6"/>
      <c r="AM85" s="6"/>
      <c r="AN85" s="6"/>
      <c r="AO85" s="6"/>
      <c r="AP85" s="6"/>
      <c r="AQ85" s="6"/>
      <c r="AR85" s="6"/>
      <c r="AS85" s="6"/>
      <c r="AT85" s="7"/>
      <c r="AU85" s="6"/>
      <c r="AV85" s="6"/>
      <c r="AW85" s="6"/>
      <c r="AX85" s="6"/>
      <c r="AY85" s="6"/>
      <c r="AZ85" s="6"/>
      <c r="BA85" s="6"/>
      <c r="BB85" s="6"/>
      <c r="BC85" s="6"/>
      <c r="BD85" s="7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U85" s="73"/>
      <c r="BV85" s="73"/>
      <c r="BW85" s="73"/>
      <c r="BX85" s="73"/>
      <c r="BY85" s="73"/>
      <c r="BZ85" s="73"/>
      <c r="CA85" s="73"/>
      <c r="CB85" s="73"/>
      <c r="CC85" s="73"/>
      <c r="CD85" s="73"/>
      <c r="CE85" s="73"/>
      <c r="CF85" s="73"/>
      <c r="CG85" s="73"/>
      <c r="CH85" s="73"/>
      <c r="CI85" s="73"/>
      <c r="CJ85" s="73"/>
      <c r="JV85" s="6"/>
      <c r="JW85" s="6"/>
      <c r="JX85" s="6"/>
      <c r="JY85" s="6"/>
    </row>
    <row r="86" spans="1:285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7"/>
      <c r="P86" s="6"/>
      <c r="Q86" s="6"/>
      <c r="R86" s="6"/>
      <c r="S86" s="6"/>
      <c r="T86" s="6"/>
      <c r="U86" s="6"/>
      <c r="V86" s="6"/>
      <c r="W86" s="6"/>
      <c r="X86" s="6"/>
      <c r="Y86" s="7"/>
      <c r="Z86" s="6"/>
      <c r="AA86" s="6"/>
      <c r="AB86" s="6"/>
      <c r="AC86" s="6"/>
      <c r="AD86" s="6"/>
      <c r="AE86" s="6"/>
      <c r="AF86" s="6"/>
      <c r="AG86" s="6"/>
      <c r="AH86" s="6"/>
      <c r="AI86" s="7"/>
      <c r="AJ86" s="6"/>
      <c r="AK86" s="6"/>
      <c r="AL86" s="6"/>
      <c r="AM86" s="6"/>
      <c r="AN86" s="6"/>
      <c r="AO86" s="6"/>
      <c r="AP86" s="6"/>
      <c r="AQ86" s="6"/>
      <c r="AR86" s="6"/>
      <c r="AS86" s="7"/>
      <c r="AT86" s="6"/>
      <c r="AU86" s="6"/>
      <c r="AV86" s="6"/>
      <c r="AW86" s="6"/>
      <c r="AX86" s="6"/>
      <c r="AY86" s="6"/>
      <c r="AZ86" s="6"/>
      <c r="BA86" s="6"/>
      <c r="BB86" s="6"/>
      <c r="BC86" s="7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U86" s="73"/>
      <c r="BV86" s="73"/>
      <c r="BW86" s="73"/>
      <c r="BX86" s="73"/>
      <c r="BY86" s="73"/>
      <c r="BZ86" s="73"/>
      <c r="CA86" s="73"/>
      <c r="CB86" s="73"/>
      <c r="CC86" s="73"/>
      <c r="CD86" s="73"/>
      <c r="CE86" s="73"/>
      <c r="CF86" s="73"/>
      <c r="CG86" s="73"/>
      <c r="CH86" s="73"/>
      <c r="CI86" s="73"/>
      <c r="CJ86" s="73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7"/>
      <c r="HW86" s="6"/>
      <c r="HX86" s="6"/>
      <c r="HY86" s="6"/>
      <c r="HZ86" s="6"/>
      <c r="IA86" s="6"/>
      <c r="IB86" s="6"/>
      <c r="IC86" s="6"/>
      <c r="ID86" s="6"/>
      <c r="IE86" s="6"/>
      <c r="IF86" s="7"/>
      <c r="IG86" s="6"/>
      <c r="IH86" s="6"/>
      <c r="II86" s="6"/>
      <c r="IJ86" s="6"/>
      <c r="IK86" s="6"/>
      <c r="IL86" s="6"/>
      <c r="IM86" s="6"/>
      <c r="IN86" s="6"/>
      <c r="IO86" s="6"/>
      <c r="IP86" s="7"/>
      <c r="IQ86" s="6"/>
      <c r="IR86" s="6"/>
      <c r="IS86" s="6"/>
      <c r="IT86" s="6"/>
      <c r="IU86" s="6"/>
      <c r="IV86" s="6"/>
      <c r="IW86" s="6"/>
      <c r="IX86" s="6"/>
      <c r="IY86" s="6"/>
      <c r="IZ86" s="7"/>
      <c r="JA86" s="6"/>
      <c r="JB86" s="6"/>
      <c r="JC86" s="6"/>
      <c r="JD86" s="6"/>
      <c r="JE86" s="6"/>
      <c r="JF86" s="6"/>
      <c r="JG86" s="6"/>
      <c r="JH86" s="6"/>
      <c r="JI86" s="6"/>
      <c r="JJ86" s="7"/>
      <c r="JK86" s="6"/>
      <c r="JL86" s="6"/>
      <c r="JM86" s="6"/>
      <c r="JN86" s="6"/>
      <c r="JO86" s="6"/>
      <c r="JP86" s="6"/>
      <c r="JQ86" s="6"/>
      <c r="JR86" s="6"/>
      <c r="JS86" s="6"/>
      <c r="JT86" s="6"/>
      <c r="JU86" s="6"/>
      <c r="JV86" s="6"/>
      <c r="JW86" s="6"/>
      <c r="JX86" s="6"/>
      <c r="JY86" s="6"/>
    </row>
    <row r="87" spans="1:285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7"/>
      <c r="P87" s="6"/>
      <c r="Q87" s="6"/>
      <c r="R87" s="6"/>
      <c r="S87" s="6"/>
      <c r="T87" s="6"/>
      <c r="U87" s="6"/>
      <c r="V87" s="6"/>
      <c r="W87" s="6"/>
      <c r="X87" s="6"/>
      <c r="Y87" s="7"/>
      <c r="Z87" s="6"/>
      <c r="AA87" s="6"/>
      <c r="AB87" s="6"/>
      <c r="AC87" s="6"/>
      <c r="AD87" s="6"/>
      <c r="AE87" s="6"/>
      <c r="AF87" s="6"/>
      <c r="AG87" s="6"/>
      <c r="AH87" s="6"/>
      <c r="AI87" s="7"/>
      <c r="AJ87" s="6"/>
      <c r="AK87" s="6"/>
      <c r="AL87" s="6"/>
      <c r="AM87" s="6"/>
      <c r="AN87" s="6"/>
      <c r="AO87" s="6"/>
      <c r="AP87" s="6"/>
      <c r="AQ87" s="6"/>
      <c r="AR87" s="6"/>
      <c r="AS87" s="7"/>
      <c r="AT87" s="6"/>
      <c r="AU87" s="6"/>
      <c r="AV87" s="6"/>
      <c r="AW87" s="6"/>
      <c r="AX87" s="6"/>
      <c r="AY87" s="6"/>
      <c r="AZ87" s="6"/>
      <c r="BA87" s="6"/>
      <c r="BB87" s="6"/>
      <c r="BC87" s="7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</row>
    <row r="88" spans="1:285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7"/>
      <c r="P88" s="6"/>
      <c r="Q88" s="6"/>
      <c r="R88" s="6"/>
      <c r="S88" s="6"/>
      <c r="T88" s="6"/>
      <c r="U88" s="6"/>
      <c r="V88" s="6"/>
      <c r="W88" s="6"/>
      <c r="X88" s="6"/>
      <c r="Y88" s="7"/>
      <c r="Z88" s="6"/>
      <c r="AA88" s="6"/>
      <c r="AB88" s="6"/>
      <c r="AC88" s="6"/>
      <c r="AD88" s="6"/>
      <c r="AE88" s="6"/>
      <c r="AF88" s="6"/>
      <c r="AG88" s="6"/>
      <c r="AH88" s="6"/>
      <c r="AI88" s="7"/>
      <c r="AJ88" s="6"/>
      <c r="AK88" s="6"/>
      <c r="AL88" s="6"/>
      <c r="AM88" s="6"/>
      <c r="AN88" s="6"/>
      <c r="AO88" s="6"/>
      <c r="AP88" s="6"/>
      <c r="AQ88" s="6"/>
      <c r="AR88" s="6"/>
      <c r="AS88" s="7"/>
      <c r="AT88" s="6"/>
      <c r="AU88" s="6"/>
      <c r="AV88" s="6"/>
      <c r="AW88" s="6"/>
      <c r="AX88" s="6"/>
      <c r="AY88" s="6"/>
      <c r="AZ88" s="6"/>
      <c r="BA88" s="6"/>
      <c r="BB88" s="6"/>
      <c r="BC88" s="7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U88" s="80">
        <v>13</v>
      </c>
      <c r="BV88" s="80"/>
      <c r="BX88" s="64" t="str">
        <f>IF(AI115+AI116=0,"",IF(AI115&lt;AI116,Z111,Z119))</f>
        <v xml:space="preserve">   16 </v>
      </c>
      <c r="BY88" s="64"/>
      <c r="BZ88" s="64"/>
      <c r="CA88" s="64"/>
      <c r="CB88" s="64"/>
      <c r="CC88" s="64"/>
      <c r="CD88" s="64"/>
      <c r="CE88" s="64"/>
      <c r="CF88" s="64"/>
      <c r="CG88" s="7"/>
      <c r="CH88" s="6"/>
      <c r="CI88" s="6"/>
      <c r="CJ88" s="6"/>
      <c r="CK88" s="6"/>
      <c r="CL88" s="6"/>
      <c r="CM88" s="6"/>
      <c r="CN88" s="6"/>
      <c r="CO88" s="6"/>
      <c r="CP88" s="6"/>
      <c r="CQ88" s="7"/>
    </row>
    <row r="89" spans="1:285" ht="8.25" customHeight="1" x14ac:dyDescent="0.15">
      <c r="A89" s="6"/>
      <c r="B89" s="83" t="s">
        <v>159</v>
      </c>
      <c r="C89" s="83"/>
      <c r="D89" s="83"/>
      <c r="E89" s="83"/>
      <c r="F89" s="83"/>
      <c r="G89" s="83"/>
      <c r="H89" s="83"/>
      <c r="I89" s="83"/>
      <c r="J89" s="83"/>
      <c r="K89" s="83"/>
      <c r="L89" s="6"/>
      <c r="M89" s="83">
        <f>COUNTA('[3]Infos joueurs'!$I$22:$X$85)</f>
        <v>28</v>
      </c>
      <c r="N89" s="83"/>
      <c r="O89" s="83"/>
      <c r="P89" s="6"/>
      <c r="Q89" s="6"/>
      <c r="R89" s="6"/>
      <c r="S89" s="6"/>
      <c r="T89" s="6"/>
      <c r="U89" s="6"/>
      <c r="V89" s="6"/>
      <c r="W89" s="6"/>
      <c r="X89" s="6"/>
      <c r="Y89" s="7"/>
      <c r="Z89" s="6"/>
      <c r="AA89" s="6"/>
      <c r="AB89" s="6"/>
      <c r="AC89" s="6"/>
      <c r="AD89" s="6"/>
      <c r="AE89" s="6"/>
      <c r="AF89" s="6"/>
      <c r="AG89" s="84" t="s">
        <v>160</v>
      </c>
      <c r="AH89" s="84"/>
      <c r="AI89" s="84"/>
      <c r="AJ89" s="84"/>
      <c r="AK89" s="84"/>
      <c r="AL89" s="18"/>
      <c r="AM89" s="18"/>
      <c r="AN89" s="85">
        <f>'[4]Info générale'!$B$5</f>
        <v>0.5625</v>
      </c>
      <c r="AO89" s="85"/>
      <c r="AP89" s="85"/>
      <c r="AQ89" s="85"/>
      <c r="AR89" s="85"/>
      <c r="AS89" s="85"/>
      <c r="AT89" s="6"/>
      <c r="AU89" s="6"/>
      <c r="AV89" s="6"/>
      <c r="AW89" s="6"/>
      <c r="AX89" s="6"/>
      <c r="AY89" s="84" t="s">
        <v>161</v>
      </c>
      <c r="AZ89" s="84"/>
      <c r="BA89" s="84"/>
      <c r="BB89" s="84"/>
      <c r="BC89" s="84"/>
      <c r="BD89" s="18"/>
      <c r="BE89" s="18"/>
      <c r="BF89" s="85">
        <f>'[4]Info générale'!$B$6</f>
        <v>0.75</v>
      </c>
      <c r="BG89" s="85"/>
      <c r="BH89" s="85"/>
      <c r="BI89" s="85"/>
      <c r="BJ89" s="85"/>
      <c r="BK89" s="85"/>
      <c r="BL89" s="6"/>
      <c r="BM89" s="6"/>
      <c r="BN89" s="6"/>
      <c r="BO89" s="6"/>
      <c r="BP89" s="6"/>
      <c r="BQ89" s="6"/>
      <c r="BR89" s="6"/>
      <c r="BX89" s="14"/>
      <c r="BY89" s="6"/>
      <c r="BZ89" s="6"/>
      <c r="CA89" s="6"/>
      <c r="CB89" s="6"/>
      <c r="CC89" s="6"/>
      <c r="CD89" s="6"/>
      <c r="CE89" s="74">
        <v>1</v>
      </c>
      <c r="CF89" s="75"/>
      <c r="CG89" s="15">
        <v>2</v>
      </c>
      <c r="CH89" s="79" t="str">
        <f>IF(CG89+CG90=0,"",IF(CG89&gt;CG90,BX88,BX90))</f>
        <v xml:space="preserve">   18</v>
      </c>
      <c r="CI89" s="79"/>
      <c r="CJ89" s="79"/>
      <c r="CK89" s="79"/>
      <c r="CL89" s="79"/>
      <c r="CM89" s="79"/>
      <c r="CN89" s="79"/>
      <c r="CO89" s="79"/>
      <c r="CP89" s="79"/>
      <c r="CQ89" s="7"/>
    </row>
    <row r="90" spans="1:285" ht="8.25" customHeight="1" x14ac:dyDescent="0.15">
      <c r="A90" s="6"/>
      <c r="B90" s="83"/>
      <c r="C90" s="83"/>
      <c r="D90" s="83"/>
      <c r="E90" s="83"/>
      <c r="F90" s="83"/>
      <c r="G90" s="83"/>
      <c r="H90" s="83"/>
      <c r="I90" s="83"/>
      <c r="J90" s="83"/>
      <c r="K90" s="83"/>
      <c r="L90" s="6"/>
      <c r="M90" s="83"/>
      <c r="N90" s="83"/>
      <c r="O90" s="83"/>
      <c r="P90" s="6"/>
      <c r="Q90" s="6"/>
      <c r="R90" s="6"/>
      <c r="S90" s="6"/>
      <c r="T90" s="6"/>
      <c r="U90" s="6"/>
      <c r="V90" s="6"/>
      <c r="W90" s="6"/>
      <c r="X90" s="6"/>
      <c r="Y90" s="7"/>
      <c r="Z90" s="6"/>
      <c r="AA90" s="6"/>
      <c r="AB90" s="6"/>
      <c r="AC90" s="6"/>
      <c r="AD90" s="6"/>
      <c r="AE90" s="6"/>
      <c r="AF90" s="6"/>
      <c r="AG90" s="84"/>
      <c r="AH90" s="84"/>
      <c r="AI90" s="84"/>
      <c r="AJ90" s="84"/>
      <c r="AK90" s="84"/>
      <c r="AL90" s="18"/>
      <c r="AM90" s="18"/>
      <c r="AN90" s="85"/>
      <c r="AO90" s="85"/>
      <c r="AP90" s="85"/>
      <c r="AQ90" s="85"/>
      <c r="AR90" s="85"/>
      <c r="AS90" s="85"/>
      <c r="AT90" s="6"/>
      <c r="AU90" s="6"/>
      <c r="AV90" s="6"/>
      <c r="AW90" s="6"/>
      <c r="AX90" s="6"/>
      <c r="AY90" s="84"/>
      <c r="AZ90" s="84"/>
      <c r="BA90" s="84"/>
      <c r="BB90" s="84"/>
      <c r="BC90" s="84"/>
      <c r="BD90" s="18"/>
      <c r="BE90" s="18"/>
      <c r="BF90" s="85"/>
      <c r="BG90" s="85"/>
      <c r="BH90" s="85"/>
      <c r="BI90" s="85"/>
      <c r="BJ90" s="85"/>
      <c r="BK90" s="85"/>
      <c r="BL90" s="6"/>
      <c r="BM90" s="6"/>
      <c r="BN90" s="6"/>
      <c r="BO90" s="6"/>
      <c r="BP90" s="6"/>
      <c r="BQ90" s="6"/>
      <c r="BR90" s="6"/>
      <c r="BU90" s="80">
        <v>14</v>
      </c>
      <c r="BV90" s="80"/>
      <c r="BX90" s="64" t="str">
        <f>IF(AI131+AI132=0,"",IF(AI131&lt;AI132,Z127,Z135))</f>
        <v xml:space="preserve">   18</v>
      </c>
      <c r="BY90" s="64"/>
      <c r="BZ90" s="64"/>
      <c r="CA90" s="64"/>
      <c r="CB90" s="64"/>
      <c r="CC90" s="64"/>
      <c r="CD90" s="64"/>
      <c r="CE90" s="76"/>
      <c r="CF90" s="77"/>
      <c r="CG90" s="15">
        <v>3</v>
      </c>
      <c r="CH90" s="6"/>
      <c r="CI90" s="6"/>
      <c r="CJ90" s="6"/>
      <c r="CK90" s="6"/>
      <c r="CL90" s="6"/>
      <c r="CM90" s="6"/>
      <c r="CN90" s="6"/>
      <c r="CO90" s="6"/>
      <c r="CP90" s="6"/>
      <c r="CQ90" s="7"/>
    </row>
    <row r="91" spans="1:285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7"/>
      <c r="P91" s="6"/>
      <c r="Q91" s="6"/>
      <c r="R91" s="6"/>
      <c r="S91" s="6"/>
      <c r="T91" s="6"/>
      <c r="U91" s="6"/>
      <c r="V91" s="6"/>
      <c r="W91" s="6"/>
      <c r="X91" s="6"/>
      <c r="Y91" s="7"/>
      <c r="Z91" s="6"/>
      <c r="AA91" s="6"/>
      <c r="AB91" s="6"/>
      <c r="AC91" s="6"/>
      <c r="AD91" s="6"/>
      <c r="AE91" s="6"/>
      <c r="AF91" s="6"/>
      <c r="AG91" s="6"/>
      <c r="AH91" s="6"/>
      <c r="AI91" s="7"/>
      <c r="AJ91" s="6"/>
      <c r="AK91" s="6"/>
      <c r="AL91" s="6"/>
      <c r="AM91" s="6"/>
      <c r="AN91" s="6"/>
      <c r="AO91" s="6"/>
      <c r="AP91" s="6"/>
      <c r="AQ91" s="6"/>
      <c r="AR91" s="6"/>
      <c r="AS91" s="7"/>
      <c r="AT91" s="6"/>
      <c r="AU91" s="6"/>
      <c r="AV91" s="6"/>
      <c r="AW91" s="6"/>
      <c r="AX91" s="6"/>
      <c r="AY91" s="6"/>
      <c r="AZ91" s="6"/>
      <c r="BA91" s="6"/>
      <c r="BB91" s="6"/>
      <c r="BC91" s="7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</row>
    <row r="92" spans="1:285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7"/>
      <c r="P92" s="6"/>
      <c r="Q92" s="6"/>
      <c r="R92" s="6"/>
      <c r="S92" s="6"/>
      <c r="T92" s="6"/>
      <c r="U92" s="6"/>
      <c r="V92" s="6"/>
      <c r="W92" s="6"/>
      <c r="X92" s="6"/>
      <c r="Y92" s="7"/>
      <c r="Z92" s="6"/>
      <c r="AA92" s="6"/>
      <c r="AB92" s="6"/>
      <c r="AC92" s="6"/>
      <c r="AD92" s="6"/>
      <c r="AE92" s="6"/>
      <c r="AF92" s="6"/>
      <c r="AG92" s="6"/>
      <c r="AH92" s="6"/>
      <c r="AI92" s="7"/>
      <c r="AJ92" s="6"/>
      <c r="AK92" s="6"/>
      <c r="AL92" s="6"/>
      <c r="AM92" s="6"/>
      <c r="AN92" s="6"/>
      <c r="AO92" s="6"/>
      <c r="AP92" s="6"/>
      <c r="AQ92" s="6"/>
      <c r="AR92" s="6"/>
      <c r="AS92" s="7"/>
      <c r="AT92" s="6"/>
      <c r="AU92" s="6"/>
      <c r="AV92" s="6"/>
      <c r="AW92" s="6"/>
      <c r="AX92" s="6"/>
      <c r="AY92" s="6"/>
      <c r="AZ92" s="6"/>
      <c r="BA92" s="6"/>
      <c r="BB92" s="6"/>
      <c r="BC92" s="7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</row>
    <row r="93" spans="1:285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7"/>
      <c r="P93" s="6"/>
      <c r="Q93" s="6"/>
      <c r="R93" s="6"/>
      <c r="S93" s="6"/>
      <c r="T93" s="6"/>
      <c r="U93" s="6"/>
      <c r="V93" s="6"/>
      <c r="W93" s="6"/>
      <c r="X93" s="6"/>
      <c r="Y93" s="7"/>
      <c r="Z93" s="6"/>
      <c r="AA93" s="6"/>
      <c r="AB93" s="6"/>
      <c r="AC93" s="6"/>
      <c r="AD93" s="6"/>
      <c r="AE93" s="6"/>
      <c r="AF93" s="6"/>
      <c r="AG93" s="6"/>
      <c r="AH93" s="6"/>
      <c r="AI93" s="7"/>
      <c r="AJ93" s="6"/>
      <c r="AK93" s="6"/>
      <c r="AL93" s="6"/>
      <c r="AM93" s="6"/>
      <c r="AN93" s="6"/>
      <c r="AO93" s="6"/>
      <c r="AP93" s="6"/>
      <c r="AQ93" s="6"/>
      <c r="AR93" s="6"/>
      <c r="AS93" s="7"/>
      <c r="AT93" s="6"/>
      <c r="AU93" s="6"/>
      <c r="AV93" s="6"/>
      <c r="AW93" s="6"/>
      <c r="AX93" s="6"/>
      <c r="AY93" s="6"/>
      <c r="AZ93" s="6"/>
      <c r="BA93" s="6"/>
      <c r="BB93" s="6"/>
      <c r="BC93" s="7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</row>
    <row r="94" spans="1:285" ht="8.25" customHeight="1" x14ac:dyDescent="0.25">
      <c r="A94" s="6"/>
      <c r="B94" s="71" t="str">
        <f>IF('[4]Info générale'!$B$1&gt;0,'[4]Info générale'!$B$1&amp;" du","")</f>
        <v>Tournoi non-licienciés AVVT 2017 / 2018 du</v>
      </c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T94" s="19"/>
      <c r="BU94" s="19"/>
      <c r="BV94" s="89" t="s">
        <v>162</v>
      </c>
      <c r="BW94" s="89"/>
      <c r="BX94" s="89"/>
      <c r="BY94" s="89"/>
      <c r="BZ94" s="89"/>
      <c r="CA94" s="89"/>
      <c r="CB94" s="89"/>
      <c r="CC94" s="89"/>
      <c r="CD94" s="89"/>
      <c r="CE94" s="89"/>
      <c r="CF94" s="89"/>
      <c r="CG94" s="89"/>
      <c r="CH94" s="89"/>
      <c r="CI94" s="89"/>
      <c r="CJ94" s="89"/>
      <c r="CK94" s="89"/>
      <c r="CL94" s="89"/>
      <c r="CM94" s="89"/>
      <c r="CN94" s="89"/>
      <c r="CO94" s="89"/>
      <c r="CP94" s="89"/>
      <c r="CQ94" s="89"/>
      <c r="CR94" s="89"/>
      <c r="CS94" s="89"/>
      <c r="CT94" s="89"/>
      <c r="CU94" s="89"/>
      <c r="CV94" s="89"/>
      <c r="CW94" s="89"/>
      <c r="CX94" s="89"/>
      <c r="CY94" s="89"/>
      <c r="CZ94" s="89"/>
      <c r="DA94" s="89"/>
      <c r="DB94" s="89"/>
      <c r="DC94" s="89"/>
      <c r="DD94" s="89"/>
      <c r="DE94" s="89"/>
      <c r="DF94" s="89"/>
      <c r="DG94" s="89"/>
      <c r="DH94" s="89"/>
      <c r="DI94" s="89"/>
      <c r="DJ94" s="89"/>
      <c r="DK94" s="89"/>
      <c r="DL94" s="89"/>
      <c r="DM94" s="89"/>
      <c r="DN94" s="89"/>
      <c r="DO94" s="89"/>
      <c r="DP94" s="89"/>
      <c r="DQ94" s="89"/>
      <c r="DR94" s="89"/>
      <c r="DS94" s="89"/>
      <c r="DT94" s="89"/>
      <c r="DU94" s="89"/>
      <c r="DV94" s="89"/>
      <c r="DW94" s="89"/>
      <c r="DX94" s="89"/>
      <c r="DY94" s="89"/>
      <c r="DZ94" s="89"/>
      <c r="EA94" s="89"/>
      <c r="EB94" s="89"/>
      <c r="EC94" s="89"/>
      <c r="ED94" s="89"/>
      <c r="EE94" s="89"/>
      <c r="EF94" s="89"/>
      <c r="EG94" s="89"/>
      <c r="EH94" s="8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</row>
    <row r="95" spans="1:285" ht="8.25" customHeight="1" x14ac:dyDescent="0.25">
      <c r="A95" s="6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T95" s="19"/>
      <c r="BU95" s="19"/>
      <c r="BV95" s="89"/>
      <c r="BW95" s="89"/>
      <c r="BX95" s="89"/>
      <c r="BY95" s="89"/>
      <c r="BZ95" s="89"/>
      <c r="CA95" s="89"/>
      <c r="CB95" s="89"/>
      <c r="CC95" s="89"/>
      <c r="CD95" s="89"/>
      <c r="CE95" s="89"/>
      <c r="CF95" s="89"/>
      <c r="CG95" s="89"/>
      <c r="CH95" s="89"/>
      <c r="CI95" s="89"/>
      <c r="CJ95" s="89"/>
      <c r="CK95" s="89"/>
      <c r="CL95" s="89"/>
      <c r="CM95" s="89"/>
      <c r="CN95" s="89"/>
      <c r="CO95" s="89"/>
      <c r="CP95" s="89"/>
      <c r="CQ95" s="89"/>
      <c r="CR95" s="89"/>
      <c r="CS95" s="89"/>
      <c r="CT95" s="89"/>
      <c r="CU95" s="89"/>
      <c r="CV95" s="89"/>
      <c r="CW95" s="89"/>
      <c r="CX95" s="89"/>
      <c r="CY95" s="89"/>
      <c r="CZ95" s="89"/>
      <c r="DA95" s="89"/>
      <c r="DB95" s="89"/>
      <c r="DC95" s="89"/>
      <c r="DD95" s="89"/>
      <c r="DE95" s="89"/>
      <c r="DF95" s="89"/>
      <c r="DG95" s="89"/>
      <c r="DH95" s="89"/>
      <c r="DI95" s="89"/>
      <c r="DJ95" s="89"/>
      <c r="DK95" s="89"/>
      <c r="DL95" s="89"/>
      <c r="DM95" s="89"/>
      <c r="DN95" s="89"/>
      <c r="DO95" s="89"/>
      <c r="DP95" s="89"/>
      <c r="DQ95" s="89"/>
      <c r="DR95" s="89"/>
      <c r="DS95" s="89"/>
      <c r="DT95" s="89"/>
      <c r="DU95" s="89"/>
      <c r="DV95" s="89"/>
      <c r="DW95" s="89"/>
      <c r="DX95" s="89"/>
      <c r="DY95" s="89"/>
      <c r="DZ95" s="89"/>
      <c r="EA95" s="89"/>
      <c r="EB95" s="89"/>
      <c r="EC95" s="89"/>
      <c r="ED95" s="89"/>
      <c r="EE95" s="89"/>
      <c r="EF95" s="89"/>
      <c r="EG95" s="89"/>
      <c r="EH95" s="8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</row>
    <row r="96" spans="1:285" ht="8.25" customHeight="1" x14ac:dyDescent="0.25">
      <c r="A96" s="6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T96" s="19"/>
      <c r="BU96" s="19"/>
      <c r="BV96" s="89"/>
      <c r="BW96" s="89"/>
      <c r="BX96" s="89"/>
      <c r="BY96" s="89"/>
      <c r="BZ96" s="89"/>
      <c r="CA96" s="89"/>
      <c r="CB96" s="89"/>
      <c r="CC96" s="89"/>
      <c r="CD96" s="89"/>
      <c r="CE96" s="89"/>
      <c r="CF96" s="89"/>
      <c r="CG96" s="89"/>
      <c r="CH96" s="89"/>
      <c r="CI96" s="89"/>
      <c r="CJ96" s="89"/>
      <c r="CK96" s="89"/>
      <c r="CL96" s="89"/>
      <c r="CM96" s="89"/>
      <c r="CN96" s="89"/>
      <c r="CO96" s="89"/>
      <c r="CP96" s="89"/>
      <c r="CQ96" s="89"/>
      <c r="CR96" s="89"/>
      <c r="CS96" s="89"/>
      <c r="CT96" s="89"/>
      <c r="CU96" s="89"/>
      <c r="CV96" s="89"/>
      <c r="CW96" s="89"/>
      <c r="CX96" s="89"/>
      <c r="CY96" s="89"/>
      <c r="CZ96" s="89"/>
      <c r="DA96" s="89"/>
      <c r="DB96" s="89"/>
      <c r="DC96" s="89"/>
      <c r="DD96" s="89"/>
      <c r="DE96" s="89"/>
      <c r="DF96" s="89"/>
      <c r="DG96" s="89"/>
      <c r="DH96" s="89"/>
      <c r="DI96" s="89"/>
      <c r="DJ96" s="89"/>
      <c r="DK96" s="89"/>
      <c r="DL96" s="89"/>
      <c r="DM96" s="89"/>
      <c r="DN96" s="89"/>
      <c r="DO96" s="89"/>
      <c r="DP96" s="89"/>
      <c r="DQ96" s="89"/>
      <c r="DR96" s="89"/>
      <c r="DS96" s="89"/>
      <c r="DT96" s="89"/>
      <c r="DU96" s="89"/>
      <c r="DV96" s="89"/>
      <c r="DW96" s="89"/>
      <c r="DX96" s="89"/>
      <c r="DY96" s="89"/>
      <c r="DZ96" s="89"/>
      <c r="EA96" s="89"/>
      <c r="EB96" s="89"/>
      <c r="EC96" s="89"/>
      <c r="ED96" s="89"/>
      <c r="EE96" s="89"/>
      <c r="EF96" s="89"/>
      <c r="EG96" s="89"/>
      <c r="EH96" s="8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</row>
    <row r="97" spans="1:196" ht="8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7"/>
      <c r="P97" s="6"/>
      <c r="Q97" s="6"/>
      <c r="R97" s="6"/>
      <c r="S97" s="6"/>
      <c r="T97" s="6"/>
      <c r="U97" s="6"/>
      <c r="V97" s="6"/>
      <c r="W97" s="6"/>
      <c r="X97" s="6"/>
      <c r="Y97" s="7"/>
      <c r="Z97" s="6"/>
      <c r="AA97" s="6"/>
      <c r="AB97" s="6"/>
      <c r="AC97" s="6"/>
      <c r="AD97" s="6"/>
      <c r="AE97" s="6"/>
      <c r="AF97" s="6"/>
      <c r="AG97" s="6"/>
      <c r="AH97" s="6"/>
      <c r="AI97" s="7"/>
      <c r="AJ97" s="6"/>
      <c r="AK97" s="6"/>
      <c r="AL97" s="6"/>
      <c r="AM97" s="6"/>
      <c r="AN97" s="6"/>
      <c r="AO97" s="6"/>
      <c r="AP97" s="6"/>
      <c r="AQ97" s="6"/>
      <c r="AR97" s="6"/>
      <c r="AS97" s="7"/>
      <c r="AT97" s="6"/>
      <c r="AU97" s="6"/>
      <c r="AV97" s="6"/>
      <c r="AW97" s="6"/>
      <c r="AX97" s="6"/>
      <c r="AY97" s="6"/>
      <c r="AZ97" s="6"/>
      <c r="BA97" s="6"/>
      <c r="BB97" s="6"/>
      <c r="BC97" s="7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V97" s="89"/>
      <c r="BW97" s="89"/>
      <c r="BX97" s="89"/>
      <c r="BY97" s="89"/>
      <c r="BZ97" s="89"/>
      <c r="CA97" s="89"/>
      <c r="CB97" s="89"/>
      <c r="CC97" s="89"/>
      <c r="CD97" s="89"/>
      <c r="CE97" s="89"/>
      <c r="CF97" s="89"/>
      <c r="CG97" s="89"/>
      <c r="CH97" s="89"/>
      <c r="CI97" s="89"/>
      <c r="CJ97" s="89"/>
      <c r="CK97" s="89"/>
      <c r="CL97" s="89"/>
      <c r="CM97" s="89"/>
      <c r="CN97" s="89"/>
      <c r="CO97" s="89"/>
      <c r="CP97" s="89"/>
      <c r="CQ97" s="89"/>
      <c r="CR97" s="89"/>
      <c r="CS97" s="89"/>
      <c r="CT97" s="89"/>
      <c r="CU97" s="89"/>
      <c r="CV97" s="89"/>
      <c r="CW97" s="89"/>
      <c r="CX97" s="89"/>
      <c r="CY97" s="89"/>
      <c r="CZ97" s="89"/>
      <c r="DA97" s="89"/>
      <c r="DB97" s="89"/>
      <c r="DC97" s="89"/>
      <c r="DD97" s="89"/>
      <c r="DE97" s="89"/>
      <c r="DF97" s="89"/>
      <c r="DG97" s="89"/>
      <c r="DH97" s="89"/>
      <c r="DI97" s="89"/>
      <c r="DJ97" s="89"/>
      <c r="DK97" s="89"/>
      <c r="DL97" s="89"/>
      <c r="DM97" s="89"/>
      <c r="DN97" s="89"/>
      <c r="DO97" s="89"/>
      <c r="DP97" s="89"/>
      <c r="DQ97" s="89"/>
      <c r="DR97" s="89"/>
      <c r="DS97" s="89"/>
      <c r="DT97" s="89"/>
      <c r="DU97" s="89"/>
      <c r="DV97" s="89"/>
      <c r="DW97" s="89"/>
      <c r="DX97" s="89"/>
      <c r="DY97" s="89"/>
      <c r="DZ97" s="89"/>
      <c r="EA97" s="89"/>
      <c r="EB97" s="89"/>
      <c r="EC97" s="89"/>
      <c r="ED97" s="89"/>
      <c r="EE97" s="89"/>
      <c r="EF97" s="89"/>
      <c r="EG97" s="89"/>
      <c r="EH97" s="89"/>
    </row>
    <row r="98" spans="1:196" ht="8.25" customHeight="1" x14ac:dyDescent="0.25">
      <c r="A98" s="6"/>
      <c r="B98" s="72">
        <f>IF('[4]Info générale'!$B$4&gt;0,'[4]Info générale'!$B$4,"")</f>
        <v>43134</v>
      </c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  <c r="AT98" s="72"/>
      <c r="AU98" s="72"/>
      <c r="AV98" s="72"/>
      <c r="AW98" s="72"/>
      <c r="AX98" s="72"/>
      <c r="AY98" s="72"/>
      <c r="AZ98" s="72"/>
      <c r="BA98" s="72"/>
      <c r="BB98" s="72"/>
      <c r="BC98" s="7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T98" s="20"/>
      <c r="BU98" s="20"/>
      <c r="BV98" s="89"/>
      <c r="BW98" s="89"/>
      <c r="BX98" s="89"/>
      <c r="BY98" s="89"/>
      <c r="BZ98" s="89"/>
      <c r="CA98" s="89"/>
      <c r="CB98" s="89"/>
      <c r="CC98" s="89"/>
      <c r="CD98" s="89"/>
      <c r="CE98" s="89"/>
      <c r="CF98" s="89"/>
      <c r="CG98" s="89"/>
      <c r="CH98" s="89"/>
      <c r="CI98" s="89"/>
      <c r="CJ98" s="89"/>
      <c r="CK98" s="89"/>
      <c r="CL98" s="89"/>
      <c r="CM98" s="89"/>
      <c r="CN98" s="89"/>
      <c r="CO98" s="89"/>
      <c r="CP98" s="89"/>
      <c r="CQ98" s="89"/>
      <c r="CR98" s="89"/>
      <c r="CS98" s="89"/>
      <c r="CT98" s="89"/>
      <c r="CU98" s="89"/>
      <c r="CV98" s="89"/>
      <c r="CW98" s="89"/>
      <c r="CX98" s="89"/>
      <c r="CY98" s="89"/>
      <c r="CZ98" s="89"/>
      <c r="DA98" s="89"/>
      <c r="DB98" s="89"/>
      <c r="DC98" s="89"/>
      <c r="DD98" s="89"/>
      <c r="DE98" s="89"/>
      <c r="DF98" s="89"/>
      <c r="DG98" s="89"/>
      <c r="DH98" s="89"/>
      <c r="DI98" s="89"/>
      <c r="DJ98" s="89"/>
      <c r="DK98" s="89"/>
      <c r="DL98" s="89"/>
      <c r="DM98" s="89"/>
      <c r="DN98" s="89"/>
      <c r="DO98" s="89"/>
      <c r="DP98" s="89"/>
      <c r="DQ98" s="89"/>
      <c r="DR98" s="89"/>
      <c r="DS98" s="89"/>
      <c r="DT98" s="89"/>
      <c r="DU98" s="89"/>
      <c r="DV98" s="89"/>
      <c r="DW98" s="89"/>
      <c r="DX98" s="89"/>
      <c r="DY98" s="89"/>
      <c r="DZ98" s="89"/>
      <c r="EA98" s="89"/>
      <c r="EB98" s="89"/>
      <c r="EC98" s="89"/>
      <c r="ED98" s="89"/>
      <c r="EE98" s="89"/>
      <c r="EF98" s="89"/>
      <c r="EG98" s="89"/>
      <c r="EH98" s="89"/>
      <c r="EN98" s="12"/>
      <c r="EO98" s="12"/>
      <c r="EP98" s="12"/>
      <c r="EQ98" s="12"/>
      <c r="ER98" s="12"/>
      <c r="ES98" s="12"/>
      <c r="ET98" s="12"/>
      <c r="EU98" s="12"/>
      <c r="EV98" s="12"/>
      <c r="EW98" s="12"/>
      <c r="EX98" s="12"/>
      <c r="EY98" s="12"/>
      <c r="EZ98" s="12"/>
      <c r="FA98" s="12"/>
      <c r="FB98" s="12"/>
      <c r="FC98" s="12"/>
      <c r="FD98" s="12"/>
      <c r="FE98" s="12"/>
      <c r="FF98" s="12"/>
      <c r="FG98" s="12"/>
      <c r="FH98" s="12"/>
      <c r="FI98" s="12"/>
      <c r="FJ98" s="12"/>
      <c r="FK98" s="12"/>
      <c r="FL98" s="12"/>
      <c r="FM98" s="12"/>
      <c r="FN98" s="12"/>
      <c r="FO98" s="12"/>
      <c r="FP98" s="12"/>
      <c r="FQ98" s="12"/>
      <c r="FR98" s="12"/>
      <c r="FS98" s="12"/>
      <c r="FT98" s="12"/>
      <c r="FU98" s="12"/>
      <c r="FV98" s="12"/>
      <c r="FW98" s="12"/>
      <c r="FX98" s="12"/>
      <c r="FY98" s="12"/>
      <c r="FZ98" s="12"/>
      <c r="GA98" s="12"/>
      <c r="GB98" s="12"/>
      <c r="GC98" s="12"/>
      <c r="GD98" s="12"/>
      <c r="GE98" s="12"/>
      <c r="GF98" s="12"/>
      <c r="GG98" s="12"/>
      <c r="GH98" s="12"/>
      <c r="GI98" s="12"/>
      <c r="GJ98" s="12"/>
      <c r="GK98" s="12"/>
      <c r="GL98" s="12"/>
      <c r="GM98" s="12"/>
      <c r="GN98" s="12"/>
    </row>
    <row r="99" spans="1:196" ht="8.25" customHeight="1" x14ac:dyDescent="0.25">
      <c r="A99" s="6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72"/>
      <c r="AV99" s="72"/>
      <c r="AW99" s="72"/>
      <c r="AX99" s="72"/>
      <c r="AY99" s="72"/>
      <c r="AZ99" s="72"/>
      <c r="BA99" s="72"/>
      <c r="BB99" s="72"/>
      <c r="BC99" s="7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T99" s="20"/>
      <c r="BU99" s="20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7"/>
      <c r="CJ99" s="6"/>
      <c r="CK99" s="6"/>
      <c r="CL99" s="6"/>
      <c r="CM99" s="6"/>
      <c r="CN99" s="6"/>
      <c r="CO99" s="6"/>
      <c r="CP99" s="6"/>
      <c r="CQ99" s="6"/>
      <c r="CR99" s="6"/>
      <c r="CS99" s="7"/>
      <c r="CT99" s="6"/>
      <c r="CU99" s="6"/>
      <c r="CV99" s="6"/>
      <c r="CW99" s="6"/>
      <c r="CX99" s="6"/>
      <c r="CY99" s="6"/>
      <c r="CZ99" s="6"/>
      <c r="DA99" s="6"/>
      <c r="DB99" s="6"/>
      <c r="DC99" s="7"/>
      <c r="DD99" s="6"/>
      <c r="DE99" s="6"/>
      <c r="DF99" s="6"/>
      <c r="DG99" s="6"/>
      <c r="DH99" s="6"/>
      <c r="DI99" s="6"/>
      <c r="DJ99" s="6"/>
      <c r="DK99" s="6"/>
      <c r="DL99" s="6"/>
      <c r="DM99" s="7"/>
      <c r="DN99" s="6"/>
      <c r="DO99" s="6"/>
      <c r="DP99" s="6"/>
      <c r="DQ99" s="6"/>
      <c r="DR99" s="6"/>
      <c r="DS99" s="6"/>
      <c r="DT99" s="6"/>
      <c r="DU99" s="6"/>
      <c r="DV99" s="6"/>
      <c r="DW99" s="7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</row>
    <row r="100" spans="1:196" ht="8.25" customHeight="1" x14ac:dyDescent="0.25">
      <c r="A100" s="6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  <c r="AT100" s="72"/>
      <c r="AU100" s="72"/>
      <c r="AV100" s="72"/>
      <c r="AW100" s="72"/>
      <c r="AX100" s="72"/>
      <c r="AY100" s="72"/>
      <c r="AZ100" s="72"/>
      <c r="BA100" s="72"/>
      <c r="BB100" s="72"/>
      <c r="BC100" s="7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T100" s="20"/>
      <c r="BU100" s="20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7"/>
      <c r="CJ100" s="6"/>
      <c r="CK100" s="6"/>
      <c r="CL100" s="6"/>
      <c r="CM100" s="6"/>
      <c r="CN100" s="6"/>
      <c r="CO100" s="6"/>
      <c r="CP100" s="6"/>
      <c r="CQ100" s="6"/>
      <c r="CR100" s="6"/>
      <c r="CS100" s="7"/>
      <c r="CT100" s="6"/>
      <c r="CU100" s="6"/>
      <c r="CV100" s="6"/>
      <c r="CW100" s="6"/>
      <c r="CX100" s="6"/>
      <c r="CY100" s="6"/>
      <c r="CZ100" s="6"/>
      <c r="DA100" s="6"/>
      <c r="DB100" s="6"/>
      <c r="DC100" s="7"/>
      <c r="DD100" s="6"/>
      <c r="DE100" s="6"/>
      <c r="DF100" s="6"/>
      <c r="DG100" s="6"/>
      <c r="DH100" s="6"/>
      <c r="DI100" s="6"/>
      <c r="DJ100" s="6"/>
      <c r="DK100" s="6"/>
      <c r="DL100" s="6"/>
      <c r="DM100" s="7"/>
      <c r="DN100" s="6"/>
      <c r="DO100" s="6"/>
      <c r="DP100" s="6"/>
      <c r="DQ100" s="6"/>
      <c r="DR100" s="6"/>
      <c r="DS100" s="6"/>
      <c r="DT100" s="6"/>
      <c r="DU100" s="6"/>
      <c r="DV100" s="6"/>
      <c r="DW100" s="7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</row>
    <row r="101" spans="1:196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7"/>
      <c r="P101" s="6"/>
      <c r="Q101" s="6"/>
      <c r="R101" s="6"/>
      <c r="S101" s="6"/>
      <c r="T101" s="6"/>
      <c r="U101" s="6"/>
      <c r="V101" s="6"/>
      <c r="W101" s="6"/>
      <c r="X101" s="6"/>
      <c r="Y101" s="7"/>
      <c r="Z101" s="6"/>
      <c r="AA101" s="6"/>
      <c r="AB101" s="6"/>
      <c r="AC101" s="6"/>
      <c r="AD101" s="6"/>
      <c r="AE101" s="6"/>
      <c r="AF101" s="6"/>
      <c r="AG101" s="6"/>
      <c r="AH101" s="6"/>
      <c r="AI101" s="7"/>
      <c r="AJ101" s="6"/>
      <c r="AK101" s="6"/>
      <c r="AL101" s="6"/>
      <c r="AM101" s="6"/>
      <c r="AN101" s="6"/>
      <c r="AO101" s="6"/>
      <c r="AP101" s="6"/>
      <c r="AQ101" s="6"/>
      <c r="AR101" s="6"/>
      <c r="AS101" s="7"/>
      <c r="AT101" s="6"/>
      <c r="AU101" s="6"/>
      <c r="AV101" s="6"/>
      <c r="AW101" s="6"/>
      <c r="AX101" s="6"/>
      <c r="AY101" s="6"/>
      <c r="AZ101" s="6"/>
      <c r="BA101" s="6"/>
      <c r="BB101" s="6"/>
      <c r="BC101" s="7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V101" s="88">
        <v>1</v>
      </c>
      <c r="BW101" s="88"/>
      <c r="BX101" s="88"/>
      <c r="BY101" s="21"/>
      <c r="BZ101" s="86" t="str">
        <f>IF(BD44+BD45=0,"",IF(BD44&gt;BD45,AU27,AU59))</f>
        <v>Clausix  Adam</v>
      </c>
      <c r="CA101" s="86"/>
      <c r="CB101" s="86"/>
      <c r="CC101" s="86"/>
      <c r="CD101" s="86"/>
      <c r="CE101" s="86"/>
      <c r="CF101" s="86"/>
      <c r="CG101" s="86"/>
      <c r="CH101" s="86"/>
      <c r="CI101" s="86"/>
      <c r="CJ101" s="86"/>
      <c r="CK101" s="86"/>
      <c r="CL101" s="86"/>
      <c r="CM101" s="86"/>
      <c r="CN101" s="86"/>
      <c r="CO101" s="86"/>
      <c r="CP101" s="86"/>
      <c r="CQ101" s="86"/>
      <c r="CR101" s="86"/>
      <c r="CS101" s="86"/>
      <c r="CT101" s="86"/>
      <c r="CU101" s="86"/>
      <c r="CV101" s="86"/>
      <c r="CW101" s="86"/>
      <c r="CX101" s="86"/>
      <c r="DC101" s="10"/>
      <c r="DD101" s="6"/>
      <c r="DE101" s="6"/>
      <c r="DF101" s="88">
        <v>17</v>
      </c>
      <c r="DG101" s="88"/>
      <c r="DH101" s="88"/>
      <c r="DI101" s="21"/>
      <c r="DJ101" s="86" t="str">
        <f>IF(AS123+AS124=0,"",IF(AS123&gt;AS124,AJ115,AJ131))</f>
        <v xml:space="preserve">   20 </v>
      </c>
      <c r="DK101" s="86"/>
      <c r="DL101" s="86"/>
      <c r="DM101" s="86"/>
      <c r="DN101" s="86"/>
      <c r="DO101" s="86"/>
      <c r="DP101" s="86"/>
      <c r="DQ101" s="86"/>
      <c r="DR101" s="86"/>
      <c r="DS101" s="86"/>
      <c r="DT101" s="86"/>
      <c r="DU101" s="86"/>
      <c r="DV101" s="86"/>
      <c r="DW101" s="86"/>
      <c r="DX101" s="86"/>
      <c r="DY101" s="86"/>
      <c r="DZ101" s="86"/>
      <c r="EA101" s="86"/>
      <c r="EB101" s="86"/>
      <c r="EC101" s="86"/>
      <c r="ED101" s="86"/>
      <c r="EE101" s="86"/>
      <c r="EF101" s="86"/>
      <c r="EG101" s="86"/>
      <c r="EH101" s="86"/>
    </row>
    <row r="102" spans="1:196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7"/>
      <c r="P102" s="6"/>
      <c r="Q102" s="6"/>
      <c r="R102" s="6"/>
      <c r="S102" s="6"/>
      <c r="T102" s="6"/>
      <c r="U102" s="6"/>
      <c r="V102" s="6"/>
      <c r="W102" s="6"/>
      <c r="X102" s="6"/>
      <c r="Y102" s="7"/>
      <c r="Z102" s="6"/>
      <c r="AA102" s="6"/>
      <c r="AB102" s="6"/>
      <c r="AC102" s="6"/>
      <c r="AD102" s="6"/>
      <c r="AE102" s="6"/>
      <c r="AF102" s="6"/>
      <c r="AG102" s="6"/>
      <c r="AH102" s="6"/>
      <c r="AI102" s="7"/>
      <c r="AJ102" s="6"/>
      <c r="AK102" s="6"/>
      <c r="AL102" s="6"/>
      <c r="AM102" s="6"/>
      <c r="AN102" s="6"/>
      <c r="AO102" s="6"/>
      <c r="AP102" s="6"/>
      <c r="AQ102" s="6"/>
      <c r="AR102" s="6"/>
      <c r="AS102" s="7"/>
      <c r="AT102" s="6"/>
      <c r="AU102" s="6"/>
      <c r="AV102" s="6"/>
      <c r="AW102" s="6"/>
      <c r="AX102" s="6"/>
      <c r="AY102" s="6"/>
      <c r="AZ102" s="6"/>
      <c r="BA102" s="6"/>
      <c r="BB102" s="6"/>
      <c r="BC102" s="7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V102" s="88"/>
      <c r="BW102" s="88"/>
      <c r="BX102" s="88"/>
      <c r="BY102" s="21"/>
      <c r="BZ102" s="87"/>
      <c r="CA102" s="87"/>
      <c r="CB102" s="87"/>
      <c r="CC102" s="87"/>
      <c r="CD102" s="87"/>
      <c r="CE102" s="87"/>
      <c r="CF102" s="87"/>
      <c r="CG102" s="87"/>
      <c r="CH102" s="87"/>
      <c r="CI102" s="87"/>
      <c r="CJ102" s="87"/>
      <c r="CK102" s="87"/>
      <c r="CL102" s="87"/>
      <c r="CM102" s="87"/>
      <c r="CN102" s="87"/>
      <c r="CO102" s="87"/>
      <c r="CP102" s="87"/>
      <c r="CQ102" s="87"/>
      <c r="CR102" s="87"/>
      <c r="CS102" s="87"/>
      <c r="CT102" s="87"/>
      <c r="CU102" s="87"/>
      <c r="CV102" s="87"/>
      <c r="CW102" s="87"/>
      <c r="CX102" s="87"/>
      <c r="DC102" s="10"/>
      <c r="DD102" s="6"/>
      <c r="DE102" s="6"/>
      <c r="DF102" s="88"/>
      <c r="DG102" s="88"/>
      <c r="DH102" s="88"/>
      <c r="DI102" s="21"/>
      <c r="DJ102" s="87"/>
      <c r="DK102" s="87"/>
      <c r="DL102" s="87"/>
      <c r="DM102" s="87"/>
      <c r="DN102" s="87"/>
      <c r="DO102" s="87"/>
      <c r="DP102" s="87"/>
      <c r="DQ102" s="87"/>
      <c r="DR102" s="87"/>
      <c r="DS102" s="87"/>
      <c r="DT102" s="87"/>
      <c r="DU102" s="87"/>
      <c r="DV102" s="87"/>
      <c r="DW102" s="87"/>
      <c r="DX102" s="87"/>
      <c r="DY102" s="87"/>
      <c r="DZ102" s="87"/>
      <c r="EA102" s="87"/>
      <c r="EB102" s="87"/>
      <c r="EC102" s="87"/>
      <c r="ED102" s="87"/>
      <c r="EE102" s="87"/>
      <c r="EF102" s="87"/>
      <c r="EG102" s="87"/>
      <c r="EH102" s="87"/>
    </row>
    <row r="103" spans="1:196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7"/>
      <c r="P103" s="6"/>
      <c r="Q103" s="6"/>
      <c r="R103" s="6"/>
      <c r="S103" s="6"/>
      <c r="T103" s="6"/>
      <c r="U103" s="6"/>
      <c r="V103" s="6"/>
      <c r="W103" s="6"/>
      <c r="X103" s="6"/>
      <c r="Y103" s="7"/>
      <c r="Z103" s="6"/>
      <c r="AA103" s="6"/>
      <c r="AB103" s="6"/>
      <c r="AC103" s="6"/>
      <c r="AD103" s="6"/>
      <c r="AE103" s="6"/>
      <c r="AF103" s="6"/>
      <c r="AG103" s="6"/>
      <c r="AH103" s="6"/>
      <c r="AI103" s="7"/>
      <c r="AJ103" s="6"/>
      <c r="AK103" s="6"/>
      <c r="AL103" s="6"/>
      <c r="AM103" s="6"/>
      <c r="AN103" s="6"/>
      <c r="AO103" s="6"/>
      <c r="AP103" s="6"/>
      <c r="AQ103" s="6"/>
      <c r="AR103" s="6"/>
      <c r="AS103" s="7"/>
      <c r="AT103" s="6"/>
      <c r="AU103" s="6"/>
      <c r="AV103" s="6"/>
      <c r="AW103" s="6"/>
      <c r="AX103" s="6"/>
      <c r="AY103" s="6"/>
      <c r="AZ103" s="6"/>
      <c r="BA103" s="6"/>
      <c r="BB103" s="6"/>
      <c r="BC103" s="7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7"/>
      <c r="CJ103" s="6"/>
      <c r="CK103" s="6"/>
      <c r="CL103" s="6"/>
      <c r="CM103" s="6"/>
      <c r="CS103" s="10"/>
      <c r="DC103" s="10"/>
      <c r="DD103" s="6"/>
      <c r="DE103" s="6"/>
      <c r="DF103" s="6"/>
      <c r="DG103" s="6"/>
      <c r="DH103" s="6"/>
      <c r="DI103" s="6"/>
      <c r="DJ103" s="6"/>
      <c r="DK103" s="6"/>
      <c r="DL103" s="6"/>
      <c r="DM103" s="7"/>
      <c r="DN103" s="6"/>
      <c r="DO103" s="6"/>
      <c r="DP103" s="6"/>
      <c r="DQ103" s="6"/>
      <c r="DR103" s="6"/>
      <c r="DS103" s="6"/>
      <c r="DT103" s="6"/>
      <c r="DU103" s="6"/>
      <c r="DV103" s="6"/>
      <c r="DW103" s="7"/>
    </row>
    <row r="104" spans="1:196" x14ac:dyDescent="0.25">
      <c r="A104" s="6"/>
      <c r="B104" s="73" t="s">
        <v>163</v>
      </c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6"/>
      <c r="S104" s="6"/>
      <c r="T104" s="6"/>
      <c r="U104" s="6"/>
      <c r="V104" s="6"/>
      <c r="W104" s="6"/>
      <c r="X104" s="6"/>
      <c r="Y104" s="7"/>
      <c r="Z104" s="6"/>
      <c r="AA104" s="6"/>
      <c r="AB104" s="6"/>
      <c r="AC104" s="6"/>
      <c r="AD104" s="6"/>
      <c r="AE104" s="6"/>
      <c r="AF104" s="6"/>
      <c r="AG104" s="6"/>
      <c r="AH104" s="6"/>
      <c r="AI104" s="7"/>
      <c r="AJ104" s="6"/>
      <c r="AK104" s="6"/>
      <c r="AL104" s="6"/>
      <c r="AM104" s="6"/>
      <c r="AN104" s="6"/>
      <c r="AO104" s="6"/>
      <c r="AP104" s="6"/>
      <c r="AQ104" s="6"/>
      <c r="AR104" s="6"/>
      <c r="AS104" s="7"/>
      <c r="AT104" s="6"/>
      <c r="AU104" s="6"/>
      <c r="AV104" s="6"/>
      <c r="AW104" s="6"/>
      <c r="AX104" s="6"/>
      <c r="AY104" s="6"/>
      <c r="AZ104" s="6"/>
      <c r="BA104" s="6"/>
      <c r="BB104" s="6"/>
      <c r="BC104" s="7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7"/>
      <c r="CJ104" s="6"/>
      <c r="CK104" s="6"/>
      <c r="CL104" s="6"/>
      <c r="CM104" s="6"/>
      <c r="CS104" s="10"/>
      <c r="DC104" s="10"/>
      <c r="DD104" s="6"/>
      <c r="DE104" s="6"/>
      <c r="DF104" s="6"/>
      <c r="DG104" s="6"/>
      <c r="DH104" s="6"/>
      <c r="DI104" s="6"/>
      <c r="DJ104" s="6"/>
      <c r="DK104" s="6"/>
      <c r="DL104" s="6"/>
      <c r="DM104" s="7"/>
      <c r="DN104" s="6"/>
      <c r="DO104" s="6"/>
      <c r="DP104" s="6"/>
      <c r="DQ104" s="6"/>
      <c r="DR104" s="6"/>
      <c r="DS104" s="6"/>
      <c r="DT104" s="6"/>
      <c r="DU104" s="6"/>
      <c r="DV104" s="6"/>
      <c r="DW104" s="7"/>
    </row>
    <row r="105" spans="1:196" x14ac:dyDescent="0.25">
      <c r="A105" s="6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6"/>
      <c r="S105" s="6"/>
      <c r="T105" s="6"/>
      <c r="U105" s="6"/>
      <c r="V105" s="6"/>
      <c r="W105" s="6"/>
      <c r="X105" s="6"/>
      <c r="Y105" s="7"/>
      <c r="Z105" s="6"/>
      <c r="AA105" s="6"/>
      <c r="AB105" s="6"/>
      <c r="AC105" s="6"/>
      <c r="AD105" s="6"/>
      <c r="AE105" s="6"/>
      <c r="AF105" s="6"/>
      <c r="AG105" s="6"/>
      <c r="AH105" s="6"/>
      <c r="AI105" s="7"/>
      <c r="AJ105" s="6"/>
      <c r="AK105" s="6"/>
      <c r="AL105" s="6"/>
      <c r="AM105" s="6"/>
      <c r="AN105" s="6"/>
      <c r="AO105" s="6"/>
      <c r="AP105" s="6"/>
      <c r="AQ105" s="6"/>
      <c r="AR105" s="6"/>
      <c r="AS105" s="7"/>
      <c r="AT105" s="6"/>
      <c r="AU105" s="6"/>
      <c r="AV105" s="6"/>
      <c r="AW105" s="6"/>
      <c r="AX105" s="6"/>
      <c r="AY105" s="6"/>
      <c r="AZ105" s="6"/>
      <c r="BA105" s="6"/>
      <c r="BB105" s="6"/>
      <c r="BC105" s="7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7"/>
      <c r="CJ105" s="6"/>
      <c r="CK105" s="6"/>
      <c r="CL105" s="6"/>
      <c r="CM105" s="6"/>
      <c r="CS105" s="10"/>
      <c r="DC105" s="10"/>
      <c r="DD105" s="6"/>
      <c r="DE105" s="6"/>
      <c r="DF105" s="6"/>
      <c r="DG105" s="6"/>
      <c r="DH105" s="6"/>
      <c r="DI105" s="6"/>
      <c r="DJ105" s="6"/>
      <c r="DK105" s="6"/>
      <c r="DL105" s="6"/>
      <c r="DM105" s="7"/>
      <c r="DN105" s="6"/>
      <c r="DO105" s="6"/>
      <c r="DP105" s="6"/>
      <c r="DQ105" s="6"/>
      <c r="DR105" s="6"/>
      <c r="DS105" s="6"/>
      <c r="DT105" s="6"/>
      <c r="DU105" s="6"/>
      <c r="DV105" s="6"/>
      <c r="DW105" s="7"/>
    </row>
    <row r="106" spans="1:196" x14ac:dyDescent="0.25">
      <c r="A106" s="6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6"/>
      <c r="S106" s="6"/>
      <c r="T106" s="6"/>
      <c r="U106" s="6"/>
      <c r="V106" s="6"/>
      <c r="W106" s="6"/>
      <c r="X106" s="6"/>
      <c r="Y106" s="7"/>
      <c r="Z106" s="6"/>
      <c r="AA106" s="6"/>
      <c r="AB106" s="6"/>
      <c r="AC106" s="6"/>
      <c r="AD106" s="6"/>
      <c r="AE106" s="6"/>
      <c r="AF106" s="6"/>
      <c r="AG106" s="6"/>
      <c r="AH106" s="6"/>
      <c r="AI106" s="7"/>
      <c r="AJ106" s="6"/>
      <c r="AK106" s="6"/>
      <c r="AL106" s="6"/>
      <c r="AM106" s="6"/>
      <c r="AN106" s="6"/>
      <c r="AO106" s="6"/>
      <c r="AP106" s="6"/>
      <c r="AQ106" s="6"/>
      <c r="AR106" s="6"/>
      <c r="AS106" s="7"/>
      <c r="AT106" s="6"/>
      <c r="AU106" s="6"/>
      <c r="AV106" s="6"/>
      <c r="AW106" s="6"/>
      <c r="AX106" s="6"/>
      <c r="AY106" s="6"/>
      <c r="AZ106" s="6"/>
      <c r="BA106" s="6"/>
      <c r="BB106" s="6"/>
      <c r="BC106" s="7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V106" s="88">
        <v>2</v>
      </c>
      <c r="BW106" s="88"/>
      <c r="BX106" s="88"/>
      <c r="BY106" s="21"/>
      <c r="BZ106" s="86" t="str">
        <f>IF(BD44+BD45=0,"",IF(BD44&lt;BD45,AU27,AU59))</f>
        <v>Emboye  Tomas</v>
      </c>
      <c r="CA106" s="86"/>
      <c r="CB106" s="86"/>
      <c r="CC106" s="86"/>
      <c r="CD106" s="86"/>
      <c r="CE106" s="86"/>
      <c r="CF106" s="86"/>
      <c r="CG106" s="86"/>
      <c r="CH106" s="86"/>
      <c r="CI106" s="86"/>
      <c r="CJ106" s="86"/>
      <c r="CK106" s="86"/>
      <c r="CL106" s="86"/>
      <c r="CM106" s="86"/>
      <c r="CN106" s="86"/>
      <c r="CO106" s="86"/>
      <c r="CP106" s="86"/>
      <c r="CQ106" s="86"/>
      <c r="CR106" s="86"/>
      <c r="CS106" s="86"/>
      <c r="CT106" s="86"/>
      <c r="CU106" s="86"/>
      <c r="CV106" s="86"/>
      <c r="CW106" s="86"/>
      <c r="CX106" s="86"/>
      <c r="DC106" s="10"/>
      <c r="DD106" s="6"/>
      <c r="DE106" s="6"/>
      <c r="DF106" s="88">
        <v>18</v>
      </c>
      <c r="DG106" s="88"/>
      <c r="DH106" s="88"/>
      <c r="DI106" s="21"/>
      <c r="DJ106" s="86" t="str">
        <f>IF(AS123+AS124=0,"",IF(AS123&lt;AS124,AJ115,AJ131))</f>
        <v>Salamin  Elona</v>
      </c>
      <c r="DK106" s="86"/>
      <c r="DL106" s="86"/>
      <c r="DM106" s="86"/>
      <c r="DN106" s="86"/>
      <c r="DO106" s="86"/>
      <c r="DP106" s="86"/>
      <c r="DQ106" s="86"/>
      <c r="DR106" s="86"/>
      <c r="DS106" s="86"/>
      <c r="DT106" s="86"/>
      <c r="DU106" s="86"/>
      <c r="DV106" s="86"/>
      <c r="DW106" s="86"/>
      <c r="DX106" s="86"/>
      <c r="DY106" s="86"/>
      <c r="DZ106" s="86"/>
      <c r="EA106" s="86"/>
      <c r="EB106" s="86"/>
      <c r="EC106" s="86"/>
      <c r="ED106" s="86"/>
      <c r="EE106" s="86"/>
      <c r="EF106" s="86"/>
      <c r="EG106" s="86"/>
      <c r="EH106" s="86"/>
    </row>
    <row r="107" spans="1:196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7"/>
      <c r="P107" s="6"/>
      <c r="Q107" s="6"/>
      <c r="R107" s="6"/>
      <c r="S107" s="6"/>
      <c r="T107" s="6"/>
      <c r="U107" s="6"/>
      <c r="V107" s="6"/>
      <c r="W107" s="6"/>
      <c r="X107" s="6"/>
      <c r="Y107" s="7"/>
      <c r="Z107" s="6"/>
      <c r="AA107" s="6"/>
      <c r="AB107" s="6"/>
      <c r="AC107" s="6"/>
      <c r="AD107" s="6"/>
      <c r="AE107" s="6"/>
      <c r="AF107" s="6"/>
      <c r="AG107" s="6"/>
      <c r="AH107" s="6"/>
      <c r="AI107" s="7"/>
      <c r="AJ107" s="6"/>
      <c r="AK107" s="6"/>
      <c r="AL107" s="6"/>
      <c r="AM107" s="6"/>
      <c r="AN107" s="6"/>
      <c r="AO107" s="6"/>
      <c r="AP107" s="6"/>
      <c r="AQ107" s="6"/>
      <c r="AR107" s="6"/>
      <c r="AS107" s="7"/>
      <c r="AT107" s="6"/>
      <c r="AU107" s="6"/>
      <c r="AV107" s="6"/>
      <c r="AW107" s="6"/>
      <c r="AX107" s="6"/>
      <c r="AY107" s="6"/>
      <c r="AZ107" s="6"/>
      <c r="BA107" s="6"/>
      <c r="BB107" s="6"/>
      <c r="BC107" s="7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V107" s="88"/>
      <c r="BW107" s="88"/>
      <c r="BX107" s="88"/>
      <c r="BY107" s="21"/>
      <c r="BZ107" s="87"/>
      <c r="CA107" s="87"/>
      <c r="CB107" s="87"/>
      <c r="CC107" s="87"/>
      <c r="CD107" s="87"/>
      <c r="CE107" s="87"/>
      <c r="CF107" s="87"/>
      <c r="CG107" s="87"/>
      <c r="CH107" s="87"/>
      <c r="CI107" s="87"/>
      <c r="CJ107" s="87"/>
      <c r="CK107" s="87"/>
      <c r="CL107" s="87"/>
      <c r="CM107" s="87"/>
      <c r="CN107" s="87"/>
      <c r="CO107" s="87"/>
      <c r="CP107" s="87"/>
      <c r="CQ107" s="87"/>
      <c r="CR107" s="87"/>
      <c r="CS107" s="87"/>
      <c r="CT107" s="87"/>
      <c r="CU107" s="87"/>
      <c r="CV107" s="87"/>
      <c r="CW107" s="87"/>
      <c r="CX107" s="87"/>
      <c r="DC107" s="10"/>
      <c r="DD107" s="6"/>
      <c r="DE107" s="6"/>
      <c r="DF107" s="88"/>
      <c r="DG107" s="88"/>
      <c r="DH107" s="88"/>
      <c r="DI107" s="21"/>
      <c r="DJ107" s="87"/>
      <c r="DK107" s="87"/>
      <c r="DL107" s="87"/>
      <c r="DM107" s="87"/>
      <c r="DN107" s="87"/>
      <c r="DO107" s="87"/>
      <c r="DP107" s="87"/>
      <c r="DQ107" s="87"/>
      <c r="DR107" s="87"/>
      <c r="DS107" s="87"/>
      <c r="DT107" s="87"/>
      <c r="DU107" s="87"/>
      <c r="DV107" s="87"/>
      <c r="DW107" s="87"/>
      <c r="DX107" s="87"/>
      <c r="DY107" s="87"/>
      <c r="DZ107" s="87"/>
      <c r="EA107" s="87"/>
      <c r="EB107" s="87"/>
      <c r="EC107" s="87"/>
      <c r="ED107" s="87"/>
      <c r="EE107" s="87"/>
      <c r="EF107" s="87"/>
      <c r="EG107" s="87"/>
      <c r="EH107" s="87"/>
    </row>
    <row r="108" spans="1:196" x14ac:dyDescent="0.15">
      <c r="A108" s="6"/>
      <c r="B108" s="80">
        <v>1</v>
      </c>
      <c r="C108" s="80"/>
      <c r="E108" s="64" t="str">
        <f>IF(P13+P14=0,"",IF(P13&lt;P14,F12,F14))</f>
        <v xml:space="preserve">   32 </v>
      </c>
      <c r="F108" s="64"/>
      <c r="G108" s="64"/>
      <c r="H108" s="64"/>
      <c r="I108" s="64"/>
      <c r="J108" s="64"/>
      <c r="K108" s="64"/>
      <c r="L108" s="64"/>
      <c r="M108" s="22"/>
      <c r="N108" s="22"/>
      <c r="O108" s="7"/>
      <c r="P108" s="6"/>
      <c r="Q108" s="6"/>
      <c r="R108" s="6"/>
      <c r="S108" s="6"/>
      <c r="T108" s="6"/>
      <c r="U108" s="6"/>
      <c r="V108" s="6"/>
      <c r="W108" s="6"/>
      <c r="X108" s="6"/>
      <c r="Y108" s="7"/>
      <c r="Z108" s="6"/>
      <c r="AA108" s="6"/>
      <c r="AB108" s="6"/>
      <c r="AC108" s="6"/>
      <c r="AD108" s="6"/>
      <c r="AE108" s="6"/>
      <c r="AF108" s="6"/>
      <c r="AG108" s="6"/>
      <c r="AH108" s="6"/>
      <c r="AI108" s="7"/>
      <c r="AJ108" s="6"/>
      <c r="AK108" s="6"/>
      <c r="AL108" s="6"/>
      <c r="AM108" s="6"/>
      <c r="AN108" s="6"/>
      <c r="AO108" s="6"/>
      <c r="AP108" s="6"/>
      <c r="AQ108" s="6"/>
      <c r="AR108" s="6"/>
      <c r="AS108" s="7"/>
      <c r="AT108" s="6"/>
      <c r="AU108" s="6"/>
      <c r="AV108" s="6"/>
      <c r="AW108" s="6"/>
      <c r="AX108" s="6"/>
      <c r="AY108" s="6"/>
      <c r="AZ108" s="6"/>
      <c r="BC108" s="8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7"/>
      <c r="CJ108" s="6"/>
      <c r="CK108" s="6"/>
      <c r="CL108" s="6"/>
      <c r="CM108" s="6"/>
      <c r="CS108" s="10"/>
      <c r="DC108" s="10"/>
      <c r="DD108" s="6"/>
      <c r="DE108" s="6"/>
      <c r="DF108" s="6"/>
      <c r="DG108" s="6"/>
      <c r="DH108" s="6"/>
      <c r="DI108" s="6"/>
      <c r="DJ108" s="6"/>
      <c r="DK108" s="6"/>
      <c r="DL108" s="6"/>
      <c r="DM108" s="7"/>
      <c r="DN108" s="6"/>
      <c r="DO108" s="6"/>
      <c r="DP108" s="6"/>
      <c r="DQ108" s="6"/>
      <c r="DR108" s="6"/>
      <c r="DS108" s="6"/>
      <c r="DT108" s="6"/>
      <c r="DU108" s="6"/>
      <c r="DV108" s="6"/>
      <c r="DW108" s="7"/>
    </row>
    <row r="109" spans="1:196" x14ac:dyDescent="0.15">
      <c r="A109" s="6"/>
      <c r="E109" s="14"/>
      <c r="F109" s="6"/>
      <c r="G109" s="6"/>
      <c r="H109" s="6"/>
      <c r="I109" s="6"/>
      <c r="J109" s="6"/>
      <c r="K109" s="6"/>
      <c r="L109" s="6"/>
      <c r="M109" s="74">
        <v>1</v>
      </c>
      <c r="N109" s="75"/>
      <c r="O109" s="15"/>
      <c r="P109" s="78" t="str">
        <f>IF(O109+O110=0,"",IF(O109&gt;O110,E108,E110))</f>
        <v xml:space="preserve">   16 </v>
      </c>
      <c r="Q109" s="79"/>
      <c r="R109" s="79"/>
      <c r="S109" s="79"/>
      <c r="T109" s="79"/>
      <c r="U109" s="79"/>
      <c r="V109" s="79"/>
      <c r="W109" s="79"/>
      <c r="X109" s="79"/>
      <c r="Y109" s="7"/>
      <c r="Z109" s="6"/>
      <c r="AA109" s="6"/>
      <c r="AB109" s="6"/>
      <c r="AC109" s="6"/>
      <c r="AD109" s="6"/>
      <c r="AE109" s="6"/>
      <c r="AF109" s="6"/>
      <c r="AG109" s="6"/>
      <c r="AH109" s="6"/>
      <c r="AI109" s="7"/>
      <c r="AJ109" s="6"/>
      <c r="AK109" s="6"/>
      <c r="AL109" s="6"/>
      <c r="AM109" s="6"/>
      <c r="AN109" s="6"/>
      <c r="AO109" s="6"/>
      <c r="AP109" s="6"/>
      <c r="AQ109" s="6"/>
      <c r="AR109" s="6"/>
      <c r="AS109" s="7"/>
      <c r="AT109" s="6"/>
      <c r="AU109" s="6"/>
      <c r="AV109" s="6"/>
      <c r="AW109" s="6"/>
      <c r="AX109" s="6"/>
      <c r="AY109" s="6"/>
      <c r="AZ109" s="6"/>
      <c r="BC109" s="8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7"/>
      <c r="CJ109" s="6"/>
      <c r="CK109" s="6"/>
      <c r="CL109" s="6"/>
      <c r="CM109" s="6"/>
      <c r="CS109" s="10"/>
      <c r="DC109" s="10"/>
      <c r="DD109" s="6"/>
      <c r="DE109" s="6"/>
      <c r="DF109" s="6"/>
      <c r="DG109" s="6"/>
      <c r="DH109" s="6"/>
      <c r="DI109" s="6"/>
      <c r="DJ109" s="6"/>
      <c r="DK109" s="6"/>
      <c r="DL109" s="6"/>
      <c r="DM109" s="7"/>
      <c r="DN109" s="6"/>
      <c r="DO109" s="6"/>
      <c r="DP109" s="6"/>
      <c r="DQ109" s="6"/>
      <c r="DR109" s="6"/>
      <c r="DS109" s="6"/>
      <c r="DT109" s="6"/>
      <c r="DU109" s="6"/>
      <c r="DV109" s="6"/>
      <c r="DW109" s="7"/>
    </row>
    <row r="110" spans="1:196" x14ac:dyDescent="0.15">
      <c r="A110" s="6"/>
      <c r="B110" s="80">
        <v>2</v>
      </c>
      <c r="C110" s="80"/>
      <c r="E110" s="64" t="str">
        <f>IF(P17+P18=0,"",IF(P17&lt;P18,F16,F18))</f>
        <v xml:space="preserve">   16 </v>
      </c>
      <c r="F110" s="64"/>
      <c r="G110" s="64"/>
      <c r="H110" s="64"/>
      <c r="I110" s="64"/>
      <c r="J110" s="64"/>
      <c r="K110" s="64"/>
      <c r="L110" s="64"/>
      <c r="M110" s="76"/>
      <c r="N110" s="77"/>
      <c r="O110" s="15">
        <v>1</v>
      </c>
      <c r="P110" s="6"/>
      <c r="Q110" s="6"/>
      <c r="R110" s="6"/>
      <c r="S110" s="6"/>
      <c r="T110" s="6"/>
      <c r="U110" s="6"/>
      <c r="V110" s="6"/>
      <c r="W110" s="6"/>
      <c r="X110" s="6"/>
      <c r="Y110" s="16"/>
      <c r="Z110" s="6"/>
      <c r="AA110" s="6"/>
      <c r="AB110" s="6"/>
      <c r="AC110" s="6"/>
      <c r="AD110" s="6"/>
      <c r="AE110" s="6"/>
      <c r="AF110" s="6"/>
      <c r="AG110" s="6"/>
      <c r="AH110" s="6"/>
      <c r="AI110" s="7"/>
      <c r="AJ110" s="6"/>
      <c r="AK110" s="6"/>
      <c r="AL110" s="6"/>
      <c r="AM110" s="6"/>
      <c r="AN110" s="6"/>
      <c r="AO110" s="6"/>
      <c r="AP110" s="6"/>
      <c r="AQ110" s="6"/>
      <c r="AR110" s="6"/>
      <c r="AS110" s="7"/>
      <c r="AT110" s="6"/>
      <c r="AU110" s="6"/>
      <c r="AV110" s="6"/>
      <c r="AW110" s="6"/>
      <c r="AX110" s="6"/>
      <c r="AY110" s="6"/>
      <c r="AZ110" s="6"/>
      <c r="BC110" s="8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7"/>
      <c r="CJ110" s="6"/>
      <c r="CK110" s="6"/>
      <c r="CL110" s="6"/>
      <c r="CM110" s="6"/>
      <c r="CS110" s="10"/>
      <c r="DC110" s="10"/>
      <c r="DD110" s="6"/>
      <c r="DE110" s="6"/>
      <c r="DF110" s="6"/>
      <c r="DG110" s="6"/>
      <c r="DH110" s="6"/>
      <c r="DI110" s="6"/>
      <c r="DJ110" s="6"/>
      <c r="DK110" s="6"/>
      <c r="DL110" s="6"/>
      <c r="DM110" s="7"/>
      <c r="DN110" s="6"/>
      <c r="DO110" s="6"/>
      <c r="DP110" s="6"/>
      <c r="DQ110" s="6"/>
      <c r="DR110" s="6"/>
      <c r="DS110" s="6"/>
      <c r="DT110" s="6"/>
      <c r="DU110" s="6"/>
      <c r="DV110" s="6"/>
      <c r="DW110" s="7"/>
    </row>
    <row r="111" spans="1:196" x14ac:dyDescent="0.25">
      <c r="A111" s="6"/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7"/>
      <c r="P111" s="6"/>
      <c r="Q111" s="6"/>
      <c r="R111" s="6"/>
      <c r="S111" s="6"/>
      <c r="T111" s="6"/>
      <c r="U111" s="6"/>
      <c r="V111" s="6"/>
      <c r="W111" s="65">
        <v>9</v>
      </c>
      <c r="X111" s="66"/>
      <c r="Y111" s="15">
        <v>1</v>
      </c>
      <c r="Z111" s="67" t="str">
        <f>IF(Y111+Y112=0,"",IF(Y111&gt;Y112,P109,P113))</f>
        <v xml:space="preserve">   16 </v>
      </c>
      <c r="AA111" s="68"/>
      <c r="AB111" s="68"/>
      <c r="AC111" s="68"/>
      <c r="AD111" s="68"/>
      <c r="AE111" s="68"/>
      <c r="AF111" s="68"/>
      <c r="AG111" s="68"/>
      <c r="AH111" s="68"/>
      <c r="AI111" s="7"/>
      <c r="AJ111" s="6"/>
      <c r="AK111" s="6"/>
      <c r="AL111" s="6"/>
      <c r="AM111" s="6"/>
      <c r="AN111" s="6"/>
      <c r="AO111" s="6"/>
      <c r="AP111" s="6"/>
      <c r="AQ111" s="6"/>
      <c r="AR111" s="6"/>
      <c r="AS111" s="7"/>
      <c r="AT111" s="6"/>
      <c r="AU111" s="6"/>
      <c r="AV111" s="6"/>
      <c r="AW111" s="6"/>
      <c r="AX111" s="6"/>
      <c r="AY111" s="6"/>
      <c r="AZ111" s="6"/>
      <c r="BA111" s="6"/>
      <c r="BB111" s="6"/>
      <c r="BC111" s="8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V111" s="88">
        <v>3</v>
      </c>
      <c r="BW111" s="88"/>
      <c r="BX111" s="88"/>
      <c r="BY111" s="21"/>
      <c r="BZ111" s="86" t="str">
        <f>IF(AZ80+AZ81=0,"",IF(AZ80&gt;AZ81,AQ79,AQ81))</f>
        <v>Germanier  Enzo</v>
      </c>
      <c r="CA111" s="86"/>
      <c r="CB111" s="86"/>
      <c r="CC111" s="86"/>
      <c r="CD111" s="86"/>
      <c r="CE111" s="86"/>
      <c r="CF111" s="86"/>
      <c r="CG111" s="86"/>
      <c r="CH111" s="86"/>
      <c r="CI111" s="86"/>
      <c r="CJ111" s="86"/>
      <c r="CK111" s="86"/>
      <c r="CL111" s="86"/>
      <c r="CM111" s="86"/>
      <c r="CN111" s="86"/>
      <c r="CO111" s="86"/>
      <c r="CP111" s="86"/>
      <c r="CQ111" s="86"/>
      <c r="CR111" s="86"/>
      <c r="CS111" s="86"/>
      <c r="CT111" s="86"/>
      <c r="CU111" s="86"/>
      <c r="CV111" s="86"/>
      <c r="CW111" s="86"/>
      <c r="CX111" s="86"/>
      <c r="DC111" s="10"/>
      <c r="DD111" s="6"/>
      <c r="DE111" s="6"/>
      <c r="DF111" s="88">
        <v>19</v>
      </c>
      <c r="DG111" s="88"/>
      <c r="DH111" s="88"/>
      <c r="DI111" s="21"/>
      <c r="DJ111" s="86" t="str">
        <f>IF(CG89+CG90=0,"",IF(CG89&gt;CG90,BX88,BX90))</f>
        <v xml:space="preserve">   18</v>
      </c>
      <c r="DK111" s="86"/>
      <c r="DL111" s="86"/>
      <c r="DM111" s="86"/>
      <c r="DN111" s="86"/>
      <c r="DO111" s="86"/>
      <c r="DP111" s="86"/>
      <c r="DQ111" s="86"/>
      <c r="DR111" s="86"/>
      <c r="DS111" s="86"/>
      <c r="DT111" s="86"/>
      <c r="DU111" s="86"/>
      <c r="DV111" s="86"/>
      <c r="DW111" s="86"/>
      <c r="DX111" s="86"/>
      <c r="DY111" s="86"/>
      <c r="DZ111" s="86"/>
      <c r="EA111" s="86"/>
      <c r="EB111" s="86"/>
      <c r="EC111" s="86"/>
      <c r="ED111" s="86"/>
      <c r="EE111" s="86"/>
      <c r="EF111" s="86"/>
      <c r="EG111" s="86"/>
      <c r="EH111" s="86"/>
    </row>
    <row r="112" spans="1:196" x14ac:dyDescent="0.15">
      <c r="A112" s="6"/>
      <c r="B112" s="80">
        <v>3</v>
      </c>
      <c r="C112" s="80"/>
      <c r="E112" s="64" t="str">
        <f>IF(P21+P22=0,"",IF(P21&lt;P22,F20,F22))</f>
        <v xml:space="preserve">   24 </v>
      </c>
      <c r="F112" s="64"/>
      <c r="G112" s="64"/>
      <c r="H112" s="64"/>
      <c r="I112" s="64"/>
      <c r="J112" s="64"/>
      <c r="K112" s="64"/>
      <c r="L112" s="64"/>
      <c r="M112" s="22"/>
      <c r="N112" s="22"/>
      <c r="O112" s="7"/>
      <c r="P112" s="6"/>
      <c r="Q112" s="6"/>
      <c r="R112" s="6"/>
      <c r="S112" s="6"/>
      <c r="T112" s="6"/>
      <c r="U112" s="6"/>
      <c r="V112" s="6"/>
      <c r="W112" s="65"/>
      <c r="X112" s="66"/>
      <c r="Y112" s="15"/>
      <c r="Z112" s="6"/>
      <c r="AA112" s="6"/>
      <c r="AB112" s="6"/>
      <c r="AC112" s="6"/>
      <c r="AD112" s="6"/>
      <c r="AE112" s="6"/>
      <c r="AF112" s="6"/>
      <c r="AG112" s="6"/>
      <c r="AH112" s="6"/>
      <c r="AI112" s="16"/>
      <c r="AJ112" s="6"/>
      <c r="AK112" s="6"/>
      <c r="AL112" s="6"/>
      <c r="AM112" s="6"/>
      <c r="AN112" s="6"/>
      <c r="AO112" s="6"/>
      <c r="AP112" s="6"/>
      <c r="AQ112" s="6"/>
      <c r="AR112" s="6"/>
      <c r="AS112" s="7"/>
      <c r="AT112" s="6"/>
      <c r="AU112" s="6"/>
      <c r="AV112" s="6"/>
      <c r="AW112" s="6"/>
      <c r="AX112" s="6"/>
      <c r="AY112" s="6"/>
      <c r="AZ112" s="6"/>
      <c r="BA112" s="6"/>
      <c r="BB112" s="6"/>
      <c r="BC112" s="8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V112" s="88"/>
      <c r="BW112" s="88"/>
      <c r="BX112" s="88"/>
      <c r="BY112" s="21"/>
      <c r="BZ112" s="87"/>
      <c r="CA112" s="87"/>
      <c r="CB112" s="87"/>
      <c r="CC112" s="87"/>
      <c r="CD112" s="87"/>
      <c r="CE112" s="87"/>
      <c r="CF112" s="87"/>
      <c r="CG112" s="87"/>
      <c r="CH112" s="87"/>
      <c r="CI112" s="87"/>
      <c r="CJ112" s="87"/>
      <c r="CK112" s="87"/>
      <c r="CL112" s="87"/>
      <c r="CM112" s="87"/>
      <c r="CN112" s="87"/>
      <c r="CO112" s="87"/>
      <c r="CP112" s="87"/>
      <c r="CQ112" s="87"/>
      <c r="CR112" s="87"/>
      <c r="CS112" s="87"/>
      <c r="CT112" s="87"/>
      <c r="CU112" s="87"/>
      <c r="CV112" s="87"/>
      <c r="CW112" s="87"/>
      <c r="CX112" s="87"/>
      <c r="DC112" s="10"/>
      <c r="DD112" s="6"/>
      <c r="DE112" s="6"/>
      <c r="DF112" s="88"/>
      <c r="DG112" s="88"/>
      <c r="DH112" s="88"/>
      <c r="DI112" s="21"/>
      <c r="DJ112" s="87"/>
      <c r="DK112" s="87"/>
      <c r="DL112" s="87"/>
      <c r="DM112" s="87"/>
      <c r="DN112" s="87"/>
      <c r="DO112" s="87"/>
      <c r="DP112" s="87"/>
      <c r="DQ112" s="87"/>
      <c r="DR112" s="87"/>
      <c r="DS112" s="87"/>
      <c r="DT112" s="87"/>
      <c r="DU112" s="87"/>
      <c r="DV112" s="87"/>
      <c r="DW112" s="87"/>
      <c r="DX112" s="87"/>
      <c r="DY112" s="87"/>
      <c r="DZ112" s="87"/>
      <c r="EA112" s="87"/>
      <c r="EB112" s="87"/>
      <c r="EC112" s="87"/>
      <c r="ED112" s="87"/>
      <c r="EE112" s="87"/>
      <c r="EF112" s="87"/>
      <c r="EG112" s="87"/>
      <c r="EH112" s="87"/>
    </row>
    <row r="113" spans="1:138" x14ac:dyDescent="0.15">
      <c r="A113" s="6"/>
      <c r="E113" s="14"/>
      <c r="F113" s="6"/>
      <c r="G113" s="6"/>
      <c r="H113" s="6"/>
      <c r="I113" s="6"/>
      <c r="J113" s="6"/>
      <c r="K113" s="6"/>
      <c r="L113" s="6"/>
      <c r="M113" s="74">
        <v>2</v>
      </c>
      <c r="N113" s="75"/>
      <c r="O113" s="15">
        <v>1</v>
      </c>
      <c r="P113" s="78" t="str">
        <f>IF(O113+O114=0,"",IF(O113&gt;O114,E112,E114))</f>
        <v xml:space="preserve">   24 </v>
      </c>
      <c r="Q113" s="79"/>
      <c r="R113" s="79"/>
      <c r="S113" s="79"/>
      <c r="T113" s="79"/>
      <c r="U113" s="79"/>
      <c r="V113" s="79"/>
      <c r="W113" s="79"/>
      <c r="X113" s="81"/>
      <c r="Y113" s="16"/>
      <c r="Z113" s="6"/>
      <c r="AA113" s="6"/>
      <c r="AB113" s="6"/>
      <c r="AC113" s="6"/>
      <c r="AD113" s="6"/>
      <c r="AE113" s="6"/>
      <c r="AF113" s="6"/>
      <c r="AG113" s="6"/>
      <c r="AH113" s="6"/>
      <c r="AI113" s="16"/>
      <c r="AJ113" s="6"/>
      <c r="AK113" s="6"/>
      <c r="AL113" s="6"/>
      <c r="AM113" s="6"/>
      <c r="AN113" s="6"/>
      <c r="AO113" s="6"/>
      <c r="AP113" s="6"/>
      <c r="AQ113" s="6"/>
      <c r="AR113" s="6"/>
      <c r="AS113" s="7"/>
      <c r="AT113" s="6"/>
      <c r="AU113" s="6"/>
      <c r="AV113" s="6"/>
      <c r="AW113" s="6"/>
      <c r="AX113" s="6"/>
      <c r="AY113" s="6"/>
      <c r="AZ113" s="6"/>
      <c r="BA113" s="6"/>
      <c r="BB113" s="6"/>
      <c r="BC113" s="8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7"/>
      <c r="CJ113" s="6"/>
      <c r="CK113" s="6"/>
      <c r="CL113" s="6"/>
      <c r="CM113" s="6"/>
      <c r="CS113" s="10"/>
      <c r="DC113" s="10"/>
      <c r="DD113" s="6"/>
      <c r="DE113" s="6"/>
      <c r="DF113" s="6"/>
      <c r="DG113" s="6"/>
      <c r="DH113" s="6"/>
      <c r="DI113" s="6"/>
      <c r="DJ113" s="6"/>
      <c r="DK113" s="6"/>
      <c r="DL113" s="6"/>
      <c r="DM113" s="7"/>
      <c r="DN113" s="6"/>
      <c r="DO113" s="6"/>
      <c r="DP113" s="6"/>
      <c r="DQ113" s="6"/>
      <c r="DR113" s="6"/>
      <c r="DS113" s="6"/>
      <c r="DT113" s="6"/>
      <c r="DU113" s="6"/>
      <c r="DV113" s="6"/>
      <c r="DW113" s="7"/>
    </row>
    <row r="114" spans="1:138" x14ac:dyDescent="0.15">
      <c r="A114" s="6"/>
      <c r="B114" s="80">
        <v>4</v>
      </c>
      <c r="C114" s="80"/>
      <c r="E114" s="64" t="str">
        <f>IF(P25+P26=0,"",IF(P25&lt;P26,F24,F26))</f>
        <v xml:space="preserve">   25 </v>
      </c>
      <c r="F114" s="64"/>
      <c r="G114" s="64"/>
      <c r="H114" s="64"/>
      <c r="I114" s="64"/>
      <c r="J114" s="64"/>
      <c r="K114" s="64"/>
      <c r="L114" s="64"/>
      <c r="M114" s="76"/>
      <c r="N114" s="77"/>
      <c r="O114" s="15"/>
      <c r="P114" s="6"/>
      <c r="Q114" s="6"/>
      <c r="R114" s="6"/>
      <c r="S114" s="6"/>
      <c r="T114" s="6"/>
      <c r="U114" s="6"/>
      <c r="V114" s="6"/>
      <c r="W114" s="6"/>
      <c r="X114" s="6"/>
      <c r="Y114" s="7"/>
      <c r="Z114" s="6"/>
      <c r="AA114" s="6"/>
      <c r="AB114" s="6"/>
      <c r="AC114" s="6"/>
      <c r="AD114" s="6"/>
      <c r="AE114" s="6"/>
      <c r="AF114" s="6"/>
      <c r="AG114" s="6"/>
      <c r="AH114" s="6"/>
      <c r="AI114" s="16"/>
      <c r="AJ114" s="6"/>
      <c r="AK114" s="6"/>
      <c r="AL114" s="6"/>
      <c r="AM114" s="6"/>
      <c r="AN114" s="6"/>
      <c r="AO114" s="6"/>
      <c r="AP114" s="6"/>
      <c r="AQ114" s="6"/>
      <c r="AR114" s="6"/>
      <c r="AS114" s="7"/>
      <c r="AT114" s="6"/>
      <c r="AU114" s="6"/>
      <c r="AV114" s="6"/>
      <c r="AW114" s="6"/>
      <c r="AX114" s="6"/>
      <c r="AY114" s="6"/>
      <c r="AZ114" s="6"/>
      <c r="BA114" s="6"/>
      <c r="BB114" s="6"/>
      <c r="BC114" s="8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7"/>
      <c r="CJ114" s="6"/>
      <c r="CK114" s="6"/>
      <c r="CL114" s="6"/>
      <c r="CM114" s="6"/>
      <c r="CS114" s="10"/>
      <c r="DC114" s="10"/>
      <c r="DD114" s="6"/>
      <c r="DE114" s="6"/>
      <c r="DF114" s="6"/>
      <c r="DG114" s="6"/>
      <c r="DH114" s="6"/>
      <c r="DI114" s="6"/>
      <c r="DJ114" s="6"/>
      <c r="DK114" s="6"/>
      <c r="DL114" s="6"/>
      <c r="DM114" s="7"/>
      <c r="DN114" s="6"/>
      <c r="DO114" s="6"/>
      <c r="DP114" s="6"/>
      <c r="DQ114" s="6"/>
      <c r="DR114" s="6"/>
      <c r="DS114" s="6"/>
      <c r="DT114" s="6"/>
      <c r="DU114" s="6"/>
      <c r="DV114" s="6"/>
      <c r="DW114" s="7"/>
    </row>
    <row r="115" spans="1:138" x14ac:dyDescent="0.25">
      <c r="A115" s="6"/>
      <c r="E115" s="14"/>
      <c r="F115" s="6"/>
      <c r="G115" s="6"/>
      <c r="H115" s="6"/>
      <c r="I115" s="6"/>
      <c r="J115" s="6"/>
      <c r="K115" s="6"/>
      <c r="L115" s="6"/>
      <c r="M115" s="6"/>
      <c r="N115" s="6"/>
      <c r="O115" s="7"/>
      <c r="P115" s="6"/>
      <c r="Q115" s="6"/>
      <c r="R115" s="6"/>
      <c r="S115" s="6"/>
      <c r="T115" s="6"/>
      <c r="U115" s="6"/>
      <c r="V115" s="6"/>
      <c r="W115" s="6"/>
      <c r="X115" s="6"/>
      <c r="Y115" s="7"/>
      <c r="Z115" s="6"/>
      <c r="AA115" s="6"/>
      <c r="AB115" s="6"/>
      <c r="AC115" s="6"/>
      <c r="AD115" s="6"/>
      <c r="AE115" s="6"/>
      <c r="AF115" s="6"/>
      <c r="AG115" s="65">
        <v>13</v>
      </c>
      <c r="AH115" s="66"/>
      <c r="AI115" s="15"/>
      <c r="AJ115" s="67" t="str">
        <f>IF(AI115+AI116=0,"",IF(AI115&gt;AI116,Z111,Z119))</f>
        <v xml:space="preserve">   20 </v>
      </c>
      <c r="AK115" s="68"/>
      <c r="AL115" s="68"/>
      <c r="AM115" s="68"/>
      <c r="AN115" s="68"/>
      <c r="AO115" s="68"/>
      <c r="AP115" s="68"/>
      <c r="AQ115" s="68"/>
      <c r="AR115" s="68"/>
      <c r="AS115" s="7"/>
      <c r="AT115" s="6"/>
      <c r="AU115" s="6"/>
      <c r="AV115" s="6"/>
      <c r="AW115" s="6"/>
      <c r="AX115" s="6"/>
      <c r="AY115" s="6"/>
      <c r="AZ115" s="6"/>
      <c r="BA115" s="6"/>
      <c r="BB115" s="6"/>
      <c r="BC115" s="8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7"/>
      <c r="CJ115" s="6"/>
      <c r="CK115" s="6"/>
      <c r="CL115" s="6"/>
      <c r="CM115" s="6"/>
      <c r="CS115" s="10"/>
      <c r="DC115" s="10"/>
      <c r="DD115" s="6"/>
      <c r="DE115" s="6"/>
      <c r="DF115" s="6"/>
      <c r="DG115" s="6"/>
      <c r="DH115" s="6"/>
      <c r="DI115" s="6"/>
      <c r="DJ115" s="6"/>
      <c r="DK115" s="6"/>
      <c r="DL115" s="6"/>
      <c r="DM115" s="7"/>
      <c r="DN115" s="6"/>
      <c r="DO115" s="6"/>
      <c r="DP115" s="6"/>
      <c r="DQ115" s="6"/>
      <c r="DR115" s="6"/>
      <c r="DS115" s="6"/>
      <c r="DT115" s="6"/>
      <c r="DU115" s="6"/>
      <c r="DV115" s="6"/>
      <c r="DW115" s="7"/>
    </row>
    <row r="116" spans="1:138" x14ac:dyDescent="0.15">
      <c r="A116" s="6"/>
      <c r="B116" s="80">
        <v>5</v>
      </c>
      <c r="C116" s="80"/>
      <c r="E116" s="64" t="str">
        <f>IF(P29+P30=0,"",IF(P29&lt;P30,F28,F30))</f>
        <v xml:space="preserve">   28 </v>
      </c>
      <c r="F116" s="64"/>
      <c r="G116" s="64"/>
      <c r="H116" s="64"/>
      <c r="I116" s="64"/>
      <c r="J116" s="64"/>
      <c r="K116" s="64"/>
      <c r="L116" s="64"/>
      <c r="M116" s="22"/>
      <c r="N116" s="22"/>
      <c r="O116" s="7"/>
      <c r="P116" s="6"/>
      <c r="Q116" s="6"/>
      <c r="R116" s="6"/>
      <c r="S116" s="6"/>
      <c r="T116" s="6"/>
      <c r="U116" s="6"/>
      <c r="V116" s="6"/>
      <c r="W116" s="6"/>
      <c r="X116" s="6"/>
      <c r="Y116" s="7"/>
      <c r="Z116" s="6"/>
      <c r="AA116" s="6"/>
      <c r="AB116" s="6"/>
      <c r="AC116" s="6"/>
      <c r="AD116" s="6"/>
      <c r="AE116" s="6"/>
      <c r="AF116" s="6"/>
      <c r="AG116" s="65"/>
      <c r="AH116" s="66"/>
      <c r="AI116" s="15">
        <v>3</v>
      </c>
      <c r="AJ116" s="6"/>
      <c r="AK116" s="6"/>
      <c r="AL116" s="6"/>
      <c r="AM116" s="6"/>
      <c r="AN116" s="6"/>
      <c r="AO116" s="6"/>
      <c r="AP116" s="6"/>
      <c r="AQ116" s="6"/>
      <c r="AR116" s="6"/>
      <c r="AS116" s="16"/>
      <c r="AT116" s="6"/>
      <c r="AU116" s="6"/>
      <c r="AV116" s="6"/>
      <c r="AW116" s="6"/>
      <c r="AX116" s="6"/>
      <c r="AY116" s="6"/>
      <c r="AZ116" s="6"/>
      <c r="BA116" s="6"/>
      <c r="BB116" s="6"/>
      <c r="BC116" s="8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V116" s="88">
        <v>4</v>
      </c>
      <c r="BW116" s="88"/>
      <c r="BX116" s="88"/>
      <c r="BY116" s="21"/>
      <c r="BZ116" s="86" t="str">
        <f>IF(AZ80+AZ81=0,"",IF(AZ80&lt;AZ81,AQ79,AQ81))</f>
        <v>Nanez  Diego</v>
      </c>
      <c r="CA116" s="86"/>
      <c r="CB116" s="86"/>
      <c r="CC116" s="86"/>
      <c r="CD116" s="86"/>
      <c r="CE116" s="86"/>
      <c r="CF116" s="86"/>
      <c r="CG116" s="86"/>
      <c r="CH116" s="86"/>
      <c r="CI116" s="86"/>
      <c r="CJ116" s="86"/>
      <c r="CK116" s="86"/>
      <c r="CL116" s="86"/>
      <c r="CM116" s="86"/>
      <c r="CN116" s="86"/>
      <c r="CO116" s="86"/>
      <c r="CP116" s="86"/>
      <c r="CQ116" s="86"/>
      <c r="CR116" s="86"/>
      <c r="CS116" s="86"/>
      <c r="CT116" s="86"/>
      <c r="CU116" s="86"/>
      <c r="CV116" s="86"/>
      <c r="CW116" s="86"/>
      <c r="CX116" s="86"/>
      <c r="DC116" s="10"/>
      <c r="DD116" s="6"/>
      <c r="DE116" s="6"/>
      <c r="DF116" s="88">
        <v>20</v>
      </c>
      <c r="DG116" s="88"/>
      <c r="DH116" s="88"/>
      <c r="DI116" s="21"/>
      <c r="DJ116" s="86" t="str">
        <f>IF(CG89+CG90=0,"",IF(CG89&lt;CG90,BX88,BX90))</f>
        <v xml:space="preserve">   16 </v>
      </c>
      <c r="DK116" s="86"/>
      <c r="DL116" s="86"/>
      <c r="DM116" s="86"/>
      <c r="DN116" s="86"/>
      <c r="DO116" s="86"/>
      <c r="DP116" s="86"/>
      <c r="DQ116" s="86"/>
      <c r="DR116" s="86"/>
      <c r="DS116" s="86"/>
      <c r="DT116" s="86"/>
      <c r="DU116" s="86"/>
      <c r="DV116" s="86"/>
      <c r="DW116" s="86"/>
      <c r="DX116" s="86"/>
      <c r="DY116" s="86"/>
      <c r="DZ116" s="86"/>
      <c r="EA116" s="86"/>
      <c r="EB116" s="86"/>
      <c r="EC116" s="86"/>
      <c r="ED116" s="86"/>
      <c r="EE116" s="86"/>
      <c r="EF116" s="86"/>
      <c r="EG116" s="86"/>
      <c r="EH116" s="86"/>
    </row>
    <row r="117" spans="1:138" x14ac:dyDescent="0.15">
      <c r="A117" s="6"/>
      <c r="E117" s="14"/>
      <c r="F117" s="6"/>
      <c r="G117" s="6"/>
      <c r="H117" s="6"/>
      <c r="I117" s="6"/>
      <c r="J117" s="6"/>
      <c r="K117" s="6"/>
      <c r="L117" s="6"/>
      <c r="M117" s="74">
        <v>3</v>
      </c>
      <c r="N117" s="75"/>
      <c r="O117" s="15"/>
      <c r="P117" s="78" t="str">
        <f>IF(O117+O118=0,"",IF(O117&gt;O118,E116,E118))</f>
        <v>Derivaz  Valentin</v>
      </c>
      <c r="Q117" s="79"/>
      <c r="R117" s="79"/>
      <c r="S117" s="79"/>
      <c r="T117" s="79"/>
      <c r="U117" s="79"/>
      <c r="V117" s="79"/>
      <c r="W117" s="79"/>
      <c r="X117" s="79"/>
      <c r="Y117" s="7"/>
      <c r="Z117" s="6"/>
      <c r="AA117" s="6"/>
      <c r="AB117" s="6"/>
      <c r="AC117" s="6"/>
      <c r="AD117" s="6"/>
      <c r="AE117" s="6"/>
      <c r="AF117" s="6"/>
      <c r="AG117" s="6"/>
      <c r="AH117" s="6"/>
      <c r="AI117" s="16"/>
      <c r="AJ117" s="6"/>
      <c r="AK117" s="6"/>
      <c r="AL117" s="6"/>
      <c r="AM117" s="6"/>
      <c r="AN117" s="6"/>
      <c r="AO117" s="6"/>
      <c r="AP117" s="6"/>
      <c r="AQ117" s="6"/>
      <c r="AR117" s="6"/>
      <c r="AS117" s="16"/>
      <c r="AT117" s="6"/>
      <c r="AU117" s="6"/>
      <c r="AV117" s="6"/>
      <c r="AW117" s="6"/>
      <c r="AX117" s="6"/>
      <c r="AY117" s="6"/>
      <c r="AZ117" s="6"/>
      <c r="BA117" s="6"/>
      <c r="BB117" s="6"/>
      <c r="BC117" s="8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V117" s="88"/>
      <c r="BW117" s="88"/>
      <c r="BX117" s="88"/>
      <c r="BY117" s="21"/>
      <c r="BZ117" s="87"/>
      <c r="CA117" s="87"/>
      <c r="CB117" s="87"/>
      <c r="CC117" s="87"/>
      <c r="CD117" s="87"/>
      <c r="CE117" s="87"/>
      <c r="CF117" s="87"/>
      <c r="CG117" s="87"/>
      <c r="CH117" s="87"/>
      <c r="CI117" s="87"/>
      <c r="CJ117" s="87"/>
      <c r="CK117" s="87"/>
      <c r="CL117" s="87"/>
      <c r="CM117" s="87"/>
      <c r="CN117" s="87"/>
      <c r="CO117" s="87"/>
      <c r="CP117" s="87"/>
      <c r="CQ117" s="87"/>
      <c r="CR117" s="87"/>
      <c r="CS117" s="87"/>
      <c r="CT117" s="87"/>
      <c r="CU117" s="87"/>
      <c r="CV117" s="87"/>
      <c r="CW117" s="87"/>
      <c r="CX117" s="87"/>
      <c r="DC117" s="10"/>
      <c r="DD117" s="6"/>
      <c r="DE117" s="6"/>
      <c r="DF117" s="88"/>
      <c r="DG117" s="88"/>
      <c r="DH117" s="88"/>
      <c r="DI117" s="21"/>
      <c r="DJ117" s="87"/>
      <c r="DK117" s="87"/>
      <c r="DL117" s="87"/>
      <c r="DM117" s="87"/>
      <c r="DN117" s="87"/>
      <c r="DO117" s="87"/>
      <c r="DP117" s="87"/>
      <c r="DQ117" s="87"/>
      <c r="DR117" s="87"/>
      <c r="DS117" s="87"/>
      <c r="DT117" s="87"/>
      <c r="DU117" s="87"/>
      <c r="DV117" s="87"/>
      <c r="DW117" s="87"/>
      <c r="DX117" s="87"/>
      <c r="DY117" s="87"/>
      <c r="DZ117" s="87"/>
      <c r="EA117" s="87"/>
      <c r="EB117" s="87"/>
      <c r="EC117" s="87"/>
      <c r="ED117" s="87"/>
      <c r="EE117" s="87"/>
      <c r="EF117" s="87"/>
      <c r="EG117" s="87"/>
      <c r="EH117" s="87"/>
    </row>
    <row r="118" spans="1:138" x14ac:dyDescent="0.15">
      <c r="A118" s="6"/>
      <c r="B118" s="80">
        <v>6</v>
      </c>
      <c r="C118" s="80"/>
      <c r="E118" s="64" t="str">
        <f>IF(P33+P34=0,"",IF(P33&lt;P34,F32,F34))</f>
        <v>Derivaz  Valentin</v>
      </c>
      <c r="F118" s="64"/>
      <c r="G118" s="64"/>
      <c r="H118" s="64"/>
      <c r="I118" s="64"/>
      <c r="J118" s="64"/>
      <c r="K118" s="64"/>
      <c r="L118" s="64"/>
      <c r="M118" s="76"/>
      <c r="N118" s="77"/>
      <c r="O118" s="15">
        <v>1</v>
      </c>
      <c r="P118" s="6"/>
      <c r="Q118" s="6"/>
      <c r="R118" s="6"/>
      <c r="S118" s="6"/>
      <c r="T118" s="6"/>
      <c r="U118" s="6"/>
      <c r="V118" s="6"/>
      <c r="W118" s="6"/>
      <c r="X118" s="6"/>
      <c r="Y118" s="16"/>
      <c r="Z118" s="6"/>
      <c r="AA118" s="6"/>
      <c r="AB118" s="6"/>
      <c r="AC118" s="6"/>
      <c r="AD118" s="6"/>
      <c r="AE118" s="6"/>
      <c r="AF118" s="6"/>
      <c r="AG118" s="6"/>
      <c r="AH118" s="6"/>
      <c r="AI118" s="16"/>
      <c r="AJ118" s="6"/>
      <c r="AK118" s="6"/>
      <c r="AL118" s="6"/>
      <c r="AM118" s="6"/>
      <c r="AN118" s="6"/>
      <c r="AO118" s="6"/>
      <c r="AP118" s="6"/>
      <c r="AQ118" s="6"/>
      <c r="AR118" s="6"/>
      <c r="AS118" s="16"/>
      <c r="AT118" s="6"/>
      <c r="AU118" s="6"/>
      <c r="AV118" s="6"/>
      <c r="AW118" s="6"/>
      <c r="AX118" s="6"/>
      <c r="AY118" s="6"/>
      <c r="AZ118" s="6"/>
      <c r="BA118" s="6"/>
      <c r="BB118" s="6"/>
      <c r="BC118" s="8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7"/>
      <c r="CJ118" s="6"/>
      <c r="CK118" s="6"/>
      <c r="CL118" s="6"/>
      <c r="CM118" s="6"/>
      <c r="CS118" s="10"/>
      <c r="DC118" s="10"/>
      <c r="DD118" s="6"/>
      <c r="DE118" s="6"/>
      <c r="DF118" s="6"/>
      <c r="DG118" s="6"/>
      <c r="DH118" s="6"/>
      <c r="DI118" s="6"/>
      <c r="DJ118" s="6"/>
      <c r="DK118" s="6"/>
      <c r="DL118" s="6"/>
      <c r="DM118" s="7"/>
      <c r="DN118" s="6"/>
      <c r="DO118" s="6"/>
      <c r="DP118" s="6"/>
      <c r="DQ118" s="6"/>
      <c r="DR118" s="6"/>
      <c r="DS118" s="6"/>
      <c r="DT118" s="6"/>
      <c r="DU118" s="6"/>
      <c r="DV118" s="6"/>
      <c r="DW118" s="7"/>
    </row>
    <row r="119" spans="1:138" x14ac:dyDescent="0.25">
      <c r="A119" s="6"/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7"/>
      <c r="P119" s="6"/>
      <c r="Q119" s="6"/>
      <c r="R119" s="6"/>
      <c r="S119" s="6"/>
      <c r="T119" s="6"/>
      <c r="U119" s="6"/>
      <c r="V119" s="6"/>
      <c r="W119" s="65">
        <v>10</v>
      </c>
      <c r="X119" s="66"/>
      <c r="Y119" s="15">
        <v>0</v>
      </c>
      <c r="Z119" s="67" t="str">
        <f>IF(Y119+Y120=0,"",IF(Y119&gt;Y120,P117,P121))</f>
        <v xml:space="preserve">   20 </v>
      </c>
      <c r="AA119" s="68"/>
      <c r="AB119" s="68"/>
      <c r="AC119" s="68"/>
      <c r="AD119" s="68"/>
      <c r="AE119" s="68"/>
      <c r="AF119" s="68"/>
      <c r="AG119" s="68"/>
      <c r="AH119" s="82"/>
      <c r="AI119" s="16"/>
      <c r="AJ119" s="6"/>
      <c r="AK119" s="6"/>
      <c r="AL119" s="6"/>
      <c r="AM119" s="6"/>
      <c r="AN119" s="6"/>
      <c r="AO119" s="6"/>
      <c r="AP119" s="6"/>
      <c r="AQ119" s="6"/>
      <c r="AR119" s="6"/>
      <c r="AS119" s="16"/>
      <c r="AT119" s="6"/>
      <c r="AU119" s="6"/>
      <c r="AV119" s="6"/>
      <c r="AW119" s="6"/>
      <c r="AX119" s="6"/>
      <c r="AY119" s="6"/>
      <c r="AZ119" s="6"/>
      <c r="BA119" s="6"/>
      <c r="BB119" s="6"/>
      <c r="BC119" s="8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7"/>
      <c r="CJ119" s="6"/>
      <c r="CK119" s="6"/>
      <c r="CL119" s="6"/>
      <c r="CM119" s="6"/>
      <c r="CS119" s="10"/>
      <c r="DC119" s="10"/>
      <c r="DD119" s="6"/>
      <c r="DE119" s="6"/>
      <c r="DF119" s="6"/>
      <c r="DG119" s="6"/>
      <c r="DH119" s="6"/>
      <c r="DI119" s="6"/>
      <c r="DJ119" s="6"/>
      <c r="DK119" s="6"/>
      <c r="DL119" s="6"/>
      <c r="DM119" s="7"/>
      <c r="DN119" s="6"/>
      <c r="DO119" s="6"/>
      <c r="DP119" s="6"/>
      <c r="DQ119" s="6"/>
      <c r="DR119" s="6"/>
      <c r="DS119" s="6"/>
      <c r="DT119" s="6"/>
      <c r="DU119" s="6"/>
      <c r="DV119" s="6"/>
      <c r="DW119" s="7"/>
    </row>
    <row r="120" spans="1:138" x14ac:dyDescent="0.15">
      <c r="A120" s="6"/>
      <c r="B120" s="80">
        <v>7</v>
      </c>
      <c r="C120" s="80"/>
      <c r="E120" s="64" t="str">
        <f>IF(P37+P38=0,"",IF(P37&lt;P38,F36,F38))</f>
        <v xml:space="preserve">   20 </v>
      </c>
      <c r="F120" s="64"/>
      <c r="G120" s="64"/>
      <c r="H120" s="64"/>
      <c r="I120" s="64"/>
      <c r="J120" s="64"/>
      <c r="K120" s="64"/>
      <c r="L120" s="64"/>
      <c r="M120" s="22"/>
      <c r="N120" s="22"/>
      <c r="O120" s="7"/>
      <c r="P120" s="6"/>
      <c r="Q120" s="6"/>
      <c r="R120" s="6"/>
      <c r="S120" s="6"/>
      <c r="T120" s="6"/>
      <c r="U120" s="6"/>
      <c r="V120" s="6"/>
      <c r="W120" s="65"/>
      <c r="X120" s="66"/>
      <c r="Y120" s="15">
        <v>3</v>
      </c>
      <c r="Z120" s="6"/>
      <c r="AA120" s="6"/>
      <c r="AB120" s="6"/>
      <c r="AC120" s="6"/>
      <c r="AD120" s="6"/>
      <c r="AE120" s="6"/>
      <c r="AF120" s="6"/>
      <c r="AG120" s="6"/>
      <c r="AH120" s="6"/>
      <c r="AI120" s="7"/>
      <c r="AJ120" s="6"/>
      <c r="AK120" s="6"/>
      <c r="AL120" s="6"/>
      <c r="AM120" s="6"/>
      <c r="AN120" s="6"/>
      <c r="AO120" s="6"/>
      <c r="AP120" s="6"/>
      <c r="AQ120" s="6"/>
      <c r="AR120" s="6"/>
      <c r="AS120" s="16"/>
      <c r="AT120" s="6"/>
      <c r="AU120" s="6"/>
      <c r="AV120" s="6"/>
      <c r="AW120" s="6"/>
      <c r="AX120" s="6"/>
      <c r="AY120" s="6"/>
      <c r="AZ120" s="6"/>
      <c r="BA120" s="6"/>
      <c r="BB120" s="6"/>
      <c r="BC120" s="8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7"/>
      <c r="CJ120" s="6"/>
      <c r="CK120" s="6"/>
      <c r="CL120" s="6"/>
      <c r="CM120" s="6"/>
      <c r="CS120" s="10"/>
      <c r="DC120" s="10"/>
      <c r="DD120" s="6"/>
      <c r="DE120" s="6"/>
      <c r="DF120" s="6"/>
      <c r="DG120" s="6"/>
      <c r="DH120" s="6"/>
      <c r="DI120" s="6"/>
      <c r="DJ120" s="6"/>
      <c r="DK120" s="6"/>
      <c r="DL120" s="6"/>
      <c r="DM120" s="7"/>
      <c r="DN120" s="6"/>
      <c r="DO120" s="6"/>
      <c r="DP120" s="6"/>
      <c r="DQ120" s="6"/>
      <c r="DR120" s="6"/>
      <c r="DS120" s="6"/>
      <c r="DT120" s="6"/>
      <c r="DU120" s="6"/>
      <c r="DV120" s="6"/>
      <c r="DW120" s="7"/>
    </row>
    <row r="121" spans="1:138" x14ac:dyDescent="0.15">
      <c r="A121" s="6"/>
      <c r="E121" s="14"/>
      <c r="F121" s="6"/>
      <c r="G121" s="6"/>
      <c r="H121" s="6"/>
      <c r="I121" s="6"/>
      <c r="J121" s="6"/>
      <c r="K121" s="6"/>
      <c r="L121" s="6"/>
      <c r="M121" s="74">
        <v>4</v>
      </c>
      <c r="N121" s="75"/>
      <c r="O121" s="15">
        <v>1</v>
      </c>
      <c r="P121" s="78" t="str">
        <f>IF(O121+O122=0,"",IF(O121&gt;O122,E120,E122))</f>
        <v xml:space="preserve">   20 </v>
      </c>
      <c r="Q121" s="79"/>
      <c r="R121" s="79"/>
      <c r="S121" s="79"/>
      <c r="T121" s="79"/>
      <c r="U121" s="79"/>
      <c r="V121" s="79"/>
      <c r="W121" s="79"/>
      <c r="X121" s="81"/>
      <c r="Y121" s="16"/>
      <c r="Z121" s="6"/>
      <c r="AA121" s="6"/>
      <c r="AB121" s="6"/>
      <c r="AC121" s="6"/>
      <c r="AD121" s="6"/>
      <c r="AE121" s="6"/>
      <c r="AF121" s="6"/>
      <c r="AG121" s="6"/>
      <c r="AH121" s="6"/>
      <c r="AI121" s="7"/>
      <c r="AJ121" s="6"/>
      <c r="AK121" s="6"/>
      <c r="AL121" s="6"/>
      <c r="AM121" s="6"/>
      <c r="AN121" s="6"/>
      <c r="AO121" s="6"/>
      <c r="AP121" s="6"/>
      <c r="AQ121" s="6"/>
      <c r="AR121" s="6"/>
      <c r="AS121" s="16"/>
      <c r="AT121" s="6"/>
      <c r="AU121" s="6"/>
      <c r="AV121" s="6"/>
      <c r="AW121" s="6"/>
      <c r="AX121" s="6"/>
      <c r="AY121" s="6"/>
      <c r="AZ121" s="6"/>
      <c r="BA121" s="6"/>
      <c r="BB121" s="6"/>
      <c r="BC121" s="8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V121" s="88">
        <v>5</v>
      </c>
      <c r="BW121" s="88"/>
      <c r="BX121" s="88"/>
      <c r="BY121" s="21"/>
      <c r="BZ121" s="86" t="str">
        <f>IF(CR63+CR64=0,"",IF(CR63&gt;CR64,CI61,CI65))</f>
        <v>Frezghi  Tarik</v>
      </c>
      <c r="CA121" s="86"/>
      <c r="CB121" s="86"/>
      <c r="CC121" s="86"/>
      <c r="CD121" s="86"/>
      <c r="CE121" s="86"/>
      <c r="CF121" s="86"/>
      <c r="CG121" s="86"/>
      <c r="CH121" s="86"/>
      <c r="CI121" s="86"/>
      <c r="CJ121" s="86"/>
      <c r="CK121" s="86"/>
      <c r="CL121" s="86"/>
      <c r="CM121" s="86"/>
      <c r="CN121" s="86"/>
      <c r="CO121" s="86"/>
      <c r="CP121" s="86"/>
      <c r="CQ121" s="86"/>
      <c r="CR121" s="86"/>
      <c r="CS121" s="86"/>
      <c r="CT121" s="86"/>
      <c r="CU121" s="86"/>
      <c r="CV121" s="86"/>
      <c r="CW121" s="86"/>
      <c r="CX121" s="86"/>
      <c r="DC121" s="10"/>
      <c r="DD121" s="6"/>
      <c r="DE121" s="6"/>
      <c r="DF121" s="88">
        <v>21</v>
      </c>
      <c r="DG121" s="88"/>
      <c r="DH121" s="88"/>
      <c r="DI121" s="21"/>
      <c r="DJ121" s="86" t="str">
        <f>IF(CQ77+CQ78=0,"",IF(CQ77&gt;CQ78,CH75,CH79))</f>
        <v>Derivaz  Valentin</v>
      </c>
      <c r="DK121" s="86"/>
      <c r="DL121" s="86"/>
      <c r="DM121" s="86"/>
      <c r="DN121" s="86"/>
      <c r="DO121" s="86"/>
      <c r="DP121" s="86"/>
      <c r="DQ121" s="86"/>
      <c r="DR121" s="86"/>
      <c r="DS121" s="86"/>
      <c r="DT121" s="86"/>
      <c r="DU121" s="86"/>
      <c r="DV121" s="86"/>
      <c r="DW121" s="86"/>
      <c r="DX121" s="86"/>
      <c r="DY121" s="86"/>
      <c r="DZ121" s="86"/>
      <c r="EA121" s="86"/>
      <c r="EB121" s="86"/>
      <c r="EC121" s="86"/>
      <c r="ED121" s="86"/>
      <c r="EE121" s="86"/>
      <c r="EF121" s="86"/>
      <c r="EG121" s="86"/>
      <c r="EH121" s="86"/>
    </row>
    <row r="122" spans="1:138" x14ac:dyDescent="0.15">
      <c r="A122" s="6"/>
      <c r="B122" s="80">
        <v>8</v>
      </c>
      <c r="C122" s="80"/>
      <c r="E122" s="64" t="str">
        <f>IF(P41+P42=0,"",IF(P41&lt;P42,F40,F42))</f>
        <v xml:space="preserve">   29</v>
      </c>
      <c r="F122" s="64"/>
      <c r="G122" s="64"/>
      <c r="H122" s="64"/>
      <c r="I122" s="64"/>
      <c r="J122" s="64"/>
      <c r="K122" s="64"/>
      <c r="L122" s="64"/>
      <c r="M122" s="76"/>
      <c r="N122" s="77"/>
      <c r="O122" s="15"/>
      <c r="P122" s="6"/>
      <c r="Q122" s="6"/>
      <c r="R122" s="6"/>
      <c r="S122" s="6"/>
      <c r="T122" s="6"/>
      <c r="U122" s="6"/>
      <c r="V122" s="6"/>
      <c r="W122" s="6"/>
      <c r="X122" s="6"/>
      <c r="Y122" s="7"/>
      <c r="Z122" s="6"/>
      <c r="AA122" s="6"/>
      <c r="AB122" s="6"/>
      <c r="AC122" s="6"/>
      <c r="AD122" s="6"/>
      <c r="AE122" s="6"/>
      <c r="AF122" s="6"/>
      <c r="AG122" s="6"/>
      <c r="AH122" s="6"/>
      <c r="AI122" s="7"/>
      <c r="AJ122" s="6"/>
      <c r="AK122" s="6"/>
      <c r="AL122" s="6"/>
      <c r="AM122" s="6"/>
      <c r="AN122" s="6"/>
      <c r="AO122" s="6"/>
      <c r="AP122" s="6"/>
      <c r="AQ122" s="6"/>
      <c r="AR122" s="6"/>
      <c r="AS122" s="16"/>
      <c r="AT122" s="6"/>
      <c r="AU122" s="6"/>
      <c r="AV122" s="6"/>
      <c r="AW122" s="6"/>
      <c r="AX122" s="6"/>
      <c r="AY122" s="6"/>
      <c r="AZ122" s="6"/>
      <c r="BA122" s="6"/>
      <c r="BB122" s="6"/>
      <c r="BC122" s="8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V122" s="88"/>
      <c r="BW122" s="88"/>
      <c r="BX122" s="88"/>
      <c r="BY122" s="21"/>
      <c r="BZ122" s="87"/>
      <c r="CA122" s="87"/>
      <c r="CB122" s="87"/>
      <c r="CC122" s="87"/>
      <c r="CD122" s="87"/>
      <c r="CE122" s="87"/>
      <c r="CF122" s="87"/>
      <c r="CG122" s="87"/>
      <c r="CH122" s="87"/>
      <c r="CI122" s="87"/>
      <c r="CJ122" s="87"/>
      <c r="CK122" s="87"/>
      <c r="CL122" s="87"/>
      <c r="CM122" s="87"/>
      <c r="CN122" s="87"/>
      <c r="CO122" s="87"/>
      <c r="CP122" s="87"/>
      <c r="CQ122" s="87"/>
      <c r="CR122" s="87"/>
      <c r="CS122" s="87"/>
      <c r="CT122" s="87"/>
      <c r="CU122" s="87"/>
      <c r="CV122" s="87"/>
      <c r="CW122" s="87"/>
      <c r="CX122" s="87"/>
      <c r="DC122" s="10"/>
      <c r="DD122" s="6"/>
      <c r="DE122" s="6"/>
      <c r="DF122" s="88"/>
      <c r="DG122" s="88"/>
      <c r="DH122" s="88"/>
      <c r="DI122" s="21"/>
      <c r="DJ122" s="87"/>
      <c r="DK122" s="87"/>
      <c r="DL122" s="87"/>
      <c r="DM122" s="87"/>
      <c r="DN122" s="87"/>
      <c r="DO122" s="87"/>
      <c r="DP122" s="87"/>
      <c r="DQ122" s="87"/>
      <c r="DR122" s="87"/>
      <c r="DS122" s="87"/>
      <c r="DT122" s="87"/>
      <c r="DU122" s="87"/>
      <c r="DV122" s="87"/>
      <c r="DW122" s="87"/>
      <c r="DX122" s="87"/>
      <c r="DY122" s="87"/>
      <c r="DZ122" s="87"/>
      <c r="EA122" s="87"/>
      <c r="EB122" s="87"/>
      <c r="EC122" s="87"/>
      <c r="ED122" s="87"/>
      <c r="EE122" s="87"/>
      <c r="EF122" s="87"/>
      <c r="EG122" s="87"/>
      <c r="EH122" s="87"/>
    </row>
    <row r="123" spans="1:138" x14ac:dyDescent="0.25">
      <c r="A123" s="6"/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7"/>
      <c r="P123" s="6"/>
      <c r="Q123" s="6"/>
      <c r="R123" s="6"/>
      <c r="S123" s="6"/>
      <c r="T123" s="6"/>
      <c r="U123" s="6"/>
      <c r="V123" s="6"/>
      <c r="W123" s="6"/>
      <c r="X123" s="6"/>
      <c r="Y123" s="7"/>
      <c r="Z123" s="6"/>
      <c r="AA123" s="6"/>
      <c r="AB123" s="6"/>
      <c r="AC123" s="6"/>
      <c r="AD123" s="6"/>
      <c r="AE123" s="6"/>
      <c r="AF123" s="6"/>
      <c r="AG123" s="6"/>
      <c r="AH123" s="6"/>
      <c r="AI123" s="7"/>
      <c r="AJ123" s="6"/>
      <c r="AK123" s="6"/>
      <c r="AL123" s="6"/>
      <c r="AM123" s="6"/>
      <c r="AN123" s="6"/>
      <c r="AO123" s="6"/>
      <c r="AP123" s="6"/>
      <c r="AQ123" s="65">
        <v>15</v>
      </c>
      <c r="AR123" s="66"/>
      <c r="AS123" s="15">
        <v>3</v>
      </c>
      <c r="AT123" s="67" t="str">
        <f>IF(AS123+AS124=0,"",IF(AS123&gt;AS124,AJ115,AJ131))</f>
        <v xml:space="preserve">   20 </v>
      </c>
      <c r="AU123" s="68"/>
      <c r="AV123" s="68"/>
      <c r="AW123" s="68"/>
      <c r="AX123" s="68"/>
      <c r="AY123" s="68"/>
      <c r="AZ123" s="68"/>
      <c r="BA123" s="68"/>
      <c r="BB123" s="68"/>
      <c r="BC123" s="8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7"/>
      <c r="CJ123" s="6"/>
      <c r="CK123" s="6"/>
      <c r="CL123" s="6"/>
      <c r="CM123" s="6"/>
      <c r="CS123" s="10"/>
      <c r="DC123" s="10"/>
      <c r="DD123" s="6"/>
      <c r="DE123" s="6"/>
      <c r="DF123" s="6"/>
      <c r="DG123" s="6"/>
      <c r="DH123" s="6"/>
      <c r="DI123" s="6"/>
      <c r="DJ123" s="6"/>
      <c r="DK123" s="6"/>
      <c r="DL123" s="6"/>
      <c r="DM123" s="7"/>
      <c r="DN123" s="6"/>
      <c r="DO123" s="6"/>
      <c r="DP123" s="6"/>
      <c r="DQ123" s="6"/>
      <c r="DR123" s="6"/>
      <c r="DS123" s="6"/>
      <c r="DT123" s="6"/>
      <c r="DU123" s="6"/>
      <c r="DV123" s="6"/>
      <c r="DW123" s="7"/>
    </row>
    <row r="124" spans="1:138" x14ac:dyDescent="0.15">
      <c r="A124" s="6"/>
      <c r="B124" s="80">
        <v>9</v>
      </c>
      <c r="C124" s="80"/>
      <c r="E124" s="64" t="str">
        <f>IF(P45+P46=0,"",IF(P45&lt;P46,F44,F46))</f>
        <v xml:space="preserve">   30</v>
      </c>
      <c r="F124" s="64"/>
      <c r="G124" s="64"/>
      <c r="H124" s="64"/>
      <c r="I124" s="64"/>
      <c r="J124" s="64"/>
      <c r="K124" s="64"/>
      <c r="L124" s="64"/>
      <c r="M124" s="22"/>
      <c r="N124" s="22"/>
      <c r="O124" s="7"/>
      <c r="P124" s="6"/>
      <c r="Q124" s="6"/>
      <c r="R124" s="6"/>
      <c r="S124" s="6"/>
      <c r="T124" s="6"/>
      <c r="U124" s="6"/>
      <c r="V124" s="6"/>
      <c r="W124" s="6"/>
      <c r="X124" s="6"/>
      <c r="Y124" s="7"/>
      <c r="Z124" s="6"/>
      <c r="AA124" s="6"/>
      <c r="AB124" s="6"/>
      <c r="AC124" s="6"/>
      <c r="AD124" s="6"/>
      <c r="AE124" s="6"/>
      <c r="AF124" s="6"/>
      <c r="AG124" s="6"/>
      <c r="AH124" s="6"/>
      <c r="AI124" s="7"/>
      <c r="AJ124" s="6"/>
      <c r="AK124" s="6"/>
      <c r="AL124" s="6"/>
      <c r="AM124" s="6"/>
      <c r="AN124" s="6"/>
      <c r="AO124" s="6"/>
      <c r="AP124" s="6"/>
      <c r="AQ124" s="65"/>
      <c r="AR124" s="66"/>
      <c r="AS124" s="15">
        <v>2</v>
      </c>
      <c r="AT124" s="6"/>
      <c r="AU124" s="6"/>
      <c r="AV124" s="6"/>
      <c r="AW124" s="6"/>
      <c r="AX124" s="6"/>
      <c r="AY124" s="6"/>
      <c r="AZ124" s="6"/>
      <c r="BA124" s="6"/>
      <c r="BB124" s="6"/>
      <c r="BC124" s="8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7"/>
      <c r="CJ124" s="6"/>
      <c r="CK124" s="6"/>
      <c r="CL124" s="6"/>
      <c r="CM124" s="6"/>
      <c r="CS124" s="10"/>
      <c r="DC124" s="10"/>
      <c r="DD124" s="6"/>
      <c r="DE124" s="6"/>
      <c r="DF124" s="6"/>
      <c r="DG124" s="6"/>
      <c r="DH124" s="6"/>
      <c r="DI124" s="6"/>
      <c r="DJ124" s="6"/>
      <c r="DK124" s="6"/>
      <c r="DL124" s="6"/>
      <c r="DM124" s="7"/>
      <c r="DN124" s="6"/>
      <c r="DO124" s="6"/>
      <c r="DP124" s="6"/>
      <c r="DQ124" s="6"/>
      <c r="DR124" s="6"/>
      <c r="DS124" s="6"/>
      <c r="DT124" s="6"/>
      <c r="DU124" s="6"/>
      <c r="DV124" s="6"/>
      <c r="DW124" s="7"/>
    </row>
    <row r="125" spans="1:138" x14ac:dyDescent="0.15">
      <c r="A125" s="6"/>
      <c r="E125" s="14"/>
      <c r="F125" s="6"/>
      <c r="G125" s="6"/>
      <c r="H125" s="6"/>
      <c r="I125" s="6"/>
      <c r="J125" s="6"/>
      <c r="K125" s="6"/>
      <c r="L125" s="6"/>
      <c r="M125" s="74">
        <v>5</v>
      </c>
      <c r="N125" s="75"/>
      <c r="O125" s="15"/>
      <c r="P125" s="78" t="str">
        <f>IF(O125+O126=0,"",IF(O125&gt;O126,E124,E126))</f>
        <v>Salamin  Elona</v>
      </c>
      <c r="Q125" s="79"/>
      <c r="R125" s="79"/>
      <c r="S125" s="79"/>
      <c r="T125" s="79"/>
      <c r="U125" s="79"/>
      <c r="V125" s="79"/>
      <c r="W125" s="79"/>
      <c r="X125" s="79"/>
      <c r="Y125" s="7"/>
      <c r="Z125" s="6"/>
      <c r="AA125" s="6"/>
      <c r="AB125" s="6"/>
      <c r="AC125" s="6"/>
      <c r="AD125" s="6"/>
      <c r="AE125" s="6"/>
      <c r="AF125" s="6"/>
      <c r="AG125" s="6"/>
      <c r="AH125" s="6"/>
      <c r="AI125" s="7"/>
      <c r="AJ125" s="6"/>
      <c r="AK125" s="6"/>
      <c r="AL125" s="6"/>
      <c r="AM125" s="6"/>
      <c r="AN125" s="6"/>
      <c r="AO125" s="6"/>
      <c r="AP125" s="6"/>
      <c r="AQ125" s="6"/>
      <c r="AR125" s="6"/>
      <c r="AS125" s="16"/>
      <c r="AT125" s="6"/>
      <c r="AU125" s="6"/>
      <c r="AV125" s="6"/>
      <c r="AW125" s="6"/>
      <c r="AX125" s="6"/>
      <c r="AY125" s="6"/>
      <c r="AZ125" s="6"/>
      <c r="BA125" s="6"/>
      <c r="BB125" s="6"/>
      <c r="BC125" s="8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7"/>
      <c r="CJ125" s="6"/>
      <c r="CK125" s="6"/>
      <c r="CL125" s="6"/>
      <c r="CM125" s="6"/>
      <c r="CS125" s="10"/>
      <c r="DC125" s="10"/>
      <c r="DD125" s="6"/>
      <c r="DE125" s="6"/>
      <c r="DF125" s="6"/>
      <c r="DG125" s="6"/>
      <c r="DH125" s="6"/>
      <c r="DI125" s="6"/>
      <c r="DJ125" s="6"/>
      <c r="DK125" s="6"/>
      <c r="DL125" s="6"/>
      <c r="DM125" s="7"/>
      <c r="DN125" s="6"/>
      <c r="DO125" s="6"/>
      <c r="DP125" s="6"/>
      <c r="DQ125" s="6"/>
      <c r="DR125" s="6"/>
      <c r="DS125" s="6"/>
      <c r="DT125" s="6"/>
      <c r="DU125" s="6"/>
      <c r="DV125" s="6"/>
      <c r="DW125" s="7"/>
    </row>
    <row r="126" spans="1:138" x14ac:dyDescent="0.15">
      <c r="A126" s="6"/>
      <c r="B126" s="80">
        <v>10</v>
      </c>
      <c r="C126" s="80"/>
      <c r="E126" s="64" t="str">
        <f>IF(P49+P50=0,"",IF(P49&lt;P50,F48,F50))</f>
        <v>Salamin  Elona</v>
      </c>
      <c r="F126" s="64"/>
      <c r="G126" s="64"/>
      <c r="H126" s="64"/>
      <c r="I126" s="64"/>
      <c r="J126" s="64"/>
      <c r="K126" s="64"/>
      <c r="L126" s="64"/>
      <c r="M126" s="76"/>
      <c r="N126" s="77"/>
      <c r="O126" s="15">
        <v>1</v>
      </c>
      <c r="P126" s="6"/>
      <c r="Q126" s="6"/>
      <c r="R126" s="6"/>
      <c r="S126" s="6"/>
      <c r="T126" s="6"/>
      <c r="U126" s="6"/>
      <c r="V126" s="6"/>
      <c r="W126" s="6"/>
      <c r="X126" s="6"/>
      <c r="Y126" s="16"/>
      <c r="Z126" s="6"/>
      <c r="AA126" s="6"/>
      <c r="AB126" s="6"/>
      <c r="AC126" s="6"/>
      <c r="AD126" s="6"/>
      <c r="AE126" s="6"/>
      <c r="AF126" s="6"/>
      <c r="AG126" s="6"/>
      <c r="AH126" s="6"/>
      <c r="AI126" s="7"/>
      <c r="AJ126" s="6"/>
      <c r="AK126" s="6"/>
      <c r="AL126" s="6"/>
      <c r="AM126" s="6"/>
      <c r="AN126" s="6"/>
      <c r="AO126" s="6"/>
      <c r="AP126" s="6"/>
      <c r="AQ126" s="6"/>
      <c r="AR126" s="6"/>
      <c r="AS126" s="16"/>
      <c r="AT126" s="6"/>
      <c r="AU126" s="6"/>
      <c r="AV126" s="6"/>
      <c r="AW126" s="6"/>
      <c r="AX126" s="6"/>
      <c r="AY126" s="6"/>
      <c r="AZ126" s="6"/>
      <c r="BA126" s="6"/>
      <c r="BB126" s="6"/>
      <c r="BC126" s="8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V126" s="88">
        <v>6</v>
      </c>
      <c r="BW126" s="88"/>
      <c r="BX126" s="88"/>
      <c r="BY126" s="21"/>
      <c r="BZ126" s="86" t="str">
        <f>IF(CR63+CR64=0,"",IF(CR63&lt;CR64,CI61,CI65))</f>
        <v>Bellon  Antoine</v>
      </c>
      <c r="CA126" s="86"/>
      <c r="CB126" s="86"/>
      <c r="CC126" s="86"/>
      <c r="CD126" s="86"/>
      <c r="CE126" s="86"/>
      <c r="CF126" s="86"/>
      <c r="CG126" s="86"/>
      <c r="CH126" s="86"/>
      <c r="CI126" s="86"/>
      <c r="CJ126" s="86"/>
      <c r="CK126" s="86"/>
      <c r="CL126" s="86"/>
      <c r="CM126" s="86"/>
      <c r="CN126" s="86"/>
      <c r="CO126" s="86"/>
      <c r="CP126" s="86"/>
      <c r="CQ126" s="86"/>
      <c r="CR126" s="86"/>
      <c r="CS126" s="86"/>
      <c r="CT126" s="86"/>
      <c r="CU126" s="86"/>
      <c r="CV126" s="86"/>
      <c r="CW126" s="86"/>
      <c r="CX126" s="86"/>
      <c r="DC126" s="10"/>
      <c r="DD126" s="6"/>
      <c r="DE126" s="6"/>
      <c r="DF126" s="88">
        <v>22</v>
      </c>
      <c r="DG126" s="88"/>
      <c r="DH126" s="88"/>
      <c r="DI126" s="21"/>
      <c r="DJ126" s="86" t="str">
        <f>IF(CQ77+CQ78=0,"",IF(CQ77&lt;CQ78,CH75,CH79))</f>
        <v xml:space="preserve">   22 </v>
      </c>
      <c r="DK126" s="86"/>
      <c r="DL126" s="86"/>
      <c r="DM126" s="86"/>
      <c r="DN126" s="86"/>
      <c r="DO126" s="86"/>
      <c r="DP126" s="86"/>
      <c r="DQ126" s="86"/>
      <c r="DR126" s="86"/>
      <c r="DS126" s="86"/>
      <c r="DT126" s="86"/>
      <c r="DU126" s="86"/>
      <c r="DV126" s="86"/>
      <c r="DW126" s="86"/>
      <c r="DX126" s="86"/>
      <c r="DY126" s="86"/>
      <c r="DZ126" s="86"/>
      <c r="EA126" s="86"/>
      <c r="EB126" s="86"/>
      <c r="EC126" s="86"/>
      <c r="ED126" s="86"/>
      <c r="EE126" s="86"/>
      <c r="EF126" s="86"/>
      <c r="EG126" s="86"/>
      <c r="EH126" s="86"/>
    </row>
    <row r="127" spans="1:138" x14ac:dyDescent="0.25">
      <c r="A127" s="6"/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7"/>
      <c r="P127" s="6"/>
      <c r="Q127" s="6"/>
      <c r="R127" s="6"/>
      <c r="S127" s="6"/>
      <c r="T127" s="6"/>
      <c r="U127" s="6"/>
      <c r="V127" s="6"/>
      <c r="W127" s="65">
        <v>11</v>
      </c>
      <c r="X127" s="66"/>
      <c r="Y127" s="15">
        <v>3</v>
      </c>
      <c r="Z127" s="67" t="str">
        <f>IF(Y127+Y128=0,"",IF(Y127&gt;Y128,P125,P129))</f>
        <v>Salamin  Elona</v>
      </c>
      <c r="AA127" s="68"/>
      <c r="AB127" s="68"/>
      <c r="AC127" s="68"/>
      <c r="AD127" s="68"/>
      <c r="AE127" s="68"/>
      <c r="AF127" s="68"/>
      <c r="AG127" s="68"/>
      <c r="AH127" s="68"/>
      <c r="AI127" s="7"/>
      <c r="AJ127" s="6"/>
      <c r="AK127" s="6"/>
      <c r="AL127" s="6"/>
      <c r="AM127" s="6"/>
      <c r="AN127" s="6"/>
      <c r="AO127" s="6"/>
      <c r="AP127" s="6"/>
      <c r="AQ127" s="6"/>
      <c r="AR127" s="6"/>
      <c r="AS127" s="16"/>
      <c r="AT127" s="6"/>
      <c r="AU127" s="6"/>
      <c r="AV127" s="6"/>
      <c r="AW127" s="6"/>
      <c r="AX127" s="6"/>
      <c r="AY127" s="6"/>
      <c r="AZ127" s="6"/>
      <c r="BA127" s="6"/>
      <c r="BB127" s="6"/>
      <c r="BC127" s="8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V127" s="88"/>
      <c r="BW127" s="88"/>
      <c r="BX127" s="88"/>
      <c r="BY127" s="21"/>
      <c r="BZ127" s="87"/>
      <c r="CA127" s="87"/>
      <c r="CB127" s="87"/>
      <c r="CC127" s="87"/>
      <c r="CD127" s="87"/>
      <c r="CE127" s="87"/>
      <c r="CF127" s="87"/>
      <c r="CG127" s="87"/>
      <c r="CH127" s="87"/>
      <c r="CI127" s="87"/>
      <c r="CJ127" s="87"/>
      <c r="CK127" s="87"/>
      <c r="CL127" s="87"/>
      <c r="CM127" s="87"/>
      <c r="CN127" s="87"/>
      <c r="CO127" s="87"/>
      <c r="CP127" s="87"/>
      <c r="CQ127" s="87"/>
      <c r="CR127" s="87"/>
      <c r="CS127" s="87"/>
      <c r="CT127" s="87"/>
      <c r="CU127" s="87"/>
      <c r="CV127" s="87"/>
      <c r="CW127" s="87"/>
      <c r="CX127" s="87"/>
      <c r="DC127" s="10"/>
      <c r="DD127" s="6"/>
      <c r="DE127" s="6"/>
      <c r="DF127" s="88"/>
      <c r="DG127" s="88"/>
      <c r="DH127" s="88"/>
      <c r="DI127" s="21"/>
      <c r="DJ127" s="87"/>
      <c r="DK127" s="87"/>
      <c r="DL127" s="87"/>
      <c r="DM127" s="87"/>
      <c r="DN127" s="87"/>
      <c r="DO127" s="87"/>
      <c r="DP127" s="87"/>
      <c r="DQ127" s="87"/>
      <c r="DR127" s="87"/>
      <c r="DS127" s="87"/>
      <c r="DT127" s="87"/>
      <c r="DU127" s="87"/>
      <c r="DV127" s="87"/>
      <c r="DW127" s="87"/>
      <c r="DX127" s="87"/>
      <c r="DY127" s="87"/>
      <c r="DZ127" s="87"/>
      <c r="EA127" s="87"/>
      <c r="EB127" s="87"/>
      <c r="EC127" s="87"/>
      <c r="ED127" s="87"/>
      <c r="EE127" s="87"/>
      <c r="EF127" s="87"/>
      <c r="EG127" s="87"/>
      <c r="EH127" s="87"/>
    </row>
    <row r="128" spans="1:138" x14ac:dyDescent="0.15">
      <c r="A128" s="6"/>
      <c r="B128" s="80">
        <v>11</v>
      </c>
      <c r="C128" s="80"/>
      <c r="E128" s="64" t="str">
        <f>IF(P53+P54=0,"",IF(P53&lt;P54,F52,F54))</f>
        <v xml:space="preserve">   22 </v>
      </c>
      <c r="F128" s="64"/>
      <c r="G128" s="64"/>
      <c r="H128" s="64"/>
      <c r="I128" s="64"/>
      <c r="J128" s="64"/>
      <c r="K128" s="64"/>
      <c r="L128" s="64"/>
      <c r="M128" s="64"/>
      <c r="N128" s="64"/>
      <c r="O128" s="7"/>
      <c r="P128" s="6"/>
      <c r="Q128" s="6"/>
      <c r="R128" s="6"/>
      <c r="S128" s="6"/>
      <c r="T128" s="6"/>
      <c r="U128" s="6"/>
      <c r="V128" s="6"/>
      <c r="W128" s="65"/>
      <c r="X128" s="66"/>
      <c r="Y128" s="15">
        <v>2</v>
      </c>
      <c r="Z128" s="6"/>
      <c r="AA128" s="6"/>
      <c r="AB128" s="6"/>
      <c r="AC128" s="6"/>
      <c r="AD128" s="6"/>
      <c r="AE128" s="6"/>
      <c r="AF128" s="6"/>
      <c r="AG128" s="6"/>
      <c r="AH128" s="6"/>
      <c r="AI128" s="16"/>
      <c r="AJ128" s="6"/>
      <c r="AK128" s="6"/>
      <c r="AL128" s="6"/>
      <c r="AM128" s="6"/>
      <c r="AN128" s="6"/>
      <c r="AO128" s="6"/>
      <c r="AP128" s="6"/>
      <c r="AQ128" s="6"/>
      <c r="AR128" s="6"/>
      <c r="AS128" s="16"/>
      <c r="AT128" s="6"/>
      <c r="AU128" s="6"/>
      <c r="AV128" s="6"/>
      <c r="AW128" s="6"/>
      <c r="AX128" s="6"/>
      <c r="AY128" s="6"/>
      <c r="AZ128" s="6"/>
      <c r="BA128" s="6"/>
      <c r="BB128" s="6"/>
      <c r="BC128" s="8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7"/>
      <c r="CJ128" s="6"/>
      <c r="CK128" s="6"/>
      <c r="CL128" s="6"/>
      <c r="CM128" s="6"/>
      <c r="CS128" s="10"/>
      <c r="DC128" s="10"/>
      <c r="DD128" s="6"/>
      <c r="DE128" s="6"/>
      <c r="DF128" s="6"/>
      <c r="DG128" s="6"/>
      <c r="DH128" s="6"/>
      <c r="DI128" s="6"/>
      <c r="DJ128" s="6"/>
      <c r="DK128" s="6"/>
      <c r="DL128" s="6"/>
      <c r="DM128" s="7"/>
      <c r="DN128" s="6"/>
      <c r="DO128" s="6"/>
      <c r="DP128" s="6"/>
      <c r="DQ128" s="6"/>
      <c r="DR128" s="6"/>
      <c r="DS128" s="6"/>
      <c r="DT128" s="6"/>
      <c r="DU128" s="6"/>
      <c r="DV128" s="6"/>
      <c r="DW128" s="7"/>
    </row>
    <row r="129" spans="1:138" x14ac:dyDescent="0.15">
      <c r="A129" s="6"/>
      <c r="E129" s="14"/>
      <c r="F129" s="6"/>
      <c r="G129" s="6"/>
      <c r="H129" s="6"/>
      <c r="I129" s="6"/>
      <c r="J129" s="6"/>
      <c r="K129" s="6"/>
      <c r="L129" s="6"/>
      <c r="M129" s="74">
        <v>6</v>
      </c>
      <c r="N129" s="75"/>
      <c r="O129" s="15">
        <v>1</v>
      </c>
      <c r="P129" s="78" t="str">
        <f>IF(O129+O130=0,"",IF(O129&gt;O130,E128,E130))</f>
        <v xml:space="preserve">   22 </v>
      </c>
      <c r="Q129" s="79"/>
      <c r="R129" s="79"/>
      <c r="S129" s="79"/>
      <c r="T129" s="79"/>
      <c r="U129" s="79"/>
      <c r="V129" s="79"/>
      <c r="W129" s="79"/>
      <c r="X129" s="81"/>
      <c r="Y129" s="16"/>
      <c r="Z129" s="6"/>
      <c r="AA129" s="6"/>
      <c r="AB129" s="6"/>
      <c r="AC129" s="6"/>
      <c r="AD129" s="6"/>
      <c r="AE129" s="6"/>
      <c r="AF129" s="6"/>
      <c r="AG129" s="6"/>
      <c r="AH129" s="6"/>
      <c r="AI129" s="16"/>
      <c r="AJ129" s="6"/>
      <c r="AK129" s="6"/>
      <c r="AL129" s="6"/>
      <c r="AM129" s="6"/>
      <c r="AN129" s="6"/>
      <c r="AO129" s="6"/>
      <c r="AP129" s="6"/>
      <c r="AQ129" s="6"/>
      <c r="AR129" s="6"/>
      <c r="AS129" s="16"/>
      <c r="AT129" s="6"/>
      <c r="AU129" s="6"/>
      <c r="AV129" s="6"/>
      <c r="AW129" s="6"/>
      <c r="AX129" s="6"/>
      <c r="AY129" s="6"/>
      <c r="AZ129" s="6"/>
      <c r="BA129" s="6"/>
      <c r="BB129" s="6"/>
      <c r="BC129" s="8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7"/>
      <c r="CJ129" s="6"/>
      <c r="CK129" s="6"/>
      <c r="CL129" s="6"/>
      <c r="CM129" s="6"/>
      <c r="CS129" s="10"/>
      <c r="DC129" s="10"/>
      <c r="DD129" s="6"/>
      <c r="DE129" s="6"/>
      <c r="DF129" s="6"/>
      <c r="DG129" s="6"/>
      <c r="DH129" s="6"/>
      <c r="DI129" s="6"/>
      <c r="DJ129" s="6"/>
      <c r="DK129" s="6"/>
      <c r="DL129" s="6"/>
      <c r="DM129" s="7"/>
      <c r="DN129" s="6"/>
      <c r="DO129" s="6"/>
      <c r="DP129" s="6"/>
      <c r="DQ129" s="6"/>
      <c r="DR129" s="6"/>
      <c r="DS129" s="6"/>
      <c r="DT129" s="6"/>
      <c r="DU129" s="6"/>
      <c r="DV129" s="6"/>
      <c r="DW129" s="7"/>
    </row>
    <row r="130" spans="1:138" x14ac:dyDescent="0.15">
      <c r="A130" s="6"/>
      <c r="B130" s="80">
        <v>12</v>
      </c>
      <c r="C130" s="80"/>
      <c r="E130" s="64" t="str">
        <f>IF(P57+P58=0,"",IF(P57&lt;P58,F56,F58))</f>
        <v xml:space="preserve">   27 </v>
      </c>
      <c r="F130" s="64"/>
      <c r="G130" s="64"/>
      <c r="H130" s="64"/>
      <c r="I130" s="64"/>
      <c r="J130" s="64"/>
      <c r="K130" s="64"/>
      <c r="L130" s="64"/>
      <c r="M130" s="76"/>
      <c r="N130" s="77"/>
      <c r="O130" s="15"/>
      <c r="P130" s="6"/>
      <c r="Q130" s="6"/>
      <c r="R130" s="6"/>
      <c r="S130" s="6"/>
      <c r="T130" s="6"/>
      <c r="U130" s="6"/>
      <c r="V130" s="6"/>
      <c r="W130" s="6"/>
      <c r="X130" s="6"/>
      <c r="Y130" s="7"/>
      <c r="Z130" s="6"/>
      <c r="AA130" s="6"/>
      <c r="AB130" s="6"/>
      <c r="AC130" s="6"/>
      <c r="AD130" s="6"/>
      <c r="AE130" s="6"/>
      <c r="AF130" s="6"/>
      <c r="AG130" s="6"/>
      <c r="AH130" s="6"/>
      <c r="AI130" s="16"/>
      <c r="AJ130" s="6"/>
      <c r="AK130" s="6"/>
      <c r="AL130" s="6"/>
      <c r="AM130" s="6"/>
      <c r="AN130" s="6"/>
      <c r="AO130" s="6"/>
      <c r="AP130" s="6"/>
      <c r="AQ130" s="6"/>
      <c r="AR130" s="6"/>
      <c r="AS130" s="16"/>
      <c r="AT130" s="6"/>
      <c r="AU130" s="6"/>
      <c r="AV130" s="6"/>
      <c r="AW130" s="6"/>
      <c r="AX130" s="6"/>
      <c r="AY130" s="6"/>
      <c r="AZ130" s="6"/>
      <c r="BA130" s="6"/>
      <c r="BB130" s="6"/>
      <c r="BC130" s="8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7"/>
      <c r="CJ130" s="6"/>
      <c r="CK130" s="6"/>
      <c r="CL130" s="6"/>
      <c r="CM130" s="6"/>
      <c r="CS130" s="10"/>
      <c r="DC130" s="10"/>
      <c r="DD130" s="6"/>
      <c r="DE130" s="6"/>
      <c r="DF130" s="6"/>
      <c r="DG130" s="6"/>
      <c r="DH130" s="6"/>
      <c r="DI130" s="6"/>
      <c r="DJ130" s="6"/>
      <c r="DK130" s="6"/>
      <c r="DL130" s="6"/>
      <c r="DM130" s="7"/>
      <c r="DN130" s="6"/>
      <c r="DO130" s="6"/>
      <c r="DP130" s="6"/>
      <c r="DQ130" s="6"/>
      <c r="DR130" s="6"/>
      <c r="DS130" s="6"/>
      <c r="DT130" s="6"/>
      <c r="DU130" s="6"/>
      <c r="DV130" s="6"/>
      <c r="DW130" s="7"/>
    </row>
    <row r="131" spans="1:138" x14ac:dyDescent="0.25">
      <c r="A131" s="6"/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7"/>
      <c r="P131" s="6"/>
      <c r="Q131" s="6"/>
      <c r="R131" s="6"/>
      <c r="S131" s="6"/>
      <c r="T131" s="6"/>
      <c r="U131" s="6"/>
      <c r="V131" s="6"/>
      <c r="W131" s="6"/>
      <c r="X131" s="6"/>
      <c r="Y131" s="7"/>
      <c r="Z131" s="6"/>
      <c r="AA131" s="6"/>
      <c r="AB131" s="6"/>
      <c r="AC131" s="6"/>
      <c r="AD131" s="6"/>
      <c r="AE131" s="6"/>
      <c r="AF131" s="6"/>
      <c r="AG131" s="65">
        <v>14</v>
      </c>
      <c r="AH131" s="66"/>
      <c r="AI131" s="15">
        <v>3</v>
      </c>
      <c r="AJ131" s="67" t="str">
        <f>IF(AI131+AI132=0,"",IF(AI131&gt;AI132,Z127,Z135))</f>
        <v>Salamin  Elona</v>
      </c>
      <c r="AK131" s="68"/>
      <c r="AL131" s="68"/>
      <c r="AM131" s="68"/>
      <c r="AN131" s="68"/>
      <c r="AO131" s="68"/>
      <c r="AP131" s="68"/>
      <c r="AQ131" s="68"/>
      <c r="AR131" s="82"/>
      <c r="AS131" s="16"/>
      <c r="AT131" s="6"/>
      <c r="AU131" s="6"/>
      <c r="AV131" s="6"/>
      <c r="AW131" s="6"/>
      <c r="AX131" s="6"/>
      <c r="AY131" s="6"/>
      <c r="AZ131" s="6"/>
      <c r="BA131" s="6"/>
      <c r="BB131" s="6"/>
      <c r="BC131" s="8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V131" s="88">
        <v>7</v>
      </c>
      <c r="BW131" s="88"/>
      <c r="BX131" s="88"/>
      <c r="BY131" s="21"/>
      <c r="BZ131" s="86" t="str">
        <f>IF(DW61+DW62=0,"",IF(DW61&gt;DW62,DM60,DM62))</f>
        <v>Jacquod  Thibaud</v>
      </c>
      <c r="CA131" s="86"/>
      <c r="CB131" s="86"/>
      <c r="CC131" s="86"/>
      <c r="CD131" s="86"/>
      <c r="CE131" s="86"/>
      <c r="CF131" s="86"/>
      <c r="CG131" s="86"/>
      <c r="CH131" s="86"/>
      <c r="CI131" s="86"/>
      <c r="CJ131" s="86"/>
      <c r="CK131" s="86"/>
      <c r="CL131" s="86"/>
      <c r="CM131" s="86"/>
      <c r="CN131" s="86"/>
      <c r="CO131" s="86"/>
      <c r="CP131" s="86"/>
      <c r="CQ131" s="86"/>
      <c r="CR131" s="86"/>
      <c r="CS131" s="86"/>
      <c r="CT131" s="86"/>
      <c r="CU131" s="86"/>
      <c r="CV131" s="86"/>
      <c r="CW131" s="86"/>
      <c r="CX131" s="86"/>
      <c r="DC131" s="10"/>
      <c r="DD131" s="6"/>
      <c r="DE131" s="6"/>
      <c r="DF131" s="88">
        <v>23</v>
      </c>
      <c r="DG131" s="88"/>
      <c r="DH131" s="88"/>
      <c r="DI131" s="21"/>
      <c r="DJ131" s="86" t="str">
        <f>IF(DW75+DW76=0,"",IF(DW75&gt;DW76,DN74,DN76))</f>
        <v xml:space="preserve">   24 </v>
      </c>
      <c r="DK131" s="86"/>
      <c r="DL131" s="86"/>
      <c r="DM131" s="86"/>
      <c r="DN131" s="86"/>
      <c r="DO131" s="86"/>
      <c r="DP131" s="86"/>
      <c r="DQ131" s="86"/>
      <c r="DR131" s="86"/>
      <c r="DS131" s="86"/>
      <c r="DT131" s="86"/>
      <c r="DU131" s="86"/>
      <c r="DV131" s="86"/>
      <c r="DW131" s="86"/>
      <c r="DX131" s="86"/>
      <c r="DY131" s="86"/>
      <c r="DZ131" s="86"/>
      <c r="EA131" s="86"/>
      <c r="EB131" s="86"/>
      <c r="EC131" s="86"/>
      <c r="ED131" s="86"/>
      <c r="EE131" s="86"/>
      <c r="EF131" s="86"/>
      <c r="EG131" s="86"/>
      <c r="EH131" s="86"/>
    </row>
    <row r="132" spans="1:138" x14ac:dyDescent="0.15">
      <c r="A132" s="6"/>
      <c r="B132" s="80">
        <v>13</v>
      </c>
      <c r="C132" s="80"/>
      <c r="E132" s="64" t="str">
        <f>IF(P61+P62=0,"",IF(P61&lt;P62,F60,F62))</f>
        <v xml:space="preserve">   26 </v>
      </c>
      <c r="F132" s="64"/>
      <c r="G132" s="64"/>
      <c r="H132" s="64"/>
      <c r="I132" s="64"/>
      <c r="J132" s="64"/>
      <c r="K132" s="64"/>
      <c r="L132" s="64"/>
      <c r="M132" s="64"/>
      <c r="N132" s="64"/>
      <c r="O132" s="7"/>
      <c r="P132" s="6"/>
      <c r="Q132" s="6"/>
      <c r="R132" s="6"/>
      <c r="S132" s="6"/>
      <c r="T132" s="6"/>
      <c r="U132" s="6"/>
      <c r="V132" s="6"/>
      <c r="W132" s="6"/>
      <c r="X132" s="6"/>
      <c r="Y132" s="7"/>
      <c r="Z132" s="6"/>
      <c r="AA132" s="6"/>
      <c r="AB132" s="6"/>
      <c r="AC132" s="6"/>
      <c r="AD132" s="6"/>
      <c r="AE132" s="6"/>
      <c r="AF132" s="6"/>
      <c r="AG132" s="65"/>
      <c r="AH132" s="66"/>
      <c r="AI132" s="15">
        <v>1</v>
      </c>
      <c r="AJ132" s="6"/>
      <c r="AK132" s="6"/>
      <c r="AL132" s="6"/>
      <c r="AM132" s="6"/>
      <c r="AN132" s="6"/>
      <c r="AO132" s="6"/>
      <c r="AP132" s="6"/>
      <c r="AQ132" s="6"/>
      <c r="AR132" s="6"/>
      <c r="AS132" s="7"/>
      <c r="AT132" s="6"/>
      <c r="AU132" s="6"/>
      <c r="AV132" s="6"/>
      <c r="AW132" s="6"/>
      <c r="AX132" s="6"/>
      <c r="AY132" s="6"/>
      <c r="AZ132" s="6"/>
      <c r="BA132" s="6"/>
      <c r="BB132" s="6"/>
      <c r="BC132" s="8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V132" s="88"/>
      <c r="BW132" s="88"/>
      <c r="BX132" s="88"/>
      <c r="BY132" s="21"/>
      <c r="BZ132" s="87"/>
      <c r="CA132" s="87"/>
      <c r="CB132" s="87"/>
      <c r="CC132" s="87"/>
      <c r="CD132" s="87"/>
      <c r="CE132" s="87"/>
      <c r="CF132" s="87"/>
      <c r="CG132" s="87"/>
      <c r="CH132" s="87"/>
      <c r="CI132" s="87"/>
      <c r="CJ132" s="87"/>
      <c r="CK132" s="87"/>
      <c r="CL132" s="87"/>
      <c r="CM132" s="87"/>
      <c r="CN132" s="87"/>
      <c r="CO132" s="87"/>
      <c r="CP132" s="87"/>
      <c r="CQ132" s="87"/>
      <c r="CR132" s="87"/>
      <c r="CS132" s="87"/>
      <c r="CT132" s="87"/>
      <c r="CU132" s="87"/>
      <c r="CV132" s="87"/>
      <c r="CW132" s="87"/>
      <c r="CX132" s="87"/>
      <c r="DC132" s="10"/>
      <c r="DD132" s="6"/>
      <c r="DE132" s="6"/>
      <c r="DF132" s="88"/>
      <c r="DG132" s="88"/>
      <c r="DH132" s="88"/>
      <c r="DI132" s="21"/>
      <c r="DJ132" s="87"/>
      <c r="DK132" s="87"/>
      <c r="DL132" s="87"/>
      <c r="DM132" s="87"/>
      <c r="DN132" s="87"/>
      <c r="DO132" s="87"/>
      <c r="DP132" s="87"/>
      <c r="DQ132" s="87"/>
      <c r="DR132" s="87"/>
      <c r="DS132" s="87"/>
      <c r="DT132" s="87"/>
      <c r="DU132" s="87"/>
      <c r="DV132" s="87"/>
      <c r="DW132" s="87"/>
      <c r="DX132" s="87"/>
      <c r="DY132" s="87"/>
      <c r="DZ132" s="87"/>
      <c r="EA132" s="87"/>
      <c r="EB132" s="87"/>
      <c r="EC132" s="87"/>
      <c r="ED132" s="87"/>
      <c r="EE132" s="87"/>
      <c r="EF132" s="87"/>
      <c r="EG132" s="87"/>
      <c r="EH132" s="87"/>
    </row>
    <row r="133" spans="1:138" x14ac:dyDescent="0.15">
      <c r="A133" s="6"/>
      <c r="E133" s="14"/>
      <c r="F133" s="6"/>
      <c r="G133" s="6"/>
      <c r="H133" s="6"/>
      <c r="I133" s="6"/>
      <c r="J133" s="6"/>
      <c r="K133" s="6"/>
      <c r="L133" s="6"/>
      <c r="M133" s="74">
        <v>7</v>
      </c>
      <c r="N133" s="75"/>
      <c r="O133" s="15">
        <v>1</v>
      </c>
      <c r="P133" s="78" t="str">
        <f>IF(O133+O134=0,"",IF(O133&gt;O134,E132,E134))</f>
        <v xml:space="preserve">   26 </v>
      </c>
      <c r="Q133" s="79"/>
      <c r="R133" s="79"/>
      <c r="S133" s="79"/>
      <c r="T133" s="79"/>
      <c r="U133" s="79"/>
      <c r="V133" s="79"/>
      <c r="W133" s="79"/>
      <c r="X133" s="79"/>
      <c r="Y133" s="7"/>
      <c r="Z133" s="6"/>
      <c r="AA133" s="6"/>
      <c r="AB133" s="6"/>
      <c r="AC133" s="6"/>
      <c r="AD133" s="6"/>
      <c r="AE133" s="6"/>
      <c r="AF133" s="6"/>
      <c r="AG133" s="6"/>
      <c r="AH133" s="6"/>
      <c r="AI133" s="16"/>
      <c r="AJ133" s="6"/>
      <c r="AK133" s="6"/>
      <c r="AL133" s="6"/>
      <c r="AM133" s="6"/>
      <c r="AN133" s="6"/>
      <c r="AO133" s="6"/>
      <c r="AP133" s="6"/>
      <c r="AQ133" s="6"/>
      <c r="AR133" s="6"/>
      <c r="AS133" s="7"/>
      <c r="AT133" s="6"/>
      <c r="AU133" s="6"/>
      <c r="AV133" s="6"/>
      <c r="AW133" s="6"/>
      <c r="AX133" s="6"/>
      <c r="AY133" s="6"/>
      <c r="AZ133" s="6"/>
      <c r="BA133" s="6"/>
      <c r="BB133" s="6"/>
      <c r="BC133" s="8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7"/>
      <c r="CJ133" s="6"/>
      <c r="CK133" s="6"/>
      <c r="CL133" s="6"/>
      <c r="CM133" s="6"/>
      <c r="CS133" s="10"/>
      <c r="DC133" s="10"/>
      <c r="DD133" s="6"/>
      <c r="DE133" s="6"/>
      <c r="DF133" s="6"/>
      <c r="DG133" s="6"/>
      <c r="DH133" s="6"/>
      <c r="DI133" s="6"/>
      <c r="DJ133" s="6"/>
      <c r="DK133" s="6"/>
      <c r="DL133" s="6"/>
      <c r="DM133" s="7"/>
      <c r="DN133" s="6"/>
      <c r="DO133" s="6"/>
      <c r="DP133" s="6"/>
      <c r="DQ133" s="6"/>
      <c r="DR133" s="6"/>
      <c r="DS133" s="6"/>
      <c r="DT133" s="6"/>
      <c r="DU133" s="6"/>
      <c r="DV133" s="6"/>
      <c r="DW133" s="7"/>
    </row>
    <row r="134" spans="1:138" x14ac:dyDescent="0.15">
      <c r="A134" s="6"/>
      <c r="B134" s="80">
        <v>14</v>
      </c>
      <c r="C134" s="80"/>
      <c r="E134" s="64" t="str">
        <f>IF(P65+P66=0,"",IF(P65&lt;P66,F64,F66))</f>
        <v xml:space="preserve">   23</v>
      </c>
      <c r="F134" s="64"/>
      <c r="G134" s="64"/>
      <c r="H134" s="64"/>
      <c r="I134" s="64"/>
      <c r="J134" s="64"/>
      <c r="K134" s="64"/>
      <c r="L134" s="64"/>
      <c r="M134" s="76"/>
      <c r="N134" s="77"/>
      <c r="O134" s="15"/>
      <c r="P134" s="6"/>
      <c r="Q134" s="6"/>
      <c r="R134" s="6"/>
      <c r="S134" s="6"/>
      <c r="T134" s="6"/>
      <c r="U134" s="6"/>
      <c r="V134" s="6"/>
      <c r="W134" s="6"/>
      <c r="X134" s="6"/>
      <c r="Y134" s="16"/>
      <c r="Z134" s="6"/>
      <c r="AA134" s="6"/>
      <c r="AB134" s="6"/>
      <c r="AC134" s="6"/>
      <c r="AD134" s="6"/>
      <c r="AE134" s="6"/>
      <c r="AF134" s="6"/>
      <c r="AG134" s="6"/>
      <c r="AH134" s="6"/>
      <c r="AI134" s="16"/>
      <c r="AJ134" s="6"/>
      <c r="AK134" s="6"/>
      <c r="AL134" s="6"/>
      <c r="AM134" s="6"/>
      <c r="AN134" s="6"/>
      <c r="AO134" s="6"/>
      <c r="AP134" s="6"/>
      <c r="AQ134" s="6"/>
      <c r="AR134" s="6"/>
      <c r="AS134" s="7"/>
      <c r="AT134" s="6"/>
      <c r="AU134" s="6"/>
      <c r="AV134" s="6"/>
      <c r="AW134" s="6"/>
      <c r="AX134" s="6"/>
      <c r="AY134" s="6"/>
      <c r="AZ134" s="6"/>
      <c r="BA134" s="6"/>
      <c r="BB134" s="6"/>
      <c r="BC134" s="8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7"/>
      <c r="CJ134" s="6"/>
      <c r="CK134" s="6"/>
      <c r="CL134" s="6"/>
      <c r="CM134" s="6"/>
      <c r="CS134" s="10"/>
      <c r="DC134" s="10"/>
      <c r="DD134" s="6"/>
      <c r="DE134" s="6"/>
      <c r="DF134" s="6"/>
      <c r="DG134" s="6"/>
      <c r="DH134" s="6"/>
      <c r="DI134" s="6"/>
      <c r="DJ134" s="6"/>
      <c r="DK134" s="6"/>
      <c r="DL134" s="6"/>
      <c r="DM134" s="7"/>
      <c r="DN134" s="6"/>
      <c r="DO134" s="6"/>
      <c r="DP134" s="6"/>
      <c r="DQ134" s="6"/>
      <c r="DR134" s="6"/>
      <c r="DS134" s="6"/>
      <c r="DT134" s="6"/>
      <c r="DU134" s="6"/>
      <c r="DV134" s="6"/>
      <c r="DW134" s="7"/>
    </row>
    <row r="135" spans="1:138" x14ac:dyDescent="0.25">
      <c r="A135" s="6"/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7"/>
      <c r="P135" s="6"/>
      <c r="Q135" s="6"/>
      <c r="R135" s="6"/>
      <c r="S135" s="6"/>
      <c r="T135" s="6"/>
      <c r="U135" s="6"/>
      <c r="V135" s="6"/>
      <c r="W135" s="65">
        <v>12</v>
      </c>
      <c r="X135" s="66"/>
      <c r="Y135" s="15"/>
      <c r="Z135" s="67" t="str">
        <f>IF(Y135+Y136=0,"",IF(Y135&gt;Y136,P133,P137))</f>
        <v xml:space="preserve">   18</v>
      </c>
      <c r="AA135" s="68"/>
      <c r="AB135" s="68"/>
      <c r="AC135" s="68"/>
      <c r="AD135" s="68"/>
      <c r="AE135" s="68"/>
      <c r="AF135" s="68"/>
      <c r="AG135" s="68"/>
      <c r="AH135" s="82"/>
      <c r="AI135" s="16"/>
      <c r="AJ135" s="6"/>
      <c r="AK135" s="6"/>
      <c r="AL135" s="6"/>
      <c r="AM135" s="6"/>
      <c r="AN135" s="6"/>
      <c r="AO135" s="6"/>
      <c r="AP135" s="6"/>
      <c r="AQ135" s="6"/>
      <c r="AR135" s="6"/>
      <c r="AS135" s="7"/>
      <c r="AT135" s="6"/>
      <c r="AU135" s="6"/>
      <c r="AV135" s="6"/>
      <c r="AW135" s="6"/>
      <c r="AX135" s="6"/>
      <c r="AY135" s="6"/>
      <c r="AZ135" s="6"/>
      <c r="BA135" s="6"/>
      <c r="BB135" s="6"/>
      <c r="BC135" s="8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7"/>
      <c r="CJ135" s="6"/>
      <c r="CK135" s="6"/>
      <c r="CL135" s="6"/>
      <c r="CM135" s="6"/>
      <c r="CS135" s="10"/>
      <c r="DC135" s="10"/>
      <c r="DD135" s="6"/>
      <c r="DE135" s="6"/>
      <c r="DF135" s="6"/>
      <c r="DG135" s="6"/>
      <c r="DH135" s="6"/>
      <c r="DI135" s="6"/>
      <c r="DJ135" s="6"/>
      <c r="DK135" s="6"/>
      <c r="DL135" s="6"/>
      <c r="DM135" s="7"/>
      <c r="DN135" s="6"/>
      <c r="DO135" s="6"/>
      <c r="DP135" s="6"/>
      <c r="DQ135" s="6"/>
      <c r="DR135" s="6"/>
      <c r="DS135" s="6"/>
      <c r="DT135" s="6"/>
      <c r="DU135" s="6"/>
      <c r="DV135" s="6"/>
      <c r="DW135" s="7"/>
    </row>
    <row r="136" spans="1:138" x14ac:dyDescent="0.15">
      <c r="A136" s="6"/>
      <c r="B136" s="80">
        <v>15</v>
      </c>
      <c r="C136" s="80"/>
      <c r="E136" s="64" t="str">
        <f>IF(P69+P70=0,"",IF(P69&lt;P70,F68,F70))</f>
        <v xml:space="preserve">   18</v>
      </c>
      <c r="F136" s="64"/>
      <c r="G136" s="64"/>
      <c r="H136" s="64"/>
      <c r="I136" s="64"/>
      <c r="J136" s="64"/>
      <c r="K136" s="64"/>
      <c r="L136" s="64"/>
      <c r="M136" s="64"/>
      <c r="N136" s="64"/>
      <c r="O136" s="7"/>
      <c r="P136" s="6"/>
      <c r="Q136" s="6"/>
      <c r="R136" s="6"/>
      <c r="S136" s="6"/>
      <c r="T136" s="6"/>
      <c r="U136" s="6"/>
      <c r="V136" s="6"/>
      <c r="W136" s="65"/>
      <c r="X136" s="66"/>
      <c r="Y136" s="15">
        <v>1</v>
      </c>
      <c r="Z136" s="6"/>
      <c r="AA136" s="6"/>
      <c r="AB136" s="6"/>
      <c r="AC136" s="6"/>
      <c r="AD136" s="6"/>
      <c r="AE136" s="6"/>
      <c r="AF136" s="6"/>
      <c r="AG136" s="6"/>
      <c r="AH136" s="6"/>
      <c r="AI136" s="7"/>
      <c r="AJ136" s="6"/>
      <c r="AK136" s="6"/>
      <c r="AL136" s="6"/>
      <c r="AM136" s="6"/>
      <c r="AN136" s="6"/>
      <c r="AO136" s="6"/>
      <c r="AP136" s="6"/>
      <c r="AQ136" s="6"/>
      <c r="AR136" s="6"/>
      <c r="AS136" s="7"/>
      <c r="AT136" s="6"/>
      <c r="AU136" s="6"/>
      <c r="AV136" s="6"/>
      <c r="AW136" s="6"/>
      <c r="AX136" s="6"/>
      <c r="AY136" s="6"/>
      <c r="AZ136" s="6"/>
      <c r="BA136" s="6"/>
      <c r="BB136" s="6"/>
      <c r="BC136" s="8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V136" s="88">
        <v>8</v>
      </c>
      <c r="BW136" s="88"/>
      <c r="BX136" s="88"/>
      <c r="BY136" s="21"/>
      <c r="BZ136" s="86" t="str">
        <f>IF(DW61+DW62=0,"",IF(DW61&lt;DW62,DM60,DM62))</f>
        <v>Marjay  David</v>
      </c>
      <c r="CA136" s="86"/>
      <c r="CB136" s="86"/>
      <c r="CC136" s="86"/>
      <c r="CD136" s="86"/>
      <c r="CE136" s="86"/>
      <c r="CF136" s="86"/>
      <c r="CG136" s="86"/>
      <c r="CH136" s="86"/>
      <c r="CI136" s="86"/>
      <c r="CJ136" s="86"/>
      <c r="CK136" s="86"/>
      <c r="CL136" s="86"/>
      <c r="CM136" s="86"/>
      <c r="CN136" s="86"/>
      <c r="CO136" s="86"/>
      <c r="CP136" s="86"/>
      <c r="CQ136" s="86"/>
      <c r="CR136" s="86"/>
      <c r="CS136" s="86"/>
      <c r="CT136" s="86"/>
      <c r="CU136" s="86"/>
      <c r="CV136" s="86"/>
      <c r="CW136" s="86"/>
      <c r="CX136" s="86"/>
      <c r="DC136" s="10"/>
      <c r="DD136" s="6"/>
      <c r="DE136" s="6"/>
      <c r="DF136" s="88">
        <v>24</v>
      </c>
      <c r="DG136" s="88"/>
      <c r="DH136" s="88"/>
      <c r="DI136" s="21"/>
      <c r="DJ136" s="86" t="str">
        <f>IF(DW75+DW76=0,"",IF(DW75&lt;DW76,DN74,DN76))</f>
        <v xml:space="preserve">   26 </v>
      </c>
      <c r="DK136" s="86"/>
      <c r="DL136" s="86"/>
      <c r="DM136" s="86"/>
      <c r="DN136" s="86"/>
      <c r="DO136" s="86"/>
      <c r="DP136" s="86"/>
      <c r="DQ136" s="86"/>
      <c r="DR136" s="86"/>
      <c r="DS136" s="86"/>
      <c r="DT136" s="86"/>
      <c r="DU136" s="86"/>
      <c r="DV136" s="86"/>
      <c r="DW136" s="86"/>
      <c r="DX136" s="86"/>
      <c r="DY136" s="86"/>
      <c r="DZ136" s="86"/>
      <c r="EA136" s="86"/>
      <c r="EB136" s="86"/>
      <c r="EC136" s="86"/>
      <c r="ED136" s="86"/>
      <c r="EE136" s="86"/>
      <c r="EF136" s="86"/>
      <c r="EG136" s="86"/>
      <c r="EH136" s="86"/>
    </row>
    <row r="137" spans="1:138" x14ac:dyDescent="0.15">
      <c r="A137" s="6"/>
      <c r="E137" s="14"/>
      <c r="F137" s="6"/>
      <c r="G137" s="6"/>
      <c r="H137" s="6"/>
      <c r="I137" s="6"/>
      <c r="J137" s="6"/>
      <c r="K137" s="6"/>
      <c r="L137" s="6"/>
      <c r="M137" s="74">
        <v>8</v>
      </c>
      <c r="N137" s="75"/>
      <c r="O137" s="15">
        <v>1</v>
      </c>
      <c r="P137" s="78" t="str">
        <f>IF(O137+O138=0,"",IF(O137&gt;O138,E136,E138))</f>
        <v xml:space="preserve">   18</v>
      </c>
      <c r="Q137" s="79"/>
      <c r="R137" s="79"/>
      <c r="S137" s="79"/>
      <c r="T137" s="79"/>
      <c r="U137" s="79"/>
      <c r="V137" s="79"/>
      <c r="W137" s="79"/>
      <c r="X137" s="81"/>
      <c r="Y137" s="16"/>
      <c r="Z137" s="6"/>
      <c r="AA137" s="6"/>
      <c r="AB137" s="6"/>
      <c r="AC137" s="6"/>
      <c r="AD137" s="6"/>
      <c r="AE137" s="6"/>
      <c r="AF137" s="6"/>
      <c r="AG137" s="6"/>
      <c r="AH137" s="6"/>
      <c r="AI137" s="7"/>
      <c r="AJ137" s="6"/>
      <c r="AK137" s="6"/>
      <c r="AL137" s="6"/>
      <c r="AM137" s="6"/>
      <c r="AN137" s="6"/>
      <c r="AO137" s="6"/>
      <c r="AP137" s="6"/>
      <c r="AQ137" s="6"/>
      <c r="AR137" s="6"/>
      <c r="AS137" s="7"/>
      <c r="AT137" s="6"/>
      <c r="AU137" s="6"/>
      <c r="AV137" s="6"/>
      <c r="AW137" s="6"/>
      <c r="AX137" s="6"/>
      <c r="AY137" s="6"/>
      <c r="AZ137" s="6"/>
      <c r="BA137" s="6"/>
      <c r="BB137" s="6"/>
      <c r="BC137" s="8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V137" s="88"/>
      <c r="BW137" s="88"/>
      <c r="BX137" s="88"/>
      <c r="BY137" s="21"/>
      <c r="BZ137" s="87"/>
      <c r="CA137" s="87"/>
      <c r="CB137" s="87"/>
      <c r="CC137" s="87"/>
      <c r="CD137" s="87"/>
      <c r="CE137" s="87"/>
      <c r="CF137" s="87"/>
      <c r="CG137" s="87"/>
      <c r="CH137" s="87"/>
      <c r="CI137" s="87"/>
      <c r="CJ137" s="87"/>
      <c r="CK137" s="87"/>
      <c r="CL137" s="87"/>
      <c r="CM137" s="87"/>
      <c r="CN137" s="87"/>
      <c r="CO137" s="87"/>
      <c r="CP137" s="87"/>
      <c r="CQ137" s="87"/>
      <c r="CR137" s="87"/>
      <c r="CS137" s="87"/>
      <c r="CT137" s="87"/>
      <c r="CU137" s="87"/>
      <c r="CV137" s="87"/>
      <c r="CW137" s="87"/>
      <c r="CX137" s="87"/>
      <c r="DC137" s="10"/>
      <c r="DD137" s="6"/>
      <c r="DE137" s="6"/>
      <c r="DF137" s="88"/>
      <c r="DG137" s="88"/>
      <c r="DH137" s="88"/>
      <c r="DI137" s="21"/>
      <c r="DJ137" s="87"/>
      <c r="DK137" s="87"/>
      <c r="DL137" s="87"/>
      <c r="DM137" s="87"/>
      <c r="DN137" s="87"/>
      <c r="DO137" s="87"/>
      <c r="DP137" s="87"/>
      <c r="DQ137" s="87"/>
      <c r="DR137" s="87"/>
      <c r="DS137" s="87"/>
      <c r="DT137" s="87"/>
      <c r="DU137" s="87"/>
      <c r="DV137" s="87"/>
      <c r="DW137" s="87"/>
      <c r="DX137" s="87"/>
      <c r="DY137" s="87"/>
      <c r="DZ137" s="87"/>
      <c r="EA137" s="87"/>
      <c r="EB137" s="87"/>
      <c r="EC137" s="87"/>
      <c r="ED137" s="87"/>
      <c r="EE137" s="87"/>
      <c r="EF137" s="87"/>
      <c r="EG137" s="87"/>
      <c r="EH137" s="87"/>
    </row>
    <row r="138" spans="1:138" x14ac:dyDescent="0.15">
      <c r="A138" s="6"/>
      <c r="B138" s="80">
        <v>16</v>
      </c>
      <c r="C138" s="80"/>
      <c r="E138" s="64" t="str">
        <f>IF(P73+P74=0,"",IF(P73&lt;P74,F72,F74))</f>
        <v xml:space="preserve">   31</v>
      </c>
      <c r="F138" s="64"/>
      <c r="G138" s="64"/>
      <c r="H138" s="64"/>
      <c r="I138" s="64"/>
      <c r="J138" s="64"/>
      <c r="K138" s="64"/>
      <c r="L138" s="64"/>
      <c r="M138" s="76"/>
      <c r="N138" s="77"/>
      <c r="O138" s="15"/>
      <c r="P138" s="6"/>
      <c r="Q138" s="6"/>
      <c r="R138" s="6"/>
      <c r="S138" s="6"/>
      <c r="T138" s="6"/>
      <c r="U138" s="6"/>
      <c r="V138" s="6"/>
      <c r="W138" s="6"/>
      <c r="X138" s="6"/>
      <c r="Y138" s="7"/>
      <c r="Z138" s="6"/>
      <c r="AA138" s="6"/>
      <c r="AB138" s="6"/>
      <c r="AC138" s="6"/>
      <c r="AD138" s="6"/>
      <c r="AE138" s="6"/>
      <c r="AF138" s="6"/>
      <c r="AG138" s="6"/>
      <c r="AH138" s="6"/>
      <c r="AI138" s="7"/>
      <c r="AJ138" s="6"/>
      <c r="AK138" s="6"/>
      <c r="AL138" s="6"/>
      <c r="AM138" s="6"/>
      <c r="AN138" s="6"/>
      <c r="AO138" s="6"/>
      <c r="AP138" s="6"/>
      <c r="AQ138" s="6"/>
      <c r="AR138" s="6"/>
      <c r="AS138" s="7"/>
      <c r="AT138" s="6"/>
      <c r="AU138" s="6"/>
      <c r="AV138" s="6"/>
      <c r="AW138" s="6"/>
      <c r="AX138" s="6"/>
      <c r="AY138" s="6"/>
      <c r="AZ138" s="6"/>
      <c r="BA138" s="6"/>
      <c r="BB138" s="6"/>
      <c r="BC138" s="8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7"/>
      <c r="CJ138" s="6"/>
      <c r="CK138" s="6"/>
      <c r="CL138" s="6"/>
      <c r="CM138" s="6"/>
      <c r="CN138" s="6"/>
      <c r="CO138" s="6"/>
      <c r="CP138" s="6"/>
      <c r="CQ138" s="6"/>
      <c r="CR138" s="6"/>
      <c r="CS138" s="7"/>
      <c r="CT138" s="6"/>
      <c r="CU138" s="6"/>
      <c r="CV138" s="6"/>
      <c r="CW138" s="6"/>
      <c r="CX138" s="6"/>
      <c r="CY138" s="6"/>
      <c r="CZ138" s="6"/>
      <c r="DA138" s="6"/>
      <c r="DB138" s="6"/>
      <c r="DC138" s="7"/>
      <c r="DD138" s="6"/>
      <c r="DE138" s="6"/>
      <c r="DF138" s="6"/>
      <c r="DG138" s="6"/>
      <c r="DH138" s="6"/>
      <c r="DI138" s="6"/>
      <c r="DJ138" s="6"/>
      <c r="DK138" s="6"/>
      <c r="DL138" s="6"/>
      <c r="DM138" s="7"/>
      <c r="DN138" s="6"/>
      <c r="DO138" s="6"/>
      <c r="DP138" s="6"/>
      <c r="DQ138" s="6"/>
      <c r="DR138" s="6"/>
      <c r="DS138" s="6"/>
      <c r="DT138" s="6"/>
      <c r="DU138" s="6"/>
      <c r="DV138" s="6"/>
      <c r="DW138" s="7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</row>
    <row r="139" spans="1:138" x14ac:dyDescent="0.25">
      <c r="A139" s="6"/>
      <c r="O139" s="8"/>
      <c r="Y139" s="8"/>
      <c r="AI139" s="8"/>
      <c r="AS139" s="8"/>
      <c r="BC139" s="8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7"/>
      <c r="CJ139" s="6"/>
      <c r="CK139" s="6"/>
      <c r="CL139" s="6"/>
      <c r="CM139" s="6"/>
      <c r="CN139" s="6"/>
      <c r="CO139" s="6"/>
      <c r="CP139" s="6"/>
      <c r="CQ139" s="6"/>
      <c r="CR139" s="6"/>
      <c r="CS139" s="7"/>
      <c r="CT139" s="6"/>
      <c r="CU139" s="6"/>
      <c r="CV139" s="6"/>
      <c r="CW139" s="6"/>
      <c r="CX139" s="6"/>
      <c r="CY139" s="6"/>
      <c r="CZ139" s="6"/>
      <c r="DA139" s="6"/>
      <c r="DB139" s="6"/>
      <c r="DC139" s="7"/>
      <c r="DD139" s="6"/>
      <c r="DE139" s="6"/>
      <c r="DF139" s="6"/>
      <c r="DG139" s="6"/>
      <c r="DH139" s="6"/>
      <c r="DI139" s="6"/>
      <c r="DJ139" s="6"/>
      <c r="DK139" s="6"/>
      <c r="DL139" s="6"/>
      <c r="DM139" s="7"/>
      <c r="DN139" s="6"/>
      <c r="DO139" s="6"/>
      <c r="DP139" s="6"/>
      <c r="DQ139" s="6"/>
      <c r="DR139" s="6"/>
      <c r="DS139" s="6"/>
      <c r="DT139" s="6"/>
      <c r="DU139" s="6"/>
      <c r="DV139" s="6"/>
      <c r="DW139" s="7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</row>
    <row r="140" spans="1:138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7"/>
      <c r="P140" s="6"/>
      <c r="Q140" s="6"/>
      <c r="R140" s="6"/>
      <c r="S140" s="6"/>
      <c r="T140" s="6"/>
      <c r="U140" s="6"/>
      <c r="V140" s="6"/>
      <c r="W140" s="6"/>
      <c r="X140" s="6"/>
      <c r="Y140" s="7"/>
      <c r="Z140" s="6"/>
      <c r="AA140" s="6"/>
      <c r="AB140" s="6"/>
      <c r="AC140" s="6"/>
      <c r="AD140" s="6"/>
      <c r="AE140" s="6"/>
      <c r="AF140" s="6"/>
      <c r="AG140" s="6"/>
      <c r="AH140" s="6"/>
      <c r="AI140" s="7"/>
      <c r="AJ140" s="6"/>
      <c r="AK140" s="6"/>
      <c r="AL140" s="6"/>
      <c r="AM140" s="6"/>
      <c r="AN140" s="6"/>
      <c r="AO140" s="6"/>
      <c r="AP140" s="6"/>
      <c r="AQ140" s="6"/>
      <c r="AR140" s="6"/>
      <c r="AS140" s="7"/>
      <c r="AT140" s="6"/>
      <c r="AU140" s="6"/>
      <c r="AV140" s="6"/>
      <c r="AW140" s="6"/>
      <c r="AX140" s="6"/>
      <c r="AY140" s="6"/>
      <c r="AZ140" s="6"/>
      <c r="BA140" s="6"/>
      <c r="BB140" s="6"/>
      <c r="BC140" s="7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7"/>
      <c r="CJ140" s="6"/>
      <c r="CK140" s="6"/>
      <c r="CL140" s="6"/>
      <c r="CM140" s="6"/>
      <c r="CN140" s="6"/>
      <c r="CO140" s="6"/>
      <c r="CP140" s="6"/>
      <c r="CQ140" s="6"/>
      <c r="CR140" s="6"/>
      <c r="CS140" s="7"/>
      <c r="CT140" s="6"/>
      <c r="CU140" s="6"/>
      <c r="CV140" s="6"/>
      <c r="CW140" s="6"/>
      <c r="CX140" s="6"/>
      <c r="CY140" s="6"/>
      <c r="CZ140" s="6"/>
      <c r="DA140" s="6"/>
      <c r="DB140" s="6"/>
      <c r="DC140" s="7"/>
      <c r="DD140" s="6"/>
      <c r="DE140" s="6"/>
      <c r="DF140" s="6"/>
      <c r="DG140" s="6"/>
      <c r="DH140" s="6"/>
      <c r="DI140" s="6"/>
      <c r="DJ140" s="6"/>
      <c r="DK140" s="6"/>
      <c r="DL140" s="6"/>
      <c r="DM140" s="7"/>
      <c r="DN140" s="6"/>
      <c r="DO140" s="6"/>
      <c r="DP140" s="6"/>
      <c r="DQ140" s="6"/>
      <c r="DR140" s="6"/>
      <c r="DS140" s="6"/>
      <c r="DT140" s="6"/>
      <c r="DU140" s="6"/>
      <c r="DV140" s="6"/>
      <c r="DW140" s="7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</row>
    <row r="141" spans="1:138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7"/>
      <c r="P141" s="6"/>
      <c r="Q141" s="6"/>
      <c r="R141" s="6"/>
      <c r="S141" s="6"/>
      <c r="T141" s="6"/>
      <c r="U141" s="6"/>
      <c r="V141" s="6"/>
      <c r="W141" s="6"/>
      <c r="X141" s="6"/>
      <c r="Y141" s="7"/>
      <c r="Z141" s="6"/>
      <c r="AA141" s="6"/>
      <c r="AB141" s="6"/>
      <c r="AC141" s="6"/>
      <c r="AD141" s="6"/>
      <c r="AE141" s="6"/>
      <c r="AF141" s="6"/>
      <c r="AG141" s="6"/>
      <c r="AH141" s="6"/>
      <c r="AI141" s="7"/>
      <c r="AJ141" s="6"/>
      <c r="AK141" s="6"/>
      <c r="AL141" s="6"/>
      <c r="AM141" s="6"/>
      <c r="AN141" s="6"/>
      <c r="AO141" s="6"/>
      <c r="AP141" s="6"/>
      <c r="AQ141" s="6"/>
      <c r="AR141" s="6"/>
      <c r="AS141" s="7"/>
      <c r="AT141" s="6"/>
      <c r="AU141" s="6"/>
      <c r="AV141" s="6"/>
      <c r="AW141" s="6"/>
      <c r="AX141" s="6"/>
      <c r="AY141" s="6"/>
      <c r="AZ141" s="6"/>
      <c r="BA141" s="6"/>
      <c r="BB141" s="6"/>
      <c r="BC141" s="7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V141" s="88">
        <v>9</v>
      </c>
      <c r="BW141" s="88"/>
      <c r="BX141" s="88"/>
      <c r="BY141" s="21"/>
      <c r="BZ141" s="86" t="str">
        <f>IF(DB23+DB24=0,"",IF(DB23&gt;DB24,CS19,CS27))</f>
        <v>Savoy  David</v>
      </c>
      <c r="CA141" s="86"/>
      <c r="CB141" s="86"/>
      <c r="CC141" s="86"/>
      <c r="CD141" s="86"/>
      <c r="CE141" s="86"/>
      <c r="CF141" s="86"/>
      <c r="CG141" s="86"/>
      <c r="CH141" s="86"/>
      <c r="CI141" s="86"/>
      <c r="CJ141" s="86"/>
      <c r="CK141" s="86"/>
      <c r="CL141" s="86"/>
      <c r="CM141" s="86"/>
      <c r="CN141" s="86"/>
      <c r="CO141" s="86"/>
      <c r="CP141" s="86"/>
      <c r="CQ141" s="86"/>
      <c r="CR141" s="86"/>
      <c r="CS141" s="86"/>
      <c r="CT141" s="86"/>
      <c r="CU141" s="86"/>
      <c r="CV141" s="86"/>
      <c r="CW141" s="86"/>
      <c r="CX141" s="86"/>
      <c r="CY141" s="6"/>
      <c r="CZ141" s="6"/>
      <c r="DA141" s="6"/>
      <c r="DB141" s="6"/>
      <c r="DC141" s="7"/>
      <c r="DD141" s="6"/>
      <c r="DE141" s="6"/>
      <c r="DF141" s="88">
        <v>25</v>
      </c>
      <c r="DG141" s="88"/>
      <c r="DH141" s="88"/>
      <c r="DI141" s="21"/>
      <c r="DJ141" s="86" t="str">
        <f>IF(AH153+AH154=0,"",IF(AH153&gt;AH154,Y149,Y157))</f>
        <v xml:space="preserve">   25 </v>
      </c>
      <c r="DK141" s="86"/>
      <c r="DL141" s="86"/>
      <c r="DM141" s="86"/>
      <c r="DN141" s="86"/>
      <c r="DO141" s="86"/>
      <c r="DP141" s="86"/>
      <c r="DQ141" s="86"/>
      <c r="DR141" s="86"/>
      <c r="DS141" s="86"/>
      <c r="DT141" s="86"/>
      <c r="DU141" s="86"/>
      <c r="DV141" s="86"/>
      <c r="DW141" s="86"/>
      <c r="DX141" s="86"/>
      <c r="DY141" s="86"/>
      <c r="DZ141" s="86"/>
      <c r="EA141" s="86"/>
      <c r="EB141" s="86"/>
      <c r="EC141" s="86"/>
      <c r="ED141" s="86"/>
      <c r="EE141" s="86"/>
      <c r="EF141" s="86"/>
      <c r="EG141" s="86"/>
      <c r="EH141" s="86"/>
    </row>
    <row r="142" spans="1:138" x14ac:dyDescent="0.25">
      <c r="A142" s="6"/>
      <c r="B142" s="73" t="s">
        <v>164</v>
      </c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6"/>
      <c r="S142" s="6"/>
      <c r="T142" s="6"/>
      <c r="U142" s="6"/>
      <c r="V142" s="6"/>
      <c r="W142" s="6"/>
      <c r="X142" s="6"/>
      <c r="Y142" s="7"/>
      <c r="Z142" s="6"/>
      <c r="AA142" s="6"/>
      <c r="AB142" s="6"/>
      <c r="AC142" s="6"/>
      <c r="AD142" s="6"/>
      <c r="AE142" s="6"/>
      <c r="AF142" s="6"/>
      <c r="AG142" s="6"/>
      <c r="AH142" s="6"/>
      <c r="AI142" s="7"/>
      <c r="AJ142" s="6"/>
      <c r="AK142" s="6"/>
      <c r="AL142" s="6"/>
      <c r="AM142" s="6"/>
      <c r="AN142" s="6"/>
      <c r="AO142" s="6"/>
      <c r="AP142" s="6"/>
      <c r="AQ142" s="6"/>
      <c r="AR142" s="6"/>
      <c r="AS142" s="7"/>
      <c r="AT142" s="6"/>
      <c r="AU142" s="6"/>
      <c r="AV142" s="6"/>
      <c r="AW142" s="6"/>
      <c r="AX142" s="6"/>
      <c r="AY142" s="6"/>
      <c r="AZ142" s="6"/>
      <c r="BA142" s="6"/>
      <c r="BB142" s="6"/>
      <c r="BC142" s="7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V142" s="88"/>
      <c r="BW142" s="88"/>
      <c r="BX142" s="88"/>
      <c r="BY142" s="21"/>
      <c r="BZ142" s="87"/>
      <c r="CA142" s="87"/>
      <c r="CB142" s="87"/>
      <c r="CC142" s="87"/>
      <c r="CD142" s="87"/>
      <c r="CE142" s="87"/>
      <c r="CF142" s="87"/>
      <c r="CG142" s="87"/>
      <c r="CH142" s="87"/>
      <c r="CI142" s="87"/>
      <c r="CJ142" s="87"/>
      <c r="CK142" s="87"/>
      <c r="CL142" s="87"/>
      <c r="CM142" s="87"/>
      <c r="CN142" s="87"/>
      <c r="CO142" s="87"/>
      <c r="CP142" s="87"/>
      <c r="CQ142" s="87"/>
      <c r="CR142" s="87"/>
      <c r="CS142" s="87"/>
      <c r="CT142" s="87"/>
      <c r="CU142" s="87"/>
      <c r="CV142" s="87"/>
      <c r="CW142" s="87"/>
      <c r="CX142" s="87"/>
      <c r="CY142" s="6"/>
      <c r="CZ142" s="6"/>
      <c r="DA142" s="6"/>
      <c r="DB142" s="6"/>
      <c r="DC142" s="7"/>
      <c r="DD142" s="6"/>
      <c r="DE142" s="6"/>
      <c r="DF142" s="88"/>
      <c r="DG142" s="88"/>
      <c r="DH142" s="88"/>
      <c r="DI142" s="21"/>
      <c r="DJ142" s="87"/>
      <c r="DK142" s="87"/>
      <c r="DL142" s="87"/>
      <c r="DM142" s="87"/>
      <c r="DN142" s="87"/>
      <c r="DO142" s="87"/>
      <c r="DP142" s="87"/>
      <c r="DQ142" s="87"/>
      <c r="DR142" s="87"/>
      <c r="DS142" s="87"/>
      <c r="DT142" s="87"/>
      <c r="DU142" s="87"/>
      <c r="DV142" s="87"/>
      <c r="DW142" s="87"/>
      <c r="DX142" s="87"/>
      <c r="DY142" s="87"/>
      <c r="DZ142" s="87"/>
      <c r="EA142" s="87"/>
      <c r="EB142" s="87"/>
      <c r="EC142" s="87"/>
      <c r="ED142" s="87"/>
      <c r="EE142" s="87"/>
      <c r="EF142" s="87"/>
      <c r="EG142" s="87"/>
      <c r="EH142" s="87"/>
    </row>
    <row r="143" spans="1:138" x14ac:dyDescent="0.25">
      <c r="A143" s="6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6"/>
      <c r="S143" s="6"/>
      <c r="T143" s="6"/>
      <c r="U143" s="6"/>
      <c r="V143" s="6"/>
      <c r="W143" s="6"/>
      <c r="X143" s="6"/>
      <c r="Y143" s="7"/>
      <c r="Z143" s="6"/>
      <c r="AA143" s="6"/>
      <c r="AB143" s="6"/>
      <c r="AC143" s="6"/>
      <c r="AD143" s="6"/>
      <c r="AE143" s="6"/>
      <c r="AF143" s="6"/>
      <c r="AG143" s="6"/>
      <c r="AH143" s="6"/>
      <c r="AI143" s="7"/>
      <c r="AJ143" s="6"/>
      <c r="AK143" s="6"/>
      <c r="AL143" s="6"/>
      <c r="AM143" s="6"/>
      <c r="AN143" s="6"/>
      <c r="AO143" s="6"/>
      <c r="AP143" s="6"/>
      <c r="AQ143" s="6"/>
      <c r="AR143" s="6"/>
      <c r="AS143" s="7"/>
      <c r="AT143" s="6"/>
      <c r="AU143" s="6"/>
      <c r="AV143" s="6"/>
      <c r="AW143" s="6"/>
      <c r="AX143" s="6"/>
      <c r="AY143" s="6"/>
      <c r="AZ143" s="6"/>
      <c r="BA143" s="6"/>
      <c r="BB143" s="6"/>
      <c r="BC143" s="7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V143" s="6"/>
      <c r="BW143" s="6"/>
      <c r="BX143" s="6"/>
      <c r="BY143" s="6"/>
      <c r="BZ143" s="6"/>
      <c r="CA143" s="7"/>
      <c r="CB143" s="6"/>
      <c r="CC143" s="6"/>
      <c r="CD143" s="6"/>
      <c r="CE143" s="6"/>
      <c r="CF143" s="6"/>
      <c r="CG143" s="6"/>
      <c r="CH143" s="6"/>
      <c r="CI143" s="6"/>
      <c r="CJ143" s="6"/>
      <c r="CK143" s="7"/>
      <c r="CL143" s="6"/>
      <c r="CM143" s="6"/>
      <c r="CN143" s="6"/>
      <c r="CO143" s="6"/>
      <c r="CP143" s="6"/>
      <c r="CQ143" s="6"/>
      <c r="CR143" s="6"/>
      <c r="CS143" s="7"/>
      <c r="CT143" s="6"/>
      <c r="CU143" s="6"/>
      <c r="CV143" s="6"/>
      <c r="CW143" s="6"/>
      <c r="CX143" s="6"/>
      <c r="CY143" s="6"/>
      <c r="CZ143" s="6"/>
      <c r="DA143" s="6"/>
      <c r="DB143" s="6"/>
      <c r="DC143" s="7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V143" s="6"/>
      <c r="DW143" s="7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</row>
    <row r="144" spans="1:138" x14ac:dyDescent="0.25">
      <c r="A144" s="6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6"/>
      <c r="S144" s="6"/>
      <c r="T144" s="6"/>
      <c r="U144" s="6"/>
      <c r="V144" s="6"/>
      <c r="W144" s="6"/>
      <c r="X144" s="6"/>
      <c r="Y144" s="7"/>
      <c r="Z144" s="6"/>
      <c r="AA144" s="6"/>
      <c r="AB144" s="6"/>
      <c r="AC144" s="6"/>
      <c r="AD144" s="6"/>
      <c r="AE144" s="6"/>
      <c r="AF144" s="6"/>
      <c r="AG144" s="6"/>
      <c r="AH144" s="6"/>
      <c r="AI144" s="7"/>
      <c r="AJ144" s="6"/>
      <c r="AK144" s="6"/>
      <c r="AL144" s="6"/>
      <c r="AM144" s="6"/>
      <c r="AN144" s="6"/>
      <c r="AO144" s="6"/>
      <c r="AP144" s="6"/>
      <c r="AQ144" s="6"/>
      <c r="AR144" s="6"/>
      <c r="AS144" s="7"/>
      <c r="AT144" s="6"/>
      <c r="AU144" s="6"/>
      <c r="AV144" s="6"/>
      <c r="AW144" s="6"/>
      <c r="AX144" s="6"/>
      <c r="AY144" s="6"/>
      <c r="AZ144" s="6"/>
      <c r="BA144" s="6"/>
      <c r="BB144" s="6"/>
      <c r="BC144" s="7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V144" s="6"/>
      <c r="BW144" s="6"/>
      <c r="BX144" s="6"/>
      <c r="BY144" s="6"/>
      <c r="BZ144" s="6"/>
      <c r="CA144" s="7"/>
      <c r="CB144" s="6"/>
      <c r="CC144" s="6"/>
      <c r="CD144" s="6"/>
      <c r="CE144" s="6"/>
      <c r="CF144" s="6"/>
      <c r="CG144" s="6"/>
      <c r="CH144" s="6"/>
      <c r="CI144" s="6"/>
      <c r="CJ144" s="6"/>
      <c r="CK144" s="7"/>
      <c r="CL144" s="6"/>
      <c r="CM144" s="6"/>
      <c r="CN144" s="6"/>
      <c r="CO144" s="6"/>
      <c r="CP144" s="6"/>
      <c r="CQ144" s="6"/>
      <c r="CR144" s="6"/>
      <c r="CS144" s="7"/>
      <c r="CT144" s="6"/>
      <c r="CU144" s="6"/>
      <c r="CV144" s="6"/>
      <c r="CW144" s="6"/>
      <c r="CX144" s="6"/>
      <c r="CY144" s="6"/>
      <c r="CZ144" s="6"/>
      <c r="DA144" s="6"/>
      <c r="DB144" s="6"/>
      <c r="DC144" s="7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V144" s="6"/>
      <c r="DW144" s="7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</row>
    <row r="145" spans="1:138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7"/>
      <c r="P145" s="6"/>
      <c r="Q145" s="6"/>
      <c r="R145" s="6"/>
      <c r="S145" s="6"/>
      <c r="T145" s="6"/>
      <c r="U145" s="6"/>
      <c r="V145" s="6"/>
      <c r="W145" s="6"/>
      <c r="X145" s="6"/>
      <c r="Y145" s="7"/>
      <c r="Z145" s="6"/>
      <c r="AA145" s="6"/>
      <c r="AB145" s="6"/>
      <c r="AC145" s="6"/>
      <c r="AD145" s="6"/>
      <c r="AE145" s="6"/>
      <c r="AF145" s="6"/>
      <c r="AG145" s="6"/>
      <c r="AH145" s="6"/>
      <c r="AI145" s="7"/>
      <c r="AJ145" s="6"/>
      <c r="AK145" s="6"/>
      <c r="AL145" s="6"/>
      <c r="AM145" s="6"/>
      <c r="AN145" s="6"/>
      <c r="AO145" s="6"/>
      <c r="AP145" s="6"/>
      <c r="AQ145" s="6"/>
      <c r="AR145" s="6"/>
      <c r="AS145" s="7"/>
      <c r="AT145" s="6"/>
      <c r="AU145" s="6"/>
      <c r="AV145" s="6"/>
      <c r="AW145" s="6"/>
      <c r="AX145" s="6"/>
      <c r="AY145" s="6"/>
      <c r="AZ145" s="6"/>
      <c r="BA145" s="6"/>
      <c r="BB145" s="6"/>
      <c r="BC145" s="7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V145" s="6"/>
      <c r="BW145" s="6"/>
      <c r="BX145" s="6"/>
      <c r="BY145" s="6"/>
      <c r="BZ145" s="6"/>
      <c r="CA145" s="7"/>
      <c r="CB145" s="6"/>
      <c r="CC145" s="6"/>
      <c r="CD145" s="6"/>
      <c r="CE145" s="6"/>
      <c r="CF145" s="6"/>
      <c r="CG145" s="6"/>
      <c r="CH145" s="6"/>
      <c r="CI145" s="6"/>
      <c r="CJ145" s="6"/>
      <c r="CK145" s="7"/>
      <c r="CL145" s="6"/>
      <c r="CM145" s="6"/>
      <c r="CN145" s="6"/>
      <c r="CO145" s="6"/>
      <c r="CP145" s="6"/>
      <c r="CQ145" s="6"/>
      <c r="CR145" s="6"/>
      <c r="CS145" s="7"/>
      <c r="CT145" s="6"/>
      <c r="CU145" s="6"/>
      <c r="CV145" s="6"/>
      <c r="CW145" s="6"/>
      <c r="CX145" s="6"/>
      <c r="CY145" s="6"/>
      <c r="CZ145" s="6"/>
      <c r="DA145" s="6"/>
      <c r="DB145" s="6"/>
      <c r="DC145" s="7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V145" s="6"/>
      <c r="DW145" s="7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</row>
    <row r="146" spans="1:138" x14ac:dyDescent="0.15">
      <c r="A146" s="6"/>
      <c r="B146" s="80">
        <v>1</v>
      </c>
      <c r="C146" s="80"/>
      <c r="E146" s="64" t="str">
        <f>IF(O109+O110=0,"",IF(O109&lt;O110,E108,E110))</f>
        <v xml:space="preserve">   32 </v>
      </c>
      <c r="F146" s="64"/>
      <c r="G146" s="64"/>
      <c r="H146" s="64"/>
      <c r="I146" s="64"/>
      <c r="J146" s="64"/>
      <c r="K146" s="64"/>
      <c r="L146" s="64"/>
      <c r="M146" s="64"/>
      <c r="N146" s="7"/>
      <c r="O146" s="6"/>
      <c r="P146" s="6"/>
      <c r="Q146" s="6"/>
      <c r="R146" s="6"/>
      <c r="S146" s="6"/>
      <c r="T146" s="6"/>
      <c r="U146" s="6"/>
      <c r="V146" s="6"/>
      <c r="W146" s="6"/>
      <c r="X146" s="7"/>
      <c r="Y146" s="6"/>
      <c r="Z146" s="6"/>
      <c r="AA146" s="6"/>
      <c r="AB146" s="6"/>
      <c r="AC146" s="6"/>
      <c r="AD146" s="6"/>
      <c r="AE146" s="6"/>
      <c r="AF146" s="6"/>
      <c r="AG146" s="6"/>
      <c r="AH146" s="7"/>
      <c r="AI146" s="6"/>
      <c r="AJ146" s="6"/>
      <c r="AK146" s="6"/>
      <c r="AL146" s="6"/>
      <c r="AM146" s="6"/>
      <c r="AN146" s="6"/>
      <c r="AO146" s="6"/>
      <c r="AP146" s="6"/>
      <c r="AQ146" s="6"/>
      <c r="AR146" s="7"/>
      <c r="AS146" s="7"/>
      <c r="AT146" s="6"/>
      <c r="AU146" s="6"/>
      <c r="AV146" s="6"/>
      <c r="AW146" s="6"/>
      <c r="AX146" s="6"/>
      <c r="AY146" s="6"/>
      <c r="AZ146" s="6"/>
      <c r="BA146" s="6"/>
      <c r="BB146" s="6"/>
      <c r="BC146" s="7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V146" s="88">
        <v>10</v>
      </c>
      <c r="BW146" s="88"/>
      <c r="BX146" s="88"/>
      <c r="BY146" s="21"/>
      <c r="BZ146" s="86" t="str">
        <f>IF(DB23+DB24=0,"",IF(DB23&lt;DB24,CS19,CS27))</f>
        <v>Massy  Kenny</v>
      </c>
      <c r="CA146" s="86"/>
      <c r="CB146" s="86"/>
      <c r="CC146" s="86"/>
      <c r="CD146" s="86"/>
      <c r="CE146" s="86"/>
      <c r="CF146" s="86"/>
      <c r="CG146" s="86"/>
      <c r="CH146" s="86"/>
      <c r="CI146" s="86"/>
      <c r="CJ146" s="86"/>
      <c r="CK146" s="86"/>
      <c r="CL146" s="86"/>
      <c r="CM146" s="86"/>
      <c r="CN146" s="86"/>
      <c r="CO146" s="86"/>
      <c r="CP146" s="86"/>
      <c r="CQ146" s="86"/>
      <c r="CR146" s="86"/>
      <c r="CS146" s="86"/>
      <c r="CT146" s="86"/>
      <c r="CU146" s="86"/>
      <c r="CV146" s="86"/>
      <c r="CW146" s="86"/>
      <c r="CX146" s="86"/>
      <c r="CY146" s="6"/>
      <c r="CZ146" s="6"/>
      <c r="DA146" s="6"/>
      <c r="DB146" s="6"/>
      <c r="DC146" s="7"/>
      <c r="DD146" s="6"/>
      <c r="DE146" s="6"/>
      <c r="DF146" s="88">
        <v>26</v>
      </c>
      <c r="DG146" s="88"/>
      <c r="DH146" s="88"/>
      <c r="DI146" s="21"/>
      <c r="DJ146" s="86" t="str">
        <f>IF(AH153+AH154=0,"",IF(AH153&lt;AH154,Y149,Y157))</f>
        <v xml:space="preserve">   23</v>
      </c>
      <c r="DK146" s="86"/>
      <c r="DL146" s="86"/>
      <c r="DM146" s="86"/>
      <c r="DN146" s="86"/>
      <c r="DO146" s="86"/>
      <c r="DP146" s="86"/>
      <c r="DQ146" s="86"/>
      <c r="DR146" s="86"/>
      <c r="DS146" s="86"/>
      <c r="DT146" s="86"/>
      <c r="DU146" s="86"/>
      <c r="DV146" s="86"/>
      <c r="DW146" s="86"/>
      <c r="DX146" s="86"/>
      <c r="DY146" s="86"/>
      <c r="DZ146" s="86"/>
      <c r="EA146" s="86"/>
      <c r="EB146" s="86"/>
      <c r="EC146" s="86"/>
      <c r="ED146" s="86"/>
      <c r="EE146" s="86"/>
      <c r="EF146" s="86"/>
      <c r="EG146" s="86"/>
      <c r="EH146" s="86"/>
    </row>
    <row r="147" spans="1:138" x14ac:dyDescent="0.15">
      <c r="A147" s="6"/>
      <c r="E147" s="14"/>
      <c r="F147" s="6"/>
      <c r="G147" s="6"/>
      <c r="H147" s="6"/>
      <c r="I147" s="6"/>
      <c r="J147" s="6"/>
      <c r="K147" s="6"/>
      <c r="L147" s="74">
        <v>1</v>
      </c>
      <c r="M147" s="75"/>
      <c r="N147" s="15"/>
      <c r="O147" s="78" t="str">
        <f>IF(N147+N148=0,"",IF(N147&gt;N148,E146,E148))</f>
        <v xml:space="preserve">   25 </v>
      </c>
      <c r="P147" s="79"/>
      <c r="Q147" s="79"/>
      <c r="R147" s="79"/>
      <c r="S147" s="79"/>
      <c r="T147" s="79"/>
      <c r="U147" s="79"/>
      <c r="V147" s="79"/>
      <c r="W147" s="79"/>
      <c r="X147" s="7"/>
      <c r="Y147" s="6"/>
      <c r="Z147" s="6"/>
      <c r="AA147" s="6"/>
      <c r="AB147" s="6"/>
      <c r="AC147" s="6"/>
      <c r="AD147" s="6"/>
      <c r="AE147" s="6"/>
      <c r="AF147" s="6"/>
      <c r="AG147" s="6"/>
      <c r="AH147" s="7"/>
      <c r="AI147" s="6"/>
      <c r="AJ147" s="6"/>
      <c r="AK147" s="6"/>
      <c r="AL147" s="6"/>
      <c r="AM147" s="6"/>
      <c r="AN147" s="6"/>
      <c r="AO147" s="6"/>
      <c r="AP147" s="6"/>
      <c r="AQ147" s="6"/>
      <c r="AR147" s="7"/>
      <c r="AS147" s="7"/>
      <c r="AT147" s="6"/>
      <c r="AU147" s="6"/>
      <c r="AV147" s="6"/>
      <c r="AW147" s="6"/>
      <c r="AX147" s="6"/>
      <c r="AY147" s="6"/>
      <c r="AZ147" s="6"/>
      <c r="BA147" s="6"/>
      <c r="BB147" s="6"/>
      <c r="BC147" s="7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V147" s="88"/>
      <c r="BW147" s="88"/>
      <c r="BX147" s="88"/>
      <c r="BY147" s="21"/>
      <c r="BZ147" s="87"/>
      <c r="CA147" s="87"/>
      <c r="CB147" s="87"/>
      <c r="CC147" s="87"/>
      <c r="CD147" s="87"/>
      <c r="CE147" s="87"/>
      <c r="CF147" s="87"/>
      <c r="CG147" s="87"/>
      <c r="CH147" s="87"/>
      <c r="CI147" s="87"/>
      <c r="CJ147" s="87"/>
      <c r="CK147" s="87"/>
      <c r="CL147" s="87"/>
      <c r="CM147" s="87"/>
      <c r="CN147" s="87"/>
      <c r="CO147" s="87"/>
      <c r="CP147" s="87"/>
      <c r="CQ147" s="87"/>
      <c r="CR147" s="87"/>
      <c r="CS147" s="87"/>
      <c r="CT147" s="87"/>
      <c r="CU147" s="87"/>
      <c r="CV147" s="87"/>
      <c r="CW147" s="87"/>
      <c r="CX147" s="87"/>
      <c r="CY147" s="6"/>
      <c r="CZ147" s="6"/>
      <c r="DA147" s="6"/>
      <c r="DB147" s="6"/>
      <c r="DC147" s="7"/>
      <c r="DD147" s="6"/>
      <c r="DE147" s="6"/>
      <c r="DF147" s="88"/>
      <c r="DG147" s="88"/>
      <c r="DH147" s="88"/>
      <c r="DI147" s="21"/>
      <c r="DJ147" s="87"/>
      <c r="DK147" s="87"/>
      <c r="DL147" s="87"/>
      <c r="DM147" s="87"/>
      <c r="DN147" s="87"/>
      <c r="DO147" s="87"/>
      <c r="DP147" s="87"/>
      <c r="DQ147" s="87"/>
      <c r="DR147" s="87"/>
      <c r="DS147" s="87"/>
      <c r="DT147" s="87"/>
      <c r="DU147" s="87"/>
      <c r="DV147" s="87"/>
      <c r="DW147" s="87"/>
      <c r="DX147" s="87"/>
      <c r="DY147" s="87"/>
      <c r="DZ147" s="87"/>
      <c r="EA147" s="87"/>
      <c r="EB147" s="87"/>
      <c r="EC147" s="87"/>
      <c r="ED147" s="87"/>
      <c r="EE147" s="87"/>
      <c r="EF147" s="87"/>
      <c r="EG147" s="87"/>
      <c r="EH147" s="87"/>
    </row>
    <row r="148" spans="1:138" x14ac:dyDescent="0.15">
      <c r="A148" s="6"/>
      <c r="B148" s="80">
        <v>2</v>
      </c>
      <c r="C148" s="80"/>
      <c r="E148" s="64" t="str">
        <f>IF(O113+O114=0,"",IF(O113&lt;O114,E112,E114))</f>
        <v xml:space="preserve">   25 </v>
      </c>
      <c r="F148" s="64"/>
      <c r="G148" s="64"/>
      <c r="H148" s="64"/>
      <c r="I148" s="64"/>
      <c r="J148" s="64"/>
      <c r="K148" s="64"/>
      <c r="L148" s="76"/>
      <c r="M148" s="77"/>
      <c r="N148" s="15">
        <v>3</v>
      </c>
      <c r="O148" s="6"/>
      <c r="P148" s="6"/>
      <c r="Q148" s="6"/>
      <c r="R148" s="6"/>
      <c r="S148" s="6"/>
      <c r="T148" s="6"/>
      <c r="U148" s="6"/>
      <c r="V148" s="6"/>
      <c r="W148" s="6"/>
      <c r="X148" s="16"/>
      <c r="Y148" s="6"/>
      <c r="Z148" s="6"/>
      <c r="AA148" s="6"/>
      <c r="AB148" s="6"/>
      <c r="AC148" s="6"/>
      <c r="AD148" s="6"/>
      <c r="AE148" s="6"/>
      <c r="AF148" s="6"/>
      <c r="AG148" s="6"/>
      <c r="AH148" s="7"/>
      <c r="AI148" s="6"/>
      <c r="AJ148" s="6"/>
      <c r="AK148" s="6"/>
      <c r="AL148" s="6"/>
      <c r="AM148" s="6"/>
      <c r="AN148" s="6"/>
      <c r="AO148" s="6"/>
      <c r="AP148" s="6"/>
      <c r="AQ148" s="6"/>
      <c r="AR148" s="7"/>
      <c r="AS148" s="7"/>
      <c r="AT148" s="6"/>
      <c r="AU148" s="6"/>
      <c r="AV148" s="6"/>
      <c r="AW148" s="6"/>
      <c r="AX148" s="6"/>
      <c r="AY148" s="6"/>
      <c r="AZ148" s="6"/>
      <c r="BA148" s="6"/>
      <c r="BB148" s="6"/>
      <c r="BC148" s="7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V148" s="6"/>
      <c r="BW148" s="6"/>
      <c r="BX148" s="6"/>
      <c r="BY148" s="6"/>
      <c r="BZ148" s="6"/>
      <c r="CA148" s="7"/>
      <c r="CB148" s="6"/>
      <c r="CC148" s="6"/>
      <c r="CD148" s="6"/>
      <c r="CE148" s="6"/>
      <c r="CF148" s="6"/>
      <c r="CG148" s="6"/>
      <c r="CH148" s="6"/>
      <c r="CI148" s="6"/>
      <c r="CJ148" s="6"/>
      <c r="CK148" s="7"/>
      <c r="CL148" s="6"/>
      <c r="CM148" s="6"/>
      <c r="CN148" s="6"/>
      <c r="CO148" s="6"/>
      <c r="CP148" s="6"/>
      <c r="CQ148" s="6"/>
      <c r="CR148" s="6"/>
      <c r="CS148" s="7"/>
      <c r="CT148" s="6"/>
      <c r="CU148" s="6"/>
      <c r="CV148" s="6"/>
      <c r="CW148" s="6"/>
      <c r="CX148" s="6"/>
      <c r="CY148" s="6"/>
      <c r="CZ148" s="6"/>
      <c r="DA148" s="6"/>
      <c r="DB148" s="6"/>
      <c r="DC148" s="7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V148" s="6"/>
      <c r="DW148" s="7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</row>
    <row r="149" spans="1:138" x14ac:dyDescent="0.25">
      <c r="A149" s="6"/>
      <c r="E149" s="14"/>
      <c r="F149" s="6"/>
      <c r="G149" s="6"/>
      <c r="H149" s="6"/>
      <c r="I149" s="6"/>
      <c r="J149" s="6"/>
      <c r="K149" s="6"/>
      <c r="L149" s="6"/>
      <c r="M149" s="6"/>
      <c r="N149" s="7"/>
      <c r="O149" s="6"/>
      <c r="P149" s="6"/>
      <c r="Q149" s="6"/>
      <c r="R149" s="6"/>
      <c r="S149" s="6"/>
      <c r="T149" s="6"/>
      <c r="U149" s="6"/>
      <c r="V149" s="65">
        <v>5</v>
      </c>
      <c r="W149" s="66"/>
      <c r="X149" s="15">
        <v>3</v>
      </c>
      <c r="Y149" s="67" t="str">
        <f>IF(X149+X150=0,"",IF(X149&gt;X150,O147,O151))</f>
        <v xml:space="preserve">   25 </v>
      </c>
      <c r="Z149" s="68"/>
      <c r="AA149" s="68"/>
      <c r="AB149" s="68"/>
      <c r="AC149" s="68"/>
      <c r="AD149" s="68"/>
      <c r="AE149" s="68"/>
      <c r="AF149" s="68"/>
      <c r="AG149" s="68"/>
      <c r="AH149" s="7"/>
      <c r="AI149" s="6"/>
      <c r="AJ149" s="6"/>
      <c r="AK149" s="6"/>
      <c r="AL149" s="6"/>
      <c r="AM149" s="6"/>
      <c r="AN149" s="6"/>
      <c r="AO149" s="6"/>
      <c r="AP149" s="6"/>
      <c r="AQ149" s="6"/>
      <c r="AR149" s="7"/>
      <c r="AS149" s="7"/>
      <c r="AT149" s="6"/>
      <c r="AU149" s="6"/>
      <c r="AV149" s="6"/>
      <c r="AW149" s="6"/>
      <c r="AX149" s="6"/>
      <c r="AY149" s="6"/>
      <c r="AZ149" s="6"/>
      <c r="BA149" s="6"/>
      <c r="BB149" s="6"/>
      <c r="BC149" s="7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V149" s="6"/>
      <c r="BW149" s="6"/>
      <c r="BX149" s="6"/>
      <c r="BY149" s="6"/>
      <c r="BZ149" s="6"/>
      <c r="CA149" s="7"/>
      <c r="CB149" s="6"/>
      <c r="CC149" s="6"/>
      <c r="CD149" s="6"/>
      <c r="CE149" s="6"/>
      <c r="CF149" s="6"/>
      <c r="CG149" s="6"/>
      <c r="CH149" s="6"/>
      <c r="CI149" s="6"/>
      <c r="CJ149" s="6"/>
      <c r="CK149" s="7"/>
      <c r="CL149" s="6"/>
      <c r="CM149" s="6"/>
      <c r="CN149" s="6"/>
      <c r="CO149" s="6"/>
      <c r="CP149" s="6"/>
      <c r="CQ149" s="6"/>
      <c r="CR149" s="6"/>
      <c r="CS149" s="7"/>
      <c r="CT149" s="6"/>
      <c r="CU149" s="6"/>
      <c r="CV149" s="6"/>
      <c r="CW149" s="6"/>
      <c r="CX149" s="6"/>
      <c r="CY149" s="6"/>
      <c r="CZ149" s="6"/>
      <c r="DA149" s="6"/>
      <c r="DB149" s="6"/>
      <c r="DC149" s="7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V149" s="6"/>
      <c r="DW149" s="7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</row>
    <row r="150" spans="1:138" x14ac:dyDescent="0.15">
      <c r="A150" s="6"/>
      <c r="B150" s="80">
        <v>3</v>
      </c>
      <c r="C150" s="80"/>
      <c r="E150" s="64" t="str">
        <f>IF(O117+O118=0,"",IF(O117&lt;O118,E116,E118))</f>
        <v xml:space="preserve">   28 </v>
      </c>
      <c r="F150" s="64"/>
      <c r="G150" s="64"/>
      <c r="H150" s="64"/>
      <c r="I150" s="64"/>
      <c r="J150" s="64"/>
      <c r="K150" s="64"/>
      <c r="L150" s="64"/>
      <c r="M150" s="64"/>
      <c r="N150" s="7"/>
      <c r="O150" s="6"/>
      <c r="P150" s="6"/>
      <c r="Q150" s="6"/>
      <c r="R150" s="6"/>
      <c r="S150" s="6"/>
      <c r="T150" s="6"/>
      <c r="U150" s="6"/>
      <c r="V150" s="65"/>
      <c r="W150" s="66"/>
      <c r="X150" s="15"/>
      <c r="Y150" s="6"/>
      <c r="Z150" s="6"/>
      <c r="AA150" s="6"/>
      <c r="AB150" s="6"/>
      <c r="AC150" s="6"/>
      <c r="AD150" s="6"/>
      <c r="AE150" s="6"/>
      <c r="AF150" s="6"/>
      <c r="AG150" s="6"/>
      <c r="AH150" s="16"/>
      <c r="AI150" s="6"/>
      <c r="AJ150" s="6"/>
      <c r="AK150" s="6"/>
      <c r="AL150" s="6"/>
      <c r="AM150" s="6"/>
      <c r="AN150" s="6"/>
      <c r="AO150" s="6"/>
      <c r="AP150" s="6"/>
      <c r="AQ150" s="6"/>
      <c r="AR150" s="7"/>
      <c r="AS150" s="7"/>
      <c r="AT150" s="6"/>
      <c r="AU150" s="6"/>
      <c r="AV150" s="6"/>
      <c r="AW150" s="6"/>
      <c r="AX150" s="6"/>
      <c r="AY150" s="6"/>
      <c r="AZ150" s="6"/>
      <c r="BA150" s="6"/>
      <c r="BB150" s="6"/>
      <c r="BC150" s="7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V150" s="6"/>
      <c r="BW150" s="6"/>
      <c r="BX150" s="6"/>
      <c r="BY150" s="6"/>
      <c r="BZ150" s="6"/>
      <c r="CA150" s="7"/>
      <c r="CB150" s="6"/>
      <c r="CC150" s="6"/>
      <c r="CD150" s="6"/>
      <c r="CE150" s="6"/>
      <c r="CF150" s="6"/>
      <c r="CG150" s="6"/>
      <c r="CH150" s="6"/>
      <c r="CI150" s="6"/>
      <c r="CJ150" s="6"/>
      <c r="CK150" s="7"/>
      <c r="CL150" s="6"/>
      <c r="CM150" s="6"/>
      <c r="CN150" s="6"/>
      <c r="CO150" s="6"/>
      <c r="CP150" s="6"/>
      <c r="CQ150" s="6"/>
      <c r="CR150" s="6"/>
      <c r="CS150" s="7"/>
      <c r="CT150" s="6"/>
      <c r="CU150" s="6"/>
      <c r="CV150" s="6"/>
      <c r="CW150" s="6"/>
      <c r="CX150" s="6"/>
      <c r="CY150" s="6"/>
      <c r="CZ150" s="6"/>
      <c r="DA150" s="6"/>
      <c r="DB150" s="6"/>
      <c r="DC150" s="7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V150" s="6"/>
      <c r="DW150" s="7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</row>
    <row r="151" spans="1:138" x14ac:dyDescent="0.15">
      <c r="A151" s="6"/>
      <c r="E151" s="14"/>
      <c r="F151" s="6"/>
      <c r="G151" s="6"/>
      <c r="H151" s="6"/>
      <c r="I151" s="6"/>
      <c r="J151" s="6"/>
      <c r="K151" s="6"/>
      <c r="L151" s="74">
        <v>2</v>
      </c>
      <c r="M151" s="75"/>
      <c r="N151" s="15"/>
      <c r="O151" s="78" t="str">
        <f>IF(N151+N152=0,"",IF(N151&gt;N152,E150,E152))</f>
        <v/>
      </c>
      <c r="P151" s="79"/>
      <c r="Q151" s="79"/>
      <c r="R151" s="79"/>
      <c r="S151" s="79"/>
      <c r="T151" s="79"/>
      <c r="U151" s="79"/>
      <c r="V151" s="79"/>
      <c r="W151" s="81"/>
      <c r="X151" s="16"/>
      <c r="Y151" s="6"/>
      <c r="Z151" s="6"/>
      <c r="AA151" s="6"/>
      <c r="AB151" s="6"/>
      <c r="AC151" s="6"/>
      <c r="AD151" s="6"/>
      <c r="AE151" s="6"/>
      <c r="AF151" s="6"/>
      <c r="AG151" s="6"/>
      <c r="AH151" s="16"/>
      <c r="AI151" s="6"/>
      <c r="AJ151" s="6"/>
      <c r="AK151" s="6"/>
      <c r="AL151" s="6"/>
      <c r="AM151" s="6"/>
      <c r="AN151" s="6"/>
      <c r="AO151" s="6"/>
      <c r="AP151" s="6"/>
      <c r="AQ151" s="6"/>
      <c r="AR151" s="7"/>
      <c r="AS151" s="7"/>
      <c r="AT151" s="6"/>
      <c r="AU151" s="6"/>
      <c r="AV151" s="6"/>
      <c r="AW151" s="6"/>
      <c r="AX151" s="6"/>
      <c r="AY151" s="6"/>
      <c r="AZ151" s="6"/>
      <c r="BA151" s="6"/>
      <c r="BB151" s="6"/>
      <c r="BC151" s="7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V151" s="88">
        <v>11</v>
      </c>
      <c r="BW151" s="88"/>
      <c r="BX151" s="88"/>
      <c r="BY151" s="21"/>
      <c r="BZ151" s="86" t="str">
        <f>IF(DT34+DT35=0,"",IF(DT34&gt;DT35,DJ33,DJ35))</f>
        <v>Leite  Matilde</v>
      </c>
      <c r="CA151" s="86"/>
      <c r="CB151" s="86"/>
      <c r="CC151" s="86"/>
      <c r="CD151" s="86"/>
      <c r="CE151" s="86"/>
      <c r="CF151" s="86"/>
      <c r="CG151" s="86"/>
      <c r="CH151" s="86"/>
      <c r="CI151" s="86"/>
      <c r="CJ151" s="86"/>
      <c r="CK151" s="86"/>
      <c r="CL151" s="86"/>
      <c r="CM151" s="86"/>
      <c r="CN151" s="86"/>
      <c r="CO151" s="86"/>
      <c r="CP151" s="86"/>
      <c r="CQ151" s="86"/>
      <c r="CR151" s="86"/>
      <c r="CS151" s="86"/>
      <c r="CT151" s="86"/>
      <c r="CU151" s="86"/>
      <c r="CV151" s="86"/>
      <c r="CW151" s="86"/>
      <c r="CX151" s="86"/>
      <c r="CY151" s="6"/>
      <c r="CZ151" s="6"/>
      <c r="DA151" s="6"/>
      <c r="DB151" s="6"/>
      <c r="DC151" s="7"/>
      <c r="DD151" s="6"/>
      <c r="DE151" s="6"/>
      <c r="DF151" s="88">
        <v>27</v>
      </c>
      <c r="DG151" s="88"/>
      <c r="DH151" s="88"/>
      <c r="DI151" s="21"/>
      <c r="DJ151" s="86" t="str">
        <f>IF(BC169+BC170=0,"",IF(BC169&gt;BC170,AT168,AT170))</f>
        <v/>
      </c>
      <c r="DK151" s="86"/>
      <c r="DL151" s="86"/>
      <c r="DM151" s="86"/>
      <c r="DN151" s="86"/>
      <c r="DO151" s="86"/>
      <c r="DP151" s="86"/>
      <c r="DQ151" s="86"/>
      <c r="DR151" s="86"/>
      <c r="DS151" s="86"/>
      <c r="DT151" s="86"/>
      <c r="DU151" s="86"/>
      <c r="DV151" s="86"/>
      <c r="DW151" s="86"/>
      <c r="DX151" s="86"/>
      <c r="DY151" s="86"/>
      <c r="DZ151" s="86"/>
      <c r="EA151" s="86"/>
      <c r="EB151" s="86"/>
      <c r="EC151" s="86"/>
      <c r="ED151" s="86"/>
      <c r="EE151" s="86"/>
      <c r="EF151" s="86"/>
      <c r="EG151" s="86"/>
      <c r="EH151" s="86"/>
    </row>
    <row r="152" spans="1:138" x14ac:dyDescent="0.15">
      <c r="A152" s="6"/>
      <c r="B152" s="80">
        <v>4</v>
      </c>
      <c r="C152" s="80"/>
      <c r="E152" s="64" t="str">
        <f>IF(O121+O122=0,"",IF(O121&lt;O122,E120,E122))</f>
        <v xml:space="preserve">   29</v>
      </c>
      <c r="F152" s="64"/>
      <c r="G152" s="64"/>
      <c r="H152" s="64"/>
      <c r="I152" s="64"/>
      <c r="J152" s="64"/>
      <c r="K152" s="64"/>
      <c r="L152" s="76"/>
      <c r="M152" s="77"/>
      <c r="N152" s="15"/>
      <c r="O152" s="6"/>
      <c r="P152" s="6"/>
      <c r="Q152" s="6"/>
      <c r="R152" s="6"/>
      <c r="S152" s="6"/>
      <c r="T152" s="6"/>
      <c r="U152" s="6"/>
      <c r="V152" s="6"/>
      <c r="W152" s="6"/>
      <c r="X152" s="7"/>
      <c r="Y152" s="6"/>
      <c r="Z152" s="6"/>
      <c r="AA152" s="6"/>
      <c r="AB152" s="6"/>
      <c r="AC152" s="6"/>
      <c r="AD152" s="6"/>
      <c r="AE152" s="6"/>
      <c r="AF152" s="6"/>
      <c r="AG152" s="6"/>
      <c r="AH152" s="16"/>
      <c r="AI152" s="6"/>
      <c r="AJ152" s="6"/>
      <c r="AK152" s="6"/>
      <c r="AL152" s="6"/>
      <c r="AM152" s="6"/>
      <c r="AN152" s="6"/>
      <c r="AO152" s="6"/>
      <c r="AP152" s="6"/>
      <c r="AQ152" s="6"/>
      <c r="AR152" s="7"/>
      <c r="AS152" s="7"/>
      <c r="AT152" s="6"/>
      <c r="AU152" s="6"/>
      <c r="AV152" s="6"/>
      <c r="AW152" s="6"/>
      <c r="AX152" s="6"/>
      <c r="AY152" s="6"/>
      <c r="AZ152" s="6"/>
      <c r="BA152" s="6"/>
      <c r="BB152" s="6"/>
      <c r="BC152" s="7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V152" s="88"/>
      <c r="BW152" s="88"/>
      <c r="BX152" s="88"/>
      <c r="BY152" s="21"/>
      <c r="BZ152" s="87"/>
      <c r="CA152" s="87"/>
      <c r="CB152" s="87"/>
      <c r="CC152" s="87"/>
      <c r="CD152" s="87"/>
      <c r="CE152" s="87"/>
      <c r="CF152" s="87"/>
      <c r="CG152" s="87"/>
      <c r="CH152" s="87"/>
      <c r="CI152" s="87"/>
      <c r="CJ152" s="87"/>
      <c r="CK152" s="87"/>
      <c r="CL152" s="87"/>
      <c r="CM152" s="87"/>
      <c r="CN152" s="87"/>
      <c r="CO152" s="87"/>
      <c r="CP152" s="87"/>
      <c r="CQ152" s="87"/>
      <c r="CR152" s="87"/>
      <c r="CS152" s="87"/>
      <c r="CT152" s="87"/>
      <c r="CU152" s="87"/>
      <c r="CV152" s="87"/>
      <c r="CW152" s="87"/>
      <c r="CX152" s="87"/>
      <c r="CY152" s="6"/>
      <c r="CZ152" s="6"/>
      <c r="DA152" s="6"/>
      <c r="DB152" s="6"/>
      <c r="DC152" s="7"/>
      <c r="DD152" s="6"/>
      <c r="DE152" s="6"/>
      <c r="DF152" s="88"/>
      <c r="DG152" s="88"/>
      <c r="DH152" s="88"/>
      <c r="DI152" s="21"/>
      <c r="DJ152" s="87"/>
      <c r="DK152" s="87"/>
      <c r="DL152" s="87"/>
      <c r="DM152" s="87"/>
      <c r="DN152" s="87"/>
      <c r="DO152" s="87"/>
      <c r="DP152" s="87"/>
      <c r="DQ152" s="87"/>
      <c r="DR152" s="87"/>
      <c r="DS152" s="87"/>
      <c r="DT152" s="87"/>
      <c r="DU152" s="87"/>
      <c r="DV152" s="87"/>
      <c r="DW152" s="87"/>
      <c r="DX152" s="87"/>
      <c r="DY152" s="87"/>
      <c r="DZ152" s="87"/>
      <c r="EA152" s="87"/>
      <c r="EB152" s="87"/>
      <c r="EC152" s="87"/>
      <c r="ED152" s="87"/>
      <c r="EE152" s="87"/>
      <c r="EF152" s="87"/>
      <c r="EG152" s="87"/>
      <c r="EH152" s="87"/>
    </row>
    <row r="153" spans="1:138" x14ac:dyDescent="0.25">
      <c r="A153" s="6"/>
      <c r="E153" s="14"/>
      <c r="F153" s="6"/>
      <c r="G153" s="6"/>
      <c r="H153" s="6"/>
      <c r="I153" s="6"/>
      <c r="J153" s="6"/>
      <c r="K153" s="6"/>
      <c r="L153" s="6"/>
      <c r="M153" s="6"/>
      <c r="N153" s="7"/>
      <c r="O153" s="6"/>
      <c r="P153" s="6"/>
      <c r="Q153" s="6"/>
      <c r="R153" s="6"/>
      <c r="S153" s="6"/>
      <c r="T153" s="6"/>
      <c r="U153" s="6"/>
      <c r="V153" s="6"/>
      <c r="W153" s="6"/>
      <c r="X153" s="7"/>
      <c r="Y153" s="6"/>
      <c r="Z153" s="6"/>
      <c r="AA153" s="6"/>
      <c r="AB153" s="6"/>
      <c r="AC153" s="6"/>
      <c r="AD153" s="6"/>
      <c r="AE153" s="6"/>
      <c r="AF153" s="65">
        <v>7</v>
      </c>
      <c r="AG153" s="66"/>
      <c r="AH153" s="15">
        <v>3</v>
      </c>
      <c r="AI153" s="67" t="str">
        <f>IF(AH153+AH154=0,"",IF(AH153&gt;AH154,Y149,Y157))</f>
        <v xml:space="preserve">   25 </v>
      </c>
      <c r="AJ153" s="68"/>
      <c r="AK153" s="68"/>
      <c r="AL153" s="68"/>
      <c r="AM153" s="68"/>
      <c r="AN153" s="68"/>
      <c r="AO153" s="68"/>
      <c r="AP153" s="68"/>
      <c r="AQ153" s="68"/>
      <c r="AR153" s="7"/>
      <c r="AS153" s="7"/>
      <c r="AT153" s="6"/>
      <c r="AU153" s="6"/>
      <c r="AV153" s="6"/>
      <c r="AW153" s="6"/>
      <c r="AX153" s="6"/>
      <c r="AY153" s="6"/>
      <c r="AZ153" s="6"/>
      <c r="BA153" s="6"/>
      <c r="BB153" s="6"/>
      <c r="BC153" s="7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V153" s="6"/>
      <c r="BW153" s="6"/>
      <c r="BX153" s="6"/>
      <c r="BY153" s="6"/>
      <c r="BZ153" s="6"/>
      <c r="CA153" s="7"/>
      <c r="CB153" s="6"/>
      <c r="CC153" s="6"/>
      <c r="CD153" s="6"/>
      <c r="CE153" s="6"/>
      <c r="CF153" s="6"/>
      <c r="CG153" s="6"/>
      <c r="CH153" s="6"/>
      <c r="CI153" s="6"/>
      <c r="CJ153" s="6"/>
      <c r="CK153" s="7"/>
      <c r="CL153" s="6"/>
      <c r="CM153" s="6"/>
      <c r="CN153" s="6"/>
      <c r="CO153" s="6"/>
      <c r="CP153" s="6"/>
      <c r="CQ153" s="6"/>
      <c r="CR153" s="6"/>
      <c r="CS153" s="7"/>
      <c r="CT153" s="6"/>
      <c r="CU153" s="6"/>
      <c r="CV153" s="6"/>
      <c r="CW153" s="6"/>
      <c r="CX153" s="6"/>
      <c r="CY153" s="6"/>
      <c r="CZ153" s="6"/>
      <c r="DA153" s="6"/>
      <c r="DB153" s="6"/>
      <c r="DC153" s="7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V153" s="6"/>
      <c r="DW153" s="7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</row>
    <row r="154" spans="1:138" x14ac:dyDescent="0.15">
      <c r="A154" s="6"/>
      <c r="B154" s="80">
        <v>5</v>
      </c>
      <c r="C154" s="80"/>
      <c r="E154" s="64" t="str">
        <f>IF(O125+O126=0,"",IF(O125&lt;O126,E124,E126))</f>
        <v xml:space="preserve">   30</v>
      </c>
      <c r="F154" s="64"/>
      <c r="G154" s="64"/>
      <c r="H154" s="64"/>
      <c r="I154" s="64"/>
      <c r="J154" s="64"/>
      <c r="K154" s="64"/>
      <c r="L154" s="64"/>
      <c r="M154" s="64"/>
      <c r="N154" s="7"/>
      <c r="O154" s="6"/>
      <c r="P154" s="6"/>
      <c r="Q154" s="6"/>
      <c r="R154" s="6"/>
      <c r="S154" s="6"/>
      <c r="T154" s="6"/>
      <c r="U154" s="6"/>
      <c r="V154" s="6"/>
      <c r="W154" s="6"/>
      <c r="X154" s="7"/>
      <c r="Y154" s="6"/>
      <c r="Z154" s="6"/>
      <c r="AA154" s="6"/>
      <c r="AB154" s="6"/>
      <c r="AC154" s="6"/>
      <c r="AD154" s="6"/>
      <c r="AE154" s="6"/>
      <c r="AF154" s="65"/>
      <c r="AG154" s="66"/>
      <c r="AH154" s="15">
        <v>0</v>
      </c>
      <c r="AI154" s="6"/>
      <c r="AJ154" s="6"/>
      <c r="AK154" s="6"/>
      <c r="AL154" s="6"/>
      <c r="AM154" s="6"/>
      <c r="AN154" s="6"/>
      <c r="AO154" s="6"/>
      <c r="AP154" s="6"/>
      <c r="AQ154" s="6"/>
      <c r="AR154" s="7"/>
      <c r="AS154" s="7"/>
      <c r="AT154" s="6"/>
      <c r="AU154" s="6"/>
      <c r="AV154" s="6"/>
      <c r="AW154" s="6"/>
      <c r="AX154" s="6"/>
      <c r="AY154" s="6"/>
      <c r="AZ154" s="6"/>
      <c r="BA154" s="6"/>
      <c r="BB154" s="6"/>
      <c r="BC154" s="7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V154" s="6"/>
      <c r="BW154" s="6"/>
      <c r="BX154" s="6"/>
      <c r="BY154" s="6"/>
      <c r="BZ154" s="6"/>
      <c r="CA154" s="7"/>
      <c r="CB154" s="6"/>
      <c r="CC154" s="6"/>
      <c r="CD154" s="6"/>
      <c r="CE154" s="6"/>
      <c r="CF154" s="6"/>
      <c r="CG154" s="6"/>
      <c r="CH154" s="6"/>
      <c r="CI154" s="6"/>
      <c r="CJ154" s="6"/>
      <c r="CK154" s="7"/>
      <c r="CL154" s="6"/>
      <c r="CM154" s="6"/>
      <c r="CN154" s="6"/>
      <c r="CO154" s="6"/>
      <c r="CP154" s="6"/>
      <c r="CQ154" s="6"/>
      <c r="CR154" s="6"/>
      <c r="CS154" s="7"/>
      <c r="CT154" s="6"/>
      <c r="CU154" s="6"/>
      <c r="CV154" s="6"/>
      <c r="CW154" s="6"/>
      <c r="CX154" s="6"/>
      <c r="CY154" s="6"/>
      <c r="CZ154" s="6"/>
      <c r="DA154" s="6"/>
      <c r="DB154" s="6"/>
      <c r="DC154" s="7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V154" s="6"/>
      <c r="DW154" s="7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</row>
    <row r="155" spans="1:138" x14ac:dyDescent="0.15">
      <c r="A155" s="6"/>
      <c r="E155" s="14"/>
      <c r="F155" s="6"/>
      <c r="G155" s="6"/>
      <c r="H155" s="6"/>
      <c r="I155" s="6"/>
      <c r="J155" s="6"/>
      <c r="K155" s="6"/>
      <c r="L155" s="74">
        <v>3</v>
      </c>
      <c r="M155" s="75"/>
      <c r="N155" s="15"/>
      <c r="O155" s="78" t="str">
        <f>IF(N155+N156=0,"",IF(N155&gt;N156,E154,E156))</f>
        <v/>
      </c>
      <c r="P155" s="79"/>
      <c r="Q155" s="79"/>
      <c r="R155" s="79"/>
      <c r="S155" s="79"/>
      <c r="T155" s="79"/>
      <c r="U155" s="79"/>
      <c r="V155" s="79"/>
      <c r="W155" s="79"/>
      <c r="X155" s="7"/>
      <c r="Y155" s="6"/>
      <c r="Z155" s="6"/>
      <c r="AA155" s="6"/>
      <c r="AB155" s="6"/>
      <c r="AC155" s="6"/>
      <c r="AD155" s="6"/>
      <c r="AE155" s="6"/>
      <c r="AF155" s="6"/>
      <c r="AG155" s="6"/>
      <c r="AH155" s="16"/>
      <c r="AI155" s="6"/>
      <c r="AJ155" s="6"/>
      <c r="AK155" s="6"/>
      <c r="AL155" s="6"/>
      <c r="AM155" s="6"/>
      <c r="AN155" s="6"/>
      <c r="AO155" s="6"/>
      <c r="AP155" s="6"/>
      <c r="AQ155" s="6"/>
      <c r="AR155" s="7"/>
      <c r="AS155" s="7"/>
      <c r="AT155" s="6"/>
      <c r="AU155" s="6"/>
      <c r="AV155" s="6"/>
      <c r="AW155" s="6"/>
      <c r="AX155" s="6"/>
      <c r="AY155" s="6"/>
      <c r="AZ155" s="6"/>
      <c r="BA155" s="6"/>
      <c r="BB155" s="6"/>
      <c r="BC155" s="7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V155" s="6"/>
      <c r="BW155" s="6"/>
      <c r="BX155" s="6"/>
      <c r="BY155" s="6"/>
      <c r="BZ155" s="6"/>
      <c r="CA155" s="7"/>
      <c r="CB155" s="6"/>
      <c r="CC155" s="6"/>
      <c r="CD155" s="6"/>
      <c r="CE155" s="6"/>
      <c r="CF155" s="6"/>
      <c r="CG155" s="6"/>
      <c r="CH155" s="6"/>
      <c r="CI155" s="6"/>
      <c r="CJ155" s="6"/>
      <c r="CK155" s="7"/>
      <c r="CL155" s="6"/>
      <c r="CM155" s="6"/>
      <c r="CN155" s="6"/>
      <c r="CO155" s="6"/>
      <c r="CP155" s="6"/>
      <c r="CQ155" s="6"/>
      <c r="CR155" s="6"/>
      <c r="CS155" s="7"/>
      <c r="CT155" s="6"/>
      <c r="CU155" s="6"/>
      <c r="CV155" s="6"/>
      <c r="CW155" s="6"/>
      <c r="CX155" s="6"/>
      <c r="CY155" s="6"/>
      <c r="CZ155" s="6"/>
      <c r="DA155" s="6"/>
      <c r="DB155" s="6"/>
      <c r="DC155" s="7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V155" s="6"/>
      <c r="DW155" s="7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</row>
    <row r="156" spans="1:138" x14ac:dyDescent="0.15">
      <c r="A156" s="6"/>
      <c r="B156" s="80">
        <v>6</v>
      </c>
      <c r="C156" s="80"/>
      <c r="E156" s="64" t="str">
        <f>IF(O129+O130=0,"",IF(O129&lt;O130,E128,E130))</f>
        <v xml:space="preserve">   27 </v>
      </c>
      <c r="F156" s="64"/>
      <c r="G156" s="64"/>
      <c r="H156" s="64"/>
      <c r="I156" s="64"/>
      <c r="J156" s="64"/>
      <c r="K156" s="64"/>
      <c r="L156" s="76"/>
      <c r="M156" s="77"/>
      <c r="N156" s="15"/>
      <c r="O156" s="6"/>
      <c r="P156" s="6"/>
      <c r="Q156" s="6"/>
      <c r="R156" s="6"/>
      <c r="S156" s="6"/>
      <c r="T156" s="6"/>
      <c r="U156" s="6"/>
      <c r="V156" s="6"/>
      <c r="W156" s="6"/>
      <c r="X156" s="16"/>
      <c r="Y156" s="6"/>
      <c r="Z156" s="6"/>
      <c r="AA156" s="6"/>
      <c r="AB156" s="6"/>
      <c r="AC156" s="6"/>
      <c r="AD156" s="6"/>
      <c r="AE156" s="6"/>
      <c r="AF156" s="6"/>
      <c r="AG156" s="6"/>
      <c r="AH156" s="16"/>
      <c r="AI156" s="6"/>
      <c r="AJ156" s="6"/>
      <c r="AK156" s="6"/>
      <c r="AL156" s="6"/>
      <c r="AM156" s="6"/>
      <c r="AN156" s="6"/>
      <c r="AO156" s="6"/>
      <c r="AP156" s="6"/>
      <c r="AQ156" s="6"/>
      <c r="AR156" s="7"/>
      <c r="AS156" s="7"/>
      <c r="AT156" s="6"/>
      <c r="AU156" s="6"/>
      <c r="AV156" s="6"/>
      <c r="AW156" s="6"/>
      <c r="AX156" s="6"/>
      <c r="AY156" s="6"/>
      <c r="AZ156" s="6"/>
      <c r="BA156" s="6"/>
      <c r="BB156" s="6"/>
      <c r="BC156" s="7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V156" s="88">
        <v>12</v>
      </c>
      <c r="BW156" s="88"/>
      <c r="BX156" s="88"/>
      <c r="BY156" s="21"/>
      <c r="BZ156" s="86" t="str">
        <f>IF(DT34+DT35=0,"",IF(DT34&lt;DT35,DJ33,DJ35))</f>
        <v xml:space="preserve">   17 </v>
      </c>
      <c r="CA156" s="86"/>
      <c r="CB156" s="86"/>
      <c r="CC156" s="86"/>
      <c r="CD156" s="86"/>
      <c r="CE156" s="86"/>
      <c r="CF156" s="86"/>
      <c r="CG156" s="86"/>
      <c r="CH156" s="86"/>
      <c r="CI156" s="86"/>
      <c r="CJ156" s="86"/>
      <c r="CK156" s="86"/>
      <c r="CL156" s="86"/>
      <c r="CM156" s="86"/>
      <c r="CN156" s="86"/>
      <c r="CO156" s="86"/>
      <c r="CP156" s="86"/>
      <c r="CQ156" s="86"/>
      <c r="CR156" s="86"/>
      <c r="CS156" s="86"/>
      <c r="CT156" s="86"/>
      <c r="CU156" s="86"/>
      <c r="CV156" s="86"/>
      <c r="CW156" s="86"/>
      <c r="CX156" s="86"/>
      <c r="CY156" s="6"/>
      <c r="CZ156" s="6"/>
      <c r="DA156" s="6"/>
      <c r="DB156" s="6"/>
      <c r="DC156" s="7"/>
      <c r="DD156" s="6"/>
      <c r="DE156" s="6"/>
      <c r="DF156" s="88">
        <v>28</v>
      </c>
      <c r="DG156" s="88"/>
      <c r="DH156" s="88"/>
      <c r="DI156" s="21"/>
      <c r="DJ156" s="86" t="str">
        <f>IF(BC169+BC170=0,"",IF(BC169&lt;BC170,AT168,AT170))</f>
        <v/>
      </c>
      <c r="DK156" s="86"/>
      <c r="DL156" s="86"/>
      <c r="DM156" s="86"/>
      <c r="DN156" s="86"/>
      <c r="DO156" s="86"/>
      <c r="DP156" s="86"/>
      <c r="DQ156" s="86"/>
      <c r="DR156" s="86"/>
      <c r="DS156" s="86"/>
      <c r="DT156" s="86"/>
      <c r="DU156" s="86"/>
      <c r="DV156" s="86"/>
      <c r="DW156" s="86"/>
      <c r="DX156" s="86"/>
      <c r="DY156" s="86"/>
      <c r="DZ156" s="86"/>
      <c r="EA156" s="86"/>
      <c r="EB156" s="86"/>
      <c r="EC156" s="86"/>
      <c r="ED156" s="86"/>
      <c r="EE156" s="86"/>
      <c r="EF156" s="86"/>
      <c r="EG156" s="86"/>
      <c r="EH156" s="86"/>
    </row>
    <row r="157" spans="1:138" x14ac:dyDescent="0.25">
      <c r="A157" s="6"/>
      <c r="E157" s="14"/>
      <c r="F157" s="6"/>
      <c r="G157" s="6"/>
      <c r="H157" s="6"/>
      <c r="I157" s="6"/>
      <c r="J157" s="6"/>
      <c r="K157" s="6"/>
      <c r="L157" s="6"/>
      <c r="M157" s="6"/>
      <c r="N157" s="7"/>
      <c r="O157" s="6"/>
      <c r="P157" s="6"/>
      <c r="Q157" s="6"/>
      <c r="R157" s="6"/>
      <c r="S157" s="6"/>
      <c r="T157" s="6"/>
      <c r="U157" s="6"/>
      <c r="V157" s="65">
        <v>6</v>
      </c>
      <c r="W157" s="66"/>
      <c r="X157" s="15"/>
      <c r="Y157" s="67" t="str">
        <f>IF(X157+X158=0,"",IF(X157&gt;X158,O155,O159))</f>
        <v xml:space="preserve">   23</v>
      </c>
      <c r="Z157" s="68"/>
      <c r="AA157" s="68"/>
      <c r="AB157" s="68"/>
      <c r="AC157" s="68"/>
      <c r="AD157" s="68"/>
      <c r="AE157" s="68"/>
      <c r="AF157" s="68"/>
      <c r="AG157" s="68"/>
      <c r="AH157" s="16"/>
      <c r="AI157" s="6"/>
      <c r="AJ157" s="6"/>
      <c r="AK157" s="6"/>
      <c r="AL157" s="6"/>
      <c r="AM157" s="6"/>
      <c r="AN157" s="6"/>
      <c r="AO157" s="6"/>
      <c r="AP157" s="6"/>
      <c r="AQ157" s="6"/>
      <c r="AR157" s="7"/>
      <c r="AS157" s="7"/>
      <c r="AT157" s="6"/>
      <c r="AU157" s="6"/>
      <c r="AV157" s="6"/>
      <c r="AW157" s="6"/>
      <c r="AX157" s="6"/>
      <c r="AY157" s="6"/>
      <c r="AZ157" s="6"/>
      <c r="BA157" s="6"/>
      <c r="BB157" s="6"/>
      <c r="BC157" s="7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V157" s="88"/>
      <c r="BW157" s="88"/>
      <c r="BX157" s="88"/>
      <c r="BY157" s="21"/>
      <c r="BZ157" s="87"/>
      <c r="CA157" s="87"/>
      <c r="CB157" s="87"/>
      <c r="CC157" s="87"/>
      <c r="CD157" s="87"/>
      <c r="CE157" s="87"/>
      <c r="CF157" s="87"/>
      <c r="CG157" s="87"/>
      <c r="CH157" s="87"/>
      <c r="CI157" s="87"/>
      <c r="CJ157" s="87"/>
      <c r="CK157" s="87"/>
      <c r="CL157" s="87"/>
      <c r="CM157" s="87"/>
      <c r="CN157" s="87"/>
      <c r="CO157" s="87"/>
      <c r="CP157" s="87"/>
      <c r="CQ157" s="87"/>
      <c r="CR157" s="87"/>
      <c r="CS157" s="87"/>
      <c r="CT157" s="87"/>
      <c r="CU157" s="87"/>
      <c r="CV157" s="87"/>
      <c r="CW157" s="87"/>
      <c r="CX157" s="87"/>
      <c r="CY157" s="6"/>
      <c r="CZ157" s="6"/>
      <c r="DA157" s="6"/>
      <c r="DB157" s="6"/>
      <c r="DC157" s="7"/>
      <c r="DD157" s="6"/>
      <c r="DE157" s="6"/>
      <c r="DF157" s="88"/>
      <c r="DG157" s="88"/>
      <c r="DH157" s="88"/>
      <c r="DI157" s="21"/>
      <c r="DJ157" s="87"/>
      <c r="DK157" s="87"/>
      <c r="DL157" s="87"/>
      <c r="DM157" s="87"/>
      <c r="DN157" s="87"/>
      <c r="DO157" s="87"/>
      <c r="DP157" s="87"/>
      <c r="DQ157" s="87"/>
      <c r="DR157" s="87"/>
      <c r="DS157" s="87"/>
      <c r="DT157" s="87"/>
      <c r="DU157" s="87"/>
      <c r="DV157" s="87"/>
      <c r="DW157" s="87"/>
      <c r="DX157" s="87"/>
      <c r="DY157" s="87"/>
      <c r="DZ157" s="87"/>
      <c r="EA157" s="87"/>
      <c r="EB157" s="87"/>
      <c r="EC157" s="87"/>
      <c r="ED157" s="87"/>
      <c r="EE157" s="87"/>
      <c r="EF157" s="87"/>
      <c r="EG157" s="87"/>
      <c r="EH157" s="87"/>
    </row>
    <row r="158" spans="1:138" x14ac:dyDescent="0.15">
      <c r="A158" s="6"/>
      <c r="B158" s="80">
        <v>7</v>
      </c>
      <c r="C158" s="80"/>
      <c r="E158" s="64" t="str">
        <f>IF(O133+O134=0,"",IF(O133&lt;O134,E132,E134))</f>
        <v xml:space="preserve">   23</v>
      </c>
      <c r="F158" s="64"/>
      <c r="G158" s="64"/>
      <c r="H158" s="64"/>
      <c r="I158" s="64"/>
      <c r="J158" s="64"/>
      <c r="K158" s="64"/>
      <c r="L158" s="64"/>
      <c r="M158" s="64"/>
      <c r="N158" s="7"/>
      <c r="O158" s="6"/>
      <c r="P158" s="6"/>
      <c r="Q158" s="6"/>
      <c r="R158" s="6"/>
      <c r="S158" s="6"/>
      <c r="T158" s="6"/>
      <c r="U158" s="6"/>
      <c r="V158" s="65"/>
      <c r="W158" s="66"/>
      <c r="X158" s="15">
        <v>3</v>
      </c>
      <c r="Y158" s="6"/>
      <c r="Z158" s="6"/>
      <c r="AA158" s="6"/>
      <c r="AB158" s="6"/>
      <c r="AC158" s="6"/>
      <c r="AD158" s="6"/>
      <c r="AE158" s="6"/>
      <c r="AF158" s="6"/>
      <c r="AG158" s="6"/>
      <c r="AH158" s="7"/>
      <c r="AI158" s="6"/>
      <c r="AJ158" s="6"/>
      <c r="AK158" s="6"/>
      <c r="AL158" s="6"/>
      <c r="AM158" s="6"/>
      <c r="AN158" s="6"/>
      <c r="AO158" s="6"/>
      <c r="AP158" s="6"/>
      <c r="AQ158" s="6"/>
      <c r="AR158" s="7"/>
      <c r="AS158" s="7"/>
      <c r="AT158" s="6"/>
      <c r="AU158" s="6"/>
      <c r="AV158" s="6"/>
      <c r="AW158" s="6"/>
      <c r="AX158" s="6"/>
      <c r="AY158" s="6"/>
      <c r="AZ158" s="6"/>
      <c r="BA158" s="6"/>
      <c r="BB158" s="6"/>
      <c r="BC158" s="7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V158" s="6"/>
      <c r="BW158" s="6"/>
      <c r="BX158" s="6"/>
      <c r="BY158" s="6"/>
      <c r="BZ158" s="6"/>
      <c r="CA158" s="7"/>
      <c r="CB158" s="6"/>
      <c r="CC158" s="6"/>
      <c r="CD158" s="6"/>
      <c r="CE158" s="6"/>
      <c r="CF158" s="6"/>
      <c r="CG158" s="6"/>
      <c r="CH158" s="6"/>
      <c r="CI158" s="6"/>
      <c r="CJ158" s="6"/>
      <c r="CK158" s="7"/>
      <c r="CL158" s="6"/>
      <c r="CM158" s="6"/>
      <c r="CN158" s="6"/>
      <c r="CO158" s="6"/>
      <c r="CP158" s="6"/>
      <c r="CQ158" s="6"/>
      <c r="CR158" s="6"/>
      <c r="CS158" s="7"/>
      <c r="CT158" s="6"/>
      <c r="CU158" s="6"/>
      <c r="CV158" s="6"/>
      <c r="CW158" s="6"/>
      <c r="CX158" s="6"/>
      <c r="CY158" s="6"/>
      <c r="CZ158" s="6"/>
      <c r="DA158" s="6"/>
      <c r="DB158" s="6"/>
      <c r="DC158" s="7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V158" s="6"/>
      <c r="DW158" s="7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</row>
    <row r="159" spans="1:138" x14ac:dyDescent="0.15">
      <c r="A159" s="6"/>
      <c r="E159" s="14"/>
      <c r="F159" s="6"/>
      <c r="G159" s="6"/>
      <c r="H159" s="6"/>
      <c r="I159" s="6"/>
      <c r="J159" s="6"/>
      <c r="K159" s="6"/>
      <c r="L159" s="74">
        <v>4</v>
      </c>
      <c r="M159" s="75"/>
      <c r="N159" s="15">
        <v>3</v>
      </c>
      <c r="O159" s="78" t="str">
        <f>IF(N159+N160=0,"",IF(N159&gt;N160,E158,E160))</f>
        <v xml:space="preserve">   23</v>
      </c>
      <c r="P159" s="79"/>
      <c r="Q159" s="79"/>
      <c r="R159" s="79"/>
      <c r="S159" s="79"/>
      <c r="T159" s="79"/>
      <c r="U159" s="79"/>
      <c r="V159" s="79"/>
      <c r="W159" s="81"/>
      <c r="X159" s="16"/>
      <c r="Y159" s="6"/>
      <c r="Z159" s="6"/>
      <c r="AA159" s="6"/>
      <c r="AB159" s="6"/>
      <c r="AC159" s="6"/>
      <c r="AD159" s="6"/>
      <c r="AE159" s="6"/>
      <c r="AF159" s="6"/>
      <c r="AG159" s="6"/>
      <c r="AH159" s="7"/>
      <c r="AI159" s="6"/>
      <c r="AJ159" s="6"/>
      <c r="AK159" s="6"/>
      <c r="AL159" s="6"/>
      <c r="AM159" s="6"/>
      <c r="AN159" s="6"/>
      <c r="AO159" s="6"/>
      <c r="AP159" s="6"/>
      <c r="AQ159" s="6"/>
      <c r="AR159" s="7"/>
      <c r="AS159" s="7"/>
      <c r="AT159" s="6"/>
      <c r="AU159" s="6"/>
      <c r="AV159" s="6"/>
      <c r="AW159" s="6"/>
      <c r="AX159" s="6"/>
      <c r="AY159" s="6"/>
      <c r="AZ159" s="6"/>
      <c r="BA159" s="6"/>
      <c r="BB159" s="6"/>
      <c r="BC159" s="7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V159" s="6"/>
      <c r="BW159" s="6"/>
      <c r="BX159" s="6"/>
      <c r="BY159" s="6"/>
      <c r="BZ159" s="6"/>
      <c r="CA159" s="7"/>
      <c r="CB159" s="6"/>
      <c r="CC159" s="6"/>
      <c r="CD159" s="6"/>
      <c r="CE159" s="6"/>
      <c r="CF159" s="6"/>
      <c r="CG159" s="6"/>
      <c r="CH159" s="6"/>
      <c r="CI159" s="6"/>
      <c r="CJ159" s="6"/>
      <c r="CK159" s="7"/>
      <c r="CL159" s="6"/>
      <c r="CM159" s="6"/>
      <c r="CN159" s="6"/>
      <c r="CO159" s="6"/>
      <c r="CP159" s="6"/>
      <c r="CQ159" s="6"/>
      <c r="CR159" s="6"/>
      <c r="CS159" s="7"/>
      <c r="CT159" s="6"/>
      <c r="CU159" s="6"/>
      <c r="CV159" s="6"/>
      <c r="CW159" s="6"/>
      <c r="CX159" s="6"/>
      <c r="CY159" s="6"/>
      <c r="CZ159" s="6"/>
      <c r="DA159" s="6"/>
      <c r="DB159" s="6"/>
      <c r="DC159" s="7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V159" s="6"/>
      <c r="DW159" s="7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</row>
    <row r="160" spans="1:138" x14ac:dyDescent="0.15">
      <c r="A160" s="6"/>
      <c r="B160" s="80">
        <v>8</v>
      </c>
      <c r="C160" s="80"/>
      <c r="E160" s="64" t="str">
        <f>IF(O137+O138=0,"",IF(O137&lt;O138,E136,E138))</f>
        <v xml:space="preserve">   31</v>
      </c>
      <c r="F160" s="64"/>
      <c r="G160" s="64"/>
      <c r="H160" s="64"/>
      <c r="I160" s="64"/>
      <c r="J160" s="64"/>
      <c r="K160" s="64"/>
      <c r="L160" s="76"/>
      <c r="M160" s="77"/>
      <c r="N160" s="15"/>
      <c r="O160" s="6"/>
      <c r="P160" s="6"/>
      <c r="Q160" s="6"/>
      <c r="R160" s="6"/>
      <c r="S160" s="6"/>
      <c r="T160" s="6"/>
      <c r="U160" s="6"/>
      <c r="V160" s="6"/>
      <c r="W160" s="6"/>
      <c r="X160" s="7"/>
      <c r="Y160" s="6"/>
      <c r="Z160" s="6"/>
      <c r="AA160" s="6"/>
      <c r="AB160" s="6"/>
      <c r="AC160" s="6"/>
      <c r="AD160" s="6"/>
      <c r="AE160" s="6"/>
      <c r="AF160" s="6"/>
      <c r="AG160" s="6"/>
      <c r="AH160" s="7"/>
      <c r="AI160" s="6"/>
      <c r="AJ160" s="6"/>
      <c r="AK160" s="6"/>
      <c r="AL160" s="6"/>
      <c r="AM160" s="6"/>
      <c r="AN160" s="6"/>
      <c r="AO160" s="6"/>
      <c r="AP160" s="6"/>
      <c r="AQ160" s="6"/>
      <c r="AR160" s="7"/>
      <c r="AS160" s="7"/>
      <c r="AT160" s="6"/>
      <c r="AU160" s="6"/>
      <c r="AV160" s="6"/>
      <c r="AW160" s="6"/>
      <c r="AX160" s="6"/>
      <c r="AY160" s="6"/>
      <c r="AZ160" s="6"/>
      <c r="BA160" s="6"/>
      <c r="BB160" s="6"/>
      <c r="BC160" s="7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V160" s="6"/>
      <c r="BW160" s="6"/>
      <c r="BX160" s="6"/>
      <c r="BY160" s="6"/>
      <c r="BZ160" s="6"/>
      <c r="CA160" s="7"/>
      <c r="CB160" s="6"/>
      <c r="CC160" s="6"/>
      <c r="CD160" s="6"/>
      <c r="CE160" s="6"/>
      <c r="CF160" s="6"/>
      <c r="CG160" s="6"/>
      <c r="CH160" s="6"/>
      <c r="CI160" s="6"/>
      <c r="CJ160" s="6"/>
      <c r="CK160" s="7"/>
      <c r="CL160" s="6"/>
      <c r="CM160" s="6"/>
      <c r="CN160" s="6"/>
      <c r="CO160" s="6"/>
      <c r="CP160" s="6"/>
      <c r="CQ160" s="6"/>
      <c r="CR160" s="6"/>
      <c r="CS160" s="7"/>
      <c r="CT160" s="6"/>
      <c r="CU160" s="6"/>
      <c r="CV160" s="6"/>
      <c r="CW160" s="6"/>
      <c r="CX160" s="6"/>
      <c r="CY160" s="6"/>
      <c r="CZ160" s="6"/>
      <c r="DA160" s="6"/>
      <c r="DB160" s="6"/>
      <c r="DC160" s="7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V160" s="6"/>
      <c r="DW160" s="7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</row>
    <row r="161" spans="1:138" x14ac:dyDescent="0.25">
      <c r="A161" s="6"/>
      <c r="O161" s="8"/>
      <c r="Y161" s="8"/>
      <c r="AI161" s="8"/>
      <c r="AS161" s="7"/>
      <c r="AT161" s="6"/>
      <c r="AU161" s="6"/>
      <c r="AV161" s="6"/>
      <c r="AW161" s="6"/>
      <c r="AX161" s="6"/>
      <c r="AY161" s="6"/>
      <c r="AZ161" s="6"/>
      <c r="BA161" s="6"/>
      <c r="BB161" s="6"/>
      <c r="BC161" s="7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V161" s="88">
        <v>13</v>
      </c>
      <c r="BW161" s="88"/>
      <c r="BX161" s="88"/>
      <c r="BY161" s="21"/>
      <c r="BZ161" s="86" t="str">
        <f>IF(CR49+CR50=0,"",IF(CR49&gt;CR50,CI47,CI51))</f>
        <v>Spano  Emilien</v>
      </c>
      <c r="CA161" s="86"/>
      <c r="CB161" s="86"/>
      <c r="CC161" s="86"/>
      <c r="CD161" s="86"/>
      <c r="CE161" s="86"/>
      <c r="CF161" s="86"/>
      <c r="CG161" s="86"/>
      <c r="CH161" s="86"/>
      <c r="CI161" s="86"/>
      <c r="CJ161" s="86"/>
      <c r="CK161" s="86"/>
      <c r="CL161" s="86"/>
      <c r="CM161" s="86"/>
      <c r="CN161" s="86"/>
      <c r="CO161" s="86"/>
      <c r="CP161" s="86"/>
      <c r="CQ161" s="86"/>
      <c r="CR161" s="86"/>
      <c r="CS161" s="86"/>
      <c r="CT161" s="86"/>
      <c r="CU161" s="86"/>
      <c r="CV161" s="86"/>
      <c r="CW161" s="86"/>
      <c r="CX161" s="86"/>
      <c r="CY161" s="6"/>
      <c r="CZ161" s="6"/>
      <c r="DA161" s="6"/>
      <c r="DB161" s="6"/>
      <c r="DC161" s="7"/>
      <c r="DD161" s="6"/>
      <c r="DE161" s="6"/>
      <c r="DF161" s="88">
        <v>29</v>
      </c>
      <c r="DG161" s="88"/>
      <c r="DH161" s="88"/>
      <c r="DI161" s="21"/>
      <c r="DJ161" s="86" t="str">
        <f>IF(X171+X172=0,"",IF(X171&gt;X172,O169,O173))</f>
        <v/>
      </c>
      <c r="DK161" s="86"/>
      <c r="DL161" s="86"/>
      <c r="DM161" s="86"/>
      <c r="DN161" s="86"/>
      <c r="DO161" s="86"/>
      <c r="DP161" s="86"/>
      <c r="DQ161" s="86"/>
      <c r="DR161" s="86"/>
      <c r="DS161" s="86"/>
      <c r="DT161" s="86"/>
      <c r="DU161" s="86"/>
      <c r="DV161" s="86"/>
      <c r="DW161" s="86"/>
      <c r="DX161" s="86"/>
      <c r="DY161" s="86"/>
      <c r="DZ161" s="86"/>
      <c r="EA161" s="86"/>
      <c r="EB161" s="86"/>
      <c r="EC161" s="86"/>
      <c r="ED161" s="86"/>
      <c r="EE161" s="86"/>
      <c r="EF161" s="86"/>
      <c r="EG161" s="86"/>
      <c r="EH161" s="86"/>
    </row>
    <row r="162" spans="1:138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7"/>
      <c r="P162" s="6"/>
      <c r="Q162" s="6"/>
      <c r="R162" s="6"/>
      <c r="S162" s="6"/>
      <c r="T162" s="6"/>
      <c r="U162" s="6"/>
      <c r="V162" s="6"/>
      <c r="W162" s="6"/>
      <c r="X162" s="6"/>
      <c r="Y162" s="7"/>
      <c r="Z162" s="6"/>
      <c r="AA162" s="6"/>
      <c r="AB162" s="6"/>
      <c r="AC162" s="6"/>
      <c r="AD162" s="6"/>
      <c r="AE162" s="6"/>
      <c r="AF162" s="6"/>
      <c r="AG162" s="6"/>
      <c r="AH162" s="6"/>
      <c r="AI162" s="7"/>
      <c r="AJ162" s="6"/>
      <c r="AK162" s="6"/>
      <c r="AL162" s="6"/>
      <c r="AM162" s="6"/>
      <c r="AN162" s="6"/>
      <c r="AO162" s="6"/>
      <c r="AP162" s="6"/>
      <c r="AQ162" s="6"/>
      <c r="AR162" s="6"/>
      <c r="AS162" s="7"/>
      <c r="AT162" s="6"/>
      <c r="AU162" s="6"/>
      <c r="AV162" s="6"/>
      <c r="AW162" s="6"/>
      <c r="AX162" s="6"/>
      <c r="AY162" s="6"/>
      <c r="AZ162" s="6"/>
      <c r="BA162" s="6"/>
      <c r="BB162" s="6"/>
      <c r="BC162" s="7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V162" s="88"/>
      <c r="BW162" s="88"/>
      <c r="BX162" s="88"/>
      <c r="BY162" s="21"/>
      <c r="BZ162" s="87"/>
      <c r="CA162" s="87"/>
      <c r="CB162" s="87"/>
      <c r="CC162" s="87"/>
      <c r="CD162" s="87"/>
      <c r="CE162" s="87"/>
      <c r="CF162" s="87"/>
      <c r="CG162" s="87"/>
      <c r="CH162" s="87"/>
      <c r="CI162" s="87"/>
      <c r="CJ162" s="87"/>
      <c r="CK162" s="87"/>
      <c r="CL162" s="87"/>
      <c r="CM162" s="87"/>
      <c r="CN162" s="87"/>
      <c r="CO162" s="87"/>
      <c r="CP162" s="87"/>
      <c r="CQ162" s="87"/>
      <c r="CR162" s="87"/>
      <c r="CS162" s="87"/>
      <c r="CT162" s="87"/>
      <c r="CU162" s="87"/>
      <c r="CV162" s="87"/>
      <c r="CW162" s="87"/>
      <c r="CX162" s="87"/>
      <c r="CY162" s="6"/>
      <c r="CZ162" s="6"/>
      <c r="DA162" s="6"/>
      <c r="DB162" s="6"/>
      <c r="DC162" s="7"/>
      <c r="DD162" s="6"/>
      <c r="DE162" s="6"/>
      <c r="DF162" s="88"/>
      <c r="DG162" s="88"/>
      <c r="DH162" s="88"/>
      <c r="DI162" s="21"/>
      <c r="DJ162" s="87"/>
      <c r="DK162" s="87"/>
      <c r="DL162" s="87"/>
      <c r="DM162" s="87"/>
      <c r="DN162" s="87"/>
      <c r="DO162" s="87"/>
      <c r="DP162" s="87"/>
      <c r="DQ162" s="87"/>
      <c r="DR162" s="87"/>
      <c r="DS162" s="87"/>
      <c r="DT162" s="87"/>
      <c r="DU162" s="87"/>
      <c r="DV162" s="87"/>
      <c r="DW162" s="87"/>
      <c r="DX162" s="87"/>
      <c r="DY162" s="87"/>
      <c r="DZ162" s="87"/>
      <c r="EA162" s="87"/>
      <c r="EB162" s="87"/>
      <c r="EC162" s="87"/>
      <c r="ED162" s="87"/>
      <c r="EE162" s="87"/>
      <c r="EF162" s="87"/>
      <c r="EG162" s="87"/>
      <c r="EH162" s="87"/>
    </row>
    <row r="163" spans="1:138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7"/>
      <c r="P163" s="6"/>
      <c r="Q163" s="6"/>
      <c r="R163" s="6"/>
      <c r="S163" s="6"/>
      <c r="T163" s="6"/>
      <c r="U163" s="6"/>
      <c r="V163" s="6"/>
      <c r="W163" s="6"/>
      <c r="X163" s="6"/>
      <c r="Y163" s="7"/>
      <c r="Z163" s="6"/>
      <c r="AA163" s="6"/>
      <c r="AB163" s="6"/>
      <c r="AC163" s="6"/>
      <c r="AD163" s="6"/>
      <c r="AE163" s="6"/>
      <c r="AF163" s="6"/>
      <c r="AG163" s="6"/>
      <c r="AH163" s="6"/>
      <c r="AI163" s="7"/>
      <c r="AJ163" s="6"/>
      <c r="AK163" s="6"/>
      <c r="AL163" s="6"/>
      <c r="AM163" s="6"/>
      <c r="AN163" s="6"/>
      <c r="AO163" s="6"/>
      <c r="AP163" s="6"/>
      <c r="AQ163" s="6"/>
      <c r="AR163" s="6"/>
      <c r="AS163" s="7"/>
      <c r="AT163" s="6"/>
      <c r="AU163" s="6"/>
      <c r="AV163" s="6"/>
      <c r="AW163" s="6"/>
      <c r="AX163" s="6"/>
      <c r="AY163" s="6"/>
      <c r="AZ163" s="6"/>
      <c r="BA163" s="6"/>
      <c r="BB163" s="6"/>
      <c r="BC163" s="7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V163" s="6"/>
      <c r="BW163" s="6"/>
      <c r="BX163" s="6"/>
      <c r="BY163" s="6"/>
      <c r="BZ163" s="6"/>
      <c r="CA163" s="7"/>
      <c r="CB163" s="6"/>
      <c r="CC163" s="6"/>
      <c r="CD163" s="6"/>
      <c r="CE163" s="6"/>
      <c r="CF163" s="6"/>
      <c r="CG163" s="6"/>
      <c r="CH163" s="6"/>
      <c r="CI163" s="6"/>
      <c r="CJ163" s="6"/>
      <c r="CK163" s="7"/>
      <c r="CL163" s="6"/>
      <c r="CM163" s="6"/>
      <c r="CN163" s="6"/>
      <c r="CO163" s="6"/>
      <c r="CP163" s="6"/>
      <c r="CQ163" s="6"/>
      <c r="CR163" s="6"/>
      <c r="CS163" s="7"/>
      <c r="CT163" s="6"/>
      <c r="CU163" s="6"/>
      <c r="CV163" s="6"/>
      <c r="CW163" s="6"/>
      <c r="CX163" s="6"/>
      <c r="CY163" s="6"/>
      <c r="CZ163" s="6"/>
      <c r="DA163" s="6"/>
      <c r="DB163" s="6"/>
      <c r="DC163" s="7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V163" s="6"/>
      <c r="DW163" s="7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</row>
    <row r="164" spans="1:138" x14ac:dyDescent="0.25">
      <c r="A164" s="6"/>
      <c r="B164" s="73" t="s">
        <v>165</v>
      </c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6"/>
      <c r="S164" s="6"/>
      <c r="T164" s="6"/>
      <c r="U164" s="6"/>
      <c r="V164" s="6"/>
      <c r="W164" s="6"/>
      <c r="X164" s="6"/>
      <c r="Y164" s="7"/>
      <c r="Z164" s="6"/>
      <c r="AA164" s="6"/>
      <c r="AB164" s="6"/>
      <c r="AC164" s="6"/>
      <c r="AD164" s="6"/>
      <c r="AE164" s="6"/>
      <c r="AF164" s="6"/>
      <c r="AG164" s="6"/>
      <c r="AH164" s="6"/>
      <c r="AI164" s="7"/>
      <c r="AJ164" s="6"/>
      <c r="AK164" s="6"/>
      <c r="AL164" s="6"/>
      <c r="AQ164" s="73" t="s">
        <v>166</v>
      </c>
      <c r="AR164" s="73"/>
      <c r="AS164" s="73"/>
      <c r="AT164" s="73"/>
      <c r="AU164" s="73"/>
      <c r="AV164" s="73"/>
      <c r="AW164" s="73"/>
      <c r="AX164" s="73"/>
      <c r="AY164" s="73"/>
      <c r="AZ164" s="73"/>
      <c r="BA164" s="73"/>
      <c r="BB164" s="73"/>
      <c r="BC164" s="73"/>
      <c r="BD164" s="73"/>
      <c r="BE164" s="73"/>
      <c r="BF164" s="73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V164" s="6"/>
      <c r="BW164" s="6"/>
      <c r="BX164" s="6"/>
      <c r="BY164" s="6"/>
      <c r="BZ164" s="6"/>
      <c r="CA164" s="7"/>
      <c r="CB164" s="6"/>
      <c r="CC164" s="6"/>
      <c r="CD164" s="6"/>
      <c r="CE164" s="6"/>
      <c r="CF164" s="6"/>
      <c r="CG164" s="6"/>
      <c r="CH164" s="6"/>
      <c r="CI164" s="6"/>
      <c r="CJ164" s="6"/>
      <c r="CK164" s="7"/>
      <c r="CL164" s="6"/>
      <c r="CM164" s="6"/>
      <c r="CN164" s="6"/>
      <c r="CO164" s="6"/>
      <c r="CP164" s="6"/>
      <c r="CQ164" s="6"/>
      <c r="CR164" s="6"/>
      <c r="CS164" s="7"/>
      <c r="CT164" s="6"/>
      <c r="CU164" s="6"/>
      <c r="CV164" s="6"/>
      <c r="CW164" s="6"/>
      <c r="CX164" s="6"/>
      <c r="CY164" s="6"/>
      <c r="CZ164" s="6"/>
      <c r="DA164" s="6"/>
      <c r="DB164" s="6"/>
      <c r="DC164" s="7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V164" s="6"/>
      <c r="DW164" s="7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</row>
    <row r="165" spans="1:138" x14ac:dyDescent="0.25">
      <c r="A165" s="6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6"/>
      <c r="S165" s="6"/>
      <c r="T165" s="6"/>
      <c r="U165" s="6"/>
      <c r="V165" s="6"/>
      <c r="W165" s="6"/>
      <c r="X165" s="6"/>
      <c r="Y165" s="7"/>
      <c r="Z165" s="6"/>
      <c r="AA165" s="6"/>
      <c r="AB165" s="6"/>
      <c r="AC165" s="6"/>
      <c r="AD165" s="6"/>
      <c r="AE165" s="6"/>
      <c r="AF165" s="6"/>
      <c r="AG165" s="6"/>
      <c r="AH165" s="6"/>
      <c r="AI165" s="7"/>
      <c r="AJ165" s="6"/>
      <c r="AK165" s="6"/>
      <c r="AL165" s="6"/>
      <c r="AQ165" s="73"/>
      <c r="AR165" s="73"/>
      <c r="AS165" s="73"/>
      <c r="AT165" s="73"/>
      <c r="AU165" s="73"/>
      <c r="AV165" s="73"/>
      <c r="AW165" s="73"/>
      <c r="AX165" s="73"/>
      <c r="AY165" s="73"/>
      <c r="AZ165" s="73"/>
      <c r="BA165" s="73"/>
      <c r="BB165" s="73"/>
      <c r="BC165" s="73"/>
      <c r="BD165" s="73"/>
      <c r="BE165" s="73"/>
      <c r="BF165" s="73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V165" s="6"/>
      <c r="BW165" s="6"/>
      <c r="BX165" s="6"/>
      <c r="BY165" s="6"/>
      <c r="BZ165" s="6"/>
      <c r="CA165" s="7"/>
      <c r="CB165" s="6"/>
      <c r="CC165" s="6"/>
      <c r="CD165" s="6"/>
      <c r="CE165" s="6"/>
      <c r="CF165" s="6"/>
      <c r="CG165" s="6"/>
      <c r="CH165" s="6"/>
      <c r="CI165" s="6"/>
      <c r="CJ165" s="6"/>
      <c r="CK165" s="7"/>
      <c r="CL165" s="6"/>
      <c r="CM165" s="6"/>
      <c r="CN165" s="6"/>
      <c r="CO165" s="6"/>
      <c r="CP165" s="6"/>
      <c r="CQ165" s="6"/>
      <c r="CR165" s="6"/>
      <c r="CS165" s="7"/>
      <c r="CT165" s="6"/>
      <c r="CU165" s="6"/>
      <c r="CV165" s="6"/>
      <c r="CW165" s="6"/>
      <c r="CX165" s="6"/>
      <c r="CY165" s="6"/>
      <c r="CZ165" s="6"/>
      <c r="DA165" s="6"/>
      <c r="DB165" s="6"/>
      <c r="DC165" s="7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V165" s="6"/>
      <c r="DW165" s="7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</row>
    <row r="166" spans="1:138" x14ac:dyDescent="0.25">
      <c r="A166" s="6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6"/>
      <c r="S166" s="6"/>
      <c r="T166" s="6"/>
      <c r="U166" s="6"/>
      <c r="V166" s="6"/>
      <c r="W166" s="6"/>
      <c r="X166" s="6"/>
      <c r="Y166" s="7"/>
      <c r="Z166" s="6"/>
      <c r="AA166" s="6"/>
      <c r="AB166" s="6"/>
      <c r="AC166" s="6"/>
      <c r="AD166" s="6"/>
      <c r="AE166" s="6"/>
      <c r="AF166" s="6"/>
      <c r="AG166" s="6"/>
      <c r="AH166" s="6"/>
      <c r="AI166" s="7"/>
      <c r="AJ166" s="6"/>
      <c r="AK166" s="6"/>
      <c r="AL166" s="6"/>
      <c r="AQ166" s="73"/>
      <c r="AR166" s="73"/>
      <c r="AS166" s="73"/>
      <c r="AT166" s="73"/>
      <c r="AU166" s="73"/>
      <c r="AV166" s="73"/>
      <c r="AW166" s="73"/>
      <c r="AX166" s="73"/>
      <c r="AY166" s="73"/>
      <c r="AZ166" s="73"/>
      <c r="BA166" s="73"/>
      <c r="BB166" s="73"/>
      <c r="BC166" s="73"/>
      <c r="BD166" s="73"/>
      <c r="BE166" s="73"/>
      <c r="BF166" s="73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V166" s="88">
        <v>14</v>
      </c>
      <c r="BW166" s="88"/>
      <c r="BX166" s="88"/>
      <c r="BY166" s="21"/>
      <c r="BZ166" s="86" t="str">
        <f>IF(CR49+CR50=0,"",IF(CR49&lt;CR50,CI47,CI51))</f>
        <v>Clerc  Manon</v>
      </c>
      <c r="CA166" s="86"/>
      <c r="CB166" s="86"/>
      <c r="CC166" s="86"/>
      <c r="CD166" s="86"/>
      <c r="CE166" s="86"/>
      <c r="CF166" s="86"/>
      <c r="CG166" s="86"/>
      <c r="CH166" s="86"/>
      <c r="CI166" s="86"/>
      <c r="CJ166" s="86"/>
      <c r="CK166" s="86"/>
      <c r="CL166" s="86"/>
      <c r="CM166" s="86"/>
      <c r="CN166" s="86"/>
      <c r="CO166" s="86"/>
      <c r="CP166" s="86"/>
      <c r="CQ166" s="86"/>
      <c r="CR166" s="86"/>
      <c r="CS166" s="86"/>
      <c r="CT166" s="86"/>
      <c r="CU166" s="86"/>
      <c r="CV166" s="86"/>
      <c r="CW166" s="86"/>
      <c r="CX166" s="86"/>
      <c r="CY166" s="6"/>
      <c r="CZ166" s="6"/>
      <c r="DA166" s="6"/>
      <c r="DB166" s="6"/>
      <c r="DC166" s="7"/>
      <c r="DD166" s="6"/>
      <c r="DE166" s="6"/>
      <c r="DF166" s="88">
        <v>30</v>
      </c>
      <c r="DG166" s="88"/>
      <c r="DH166" s="88"/>
      <c r="DI166" s="21"/>
      <c r="DJ166" s="86" t="str">
        <f>IF(X171+X172=0,"",IF(X171&lt;X172,O169,O173))</f>
        <v/>
      </c>
      <c r="DK166" s="86"/>
      <c r="DL166" s="86"/>
      <c r="DM166" s="86"/>
      <c r="DN166" s="86"/>
      <c r="DO166" s="86"/>
      <c r="DP166" s="86"/>
      <c r="DQ166" s="86"/>
      <c r="DR166" s="86"/>
      <c r="DS166" s="86"/>
      <c r="DT166" s="86"/>
      <c r="DU166" s="86"/>
      <c r="DV166" s="86"/>
      <c r="DW166" s="86"/>
      <c r="DX166" s="86"/>
      <c r="DY166" s="86"/>
      <c r="DZ166" s="86"/>
      <c r="EA166" s="86"/>
      <c r="EB166" s="86"/>
      <c r="EC166" s="86"/>
      <c r="ED166" s="86"/>
      <c r="EE166" s="86"/>
      <c r="EF166" s="86"/>
      <c r="EG166" s="86"/>
      <c r="EH166" s="86"/>
    </row>
    <row r="167" spans="1:138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7"/>
      <c r="P167" s="6"/>
      <c r="Q167" s="6"/>
      <c r="R167" s="6"/>
      <c r="S167" s="6"/>
      <c r="T167" s="6"/>
      <c r="U167" s="6"/>
      <c r="V167" s="6"/>
      <c r="W167" s="6"/>
      <c r="X167" s="6"/>
      <c r="Y167" s="7"/>
      <c r="Z167" s="6"/>
      <c r="AA167" s="6"/>
      <c r="AB167" s="6"/>
      <c r="AC167" s="6"/>
      <c r="AD167" s="6"/>
      <c r="AE167" s="6"/>
      <c r="AF167" s="6"/>
      <c r="AG167" s="6"/>
      <c r="AH167" s="6"/>
      <c r="AI167" s="7"/>
      <c r="AJ167" s="6"/>
      <c r="AK167" s="6"/>
      <c r="AL167" s="6"/>
      <c r="AM167" s="6"/>
      <c r="AN167" s="6"/>
      <c r="AO167" s="6"/>
      <c r="AP167" s="6"/>
      <c r="AQ167" s="6"/>
      <c r="AR167" s="6"/>
      <c r="AS167" s="7"/>
      <c r="AT167" s="6"/>
      <c r="AU167" s="6"/>
      <c r="AV167" s="6"/>
      <c r="AW167" s="6"/>
      <c r="AX167" s="6"/>
      <c r="AY167" s="6"/>
      <c r="AZ167" s="6"/>
      <c r="BA167" s="6"/>
      <c r="BB167" s="6"/>
      <c r="BC167" s="7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V167" s="88"/>
      <c r="BW167" s="88"/>
      <c r="BX167" s="88"/>
      <c r="BY167" s="21"/>
      <c r="BZ167" s="87"/>
      <c r="CA167" s="87"/>
      <c r="CB167" s="87"/>
      <c r="CC167" s="87"/>
      <c r="CD167" s="87"/>
      <c r="CE167" s="87"/>
      <c r="CF167" s="87"/>
      <c r="CG167" s="87"/>
      <c r="CH167" s="87"/>
      <c r="CI167" s="87"/>
      <c r="CJ167" s="87"/>
      <c r="CK167" s="87"/>
      <c r="CL167" s="87"/>
      <c r="CM167" s="87"/>
      <c r="CN167" s="87"/>
      <c r="CO167" s="87"/>
      <c r="CP167" s="87"/>
      <c r="CQ167" s="87"/>
      <c r="CR167" s="87"/>
      <c r="CS167" s="87"/>
      <c r="CT167" s="87"/>
      <c r="CU167" s="87"/>
      <c r="CV167" s="87"/>
      <c r="CW167" s="87"/>
      <c r="CX167" s="87"/>
      <c r="CY167" s="6"/>
      <c r="CZ167" s="6"/>
      <c r="DA167" s="6"/>
      <c r="DB167" s="6"/>
      <c r="DC167" s="7"/>
      <c r="DD167" s="6"/>
      <c r="DE167" s="6"/>
      <c r="DF167" s="88"/>
      <c r="DG167" s="88"/>
      <c r="DH167" s="88"/>
      <c r="DI167" s="21"/>
      <c r="DJ167" s="87"/>
      <c r="DK167" s="87"/>
      <c r="DL167" s="87"/>
      <c r="DM167" s="87"/>
      <c r="DN167" s="87"/>
      <c r="DO167" s="87"/>
      <c r="DP167" s="87"/>
      <c r="DQ167" s="87"/>
      <c r="DR167" s="87"/>
      <c r="DS167" s="87"/>
      <c r="DT167" s="87"/>
      <c r="DU167" s="87"/>
      <c r="DV167" s="87"/>
      <c r="DW167" s="87"/>
      <c r="DX167" s="87"/>
      <c r="DY167" s="87"/>
      <c r="DZ167" s="87"/>
      <c r="EA167" s="87"/>
      <c r="EB167" s="87"/>
      <c r="EC167" s="87"/>
      <c r="ED167" s="87"/>
      <c r="EE167" s="87"/>
      <c r="EF167" s="87"/>
      <c r="EG167" s="87"/>
      <c r="EH167" s="87"/>
    </row>
    <row r="168" spans="1:138" x14ac:dyDescent="0.15">
      <c r="A168" s="6"/>
      <c r="B168" s="80">
        <v>1</v>
      </c>
      <c r="C168" s="80"/>
      <c r="E168" s="64" t="str">
        <f>IF(N147+N148=0,"",IF(N147&lt;N148,E146,E148))</f>
        <v xml:space="preserve">   32 </v>
      </c>
      <c r="F168" s="64"/>
      <c r="G168" s="64"/>
      <c r="H168" s="64"/>
      <c r="I168" s="64"/>
      <c r="J168" s="64"/>
      <c r="K168" s="64"/>
      <c r="L168" s="64"/>
      <c r="M168" s="64"/>
      <c r="N168" s="7"/>
      <c r="O168" s="6"/>
      <c r="P168" s="6"/>
      <c r="Q168" s="6"/>
      <c r="R168" s="6"/>
      <c r="S168" s="6"/>
      <c r="T168" s="6"/>
      <c r="U168" s="6"/>
      <c r="V168" s="6"/>
      <c r="W168" s="6"/>
      <c r="X168" s="7"/>
      <c r="Y168" s="6"/>
      <c r="Z168" s="6"/>
      <c r="AA168" s="6"/>
      <c r="AB168" s="6"/>
      <c r="AC168" s="6"/>
      <c r="AD168" s="6"/>
      <c r="AE168" s="6"/>
      <c r="AF168" s="6"/>
      <c r="AG168" s="6"/>
      <c r="AH168" s="7"/>
      <c r="AI168" s="7"/>
      <c r="AJ168" s="6"/>
      <c r="AK168" s="6"/>
      <c r="AL168" s="6"/>
      <c r="AQ168" s="80">
        <v>5</v>
      </c>
      <c r="AR168" s="80"/>
      <c r="AS168" s="8"/>
      <c r="AT168" s="64" t="str">
        <f>IF(X149+X150=0,"",IF(X149&lt;X150,O147,O151))</f>
        <v/>
      </c>
      <c r="AU168" s="64"/>
      <c r="AV168" s="64"/>
      <c r="AW168" s="64"/>
      <c r="AX168" s="64"/>
      <c r="AY168" s="64"/>
      <c r="AZ168" s="64"/>
      <c r="BA168" s="64"/>
      <c r="BB168" s="64"/>
      <c r="BC168" s="7"/>
      <c r="BD168" s="6"/>
      <c r="BE168" s="6"/>
      <c r="BF168" s="6"/>
      <c r="BG168" s="6"/>
      <c r="BH168" s="6"/>
      <c r="BI168" s="6"/>
      <c r="BJ168" s="6"/>
      <c r="BK168" s="6"/>
      <c r="BL168" s="6"/>
      <c r="BM168" s="7"/>
      <c r="BN168" s="6"/>
      <c r="BO168" s="6"/>
      <c r="BP168" s="6"/>
      <c r="BQ168" s="6"/>
      <c r="BR168" s="6"/>
      <c r="BV168" s="6"/>
      <c r="BW168" s="6"/>
      <c r="BX168" s="6"/>
      <c r="BY168" s="6"/>
      <c r="BZ168" s="6"/>
      <c r="CA168" s="7"/>
      <c r="CB168" s="6"/>
      <c r="CC168" s="6"/>
      <c r="CD168" s="6"/>
      <c r="CE168" s="6"/>
      <c r="CF168" s="6"/>
      <c r="CG168" s="6"/>
      <c r="CH168" s="6"/>
      <c r="CI168" s="6"/>
      <c r="CJ168" s="6"/>
      <c r="CK168" s="7"/>
      <c r="CL168" s="6"/>
      <c r="CM168" s="6"/>
      <c r="CN168" s="6"/>
      <c r="CO168" s="6"/>
      <c r="CP168" s="6"/>
      <c r="CQ168" s="6"/>
      <c r="CR168" s="6"/>
      <c r="CS168" s="7"/>
      <c r="CT168" s="6"/>
      <c r="CU168" s="6"/>
      <c r="CV168" s="6"/>
      <c r="CW168" s="6"/>
      <c r="CX168" s="6"/>
      <c r="CY168" s="6"/>
      <c r="CZ168" s="6"/>
      <c r="DA168" s="6"/>
      <c r="DB168" s="6"/>
      <c r="DC168" s="7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V168" s="6"/>
      <c r="DW168" s="7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</row>
    <row r="169" spans="1:138" x14ac:dyDescent="0.15">
      <c r="A169" s="6"/>
      <c r="E169" s="14"/>
      <c r="F169" s="6"/>
      <c r="G169" s="6"/>
      <c r="H169" s="6"/>
      <c r="I169" s="6"/>
      <c r="J169" s="6"/>
      <c r="K169" s="6"/>
      <c r="L169" s="74">
        <v>1</v>
      </c>
      <c r="M169" s="75"/>
      <c r="N169" s="15"/>
      <c r="O169" s="79" t="str">
        <f>IF(N169+N170=0,"",IF(N169&gt;N170,E168,E170))</f>
        <v/>
      </c>
      <c r="P169" s="79"/>
      <c r="Q169" s="79"/>
      <c r="R169" s="79"/>
      <c r="S169" s="79"/>
      <c r="T169" s="79"/>
      <c r="U169" s="79"/>
      <c r="V169" s="79"/>
      <c r="W169" s="79"/>
      <c r="X169" s="7"/>
      <c r="Y169" s="6"/>
      <c r="Z169" s="6"/>
      <c r="AA169" s="6"/>
      <c r="AB169" s="6"/>
      <c r="AC169" s="6"/>
      <c r="AD169" s="6"/>
      <c r="AE169" s="6"/>
      <c r="AF169" s="6"/>
      <c r="AG169" s="6"/>
      <c r="AH169" s="7"/>
      <c r="AI169" s="7"/>
      <c r="AJ169" s="6"/>
      <c r="AK169" s="6"/>
      <c r="AL169" s="6"/>
      <c r="AS169" s="8"/>
      <c r="AT169" s="14"/>
      <c r="AU169" s="6"/>
      <c r="AV169" s="6"/>
      <c r="AW169" s="6"/>
      <c r="AX169" s="6"/>
      <c r="AY169" s="6"/>
      <c r="AZ169" s="6"/>
      <c r="BA169" s="74">
        <v>1</v>
      </c>
      <c r="BB169" s="75"/>
      <c r="BC169" s="15"/>
      <c r="BD169" s="79" t="str">
        <f>IF(BC169+BC170=0,"",IF(BC169&gt;BC170,AT168,AT170))</f>
        <v/>
      </c>
      <c r="BE169" s="79"/>
      <c r="BF169" s="79"/>
      <c r="BG169" s="79"/>
      <c r="BH169" s="79"/>
      <c r="BI169" s="79"/>
      <c r="BJ169" s="79"/>
      <c r="BK169" s="79"/>
      <c r="BL169" s="79"/>
      <c r="BM169" s="7"/>
      <c r="BN169" s="6"/>
      <c r="BO169" s="6"/>
      <c r="BP169" s="6"/>
      <c r="BQ169" s="6"/>
      <c r="BR169" s="6"/>
      <c r="BV169" s="6"/>
      <c r="BW169" s="6"/>
      <c r="BX169" s="6"/>
      <c r="BY169" s="6"/>
      <c r="BZ169" s="6"/>
      <c r="CA169" s="7"/>
      <c r="CB169" s="6"/>
      <c r="CC169" s="6"/>
      <c r="CD169" s="6"/>
      <c r="CE169" s="6"/>
      <c r="CF169" s="6"/>
      <c r="CG169" s="6"/>
      <c r="CH169" s="6"/>
      <c r="CI169" s="6"/>
      <c r="CJ169" s="6"/>
      <c r="CK169" s="7"/>
      <c r="CL169" s="6"/>
      <c r="CM169" s="6"/>
      <c r="CN169" s="6"/>
      <c r="CO169" s="6"/>
      <c r="CP169" s="6"/>
      <c r="CQ169" s="6"/>
      <c r="CR169" s="6"/>
      <c r="CS169" s="7"/>
      <c r="CT169" s="6"/>
      <c r="CU169" s="6"/>
      <c r="CV169" s="6"/>
      <c r="CW169" s="6"/>
      <c r="CX169" s="6"/>
      <c r="CY169" s="6"/>
      <c r="CZ169" s="6"/>
      <c r="DA169" s="6"/>
      <c r="DB169" s="6"/>
      <c r="DC169" s="7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V169" s="6"/>
      <c r="DW169" s="7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</row>
    <row r="170" spans="1:138" x14ac:dyDescent="0.15">
      <c r="A170" s="6"/>
      <c r="B170" s="80">
        <v>2</v>
      </c>
      <c r="C170" s="80"/>
      <c r="E170" s="64" t="str">
        <f>IF(N151+N152=0,"",IF(N151&lt;N152,E150,E152))</f>
        <v/>
      </c>
      <c r="F170" s="64"/>
      <c r="G170" s="64"/>
      <c r="H170" s="64"/>
      <c r="I170" s="64"/>
      <c r="J170" s="64"/>
      <c r="K170" s="64"/>
      <c r="L170" s="76"/>
      <c r="M170" s="77"/>
      <c r="N170" s="15"/>
      <c r="O170" s="6"/>
      <c r="P170" s="6"/>
      <c r="Q170" s="6"/>
      <c r="R170" s="6"/>
      <c r="S170" s="6"/>
      <c r="T170" s="6"/>
      <c r="U170" s="6"/>
      <c r="V170" s="6"/>
      <c r="W170" s="6"/>
      <c r="X170" s="16"/>
      <c r="Y170" s="6"/>
      <c r="Z170" s="6"/>
      <c r="AA170" s="6"/>
      <c r="AB170" s="6"/>
      <c r="AC170" s="6"/>
      <c r="AD170" s="6"/>
      <c r="AE170" s="6"/>
      <c r="AF170" s="6"/>
      <c r="AG170" s="6"/>
      <c r="AH170" s="7"/>
      <c r="AI170" s="7"/>
      <c r="AJ170" s="6"/>
      <c r="AK170" s="6"/>
      <c r="AL170" s="6"/>
      <c r="AQ170" s="80">
        <v>6</v>
      </c>
      <c r="AR170" s="80"/>
      <c r="AS170" s="8"/>
      <c r="AT170" s="64" t="str">
        <f>IF(X157+X158=0,"",IF(X157&lt;X158,O155,O159))</f>
        <v/>
      </c>
      <c r="AU170" s="64"/>
      <c r="AV170" s="64"/>
      <c r="AW170" s="64"/>
      <c r="AX170" s="64"/>
      <c r="AY170" s="64"/>
      <c r="AZ170" s="64"/>
      <c r="BA170" s="76"/>
      <c r="BB170" s="77"/>
      <c r="BC170" s="15"/>
      <c r="BD170" s="6"/>
      <c r="BE170" s="6"/>
      <c r="BF170" s="6"/>
      <c r="BG170" s="6"/>
      <c r="BH170" s="6"/>
      <c r="BI170" s="6"/>
      <c r="BJ170" s="6"/>
      <c r="BK170" s="6"/>
      <c r="BL170" s="6"/>
      <c r="BM170" s="7"/>
      <c r="BN170" s="6"/>
      <c r="BO170" s="6"/>
      <c r="BP170" s="6"/>
      <c r="BQ170" s="6"/>
      <c r="BR170" s="6"/>
      <c r="BV170" s="6"/>
      <c r="BW170" s="6"/>
      <c r="BX170" s="6"/>
      <c r="BY170" s="6"/>
      <c r="BZ170" s="6"/>
      <c r="CA170" s="7"/>
      <c r="CB170" s="6"/>
      <c r="CC170" s="6"/>
      <c r="CD170" s="6"/>
      <c r="CE170" s="6"/>
      <c r="CF170" s="6"/>
      <c r="CG170" s="6"/>
      <c r="CH170" s="6"/>
      <c r="CI170" s="6"/>
      <c r="CJ170" s="6"/>
      <c r="CK170" s="7"/>
      <c r="CL170" s="6"/>
      <c r="CM170" s="6"/>
      <c r="CN170" s="6"/>
      <c r="CO170" s="6"/>
      <c r="CP170" s="6"/>
      <c r="CQ170" s="6"/>
      <c r="CR170" s="6"/>
      <c r="CS170" s="7"/>
      <c r="CT170" s="6"/>
      <c r="CU170" s="6"/>
      <c r="CV170" s="6"/>
      <c r="CW170" s="6"/>
      <c r="CX170" s="6"/>
      <c r="CY170" s="6"/>
      <c r="CZ170" s="6"/>
      <c r="DA170" s="6"/>
      <c r="DB170" s="6"/>
      <c r="DC170" s="7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V170" s="6"/>
      <c r="DW170" s="7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</row>
    <row r="171" spans="1:138" x14ac:dyDescent="0.25">
      <c r="A171" s="6"/>
      <c r="E171" s="14"/>
      <c r="F171" s="6"/>
      <c r="G171" s="6"/>
      <c r="H171" s="6"/>
      <c r="I171" s="6"/>
      <c r="J171" s="6"/>
      <c r="K171" s="6"/>
      <c r="L171" s="6"/>
      <c r="M171" s="6"/>
      <c r="N171" s="7"/>
      <c r="O171" s="6"/>
      <c r="P171" s="6"/>
      <c r="Q171" s="6"/>
      <c r="R171" s="6"/>
      <c r="S171" s="6"/>
      <c r="T171" s="6"/>
      <c r="U171" s="6"/>
      <c r="V171" s="65">
        <v>3</v>
      </c>
      <c r="W171" s="66"/>
      <c r="X171" s="15"/>
      <c r="Y171" s="67" t="str">
        <f>IF(X171+X172=0,"",IF(X171&gt;X172,O169,O173))</f>
        <v/>
      </c>
      <c r="Z171" s="68"/>
      <c r="AA171" s="68"/>
      <c r="AB171" s="68"/>
      <c r="AC171" s="68"/>
      <c r="AD171" s="68"/>
      <c r="AE171" s="68"/>
      <c r="AF171" s="68"/>
      <c r="AG171" s="68"/>
      <c r="AH171" s="7"/>
      <c r="AI171" s="7"/>
      <c r="AJ171" s="6"/>
      <c r="AK171" s="6"/>
      <c r="AL171" s="6"/>
      <c r="AS171" s="8"/>
      <c r="BC171" s="8"/>
      <c r="BN171" s="6"/>
      <c r="BO171" s="6"/>
      <c r="BP171" s="6"/>
      <c r="BQ171" s="6"/>
      <c r="BR171" s="6"/>
      <c r="BV171" s="88">
        <v>15</v>
      </c>
      <c r="BW171" s="88"/>
      <c r="BX171" s="88"/>
      <c r="BY171" s="21"/>
      <c r="BZ171" s="86" t="str">
        <f>IF(DW47+DW48=0,"",IF(DW47&gt;DW48,DM46,DM48))</f>
        <v>Berisha  Fatlum</v>
      </c>
      <c r="CA171" s="86"/>
      <c r="CB171" s="86"/>
      <c r="CC171" s="86"/>
      <c r="CD171" s="86"/>
      <c r="CE171" s="86"/>
      <c r="CF171" s="86"/>
      <c r="CG171" s="86"/>
      <c r="CH171" s="86"/>
      <c r="CI171" s="86"/>
      <c r="CJ171" s="86"/>
      <c r="CK171" s="86"/>
      <c r="CL171" s="86"/>
      <c r="CM171" s="86"/>
      <c r="CN171" s="86"/>
      <c r="CO171" s="86"/>
      <c r="CP171" s="86"/>
      <c r="CQ171" s="86"/>
      <c r="CR171" s="86"/>
      <c r="CS171" s="86"/>
      <c r="CT171" s="86"/>
      <c r="CU171" s="86"/>
      <c r="CV171" s="86"/>
      <c r="CW171" s="86"/>
      <c r="CX171" s="86"/>
      <c r="CY171" s="6"/>
      <c r="CZ171" s="6"/>
      <c r="DA171" s="6"/>
      <c r="DB171" s="6"/>
      <c r="DC171" s="7"/>
      <c r="DD171" s="6"/>
      <c r="DE171" s="6"/>
      <c r="DF171" s="88">
        <v>31</v>
      </c>
      <c r="DG171" s="88"/>
      <c r="DH171" s="88"/>
      <c r="DI171" s="21"/>
      <c r="DJ171" s="86" t="str">
        <f>IF(N179+N180=0,"",IF(N179&gt;N180,E178,E180))</f>
        <v/>
      </c>
      <c r="DK171" s="86"/>
      <c r="DL171" s="86"/>
      <c r="DM171" s="86"/>
      <c r="DN171" s="86"/>
      <c r="DO171" s="86"/>
      <c r="DP171" s="86"/>
      <c r="DQ171" s="86"/>
      <c r="DR171" s="86"/>
      <c r="DS171" s="86"/>
      <c r="DT171" s="86"/>
      <c r="DU171" s="86"/>
      <c r="DV171" s="86"/>
      <c r="DW171" s="86"/>
      <c r="DX171" s="86"/>
      <c r="DY171" s="86"/>
      <c r="DZ171" s="86"/>
      <c r="EA171" s="86"/>
      <c r="EB171" s="86"/>
      <c r="EC171" s="86"/>
      <c r="ED171" s="86"/>
      <c r="EE171" s="86"/>
      <c r="EF171" s="86"/>
      <c r="EG171" s="86"/>
      <c r="EH171" s="86"/>
    </row>
    <row r="172" spans="1:138" x14ac:dyDescent="0.15">
      <c r="A172" s="6"/>
      <c r="B172" s="80">
        <v>3</v>
      </c>
      <c r="C172" s="80"/>
      <c r="E172" s="64" t="str">
        <f>IF(N155+N156=0,"",IF(N155&lt;N156,E154,E156))</f>
        <v/>
      </c>
      <c r="F172" s="64"/>
      <c r="G172" s="64"/>
      <c r="H172" s="64"/>
      <c r="I172" s="64"/>
      <c r="J172" s="64"/>
      <c r="K172" s="64"/>
      <c r="L172" s="64"/>
      <c r="M172" s="64"/>
      <c r="N172" s="7"/>
      <c r="O172" s="6"/>
      <c r="P172" s="6"/>
      <c r="Q172" s="6"/>
      <c r="R172" s="6"/>
      <c r="S172" s="6"/>
      <c r="T172" s="6"/>
      <c r="U172" s="6"/>
      <c r="V172" s="65"/>
      <c r="W172" s="66"/>
      <c r="X172" s="15"/>
      <c r="Y172" s="6"/>
      <c r="Z172" s="6"/>
      <c r="AA172" s="6"/>
      <c r="AB172" s="6"/>
      <c r="AC172" s="6"/>
      <c r="AD172" s="6"/>
      <c r="AE172" s="6"/>
      <c r="AF172" s="6"/>
      <c r="AG172" s="6"/>
      <c r="AH172" s="7"/>
      <c r="AI172" s="7"/>
      <c r="AJ172" s="6"/>
      <c r="AK172" s="6"/>
      <c r="AL172" s="6"/>
      <c r="AM172" s="6"/>
      <c r="AN172" s="6"/>
      <c r="AO172" s="6"/>
      <c r="AP172" s="6"/>
      <c r="AQ172" s="6"/>
      <c r="AR172" s="6"/>
      <c r="AS172" s="7"/>
      <c r="AT172" s="6"/>
      <c r="AU172" s="6"/>
      <c r="AV172" s="6"/>
      <c r="AW172" s="6"/>
      <c r="AX172" s="6"/>
      <c r="AY172" s="6"/>
      <c r="AZ172" s="6"/>
      <c r="BA172" s="6"/>
      <c r="BB172" s="6"/>
      <c r="BC172" s="7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V172" s="88"/>
      <c r="BW172" s="88"/>
      <c r="BX172" s="88"/>
      <c r="BY172" s="21"/>
      <c r="BZ172" s="87"/>
      <c r="CA172" s="87"/>
      <c r="CB172" s="87"/>
      <c r="CC172" s="87"/>
      <c r="CD172" s="87"/>
      <c r="CE172" s="87"/>
      <c r="CF172" s="87"/>
      <c r="CG172" s="87"/>
      <c r="CH172" s="87"/>
      <c r="CI172" s="87"/>
      <c r="CJ172" s="87"/>
      <c r="CK172" s="87"/>
      <c r="CL172" s="87"/>
      <c r="CM172" s="87"/>
      <c r="CN172" s="87"/>
      <c r="CO172" s="87"/>
      <c r="CP172" s="87"/>
      <c r="CQ172" s="87"/>
      <c r="CR172" s="87"/>
      <c r="CS172" s="87"/>
      <c r="CT172" s="87"/>
      <c r="CU172" s="87"/>
      <c r="CV172" s="87"/>
      <c r="CW172" s="87"/>
      <c r="CX172" s="87"/>
      <c r="CY172" s="6"/>
      <c r="CZ172" s="6"/>
      <c r="DA172" s="6"/>
      <c r="DB172" s="6"/>
      <c r="DC172" s="7"/>
      <c r="DD172" s="6"/>
      <c r="DE172" s="6"/>
      <c r="DF172" s="88"/>
      <c r="DG172" s="88"/>
      <c r="DH172" s="88"/>
      <c r="DI172" s="21"/>
      <c r="DJ172" s="87"/>
      <c r="DK172" s="87"/>
      <c r="DL172" s="87"/>
      <c r="DM172" s="87"/>
      <c r="DN172" s="87"/>
      <c r="DO172" s="87"/>
      <c r="DP172" s="87"/>
      <c r="DQ172" s="87"/>
      <c r="DR172" s="87"/>
      <c r="DS172" s="87"/>
      <c r="DT172" s="87"/>
      <c r="DU172" s="87"/>
      <c r="DV172" s="87"/>
      <c r="DW172" s="87"/>
      <c r="DX172" s="87"/>
      <c r="DY172" s="87"/>
      <c r="DZ172" s="87"/>
      <c r="EA172" s="87"/>
      <c r="EB172" s="87"/>
      <c r="EC172" s="87"/>
      <c r="ED172" s="87"/>
      <c r="EE172" s="87"/>
      <c r="EF172" s="87"/>
      <c r="EG172" s="87"/>
      <c r="EH172" s="87"/>
    </row>
    <row r="173" spans="1:138" x14ac:dyDescent="0.15">
      <c r="A173" s="6"/>
      <c r="E173" s="14"/>
      <c r="F173" s="6"/>
      <c r="G173" s="6"/>
      <c r="H173" s="6"/>
      <c r="I173" s="6"/>
      <c r="J173" s="6"/>
      <c r="K173" s="6"/>
      <c r="L173" s="74">
        <v>2</v>
      </c>
      <c r="M173" s="75"/>
      <c r="N173" s="15"/>
      <c r="O173" s="79" t="str">
        <f>IF(N173+N174=0,"",IF(N173&gt;N174,E172,E174))</f>
        <v/>
      </c>
      <c r="P173" s="79"/>
      <c r="Q173" s="79"/>
      <c r="R173" s="79"/>
      <c r="S173" s="79"/>
      <c r="T173" s="79"/>
      <c r="U173" s="79"/>
      <c r="V173" s="79"/>
      <c r="W173" s="79"/>
      <c r="X173" s="16"/>
      <c r="Y173" s="6"/>
      <c r="Z173" s="6"/>
      <c r="AA173" s="6"/>
      <c r="AB173" s="6"/>
      <c r="AC173" s="6"/>
      <c r="AD173" s="6"/>
      <c r="AE173" s="6"/>
      <c r="AF173" s="6"/>
      <c r="AG173" s="6"/>
      <c r="AH173" s="7"/>
      <c r="AI173" s="7"/>
      <c r="AJ173" s="6"/>
      <c r="AK173" s="6"/>
      <c r="AL173" s="6"/>
      <c r="AM173" s="6"/>
      <c r="AN173" s="6"/>
      <c r="AO173" s="6"/>
      <c r="AP173" s="6"/>
      <c r="AQ173" s="6"/>
      <c r="AR173" s="6"/>
      <c r="AS173" s="7"/>
      <c r="AT173" s="6"/>
      <c r="AU173" s="6"/>
      <c r="AV173" s="6"/>
      <c r="AW173" s="6"/>
      <c r="AX173" s="6"/>
      <c r="AY173" s="6"/>
      <c r="AZ173" s="6"/>
      <c r="BA173" s="6"/>
      <c r="BB173" s="6"/>
      <c r="BC173" s="7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V173" s="6"/>
      <c r="BW173" s="6"/>
      <c r="BX173" s="6"/>
      <c r="BY173" s="6"/>
      <c r="BZ173" s="6"/>
      <c r="CA173" s="7"/>
      <c r="CB173" s="6"/>
      <c r="CC173" s="6"/>
      <c r="CD173" s="6"/>
      <c r="CE173" s="6"/>
      <c r="CF173" s="6"/>
      <c r="CG173" s="6"/>
      <c r="CH173" s="6"/>
      <c r="CI173" s="6"/>
      <c r="CJ173" s="6"/>
      <c r="CK173" s="7"/>
      <c r="CL173" s="6"/>
      <c r="CM173" s="6"/>
      <c r="CN173" s="6"/>
      <c r="CO173" s="6"/>
      <c r="CP173" s="6"/>
      <c r="CQ173" s="6"/>
      <c r="CR173" s="6"/>
      <c r="CS173" s="7"/>
      <c r="CT173" s="6"/>
      <c r="CU173" s="6"/>
      <c r="CV173" s="6"/>
      <c r="CW173" s="6"/>
      <c r="CX173" s="6"/>
      <c r="CY173" s="6"/>
      <c r="CZ173" s="6"/>
      <c r="DA173" s="6"/>
      <c r="DB173" s="6"/>
      <c r="DC173" s="7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V173" s="6"/>
      <c r="DW173" s="7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</row>
    <row r="174" spans="1:138" x14ac:dyDescent="0.15">
      <c r="A174" s="6"/>
      <c r="B174" s="80">
        <v>4</v>
      </c>
      <c r="C174" s="80"/>
      <c r="E174" s="64" t="str">
        <f>IF(N159+N160=0,"",IF(N159&lt;N160,E158,E160))</f>
        <v xml:space="preserve">   31</v>
      </c>
      <c r="F174" s="64"/>
      <c r="G174" s="64"/>
      <c r="H174" s="64"/>
      <c r="I174" s="64"/>
      <c r="J174" s="64"/>
      <c r="K174" s="64"/>
      <c r="L174" s="76"/>
      <c r="M174" s="77"/>
      <c r="N174" s="15"/>
      <c r="O174" s="6"/>
      <c r="P174" s="6"/>
      <c r="Q174" s="6"/>
      <c r="R174" s="6"/>
      <c r="S174" s="6"/>
      <c r="T174" s="6"/>
      <c r="U174" s="6"/>
      <c r="V174" s="6"/>
      <c r="W174" s="6"/>
      <c r="X174" s="7"/>
      <c r="Y174" s="6"/>
      <c r="Z174" s="6"/>
      <c r="AA174" s="6"/>
      <c r="AB174" s="6"/>
      <c r="AC174" s="6"/>
      <c r="AD174" s="6"/>
      <c r="AE174" s="6"/>
      <c r="AF174" s="6"/>
      <c r="AG174" s="6"/>
      <c r="AH174" s="7"/>
      <c r="AI174" s="7"/>
      <c r="AJ174" s="6"/>
      <c r="AK174" s="6"/>
      <c r="AL174" s="6"/>
      <c r="AM174" s="6"/>
      <c r="AN174" s="6"/>
      <c r="AO174" s="6"/>
      <c r="AP174" s="6"/>
      <c r="AQ174" s="6"/>
      <c r="AR174" s="6"/>
      <c r="AS174" s="7"/>
      <c r="AT174" s="6"/>
      <c r="AU174" s="6"/>
      <c r="AV174" s="6"/>
      <c r="AW174" s="6"/>
      <c r="AX174" s="6"/>
      <c r="AY174" s="6"/>
      <c r="AZ174" s="6"/>
      <c r="BA174" s="6"/>
      <c r="BB174" s="6"/>
      <c r="BC174" s="7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V174" s="6"/>
      <c r="BW174" s="6"/>
      <c r="BX174" s="6"/>
      <c r="BY174" s="6"/>
      <c r="BZ174" s="6"/>
      <c r="CA174" s="7"/>
      <c r="CB174" s="6"/>
      <c r="CC174" s="6"/>
      <c r="CD174" s="6"/>
      <c r="CE174" s="6"/>
      <c r="CF174" s="6"/>
      <c r="CG174" s="6"/>
      <c r="CH174" s="6"/>
      <c r="CI174" s="6"/>
      <c r="CJ174" s="6"/>
      <c r="CK174" s="7"/>
      <c r="CL174" s="6"/>
      <c r="CM174" s="6"/>
      <c r="CN174" s="6"/>
      <c r="CO174" s="6"/>
      <c r="CP174" s="6"/>
      <c r="CQ174" s="6"/>
      <c r="CR174" s="6"/>
      <c r="CS174" s="7"/>
      <c r="CT174" s="6"/>
      <c r="CU174" s="6"/>
      <c r="CV174" s="6"/>
      <c r="CW174" s="6"/>
      <c r="CX174" s="6"/>
      <c r="CY174" s="6"/>
      <c r="CZ174" s="6"/>
      <c r="DA174" s="6"/>
      <c r="DB174" s="6"/>
      <c r="DC174" s="7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V174" s="6"/>
      <c r="DW174" s="7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</row>
    <row r="175" spans="1:138" x14ac:dyDescent="0.25">
      <c r="A175" s="6"/>
      <c r="O175" s="8"/>
      <c r="Y175" s="8"/>
      <c r="AI175" s="7"/>
      <c r="AJ175" s="6"/>
      <c r="AK175" s="6"/>
      <c r="AL175" s="6"/>
      <c r="AM175" s="6"/>
      <c r="AN175" s="6"/>
      <c r="AO175" s="6"/>
      <c r="AP175" s="6"/>
      <c r="AQ175" s="6"/>
      <c r="AR175" s="6"/>
      <c r="AS175" s="7"/>
      <c r="AT175" s="6"/>
      <c r="AU175" s="6"/>
      <c r="AV175" s="6"/>
      <c r="AW175" s="6"/>
      <c r="AX175" s="6"/>
      <c r="AY175" s="6"/>
      <c r="AZ175" s="6"/>
      <c r="BA175" s="6"/>
      <c r="BB175" s="6"/>
      <c r="BC175" s="7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V175" s="6"/>
      <c r="BW175" s="6"/>
      <c r="BX175" s="6"/>
      <c r="BY175" s="6"/>
      <c r="BZ175" s="6"/>
      <c r="CA175" s="7"/>
      <c r="CB175" s="6"/>
      <c r="CC175" s="6"/>
      <c r="CD175" s="6"/>
      <c r="CE175" s="6"/>
      <c r="CF175" s="6"/>
      <c r="CG175" s="6"/>
      <c r="CH175" s="6"/>
      <c r="CI175" s="6"/>
      <c r="CJ175" s="6"/>
      <c r="CK175" s="7"/>
      <c r="CL175" s="6"/>
      <c r="CM175" s="6"/>
      <c r="CN175" s="6"/>
      <c r="CO175" s="6"/>
      <c r="CP175" s="6"/>
      <c r="CQ175" s="6"/>
      <c r="CR175" s="6"/>
      <c r="CS175" s="7"/>
      <c r="CT175" s="6"/>
      <c r="CU175" s="6"/>
      <c r="CV175" s="6"/>
      <c r="CW175" s="6"/>
      <c r="CX175" s="6"/>
      <c r="CY175" s="6"/>
      <c r="CZ175" s="6"/>
      <c r="DA175" s="6"/>
      <c r="DB175" s="6"/>
      <c r="DC175" s="7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V175" s="6"/>
      <c r="DW175" s="7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</row>
    <row r="176" spans="1:138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7"/>
      <c r="P176" s="6"/>
      <c r="Q176" s="6"/>
      <c r="R176" s="6"/>
      <c r="S176" s="6"/>
      <c r="T176" s="6"/>
      <c r="U176" s="6"/>
      <c r="V176" s="6"/>
      <c r="W176" s="6"/>
      <c r="X176" s="6"/>
      <c r="Y176" s="7"/>
      <c r="Z176" s="6"/>
      <c r="AA176" s="6"/>
      <c r="AB176" s="6"/>
      <c r="AC176" s="6"/>
      <c r="AD176" s="6"/>
      <c r="AE176" s="6"/>
      <c r="AF176" s="6"/>
      <c r="AG176" s="6"/>
      <c r="AH176" s="6"/>
      <c r="AI176" s="7"/>
      <c r="AJ176" s="6"/>
      <c r="AK176" s="6"/>
      <c r="AL176" s="6"/>
      <c r="AM176" s="6"/>
      <c r="AN176" s="6"/>
      <c r="AO176" s="6"/>
      <c r="AP176" s="6"/>
      <c r="AQ176" s="6"/>
      <c r="AR176" s="6"/>
      <c r="AS176" s="7"/>
      <c r="AT176" s="6"/>
      <c r="AU176" s="6"/>
      <c r="AV176" s="6"/>
      <c r="AW176" s="6"/>
      <c r="AX176" s="6"/>
      <c r="AY176" s="6"/>
      <c r="AZ176" s="6"/>
      <c r="BA176" s="6"/>
      <c r="BB176" s="6"/>
      <c r="BC176" s="7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V176" s="88">
        <v>16</v>
      </c>
      <c r="BW176" s="88"/>
      <c r="BX176" s="88"/>
      <c r="BY176" s="21"/>
      <c r="BZ176" s="86" t="str">
        <f>IF(DW47+DW48=0,"",IF(DW47&lt;DW48,DM46,DM48))</f>
        <v xml:space="preserve">   15 </v>
      </c>
      <c r="CA176" s="86"/>
      <c r="CB176" s="86"/>
      <c r="CC176" s="86"/>
      <c r="CD176" s="86"/>
      <c r="CE176" s="86"/>
      <c r="CF176" s="86"/>
      <c r="CG176" s="86"/>
      <c r="CH176" s="86"/>
      <c r="CI176" s="86"/>
      <c r="CJ176" s="86"/>
      <c r="CK176" s="86"/>
      <c r="CL176" s="86"/>
      <c r="CM176" s="86"/>
      <c r="CN176" s="86"/>
      <c r="CO176" s="86"/>
      <c r="CP176" s="86"/>
      <c r="CQ176" s="86"/>
      <c r="CR176" s="86"/>
      <c r="CS176" s="86"/>
      <c r="CT176" s="86"/>
      <c r="CU176" s="86"/>
      <c r="CV176" s="86"/>
      <c r="CW176" s="86"/>
      <c r="CX176" s="86"/>
      <c r="CY176" s="6"/>
      <c r="CZ176" s="6"/>
      <c r="DA176" s="6"/>
      <c r="DB176" s="6"/>
      <c r="DC176" s="7"/>
      <c r="DD176" s="6"/>
      <c r="DE176" s="6"/>
      <c r="DF176" s="88">
        <v>32</v>
      </c>
      <c r="DG176" s="88"/>
      <c r="DH176" s="88"/>
      <c r="DI176" s="21"/>
      <c r="DJ176" s="86" t="str">
        <f>IF(N179+N180=0,"",IF(N179&lt;N180,E178,E180))</f>
        <v/>
      </c>
      <c r="DK176" s="86"/>
      <c r="DL176" s="86"/>
      <c r="DM176" s="86"/>
      <c r="DN176" s="86"/>
      <c r="DO176" s="86"/>
      <c r="DP176" s="86"/>
      <c r="DQ176" s="86"/>
      <c r="DR176" s="86"/>
      <c r="DS176" s="86"/>
      <c r="DT176" s="86"/>
      <c r="DU176" s="86"/>
      <c r="DV176" s="86"/>
      <c r="DW176" s="86"/>
      <c r="DX176" s="86"/>
      <c r="DY176" s="86"/>
      <c r="DZ176" s="86"/>
      <c r="EA176" s="86"/>
      <c r="EB176" s="86"/>
      <c r="EC176" s="86"/>
      <c r="ED176" s="86"/>
      <c r="EE176" s="86"/>
      <c r="EF176" s="86"/>
      <c r="EG176" s="86"/>
      <c r="EH176" s="86"/>
    </row>
    <row r="177" spans="1:138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7"/>
      <c r="P177" s="6"/>
      <c r="Q177" s="6"/>
      <c r="R177" s="6"/>
      <c r="S177" s="6"/>
      <c r="T177" s="6"/>
      <c r="U177" s="6"/>
      <c r="V177" s="6"/>
      <c r="W177" s="6"/>
      <c r="X177" s="6"/>
      <c r="Y177" s="7"/>
      <c r="Z177" s="6"/>
      <c r="AA177" s="6"/>
      <c r="AB177" s="6"/>
      <c r="AC177" s="6"/>
      <c r="AD177" s="6"/>
      <c r="AE177" s="6"/>
      <c r="AF177" s="6"/>
      <c r="AG177" s="6"/>
      <c r="AH177" s="6"/>
      <c r="AI177" s="7"/>
      <c r="AJ177" s="6"/>
      <c r="AK177" s="6"/>
      <c r="AL177" s="6"/>
      <c r="AM177" s="6"/>
      <c r="AN177" s="6"/>
      <c r="AO177" s="6"/>
      <c r="AP177" s="6"/>
      <c r="AQ177" s="6"/>
      <c r="AR177" s="6"/>
      <c r="AS177" s="7"/>
      <c r="AT177" s="6"/>
      <c r="AU177" s="6"/>
      <c r="AV177" s="6"/>
      <c r="AW177" s="6"/>
      <c r="AX177" s="6"/>
      <c r="AY177" s="6"/>
      <c r="AZ177" s="6"/>
      <c r="BA177" s="6"/>
      <c r="BB177" s="6"/>
      <c r="BC177" s="7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V177" s="88"/>
      <c r="BW177" s="88"/>
      <c r="BX177" s="88"/>
      <c r="BY177" s="21"/>
      <c r="BZ177" s="87"/>
      <c r="CA177" s="87"/>
      <c r="CB177" s="87"/>
      <c r="CC177" s="87"/>
      <c r="CD177" s="87"/>
      <c r="CE177" s="87"/>
      <c r="CF177" s="87"/>
      <c r="CG177" s="87"/>
      <c r="CH177" s="87"/>
      <c r="CI177" s="87"/>
      <c r="CJ177" s="87"/>
      <c r="CK177" s="87"/>
      <c r="CL177" s="87"/>
      <c r="CM177" s="87"/>
      <c r="CN177" s="87"/>
      <c r="CO177" s="87"/>
      <c r="CP177" s="87"/>
      <c r="CQ177" s="87"/>
      <c r="CR177" s="87"/>
      <c r="CS177" s="87"/>
      <c r="CT177" s="87"/>
      <c r="CU177" s="87"/>
      <c r="CV177" s="87"/>
      <c r="CW177" s="87"/>
      <c r="CX177" s="87"/>
      <c r="CY177" s="6"/>
      <c r="CZ177" s="6"/>
      <c r="DA177" s="6"/>
      <c r="DB177" s="6"/>
      <c r="DC177" s="7"/>
      <c r="DD177" s="6"/>
      <c r="DE177" s="6"/>
      <c r="DF177" s="88"/>
      <c r="DG177" s="88"/>
      <c r="DH177" s="88"/>
      <c r="DI177" s="21"/>
      <c r="DJ177" s="87"/>
      <c r="DK177" s="87"/>
      <c r="DL177" s="87"/>
      <c r="DM177" s="87"/>
      <c r="DN177" s="87"/>
      <c r="DO177" s="87"/>
      <c r="DP177" s="87"/>
      <c r="DQ177" s="87"/>
      <c r="DR177" s="87"/>
      <c r="DS177" s="87"/>
      <c r="DT177" s="87"/>
      <c r="DU177" s="87"/>
      <c r="DV177" s="87"/>
      <c r="DW177" s="87"/>
      <c r="DX177" s="87"/>
      <c r="DY177" s="87"/>
      <c r="DZ177" s="87"/>
      <c r="EA177" s="87"/>
      <c r="EB177" s="87"/>
      <c r="EC177" s="87"/>
      <c r="ED177" s="87"/>
      <c r="EE177" s="87"/>
      <c r="EF177" s="87"/>
      <c r="EG177" s="87"/>
      <c r="EH177" s="87"/>
    </row>
    <row r="178" spans="1:138" x14ac:dyDescent="0.15">
      <c r="A178" s="6"/>
      <c r="B178" s="80">
        <v>1</v>
      </c>
      <c r="C178" s="80"/>
      <c r="E178" s="64" t="str">
        <f>IF(N169+N170=0,"",IF(N169&lt;N170,E168,E170))</f>
        <v/>
      </c>
      <c r="F178" s="64"/>
      <c r="G178" s="64"/>
      <c r="H178" s="64"/>
      <c r="I178" s="64"/>
      <c r="J178" s="64"/>
      <c r="K178" s="64"/>
      <c r="L178" s="64"/>
      <c r="M178" s="64"/>
      <c r="N178" s="7"/>
      <c r="O178" s="6"/>
      <c r="P178" s="6"/>
      <c r="Q178" s="6"/>
      <c r="R178" s="6"/>
      <c r="S178" s="6"/>
      <c r="T178" s="6"/>
      <c r="U178" s="6"/>
      <c r="V178" s="6"/>
      <c r="W178" s="6"/>
      <c r="X178" s="7"/>
      <c r="Y178" s="6"/>
      <c r="Z178" s="6"/>
      <c r="AA178" s="6"/>
      <c r="AB178" s="6"/>
      <c r="AC178" s="6"/>
      <c r="AD178" s="6"/>
      <c r="AE178" s="6"/>
      <c r="AF178" s="6"/>
      <c r="AG178" s="6"/>
      <c r="AH178" s="7"/>
      <c r="AI178" s="6"/>
      <c r="AJ178" s="6"/>
      <c r="AK178" s="6"/>
      <c r="AL178" s="6"/>
      <c r="AM178" s="6"/>
      <c r="AN178" s="6"/>
      <c r="AO178" s="6"/>
      <c r="AP178" s="6"/>
      <c r="AQ178" s="73" t="s">
        <v>167</v>
      </c>
      <c r="AR178" s="73"/>
      <c r="AS178" s="73"/>
      <c r="AT178" s="73"/>
      <c r="AU178" s="73"/>
      <c r="AV178" s="73"/>
      <c r="AW178" s="73"/>
      <c r="AX178" s="73"/>
      <c r="AY178" s="73"/>
      <c r="AZ178" s="73"/>
      <c r="BA178" s="73"/>
      <c r="BB178" s="73"/>
      <c r="BC178" s="73"/>
      <c r="BD178" s="73"/>
      <c r="BE178" s="73"/>
      <c r="BF178" s="73"/>
      <c r="BP178" s="6"/>
      <c r="BQ178" s="6"/>
      <c r="BR178" s="6"/>
    </row>
    <row r="179" spans="1:138" x14ac:dyDescent="0.15">
      <c r="A179" s="6"/>
      <c r="E179" s="14"/>
      <c r="F179" s="6"/>
      <c r="G179" s="6"/>
      <c r="H179" s="6"/>
      <c r="I179" s="6"/>
      <c r="J179" s="6"/>
      <c r="K179" s="6"/>
      <c r="L179" s="74">
        <v>1</v>
      </c>
      <c r="M179" s="75"/>
      <c r="N179" s="15"/>
      <c r="O179" s="79" t="str">
        <f>IF(N179+N180=0,"",IF(N179&gt;N180,E178,E180))</f>
        <v/>
      </c>
      <c r="P179" s="79"/>
      <c r="Q179" s="79"/>
      <c r="R179" s="79"/>
      <c r="S179" s="79"/>
      <c r="T179" s="79"/>
      <c r="U179" s="79"/>
      <c r="V179" s="79"/>
      <c r="W179" s="79"/>
      <c r="X179" s="7"/>
      <c r="Y179" s="6"/>
      <c r="Z179" s="6"/>
      <c r="AA179" s="6"/>
      <c r="AB179" s="6"/>
      <c r="AC179" s="6"/>
      <c r="AD179" s="6"/>
      <c r="AE179" s="6"/>
      <c r="AF179" s="6"/>
      <c r="AG179" s="6"/>
      <c r="AH179" s="7"/>
      <c r="AI179" s="6"/>
      <c r="AJ179" s="6"/>
      <c r="AK179" s="6"/>
      <c r="AL179" s="6"/>
      <c r="AM179" s="6"/>
      <c r="AN179" s="6"/>
      <c r="AO179" s="6"/>
      <c r="AP179" s="6"/>
      <c r="AQ179" s="73"/>
      <c r="AR179" s="73"/>
      <c r="AS179" s="73"/>
      <c r="AT179" s="73"/>
      <c r="AU179" s="73"/>
      <c r="AV179" s="73"/>
      <c r="AW179" s="73"/>
      <c r="AX179" s="73"/>
      <c r="AY179" s="73"/>
      <c r="AZ179" s="73"/>
      <c r="BA179" s="73"/>
      <c r="BB179" s="73"/>
      <c r="BC179" s="73"/>
      <c r="BD179" s="73"/>
      <c r="BE179" s="73"/>
      <c r="BF179" s="73"/>
      <c r="BP179" s="6"/>
      <c r="BQ179" s="6"/>
      <c r="BR179" s="6"/>
    </row>
    <row r="180" spans="1:138" x14ac:dyDescent="0.15">
      <c r="A180" s="6"/>
      <c r="B180" s="80">
        <v>2</v>
      </c>
      <c r="C180" s="80"/>
      <c r="E180" s="64" t="str">
        <f>IF(N173+N174=0,"",IF(N173&lt;N174,E172,E174))</f>
        <v/>
      </c>
      <c r="F180" s="64"/>
      <c r="G180" s="64"/>
      <c r="H180" s="64"/>
      <c r="I180" s="64"/>
      <c r="J180" s="64"/>
      <c r="K180" s="64"/>
      <c r="L180" s="76"/>
      <c r="M180" s="77"/>
      <c r="N180" s="15"/>
      <c r="O180" s="6"/>
      <c r="P180" s="6"/>
      <c r="Q180" s="6"/>
      <c r="R180" s="6"/>
      <c r="S180" s="6"/>
      <c r="T180" s="6"/>
      <c r="U180" s="6"/>
      <c r="V180" s="6"/>
      <c r="W180" s="6"/>
      <c r="X180" s="7"/>
      <c r="Y180" s="6"/>
      <c r="Z180" s="6"/>
      <c r="AA180" s="6"/>
      <c r="AB180" s="6"/>
      <c r="AC180" s="6"/>
      <c r="AD180" s="6"/>
      <c r="AE180" s="6"/>
      <c r="AF180" s="6"/>
      <c r="AG180" s="6"/>
      <c r="AH180" s="7"/>
      <c r="AI180" s="6"/>
      <c r="AJ180" s="6"/>
      <c r="AK180" s="6"/>
      <c r="AL180" s="6"/>
      <c r="AM180" s="6"/>
      <c r="AN180" s="6"/>
      <c r="AO180" s="6"/>
      <c r="AP180" s="6"/>
      <c r="AQ180" s="73"/>
      <c r="AR180" s="73"/>
      <c r="AS180" s="73"/>
      <c r="AT180" s="73"/>
      <c r="AU180" s="73"/>
      <c r="AV180" s="73"/>
      <c r="AW180" s="73"/>
      <c r="AX180" s="73"/>
      <c r="AY180" s="73"/>
      <c r="AZ180" s="73"/>
      <c r="BA180" s="73"/>
      <c r="BB180" s="73"/>
      <c r="BC180" s="73"/>
      <c r="BD180" s="73"/>
      <c r="BE180" s="73"/>
      <c r="BF180" s="73"/>
      <c r="BP180" s="6"/>
      <c r="BQ180" s="6"/>
      <c r="BR180" s="6"/>
    </row>
    <row r="181" spans="1:138" x14ac:dyDescent="0.25">
      <c r="A181" s="6"/>
      <c r="O181" s="8"/>
      <c r="Y181" s="8"/>
      <c r="AI181" s="8"/>
      <c r="AS181" s="8"/>
      <c r="BC181" s="8"/>
      <c r="BP181" s="6"/>
      <c r="BQ181" s="6"/>
      <c r="BR181" s="6"/>
    </row>
    <row r="182" spans="1:138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7"/>
      <c r="P182" s="6"/>
      <c r="Q182" s="6"/>
      <c r="R182" s="6"/>
      <c r="S182" s="6"/>
      <c r="T182" s="6"/>
      <c r="U182" s="6"/>
      <c r="V182" s="6"/>
      <c r="W182" s="6"/>
      <c r="X182" s="6"/>
      <c r="Y182" s="7"/>
      <c r="Z182" s="6"/>
      <c r="AA182" s="6"/>
      <c r="AB182" s="6"/>
      <c r="AC182" s="6"/>
      <c r="AD182" s="6"/>
      <c r="AE182" s="6"/>
      <c r="AF182" s="6"/>
      <c r="AG182" s="6"/>
      <c r="AH182" s="6"/>
      <c r="AI182" s="7"/>
      <c r="AJ182" s="6"/>
      <c r="AK182" s="6"/>
      <c r="AL182" s="6"/>
      <c r="AM182" s="6"/>
      <c r="AN182" s="6"/>
      <c r="AO182" s="6"/>
      <c r="AP182" s="6"/>
      <c r="AQ182" s="6"/>
      <c r="AR182" s="6"/>
      <c r="AS182" s="7"/>
      <c r="AT182" s="6"/>
      <c r="AU182" s="6"/>
      <c r="AV182" s="6"/>
      <c r="AW182" s="6"/>
      <c r="AX182" s="6"/>
      <c r="AY182" s="6"/>
      <c r="AZ182" s="6"/>
      <c r="BA182" s="6"/>
      <c r="BB182" s="6"/>
      <c r="BC182" s="7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</row>
    <row r="183" spans="1:138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7"/>
      <c r="P183" s="6"/>
      <c r="Q183" s="6"/>
      <c r="R183" s="6"/>
      <c r="S183" s="6"/>
      <c r="T183" s="6"/>
      <c r="U183" s="6"/>
      <c r="V183" s="6"/>
      <c r="W183" s="6"/>
      <c r="X183" s="6"/>
      <c r="Y183" s="7"/>
      <c r="Z183" s="6"/>
      <c r="AA183" s="6"/>
      <c r="AB183" s="6"/>
      <c r="AC183" s="6"/>
      <c r="AD183" s="6"/>
      <c r="AE183" s="6"/>
      <c r="AF183" s="6"/>
      <c r="AG183" s="6"/>
      <c r="AH183" s="6"/>
      <c r="AI183" s="7"/>
      <c r="AJ183" s="6"/>
      <c r="AK183" s="6"/>
      <c r="AL183" s="6"/>
      <c r="AM183" s="6"/>
      <c r="AN183" s="6"/>
      <c r="AO183" s="6"/>
      <c r="AP183" s="6"/>
      <c r="AQ183" s="6"/>
      <c r="AR183" s="6"/>
      <c r="AS183" s="7"/>
      <c r="AT183" s="6"/>
      <c r="AU183" s="6"/>
      <c r="AV183" s="6"/>
      <c r="AW183" s="6"/>
      <c r="AX183" s="6"/>
      <c r="AY183" s="6"/>
      <c r="AZ183" s="6"/>
      <c r="BA183" s="6"/>
      <c r="BB183" s="6"/>
      <c r="BC183" s="7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</row>
    <row r="184" spans="1:138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7"/>
      <c r="P184" s="6"/>
      <c r="Q184" s="6"/>
      <c r="R184" s="6"/>
      <c r="S184" s="6"/>
      <c r="T184" s="6"/>
      <c r="U184" s="6"/>
      <c r="V184" s="6"/>
      <c r="W184" s="6"/>
      <c r="X184" s="6"/>
      <c r="Y184" s="7"/>
      <c r="Z184" s="6"/>
      <c r="AA184" s="6"/>
      <c r="AB184" s="6"/>
      <c r="AC184" s="6"/>
      <c r="AD184" s="6"/>
      <c r="AE184" s="6"/>
      <c r="AF184" s="6"/>
      <c r="AG184" s="6"/>
      <c r="AH184" s="6"/>
      <c r="AI184" s="7"/>
      <c r="AJ184" s="6"/>
      <c r="AK184" s="6"/>
      <c r="AL184" s="6"/>
      <c r="AM184" s="6"/>
      <c r="AN184" s="6"/>
      <c r="AO184" s="6"/>
      <c r="AP184" s="6"/>
      <c r="AQ184" s="6"/>
      <c r="AR184" s="6"/>
      <c r="AS184" s="7"/>
      <c r="AT184" s="6"/>
      <c r="AU184" s="6"/>
      <c r="AV184" s="6"/>
      <c r="AW184" s="6"/>
      <c r="AX184" s="6"/>
      <c r="AY184" s="6"/>
      <c r="AZ184" s="6"/>
      <c r="BA184" s="6"/>
      <c r="BB184" s="6"/>
      <c r="BC184" s="7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</row>
    <row r="185" spans="1:138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7"/>
      <c r="P185" s="6"/>
      <c r="Q185" s="6"/>
      <c r="R185" s="6"/>
      <c r="S185" s="6"/>
      <c r="T185" s="6"/>
      <c r="U185" s="6"/>
      <c r="V185" s="6"/>
      <c r="W185" s="6"/>
      <c r="X185" s="6"/>
      <c r="Y185" s="7"/>
      <c r="Z185" s="6"/>
      <c r="AA185" s="6"/>
      <c r="AB185" s="6"/>
      <c r="AC185" s="6"/>
      <c r="AD185" s="6"/>
      <c r="AE185" s="6"/>
      <c r="AF185" s="6"/>
      <c r="AG185" s="6"/>
      <c r="AH185" s="6"/>
      <c r="AI185" s="7"/>
      <c r="AJ185" s="6"/>
      <c r="AK185" s="6"/>
      <c r="AL185" s="6"/>
      <c r="AM185" s="6"/>
      <c r="AN185" s="6"/>
      <c r="AO185" s="6"/>
      <c r="AP185" s="6"/>
      <c r="AQ185" s="6"/>
      <c r="AR185" s="6"/>
      <c r="AS185" s="7"/>
      <c r="AT185" s="6"/>
      <c r="AU185" s="6"/>
      <c r="AV185" s="6"/>
      <c r="AW185" s="6"/>
      <c r="AX185" s="6"/>
      <c r="AY185" s="6"/>
      <c r="AZ185" s="6"/>
      <c r="BA185" s="6"/>
      <c r="BB185" s="6"/>
      <c r="BC185" s="7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</row>
    <row r="186" spans="1:138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7"/>
      <c r="P186" s="6"/>
      <c r="Q186" s="6"/>
      <c r="R186" s="6"/>
      <c r="S186" s="6"/>
      <c r="T186" s="6"/>
      <c r="U186" s="6"/>
      <c r="V186" s="6"/>
      <c r="W186" s="6"/>
      <c r="X186" s="6"/>
      <c r="Y186" s="7"/>
      <c r="Z186" s="6"/>
      <c r="AA186" s="6"/>
      <c r="AB186" s="6"/>
      <c r="AC186" s="6"/>
      <c r="AD186" s="6"/>
      <c r="AE186" s="6"/>
      <c r="AF186" s="6"/>
      <c r="AG186" s="6"/>
      <c r="AH186" s="6"/>
      <c r="AI186" s="7"/>
      <c r="AJ186" s="6"/>
      <c r="AK186" s="6"/>
      <c r="AL186" s="6"/>
      <c r="AM186" s="6"/>
      <c r="AN186" s="6"/>
      <c r="AO186" s="6"/>
      <c r="AP186" s="6"/>
      <c r="AQ186" s="6"/>
      <c r="AR186" s="6"/>
      <c r="AS186" s="7"/>
      <c r="AT186" s="6"/>
      <c r="AU186" s="6"/>
      <c r="AV186" s="6"/>
      <c r="AW186" s="6"/>
      <c r="AX186" s="6"/>
      <c r="AY186" s="6"/>
      <c r="AZ186" s="6"/>
      <c r="BA186" s="6"/>
      <c r="BB186" s="6"/>
      <c r="BC186" s="7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</row>
    <row r="187" spans="1:138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7"/>
      <c r="P187" s="6"/>
      <c r="Q187" s="6"/>
      <c r="R187" s="6"/>
      <c r="S187" s="6"/>
      <c r="T187" s="6"/>
      <c r="U187" s="6"/>
      <c r="V187" s="6"/>
      <c r="W187" s="6"/>
      <c r="X187" s="6"/>
      <c r="Y187" s="7"/>
      <c r="Z187" s="6"/>
      <c r="AA187" s="6"/>
      <c r="AB187" s="6"/>
      <c r="AC187" s="6"/>
      <c r="AD187" s="6"/>
      <c r="AE187" s="6"/>
      <c r="AF187" s="6"/>
      <c r="AG187" s="6"/>
      <c r="AH187" s="6"/>
      <c r="AI187" s="7"/>
      <c r="AJ187" s="6"/>
      <c r="AK187" s="6"/>
      <c r="AL187" s="6"/>
      <c r="AM187" s="6"/>
      <c r="AN187" s="6"/>
      <c r="AO187" s="6"/>
      <c r="AP187" s="6"/>
      <c r="AQ187" s="6"/>
      <c r="AR187" s="6"/>
      <c r="AS187" s="7"/>
      <c r="AT187" s="6"/>
      <c r="AU187" s="6"/>
      <c r="AV187" s="6"/>
      <c r="AW187" s="6"/>
      <c r="AX187" s="6"/>
      <c r="AY187" s="6"/>
      <c r="AZ187" s="6"/>
      <c r="BA187" s="6"/>
      <c r="BB187" s="6"/>
      <c r="BC187" s="7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</row>
    <row r="188" spans="1:138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7"/>
      <c r="P188" s="6"/>
      <c r="Q188" s="6"/>
      <c r="R188" s="6"/>
      <c r="S188" s="6"/>
      <c r="T188" s="6"/>
      <c r="U188" s="6"/>
      <c r="V188" s="6"/>
      <c r="W188" s="6"/>
      <c r="X188" s="6"/>
      <c r="Y188" s="7"/>
      <c r="Z188" s="6"/>
      <c r="AA188" s="6"/>
      <c r="AB188" s="6"/>
      <c r="AC188" s="6"/>
      <c r="AD188" s="6"/>
      <c r="AE188" s="6"/>
      <c r="AF188" s="6"/>
      <c r="AG188" s="6"/>
      <c r="AH188" s="6"/>
      <c r="AI188" s="7"/>
      <c r="AJ188" s="6"/>
      <c r="AK188" s="6"/>
      <c r="AL188" s="6"/>
      <c r="AM188" s="6"/>
      <c r="AN188" s="6"/>
      <c r="AO188" s="6"/>
      <c r="AP188" s="6"/>
      <c r="AQ188" s="6"/>
      <c r="AR188" s="6"/>
      <c r="AS188" s="7"/>
      <c r="AT188" s="6"/>
      <c r="AU188" s="6"/>
      <c r="AV188" s="6"/>
      <c r="AW188" s="6"/>
      <c r="AX188" s="6"/>
      <c r="AY188" s="6"/>
      <c r="AZ188" s="6"/>
      <c r="BA188" s="6"/>
      <c r="BB188" s="6"/>
      <c r="BC188" s="7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</row>
    <row r="189" spans="1:138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7"/>
      <c r="P189" s="6"/>
      <c r="Q189" s="6"/>
      <c r="R189" s="6"/>
      <c r="S189" s="6"/>
      <c r="T189" s="6"/>
      <c r="U189" s="6"/>
      <c r="V189" s="6"/>
      <c r="W189" s="6"/>
      <c r="X189" s="6"/>
      <c r="Y189" s="7"/>
      <c r="Z189" s="6"/>
      <c r="AA189" s="6"/>
      <c r="AB189" s="6"/>
      <c r="AC189" s="6"/>
      <c r="AD189" s="6"/>
      <c r="AE189" s="6"/>
      <c r="AF189" s="6"/>
      <c r="AG189" s="6"/>
      <c r="AH189" s="6"/>
      <c r="AI189" s="7"/>
      <c r="AJ189" s="6"/>
      <c r="AK189" s="6"/>
      <c r="AL189" s="6"/>
      <c r="AM189" s="6"/>
      <c r="AN189" s="6"/>
      <c r="AO189" s="6"/>
      <c r="AP189" s="6"/>
      <c r="AQ189" s="6"/>
      <c r="AR189" s="6"/>
      <c r="AS189" s="7"/>
      <c r="AT189" s="6"/>
      <c r="AU189" s="6"/>
      <c r="AV189" s="6"/>
      <c r="AW189" s="6"/>
      <c r="AX189" s="6"/>
      <c r="AY189" s="6"/>
      <c r="AZ189" s="6"/>
      <c r="BA189" s="6"/>
      <c r="BB189" s="6"/>
      <c r="BC189" s="7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</row>
    <row r="190" spans="1:138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7"/>
      <c r="P190" s="6"/>
      <c r="Q190" s="6"/>
      <c r="R190" s="6"/>
      <c r="S190" s="6"/>
      <c r="T190" s="6"/>
      <c r="U190" s="6"/>
      <c r="V190" s="6"/>
      <c r="W190" s="6"/>
      <c r="X190" s="6"/>
      <c r="Y190" s="7"/>
      <c r="Z190" s="6"/>
      <c r="AA190" s="6"/>
      <c r="AB190" s="6"/>
      <c r="AC190" s="6"/>
      <c r="AD190" s="6"/>
      <c r="AE190" s="6"/>
      <c r="AF190" s="6"/>
      <c r="AG190" s="6"/>
      <c r="AH190" s="6"/>
      <c r="AI190" s="7"/>
      <c r="AJ190" s="6"/>
      <c r="AK190" s="6"/>
      <c r="AL190" s="6"/>
      <c r="AM190" s="6"/>
      <c r="AN190" s="6"/>
      <c r="AO190" s="6"/>
      <c r="AP190" s="6"/>
      <c r="AQ190" s="6"/>
      <c r="AR190" s="6"/>
      <c r="AS190" s="7"/>
      <c r="AT190" s="6"/>
      <c r="AU190" s="6"/>
      <c r="AV190" s="6"/>
      <c r="AW190" s="6"/>
      <c r="AX190" s="6"/>
      <c r="AY190" s="6"/>
      <c r="AZ190" s="6"/>
      <c r="BA190" s="6"/>
      <c r="BB190" s="6"/>
      <c r="BC190" s="7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</row>
    <row r="191" spans="1:138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7"/>
      <c r="P191" s="6"/>
      <c r="Q191" s="6"/>
      <c r="R191" s="6"/>
      <c r="S191" s="6"/>
      <c r="T191" s="6"/>
      <c r="U191" s="6"/>
      <c r="V191" s="6"/>
      <c r="W191" s="6"/>
      <c r="X191" s="6"/>
      <c r="Y191" s="7"/>
      <c r="Z191" s="6"/>
      <c r="AA191" s="6"/>
      <c r="AB191" s="6"/>
      <c r="AC191" s="6"/>
      <c r="AD191" s="6"/>
      <c r="AE191" s="6"/>
      <c r="AF191" s="6"/>
      <c r="AG191" s="6"/>
      <c r="AH191" s="6"/>
      <c r="AI191" s="7"/>
      <c r="AJ191" s="6"/>
      <c r="AK191" s="6"/>
      <c r="AL191" s="6"/>
      <c r="AM191" s="6"/>
      <c r="AN191" s="6"/>
      <c r="AO191" s="6"/>
      <c r="AP191" s="6"/>
      <c r="AQ191" s="6"/>
      <c r="AR191" s="6"/>
      <c r="AS191" s="7"/>
      <c r="AT191" s="6"/>
      <c r="AU191" s="6"/>
      <c r="AV191" s="6"/>
      <c r="AW191" s="6"/>
      <c r="AX191" s="6"/>
      <c r="AY191" s="6"/>
      <c r="AZ191" s="6"/>
      <c r="BA191" s="6"/>
      <c r="BB191" s="6"/>
      <c r="BC191" s="7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</row>
    <row r="192" spans="1:138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7"/>
      <c r="P192" s="6"/>
      <c r="Q192" s="6"/>
      <c r="R192" s="6"/>
      <c r="S192" s="6"/>
      <c r="T192" s="6"/>
      <c r="U192" s="6"/>
      <c r="V192" s="6"/>
      <c r="W192" s="6"/>
      <c r="X192" s="6"/>
      <c r="Y192" s="7"/>
      <c r="Z192" s="6"/>
      <c r="AA192" s="6"/>
      <c r="AB192" s="6"/>
      <c r="AC192" s="6"/>
      <c r="AD192" s="6"/>
      <c r="AE192" s="6"/>
      <c r="AF192" s="6"/>
      <c r="AG192" s="6"/>
      <c r="AH192" s="6"/>
      <c r="AI192" s="7"/>
      <c r="AJ192" s="6"/>
      <c r="AK192" s="6"/>
      <c r="AL192" s="6"/>
      <c r="AM192" s="6"/>
      <c r="AN192" s="6"/>
      <c r="AO192" s="6"/>
      <c r="AP192" s="6"/>
      <c r="AQ192" s="6"/>
      <c r="AR192" s="6"/>
      <c r="AS192" s="7"/>
      <c r="AT192" s="6"/>
      <c r="AU192" s="6"/>
      <c r="AV192" s="6"/>
      <c r="AW192" s="6"/>
      <c r="AX192" s="6"/>
      <c r="AY192" s="6"/>
      <c r="AZ192" s="6"/>
      <c r="BA192" s="6"/>
      <c r="BB192" s="6"/>
      <c r="BC192" s="7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</row>
    <row r="193" spans="1:70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7"/>
      <c r="P193" s="6"/>
      <c r="Q193" s="6"/>
      <c r="R193" s="6"/>
      <c r="S193" s="6"/>
      <c r="T193" s="6"/>
      <c r="U193" s="6"/>
      <c r="V193" s="6"/>
      <c r="W193" s="6"/>
      <c r="X193" s="6"/>
      <c r="Y193" s="7"/>
      <c r="Z193" s="6"/>
      <c r="AA193" s="6"/>
      <c r="AB193" s="6"/>
      <c r="AC193" s="6"/>
      <c r="AD193" s="6"/>
      <c r="AE193" s="6"/>
      <c r="AF193" s="6"/>
      <c r="AG193" s="6"/>
      <c r="AH193" s="6"/>
      <c r="AI193" s="7"/>
      <c r="AJ193" s="6"/>
      <c r="AK193" s="6"/>
      <c r="AL193" s="6"/>
      <c r="AM193" s="6"/>
      <c r="AN193" s="6"/>
      <c r="AO193" s="6"/>
      <c r="AP193" s="6"/>
      <c r="AQ193" s="6"/>
      <c r="AR193" s="6"/>
      <c r="AS193" s="7"/>
      <c r="AT193" s="6"/>
      <c r="AU193" s="6"/>
      <c r="AV193" s="6"/>
      <c r="AW193" s="6"/>
      <c r="AX193" s="6"/>
      <c r="AY193" s="6"/>
      <c r="AZ193" s="6"/>
      <c r="BA193" s="6"/>
      <c r="BB193" s="6"/>
      <c r="BC193" s="7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</row>
    <row r="194" spans="1:70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7"/>
      <c r="P194" s="6"/>
      <c r="Q194" s="6"/>
      <c r="R194" s="6"/>
      <c r="S194" s="6"/>
      <c r="T194" s="6"/>
      <c r="U194" s="6"/>
      <c r="V194" s="6"/>
      <c r="W194" s="6"/>
      <c r="X194" s="6"/>
      <c r="Y194" s="7"/>
      <c r="Z194" s="6"/>
      <c r="AA194" s="6"/>
      <c r="AB194" s="6"/>
      <c r="AC194" s="6"/>
      <c r="AD194" s="6"/>
      <c r="AE194" s="6"/>
      <c r="AF194" s="6"/>
      <c r="AG194" s="6"/>
      <c r="AH194" s="6"/>
      <c r="AI194" s="7"/>
      <c r="AJ194" s="6"/>
      <c r="AK194" s="6"/>
      <c r="AL194" s="6"/>
      <c r="AM194" s="6"/>
      <c r="AN194" s="6"/>
      <c r="AO194" s="6"/>
      <c r="AP194" s="6"/>
      <c r="AQ194" s="6"/>
      <c r="AR194" s="6"/>
      <c r="AS194" s="7"/>
      <c r="AT194" s="6"/>
      <c r="AU194" s="6"/>
      <c r="AV194" s="6"/>
      <c r="AW194" s="6"/>
      <c r="AX194" s="6"/>
      <c r="AY194" s="6"/>
      <c r="AZ194" s="6"/>
      <c r="BA194" s="6"/>
      <c r="BB194" s="6"/>
      <c r="BC194" s="7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</row>
    <row r="195" spans="1:70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7"/>
      <c r="P195" s="6"/>
      <c r="Q195" s="6"/>
      <c r="R195" s="6"/>
      <c r="S195" s="6"/>
      <c r="T195" s="6"/>
      <c r="U195" s="6"/>
      <c r="V195" s="6"/>
      <c r="W195" s="6"/>
      <c r="X195" s="6"/>
      <c r="Y195" s="7"/>
      <c r="Z195" s="6"/>
      <c r="AA195" s="6"/>
      <c r="AB195" s="6"/>
      <c r="AC195" s="6"/>
      <c r="AD195" s="6"/>
      <c r="AE195" s="6"/>
      <c r="AF195" s="6"/>
      <c r="AG195" s="6"/>
      <c r="AH195" s="6"/>
      <c r="AI195" s="7"/>
      <c r="AJ195" s="6"/>
      <c r="AK195" s="6"/>
      <c r="AL195" s="6"/>
      <c r="AM195" s="6"/>
      <c r="AN195" s="6"/>
      <c r="AO195" s="6"/>
      <c r="AP195" s="6"/>
      <c r="AQ195" s="6"/>
      <c r="AR195" s="6"/>
      <c r="AS195" s="7"/>
      <c r="AT195" s="6"/>
      <c r="AU195" s="6"/>
      <c r="AV195" s="6"/>
      <c r="AW195" s="6"/>
      <c r="AX195" s="6"/>
      <c r="AY195" s="6"/>
      <c r="AZ195" s="6"/>
      <c r="BA195" s="6"/>
      <c r="BB195" s="6"/>
      <c r="BC195" s="7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</row>
    <row r="196" spans="1:70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7"/>
      <c r="P196" s="6"/>
      <c r="Q196" s="6"/>
      <c r="R196" s="6"/>
      <c r="S196" s="6"/>
      <c r="T196" s="6"/>
      <c r="U196" s="6"/>
      <c r="V196" s="6"/>
      <c r="W196" s="6"/>
      <c r="X196" s="6"/>
      <c r="Y196" s="7"/>
      <c r="Z196" s="6"/>
      <c r="AA196" s="6"/>
      <c r="AB196" s="6"/>
      <c r="AC196" s="6"/>
      <c r="AD196" s="6"/>
      <c r="AE196" s="6"/>
      <c r="AF196" s="6"/>
      <c r="AG196" s="6"/>
      <c r="AH196" s="6"/>
      <c r="AI196" s="7"/>
      <c r="AJ196" s="6"/>
      <c r="AK196" s="6"/>
      <c r="AL196" s="6"/>
      <c r="AM196" s="6"/>
      <c r="AN196" s="6"/>
      <c r="AO196" s="6"/>
      <c r="AP196" s="6"/>
      <c r="AQ196" s="6"/>
      <c r="AR196" s="6"/>
      <c r="AS196" s="7"/>
      <c r="AT196" s="6"/>
      <c r="AU196" s="6"/>
      <c r="AV196" s="6"/>
      <c r="AW196" s="6"/>
      <c r="AX196" s="6"/>
      <c r="AY196" s="6"/>
      <c r="AZ196" s="6"/>
      <c r="BA196" s="6"/>
      <c r="BB196" s="6"/>
      <c r="BC196" s="7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</row>
    <row r="197" spans="1:70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7"/>
      <c r="P197" s="6"/>
      <c r="Q197" s="6"/>
      <c r="R197" s="6"/>
      <c r="S197" s="6"/>
      <c r="T197" s="6"/>
      <c r="U197" s="6"/>
      <c r="V197" s="6"/>
      <c r="W197" s="6"/>
      <c r="X197" s="6"/>
      <c r="Y197" s="7"/>
      <c r="Z197" s="6"/>
      <c r="AA197" s="6"/>
      <c r="AB197" s="6"/>
      <c r="AC197" s="6"/>
      <c r="AD197" s="6"/>
      <c r="AE197" s="6"/>
      <c r="AF197" s="6"/>
      <c r="AG197" s="6"/>
      <c r="AH197" s="6"/>
      <c r="AI197" s="7"/>
      <c r="AJ197" s="6"/>
      <c r="AK197" s="6"/>
      <c r="AL197" s="6"/>
      <c r="AM197" s="6"/>
      <c r="AN197" s="6"/>
      <c r="AO197" s="6"/>
      <c r="AP197" s="6"/>
      <c r="AQ197" s="6"/>
      <c r="AR197" s="6"/>
      <c r="AS197" s="7"/>
      <c r="AT197" s="6"/>
      <c r="AU197" s="6"/>
      <c r="AV197" s="6"/>
      <c r="AW197" s="6"/>
      <c r="AX197" s="6"/>
      <c r="AY197" s="6"/>
      <c r="AZ197" s="6"/>
      <c r="BA197" s="6"/>
      <c r="BB197" s="6"/>
      <c r="BC197" s="7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</row>
    <row r="198" spans="1:70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7"/>
      <c r="P198" s="6"/>
      <c r="Q198" s="6"/>
      <c r="R198" s="6"/>
      <c r="S198" s="6"/>
      <c r="T198" s="6"/>
      <c r="U198" s="6"/>
      <c r="V198" s="6"/>
      <c r="W198" s="6"/>
      <c r="X198" s="6"/>
      <c r="Y198" s="7"/>
      <c r="Z198" s="6"/>
      <c r="AA198" s="6"/>
      <c r="AB198" s="6"/>
      <c r="AC198" s="6"/>
      <c r="AD198" s="6"/>
      <c r="AE198" s="6"/>
      <c r="AF198" s="6"/>
      <c r="AG198" s="6"/>
      <c r="AH198" s="6"/>
      <c r="AI198" s="7"/>
      <c r="AJ198" s="6"/>
      <c r="AK198" s="6"/>
      <c r="AL198" s="6"/>
      <c r="AM198" s="6"/>
      <c r="AN198" s="6"/>
      <c r="AO198" s="6"/>
      <c r="AP198" s="6"/>
      <c r="AQ198" s="6"/>
      <c r="AR198" s="6"/>
      <c r="AS198" s="7"/>
      <c r="AT198" s="6"/>
      <c r="AU198" s="6"/>
      <c r="AV198" s="6"/>
      <c r="AW198" s="6"/>
      <c r="AX198" s="6"/>
      <c r="AY198" s="6"/>
      <c r="AZ198" s="6"/>
      <c r="BA198" s="6"/>
      <c r="BB198" s="6"/>
      <c r="BC198" s="7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</row>
    <row r="199" spans="1:70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7"/>
      <c r="P199" s="6"/>
      <c r="Q199" s="6"/>
      <c r="R199" s="6"/>
      <c r="S199" s="6"/>
      <c r="T199" s="6"/>
      <c r="U199" s="6"/>
      <c r="V199" s="6"/>
      <c r="W199" s="6"/>
      <c r="X199" s="6"/>
      <c r="Y199" s="7"/>
      <c r="Z199" s="6"/>
      <c r="AA199" s="6"/>
      <c r="AB199" s="6"/>
      <c r="AC199" s="6"/>
      <c r="AD199" s="6"/>
      <c r="AE199" s="6"/>
      <c r="AF199" s="6"/>
      <c r="AG199" s="6"/>
      <c r="AH199" s="6"/>
      <c r="AI199" s="7"/>
      <c r="AJ199" s="6"/>
      <c r="AK199" s="6"/>
      <c r="AL199" s="6"/>
      <c r="AM199" s="6"/>
      <c r="AN199" s="6"/>
      <c r="AO199" s="6"/>
      <c r="AP199" s="6"/>
      <c r="AQ199" s="6"/>
      <c r="AR199" s="6"/>
      <c r="AS199" s="7"/>
      <c r="AT199" s="6"/>
      <c r="AU199" s="6"/>
      <c r="AV199" s="6"/>
      <c r="AW199" s="6"/>
      <c r="AX199" s="6"/>
      <c r="AY199" s="6"/>
      <c r="AZ199" s="6"/>
      <c r="BA199" s="6"/>
      <c r="BB199" s="6"/>
      <c r="BC199" s="7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</row>
    <row r="200" spans="1:70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7"/>
      <c r="P200" s="6"/>
      <c r="Q200" s="6"/>
      <c r="R200" s="6"/>
      <c r="S200" s="6"/>
      <c r="T200" s="6"/>
      <c r="U200" s="6"/>
      <c r="V200" s="6"/>
      <c r="W200" s="6"/>
      <c r="X200" s="6"/>
      <c r="Y200" s="7"/>
      <c r="Z200" s="6"/>
      <c r="AA200" s="6"/>
      <c r="AB200" s="6"/>
      <c r="AC200" s="6"/>
      <c r="AD200" s="6"/>
      <c r="AE200" s="6"/>
      <c r="AF200" s="6"/>
      <c r="AG200" s="6"/>
      <c r="AH200" s="6"/>
      <c r="AI200" s="7"/>
      <c r="AJ200" s="6"/>
      <c r="AK200" s="6"/>
      <c r="AL200" s="6"/>
      <c r="AM200" s="6"/>
      <c r="AN200" s="6"/>
      <c r="AO200" s="6"/>
      <c r="AP200" s="6"/>
      <c r="AQ200" s="6"/>
      <c r="AR200" s="6"/>
      <c r="AS200" s="7"/>
      <c r="AT200" s="6"/>
      <c r="AU200" s="6"/>
      <c r="AV200" s="6"/>
      <c r="AW200" s="6"/>
      <c r="AX200" s="6"/>
      <c r="AY200" s="6"/>
      <c r="AZ200" s="6"/>
      <c r="BA200" s="6"/>
      <c r="BB200" s="6"/>
      <c r="BC200" s="7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</row>
    <row r="201" spans="1:70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7"/>
      <c r="P201" s="6"/>
      <c r="Q201" s="6"/>
      <c r="R201" s="6"/>
      <c r="S201" s="6"/>
      <c r="T201" s="6"/>
      <c r="U201" s="6"/>
      <c r="V201" s="6"/>
      <c r="W201" s="6"/>
      <c r="X201" s="6"/>
      <c r="Y201" s="7"/>
      <c r="Z201" s="6"/>
      <c r="AA201" s="6"/>
      <c r="AB201" s="6"/>
      <c r="AC201" s="6"/>
      <c r="AD201" s="6"/>
      <c r="AE201" s="6"/>
      <c r="AF201" s="6"/>
      <c r="AG201" s="6"/>
      <c r="AH201" s="6"/>
      <c r="AI201" s="7"/>
      <c r="AJ201" s="6"/>
      <c r="AK201" s="6"/>
      <c r="AL201" s="6"/>
      <c r="AM201" s="6"/>
      <c r="AN201" s="6"/>
      <c r="AO201" s="6"/>
      <c r="AP201" s="6"/>
      <c r="AQ201" s="6"/>
      <c r="AR201" s="6"/>
      <c r="AS201" s="7"/>
      <c r="AT201" s="6"/>
      <c r="AU201" s="6"/>
      <c r="AV201" s="6"/>
      <c r="AW201" s="6"/>
      <c r="AX201" s="6"/>
      <c r="AY201" s="6"/>
      <c r="AZ201" s="6"/>
      <c r="BA201" s="6"/>
      <c r="BB201" s="6"/>
      <c r="BC201" s="7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</row>
    <row r="202" spans="1:70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7"/>
      <c r="P202" s="6"/>
      <c r="Q202" s="6"/>
      <c r="R202" s="6"/>
      <c r="S202" s="6"/>
      <c r="T202" s="6"/>
      <c r="U202" s="6"/>
      <c r="V202" s="6"/>
      <c r="W202" s="6"/>
      <c r="X202" s="6"/>
      <c r="Y202" s="7"/>
      <c r="Z202" s="6"/>
      <c r="AA202" s="6"/>
      <c r="AB202" s="6"/>
      <c r="AC202" s="6"/>
      <c r="AD202" s="6"/>
      <c r="AE202" s="6"/>
      <c r="AF202" s="6"/>
      <c r="AG202" s="6"/>
      <c r="AH202" s="6"/>
      <c r="AI202" s="7"/>
      <c r="AJ202" s="6"/>
      <c r="AK202" s="6"/>
      <c r="AL202" s="6"/>
      <c r="AM202" s="6"/>
      <c r="AN202" s="6"/>
      <c r="AO202" s="6"/>
      <c r="AP202" s="6"/>
      <c r="AQ202" s="6"/>
      <c r="AR202" s="6"/>
      <c r="AS202" s="7"/>
      <c r="AT202" s="6"/>
      <c r="AU202" s="6"/>
      <c r="AV202" s="6"/>
      <c r="AW202" s="6"/>
      <c r="AX202" s="6"/>
      <c r="AY202" s="6"/>
      <c r="AZ202" s="6"/>
      <c r="BA202" s="6"/>
      <c r="BB202" s="6"/>
      <c r="BC202" s="7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</row>
    <row r="203" spans="1:70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7"/>
      <c r="P203" s="6"/>
      <c r="Q203" s="6"/>
      <c r="R203" s="6"/>
      <c r="S203" s="6"/>
      <c r="T203" s="6"/>
      <c r="U203" s="6"/>
      <c r="V203" s="6"/>
      <c r="W203" s="6"/>
      <c r="X203" s="6"/>
      <c r="Y203" s="7"/>
      <c r="Z203" s="6"/>
      <c r="AA203" s="6"/>
      <c r="AB203" s="6"/>
      <c r="AC203" s="6"/>
      <c r="AD203" s="6"/>
      <c r="AE203" s="6"/>
      <c r="AF203" s="6"/>
      <c r="AG203" s="6"/>
      <c r="AH203" s="6"/>
      <c r="AI203" s="7"/>
      <c r="AJ203" s="6"/>
      <c r="AK203" s="6"/>
      <c r="AL203" s="6"/>
      <c r="AM203" s="6"/>
      <c r="AN203" s="6"/>
      <c r="AO203" s="6"/>
      <c r="AP203" s="6"/>
      <c r="AQ203" s="6"/>
      <c r="AR203" s="6"/>
      <c r="AS203" s="7"/>
      <c r="AT203" s="6"/>
      <c r="AU203" s="6"/>
      <c r="AV203" s="6"/>
      <c r="AW203" s="6"/>
      <c r="AX203" s="6"/>
      <c r="AY203" s="6"/>
      <c r="AZ203" s="6"/>
      <c r="BA203" s="6"/>
      <c r="BB203" s="6"/>
      <c r="BC203" s="7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</row>
    <row r="204" spans="1:70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7"/>
      <c r="P204" s="6"/>
      <c r="Q204" s="6"/>
      <c r="R204" s="6"/>
      <c r="S204" s="6"/>
      <c r="T204" s="6"/>
      <c r="U204" s="6"/>
      <c r="V204" s="6"/>
      <c r="W204" s="6"/>
      <c r="X204" s="6"/>
      <c r="Y204" s="7"/>
      <c r="Z204" s="6"/>
      <c r="AA204" s="6"/>
      <c r="AB204" s="6"/>
      <c r="AC204" s="6"/>
      <c r="AD204" s="6"/>
      <c r="AE204" s="6"/>
      <c r="AF204" s="6"/>
      <c r="AG204" s="6"/>
      <c r="AH204" s="6"/>
      <c r="AI204" s="7"/>
      <c r="AJ204" s="6"/>
      <c r="AK204" s="6"/>
      <c r="AL204" s="6"/>
      <c r="AM204" s="6"/>
      <c r="AN204" s="6"/>
      <c r="AO204" s="6"/>
      <c r="AP204" s="6"/>
      <c r="AQ204" s="6"/>
      <c r="AR204" s="6"/>
      <c r="AS204" s="7"/>
      <c r="AT204" s="6"/>
      <c r="AU204" s="6"/>
      <c r="AV204" s="6"/>
      <c r="AW204" s="6"/>
      <c r="AX204" s="6"/>
      <c r="AY204" s="6"/>
      <c r="AZ204" s="6"/>
      <c r="BA204" s="6"/>
      <c r="BB204" s="6"/>
      <c r="BC204" s="7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</row>
    <row r="205" spans="1:70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7"/>
      <c r="P205" s="6"/>
      <c r="Q205" s="6"/>
      <c r="R205" s="6"/>
      <c r="S205" s="6"/>
      <c r="T205" s="6"/>
      <c r="U205" s="6"/>
      <c r="V205" s="6"/>
      <c r="W205" s="6"/>
      <c r="X205" s="6"/>
      <c r="Y205" s="7"/>
      <c r="Z205" s="6"/>
      <c r="AA205" s="6"/>
      <c r="AB205" s="6"/>
      <c r="AC205" s="6"/>
      <c r="AD205" s="6"/>
      <c r="AE205" s="6"/>
      <c r="AF205" s="6"/>
      <c r="AG205" s="6"/>
      <c r="AH205" s="6"/>
      <c r="AI205" s="7"/>
      <c r="AJ205" s="6"/>
      <c r="AK205" s="6"/>
      <c r="AL205" s="6"/>
      <c r="AM205" s="6"/>
      <c r="AN205" s="6"/>
      <c r="AO205" s="6"/>
      <c r="AP205" s="6"/>
      <c r="AQ205" s="6"/>
      <c r="AR205" s="6"/>
      <c r="AS205" s="7"/>
      <c r="AT205" s="6"/>
      <c r="AU205" s="6"/>
      <c r="AV205" s="6"/>
      <c r="AW205" s="6"/>
      <c r="AX205" s="6"/>
      <c r="AY205" s="6"/>
      <c r="AZ205" s="6"/>
      <c r="BA205" s="6"/>
      <c r="BB205" s="6"/>
      <c r="BC205" s="7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</row>
    <row r="206" spans="1:70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7"/>
      <c r="P206" s="6"/>
      <c r="Q206" s="6"/>
      <c r="R206" s="6"/>
      <c r="S206" s="6"/>
      <c r="T206" s="6"/>
      <c r="U206" s="6"/>
      <c r="V206" s="6"/>
      <c r="W206" s="6"/>
      <c r="X206" s="6"/>
      <c r="Y206" s="7"/>
      <c r="Z206" s="6"/>
      <c r="AA206" s="6"/>
      <c r="AB206" s="6"/>
      <c r="AC206" s="6"/>
      <c r="AD206" s="6"/>
      <c r="AE206" s="6"/>
      <c r="AF206" s="6"/>
      <c r="AG206" s="6"/>
      <c r="AH206" s="6"/>
      <c r="AI206" s="7"/>
      <c r="AJ206" s="6"/>
      <c r="AK206" s="6"/>
      <c r="AL206" s="6"/>
      <c r="AM206" s="6"/>
      <c r="AN206" s="6"/>
      <c r="AO206" s="6"/>
      <c r="AP206" s="6"/>
      <c r="AQ206" s="6"/>
      <c r="AR206" s="6"/>
      <c r="AS206" s="7"/>
      <c r="AT206" s="6"/>
      <c r="AU206" s="6"/>
      <c r="AV206" s="6"/>
      <c r="AW206" s="6"/>
      <c r="AX206" s="6"/>
      <c r="AY206" s="6"/>
      <c r="AZ206" s="6"/>
      <c r="BA206" s="6"/>
      <c r="BB206" s="6"/>
      <c r="BC206" s="7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</row>
    <row r="207" spans="1:70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7"/>
      <c r="P207" s="6"/>
      <c r="Q207" s="6"/>
      <c r="R207" s="6"/>
      <c r="S207" s="6"/>
      <c r="T207" s="6"/>
      <c r="U207" s="6"/>
      <c r="V207" s="6"/>
      <c r="W207" s="6"/>
      <c r="X207" s="6"/>
      <c r="Y207" s="7"/>
      <c r="Z207" s="6"/>
      <c r="AA207" s="6"/>
      <c r="AB207" s="6"/>
      <c r="AC207" s="6"/>
      <c r="AD207" s="6"/>
      <c r="AE207" s="6"/>
      <c r="AF207" s="6"/>
      <c r="AG207" s="6"/>
      <c r="AH207" s="6"/>
      <c r="AI207" s="7"/>
      <c r="AJ207" s="6"/>
      <c r="AK207" s="6"/>
      <c r="AL207" s="6"/>
      <c r="AM207" s="6"/>
      <c r="AN207" s="6"/>
      <c r="AO207" s="6"/>
      <c r="AP207" s="6"/>
      <c r="AQ207" s="6"/>
      <c r="AR207" s="6"/>
      <c r="AS207" s="7"/>
      <c r="AT207" s="6"/>
      <c r="AU207" s="6"/>
      <c r="AV207" s="6"/>
      <c r="AW207" s="6"/>
      <c r="AX207" s="6"/>
      <c r="AY207" s="6"/>
      <c r="AZ207" s="6"/>
      <c r="BA207" s="6"/>
      <c r="BB207" s="6"/>
      <c r="BC207" s="7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</row>
    <row r="208" spans="1:70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7"/>
      <c r="P208" s="6"/>
      <c r="Q208" s="6"/>
      <c r="R208" s="6"/>
      <c r="S208" s="6"/>
      <c r="T208" s="6"/>
      <c r="U208" s="6"/>
      <c r="V208" s="6"/>
      <c r="W208" s="6"/>
      <c r="X208" s="6"/>
      <c r="Y208" s="7"/>
      <c r="Z208" s="6"/>
      <c r="AA208" s="6"/>
      <c r="AB208" s="6"/>
      <c r="AC208" s="6"/>
      <c r="AD208" s="6"/>
      <c r="AE208" s="6"/>
      <c r="AF208" s="6"/>
      <c r="AG208" s="6"/>
      <c r="AH208" s="6"/>
      <c r="AI208" s="7"/>
      <c r="AJ208" s="6"/>
      <c r="AK208" s="6"/>
      <c r="AL208" s="6"/>
      <c r="AM208" s="6"/>
      <c r="AN208" s="6"/>
      <c r="AO208" s="6"/>
      <c r="AP208" s="6"/>
      <c r="AQ208" s="6"/>
      <c r="AR208" s="6"/>
      <c r="AS208" s="7"/>
      <c r="AT208" s="6"/>
      <c r="AU208" s="6"/>
      <c r="AV208" s="6"/>
      <c r="AW208" s="6"/>
      <c r="AX208" s="6"/>
      <c r="AY208" s="6"/>
      <c r="AZ208" s="6"/>
      <c r="BA208" s="6"/>
      <c r="BB208" s="6"/>
      <c r="BC208" s="7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</row>
    <row r="209" spans="1:70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7"/>
      <c r="P209" s="6"/>
      <c r="Q209" s="6"/>
      <c r="R209" s="6"/>
      <c r="S209" s="6"/>
      <c r="T209" s="6"/>
      <c r="U209" s="6"/>
      <c r="V209" s="6"/>
      <c r="W209" s="6"/>
      <c r="X209" s="6"/>
      <c r="Y209" s="7"/>
      <c r="Z209" s="6"/>
      <c r="AA209" s="6"/>
      <c r="AB209" s="6"/>
      <c r="AC209" s="6"/>
      <c r="AD209" s="6"/>
      <c r="AE209" s="6"/>
      <c r="AF209" s="6"/>
      <c r="AG209" s="6"/>
      <c r="AH209" s="6"/>
      <c r="AI209" s="7"/>
      <c r="AJ209" s="6"/>
      <c r="AK209" s="6"/>
      <c r="AL209" s="6"/>
      <c r="AM209" s="6"/>
      <c r="AN209" s="6"/>
      <c r="AO209" s="6"/>
      <c r="AP209" s="6"/>
      <c r="AQ209" s="6"/>
      <c r="AR209" s="6"/>
      <c r="AS209" s="7"/>
      <c r="AT209" s="6"/>
      <c r="AU209" s="6"/>
      <c r="AV209" s="6"/>
      <c r="AW209" s="6"/>
      <c r="AX209" s="6"/>
      <c r="AY209" s="6"/>
      <c r="AZ209" s="6"/>
      <c r="BA209" s="6"/>
      <c r="BB209" s="6"/>
      <c r="BC209" s="7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</row>
    <row r="210" spans="1:70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7"/>
      <c r="P210" s="6"/>
      <c r="Q210" s="6"/>
      <c r="R210" s="6"/>
      <c r="S210" s="6"/>
      <c r="T210" s="6"/>
      <c r="U210" s="6"/>
      <c r="V210" s="6"/>
      <c r="W210" s="6"/>
      <c r="X210" s="6"/>
      <c r="Y210" s="7"/>
      <c r="Z210" s="6"/>
      <c r="AA210" s="6"/>
      <c r="AB210" s="6"/>
      <c r="AC210" s="6"/>
      <c r="AD210" s="6"/>
      <c r="AE210" s="6"/>
      <c r="AF210" s="6"/>
      <c r="AG210" s="6"/>
      <c r="AH210" s="6"/>
      <c r="AI210" s="7"/>
      <c r="AJ210" s="6"/>
      <c r="AK210" s="6"/>
      <c r="AL210" s="6"/>
      <c r="AM210" s="6"/>
      <c r="AN210" s="6"/>
      <c r="AO210" s="6"/>
      <c r="AP210" s="6"/>
      <c r="AQ210" s="6"/>
      <c r="AR210" s="6"/>
      <c r="AS210" s="7"/>
      <c r="AT210" s="6"/>
      <c r="AU210" s="6"/>
      <c r="AV210" s="6"/>
      <c r="AW210" s="6"/>
      <c r="AX210" s="6"/>
      <c r="AY210" s="6"/>
      <c r="AZ210" s="6"/>
      <c r="BA210" s="6"/>
      <c r="BB210" s="6"/>
      <c r="BC210" s="7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</row>
    <row r="211" spans="1:70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7"/>
      <c r="P211" s="6"/>
      <c r="Q211" s="6"/>
      <c r="R211" s="6"/>
      <c r="S211" s="6"/>
      <c r="T211" s="6"/>
      <c r="U211" s="6"/>
      <c r="V211" s="6"/>
      <c r="W211" s="6"/>
      <c r="X211" s="6"/>
      <c r="Y211" s="7"/>
      <c r="Z211" s="6"/>
      <c r="AA211" s="6"/>
      <c r="AB211" s="6"/>
      <c r="AC211" s="6"/>
      <c r="AD211" s="6"/>
      <c r="AE211" s="6"/>
      <c r="AF211" s="6"/>
      <c r="AG211" s="6"/>
      <c r="AH211" s="6"/>
      <c r="AI211" s="7"/>
      <c r="AJ211" s="6"/>
      <c r="AK211" s="6"/>
      <c r="AL211" s="6"/>
      <c r="AM211" s="6"/>
      <c r="AN211" s="6"/>
      <c r="AO211" s="6"/>
      <c r="AP211" s="6"/>
      <c r="AQ211" s="6"/>
      <c r="AR211" s="6"/>
      <c r="AS211" s="7"/>
      <c r="AT211" s="6"/>
      <c r="AU211" s="6"/>
      <c r="AV211" s="6"/>
      <c r="AW211" s="6"/>
      <c r="AX211" s="6"/>
      <c r="AY211" s="6"/>
      <c r="AZ211" s="6"/>
      <c r="BA211" s="6"/>
      <c r="BB211" s="6"/>
      <c r="BC211" s="7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</row>
    <row r="212" spans="1:70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7"/>
      <c r="P212" s="6"/>
      <c r="Q212" s="6"/>
      <c r="R212" s="6"/>
      <c r="S212" s="6"/>
      <c r="T212" s="6"/>
      <c r="U212" s="6"/>
      <c r="V212" s="6"/>
      <c r="W212" s="6"/>
      <c r="X212" s="6"/>
      <c r="Y212" s="7"/>
      <c r="Z212" s="6"/>
      <c r="AA212" s="6"/>
      <c r="AB212" s="6"/>
      <c r="AC212" s="6"/>
      <c r="AD212" s="6"/>
      <c r="AE212" s="6"/>
      <c r="AF212" s="6"/>
      <c r="AG212" s="6"/>
      <c r="AH212" s="6"/>
      <c r="AI212" s="7"/>
      <c r="AJ212" s="6"/>
      <c r="AK212" s="6"/>
      <c r="AL212" s="6"/>
      <c r="AM212" s="6"/>
      <c r="AN212" s="6"/>
      <c r="AO212" s="6"/>
      <c r="AP212" s="6"/>
      <c r="AQ212" s="6"/>
      <c r="AR212" s="6"/>
      <c r="AS212" s="7"/>
      <c r="AT212" s="6"/>
      <c r="AU212" s="6"/>
      <c r="AV212" s="6"/>
      <c r="AW212" s="6"/>
      <c r="AX212" s="6"/>
      <c r="AY212" s="6"/>
      <c r="AZ212" s="6"/>
      <c r="BA212" s="6"/>
      <c r="BB212" s="6"/>
      <c r="BC212" s="7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</row>
    <row r="213" spans="1:70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7"/>
      <c r="P213" s="6"/>
      <c r="Q213" s="6"/>
      <c r="R213" s="6"/>
      <c r="S213" s="6"/>
      <c r="T213" s="6"/>
      <c r="U213" s="6"/>
      <c r="V213" s="6"/>
      <c r="W213" s="6"/>
      <c r="X213" s="6"/>
      <c r="Y213" s="7"/>
      <c r="Z213" s="6"/>
      <c r="AA213" s="6"/>
      <c r="AB213" s="6"/>
      <c r="AC213" s="6"/>
      <c r="AD213" s="6"/>
      <c r="AE213" s="6"/>
      <c r="AF213" s="6"/>
      <c r="AG213" s="6"/>
      <c r="AH213" s="6"/>
      <c r="AI213" s="7"/>
      <c r="AJ213" s="6"/>
      <c r="AK213" s="6"/>
      <c r="AL213" s="6"/>
      <c r="AM213" s="6"/>
      <c r="AN213" s="6"/>
      <c r="AO213" s="6"/>
      <c r="AP213" s="6"/>
      <c r="AQ213" s="6"/>
      <c r="AR213" s="6"/>
      <c r="AS213" s="7"/>
      <c r="AT213" s="6"/>
      <c r="AU213" s="6"/>
      <c r="AV213" s="6"/>
      <c r="AW213" s="6"/>
      <c r="AX213" s="6"/>
      <c r="AY213" s="6"/>
      <c r="AZ213" s="6"/>
      <c r="BA213" s="6"/>
      <c r="BB213" s="6"/>
      <c r="BC213" s="7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</row>
    <row r="214" spans="1:70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7"/>
      <c r="P214" s="6"/>
      <c r="Q214" s="6"/>
      <c r="R214" s="6"/>
      <c r="S214" s="6"/>
      <c r="T214" s="6"/>
      <c r="U214" s="6"/>
      <c r="V214" s="6"/>
      <c r="W214" s="6"/>
      <c r="X214" s="6"/>
      <c r="Y214" s="7"/>
      <c r="Z214" s="6"/>
      <c r="AA214" s="6"/>
      <c r="AB214" s="6"/>
      <c r="AC214" s="6"/>
      <c r="AD214" s="6"/>
      <c r="AE214" s="6"/>
      <c r="AF214" s="6"/>
      <c r="AG214" s="6"/>
      <c r="AH214" s="6"/>
      <c r="AI214" s="7"/>
      <c r="AJ214" s="6"/>
      <c r="AK214" s="6"/>
      <c r="AL214" s="6"/>
      <c r="AM214" s="6"/>
      <c r="AN214" s="6"/>
      <c r="AO214" s="6"/>
      <c r="AP214" s="6"/>
      <c r="AQ214" s="6"/>
      <c r="AR214" s="6"/>
      <c r="AS214" s="7"/>
      <c r="AT214" s="6"/>
      <c r="AU214" s="6"/>
      <c r="AV214" s="6"/>
      <c r="AW214" s="6"/>
      <c r="AX214" s="6"/>
      <c r="AY214" s="6"/>
      <c r="AZ214" s="6"/>
      <c r="BA214" s="6"/>
      <c r="BB214" s="6"/>
      <c r="BC214" s="7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</row>
    <row r="215" spans="1:70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7"/>
      <c r="P215" s="6"/>
      <c r="Q215" s="6"/>
      <c r="R215" s="6"/>
      <c r="S215" s="6"/>
      <c r="T215" s="6"/>
      <c r="U215" s="6"/>
      <c r="V215" s="6"/>
      <c r="W215" s="6"/>
      <c r="X215" s="6"/>
      <c r="Y215" s="7"/>
      <c r="Z215" s="6"/>
      <c r="AA215" s="6"/>
      <c r="AB215" s="6"/>
      <c r="AC215" s="6"/>
      <c r="AD215" s="6"/>
      <c r="AE215" s="6"/>
      <c r="AF215" s="6"/>
      <c r="AG215" s="6"/>
      <c r="AH215" s="6"/>
      <c r="AI215" s="7"/>
      <c r="AJ215" s="6"/>
      <c r="AK215" s="6"/>
      <c r="AL215" s="6"/>
      <c r="AM215" s="6"/>
      <c r="AN215" s="6"/>
      <c r="AO215" s="6"/>
      <c r="AP215" s="6"/>
      <c r="AQ215" s="6"/>
      <c r="AR215" s="6"/>
      <c r="AS215" s="7"/>
      <c r="AT215" s="6"/>
      <c r="AU215" s="6"/>
      <c r="AV215" s="6"/>
      <c r="AW215" s="6"/>
      <c r="AX215" s="6"/>
      <c r="AY215" s="6"/>
      <c r="AZ215" s="6"/>
      <c r="BA215" s="6"/>
      <c r="BB215" s="6"/>
      <c r="BC215" s="7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</row>
    <row r="216" spans="1:70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7"/>
      <c r="P216" s="6"/>
      <c r="Q216" s="6"/>
      <c r="R216" s="6"/>
      <c r="S216" s="6"/>
      <c r="T216" s="6"/>
      <c r="U216" s="6"/>
      <c r="V216" s="6"/>
      <c r="W216" s="6"/>
      <c r="X216" s="6"/>
      <c r="Y216" s="7"/>
      <c r="Z216" s="6"/>
      <c r="AA216" s="6"/>
      <c r="AB216" s="6"/>
      <c r="AC216" s="6"/>
      <c r="AD216" s="6"/>
      <c r="AE216" s="6"/>
      <c r="AF216" s="6"/>
      <c r="AG216" s="6"/>
      <c r="AH216" s="6"/>
      <c r="AI216" s="7"/>
      <c r="AJ216" s="6"/>
      <c r="AK216" s="6"/>
      <c r="AL216" s="6"/>
      <c r="AM216" s="6"/>
      <c r="AN216" s="6"/>
      <c r="AO216" s="6"/>
      <c r="AP216" s="6"/>
      <c r="AQ216" s="6"/>
      <c r="AR216" s="6"/>
      <c r="AS216" s="7"/>
      <c r="AT216" s="6"/>
      <c r="AU216" s="6"/>
      <c r="AV216" s="6"/>
      <c r="AW216" s="6"/>
      <c r="AX216" s="6"/>
      <c r="AY216" s="6"/>
      <c r="AZ216" s="6"/>
      <c r="BA216" s="6"/>
      <c r="BB216" s="6"/>
      <c r="BC216" s="7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</row>
    <row r="217" spans="1:70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7"/>
      <c r="P217" s="6"/>
      <c r="Q217" s="6"/>
      <c r="R217" s="6"/>
      <c r="S217" s="6"/>
      <c r="T217" s="6"/>
      <c r="U217" s="6"/>
      <c r="V217" s="6"/>
      <c r="W217" s="6"/>
      <c r="X217" s="6"/>
      <c r="Y217" s="7"/>
      <c r="Z217" s="6"/>
      <c r="AA217" s="6"/>
      <c r="AB217" s="6"/>
      <c r="AC217" s="6"/>
      <c r="AD217" s="6"/>
      <c r="AE217" s="6"/>
      <c r="AF217" s="6"/>
      <c r="AG217" s="6"/>
      <c r="AH217" s="6"/>
      <c r="AI217" s="7"/>
      <c r="AJ217" s="6"/>
      <c r="AK217" s="6"/>
      <c r="AL217" s="6"/>
      <c r="AM217" s="6"/>
      <c r="AN217" s="6"/>
      <c r="AO217" s="6"/>
      <c r="AP217" s="6"/>
      <c r="AQ217" s="6"/>
      <c r="AR217" s="6"/>
      <c r="AS217" s="7"/>
      <c r="AT217" s="6"/>
      <c r="AU217" s="6"/>
      <c r="AV217" s="6"/>
      <c r="AW217" s="6"/>
      <c r="AX217" s="6"/>
      <c r="AY217" s="6"/>
      <c r="AZ217" s="6"/>
      <c r="BA217" s="6"/>
      <c r="BB217" s="6"/>
      <c r="BC217" s="7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</row>
    <row r="218" spans="1:70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7"/>
      <c r="P218" s="6"/>
      <c r="Q218" s="6"/>
      <c r="R218" s="6"/>
      <c r="S218" s="6"/>
      <c r="T218" s="6"/>
      <c r="U218" s="6"/>
      <c r="V218" s="6"/>
      <c r="W218" s="6"/>
      <c r="X218" s="6"/>
      <c r="Y218" s="7"/>
      <c r="Z218" s="6"/>
      <c r="AA218" s="6"/>
      <c r="AB218" s="6"/>
      <c r="AC218" s="6"/>
      <c r="AD218" s="6"/>
      <c r="AE218" s="6"/>
      <c r="AF218" s="6"/>
      <c r="AG218" s="6"/>
      <c r="AH218" s="6"/>
      <c r="AI218" s="7"/>
      <c r="AJ218" s="6"/>
      <c r="AK218" s="6"/>
      <c r="AL218" s="6"/>
      <c r="AM218" s="6"/>
      <c r="AN218" s="6"/>
      <c r="AO218" s="6"/>
      <c r="AP218" s="6"/>
      <c r="AQ218" s="6"/>
      <c r="AR218" s="6"/>
      <c r="AS218" s="7"/>
      <c r="AT218" s="6"/>
      <c r="AU218" s="6"/>
      <c r="AV218" s="6"/>
      <c r="AW218" s="6"/>
      <c r="AX218" s="6"/>
      <c r="AY218" s="6"/>
      <c r="AZ218" s="6"/>
      <c r="BA218" s="6"/>
      <c r="BB218" s="6"/>
      <c r="BC218" s="7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</row>
    <row r="219" spans="1:70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7"/>
      <c r="P219" s="6"/>
      <c r="Q219" s="6"/>
      <c r="R219" s="6"/>
      <c r="S219" s="6"/>
      <c r="T219" s="6"/>
      <c r="U219" s="6"/>
      <c r="V219" s="6"/>
      <c r="W219" s="6"/>
      <c r="X219" s="6"/>
      <c r="Y219" s="7"/>
      <c r="Z219" s="6"/>
      <c r="AA219" s="6"/>
      <c r="AB219" s="6"/>
      <c r="AC219" s="6"/>
      <c r="AD219" s="6"/>
      <c r="AE219" s="6"/>
      <c r="AF219" s="6"/>
      <c r="AG219" s="6"/>
      <c r="AH219" s="6"/>
      <c r="AI219" s="7"/>
      <c r="AJ219" s="6"/>
      <c r="AK219" s="6"/>
      <c r="AL219" s="6"/>
      <c r="AM219" s="6"/>
      <c r="AN219" s="6"/>
      <c r="AO219" s="6"/>
      <c r="AP219" s="6"/>
      <c r="AQ219" s="6"/>
      <c r="AR219" s="6"/>
      <c r="AS219" s="7"/>
      <c r="AT219" s="6"/>
      <c r="AU219" s="6"/>
      <c r="AV219" s="6"/>
      <c r="AW219" s="6"/>
      <c r="AX219" s="6"/>
      <c r="AY219" s="6"/>
      <c r="AZ219" s="6"/>
      <c r="BA219" s="6"/>
      <c r="BB219" s="6"/>
      <c r="BC219" s="7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</row>
    <row r="220" spans="1:70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7"/>
      <c r="P220" s="6"/>
      <c r="Q220" s="6"/>
      <c r="R220" s="6"/>
      <c r="S220" s="6"/>
      <c r="T220" s="6"/>
      <c r="U220" s="6"/>
      <c r="V220" s="6"/>
      <c r="W220" s="6"/>
      <c r="X220" s="6"/>
      <c r="Y220" s="7"/>
      <c r="Z220" s="6"/>
      <c r="AA220" s="6"/>
      <c r="AB220" s="6"/>
      <c r="AC220" s="6"/>
      <c r="AD220" s="6"/>
      <c r="AE220" s="6"/>
      <c r="AF220" s="6"/>
      <c r="AG220" s="6"/>
      <c r="AH220" s="6"/>
      <c r="AI220" s="7"/>
      <c r="AJ220" s="6"/>
      <c r="AK220" s="6"/>
      <c r="AL220" s="6"/>
      <c r="AM220" s="6"/>
      <c r="AN220" s="6"/>
      <c r="AO220" s="6"/>
      <c r="AP220" s="6"/>
      <c r="AQ220" s="6"/>
      <c r="AR220" s="6"/>
      <c r="AS220" s="7"/>
      <c r="AT220" s="6"/>
      <c r="AU220" s="6"/>
      <c r="AV220" s="6"/>
      <c r="AW220" s="6"/>
      <c r="AX220" s="6"/>
      <c r="AY220" s="6"/>
      <c r="AZ220" s="6"/>
      <c r="BA220" s="6"/>
      <c r="BB220" s="6"/>
      <c r="BC220" s="7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</row>
    <row r="221" spans="1:70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7"/>
      <c r="P221" s="6"/>
      <c r="Q221" s="6"/>
      <c r="R221" s="6"/>
      <c r="S221" s="6"/>
      <c r="T221" s="6"/>
      <c r="U221" s="6"/>
      <c r="V221" s="6"/>
      <c r="W221" s="6"/>
      <c r="X221" s="6"/>
      <c r="Y221" s="7"/>
      <c r="Z221" s="6"/>
      <c r="AA221" s="6"/>
      <c r="AB221" s="6"/>
      <c r="AC221" s="6"/>
      <c r="AD221" s="6"/>
      <c r="AE221" s="6"/>
      <c r="AF221" s="6"/>
      <c r="AG221" s="6"/>
      <c r="AH221" s="6"/>
      <c r="AI221" s="7"/>
      <c r="AJ221" s="6"/>
      <c r="AK221" s="6"/>
      <c r="AL221" s="6"/>
      <c r="AM221" s="6"/>
      <c r="AN221" s="6"/>
      <c r="AO221" s="6"/>
      <c r="AP221" s="6"/>
      <c r="AQ221" s="6"/>
      <c r="AR221" s="6"/>
      <c r="AS221" s="7"/>
      <c r="AT221" s="6"/>
      <c r="AU221" s="6"/>
      <c r="AV221" s="6"/>
      <c r="AW221" s="6"/>
      <c r="AX221" s="6"/>
      <c r="AY221" s="6"/>
      <c r="AZ221" s="6"/>
      <c r="BA221" s="6"/>
      <c r="BB221" s="6"/>
      <c r="BC221" s="7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</row>
    <row r="222" spans="1:70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7"/>
      <c r="P222" s="6"/>
      <c r="Q222" s="6"/>
      <c r="R222" s="6"/>
      <c r="S222" s="6"/>
      <c r="T222" s="6"/>
      <c r="U222" s="6"/>
      <c r="V222" s="6"/>
      <c r="W222" s="6"/>
      <c r="X222" s="6"/>
      <c r="Y222" s="7"/>
      <c r="Z222" s="6"/>
      <c r="AA222" s="6"/>
      <c r="AB222" s="6"/>
      <c r="AC222" s="6"/>
      <c r="AD222" s="6"/>
      <c r="AE222" s="6"/>
      <c r="AF222" s="6"/>
      <c r="AG222" s="6"/>
      <c r="AH222" s="6"/>
      <c r="AI222" s="7"/>
      <c r="AJ222" s="6"/>
      <c r="AK222" s="6"/>
      <c r="AL222" s="6"/>
      <c r="AM222" s="6"/>
      <c r="AN222" s="6"/>
      <c r="AO222" s="6"/>
      <c r="AP222" s="6"/>
      <c r="AQ222" s="6"/>
      <c r="AR222" s="6"/>
      <c r="AS222" s="7"/>
      <c r="AT222" s="6"/>
      <c r="AU222" s="6"/>
      <c r="AV222" s="6"/>
      <c r="AW222" s="6"/>
      <c r="AX222" s="6"/>
      <c r="AY222" s="6"/>
      <c r="AZ222" s="6"/>
      <c r="BA222" s="6"/>
      <c r="BB222" s="6"/>
      <c r="BC222" s="7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</row>
    <row r="223" spans="1:70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7"/>
      <c r="P223" s="6"/>
      <c r="Q223" s="6"/>
      <c r="R223" s="6"/>
      <c r="S223" s="6"/>
      <c r="T223" s="6"/>
      <c r="U223" s="6"/>
      <c r="V223" s="6"/>
      <c r="W223" s="6"/>
      <c r="X223" s="6"/>
      <c r="Y223" s="7"/>
      <c r="Z223" s="6"/>
      <c r="AA223" s="6"/>
      <c r="AB223" s="6"/>
      <c r="AC223" s="6"/>
      <c r="AD223" s="6"/>
      <c r="AE223" s="6"/>
      <c r="AF223" s="6"/>
      <c r="AG223" s="6"/>
      <c r="AH223" s="6"/>
      <c r="AI223" s="7"/>
      <c r="AJ223" s="6"/>
      <c r="AK223" s="6"/>
      <c r="AL223" s="6"/>
      <c r="AM223" s="6"/>
      <c r="AN223" s="6"/>
      <c r="AO223" s="6"/>
      <c r="AP223" s="6"/>
      <c r="AQ223" s="6"/>
      <c r="AR223" s="6"/>
      <c r="AS223" s="7"/>
      <c r="AT223" s="6"/>
      <c r="AU223" s="6"/>
      <c r="AV223" s="6"/>
      <c r="AW223" s="6"/>
      <c r="AX223" s="6"/>
      <c r="AY223" s="6"/>
      <c r="AZ223" s="6"/>
      <c r="BA223" s="6"/>
      <c r="BB223" s="6"/>
      <c r="BC223" s="7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</row>
    <row r="224" spans="1:70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7"/>
      <c r="P224" s="6"/>
      <c r="Q224" s="6"/>
      <c r="R224" s="6"/>
      <c r="S224" s="6"/>
      <c r="T224" s="6"/>
      <c r="U224" s="6"/>
      <c r="V224" s="6"/>
      <c r="W224" s="6"/>
      <c r="X224" s="6"/>
      <c r="Y224" s="7"/>
      <c r="Z224" s="6"/>
      <c r="AA224" s="6"/>
      <c r="AB224" s="6"/>
      <c r="AC224" s="6"/>
      <c r="AD224" s="6"/>
      <c r="AE224" s="6"/>
      <c r="AF224" s="6"/>
      <c r="AG224" s="6"/>
      <c r="AH224" s="6"/>
      <c r="AI224" s="7"/>
      <c r="AJ224" s="6"/>
      <c r="AK224" s="6"/>
      <c r="AL224" s="6"/>
      <c r="AM224" s="6"/>
      <c r="AN224" s="6"/>
      <c r="AO224" s="6"/>
      <c r="AP224" s="6"/>
      <c r="AQ224" s="6"/>
      <c r="AR224" s="6"/>
      <c r="AS224" s="7"/>
      <c r="AT224" s="6"/>
      <c r="AU224" s="6"/>
      <c r="AV224" s="6"/>
      <c r="AW224" s="6"/>
      <c r="AX224" s="6"/>
      <c r="AY224" s="6"/>
      <c r="AZ224" s="6"/>
      <c r="BA224" s="6"/>
      <c r="BB224" s="6"/>
      <c r="BC224" s="7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</row>
    <row r="225" spans="1:70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7"/>
      <c r="P225" s="6"/>
      <c r="Q225" s="6"/>
      <c r="R225" s="6"/>
      <c r="S225" s="6"/>
      <c r="T225" s="6"/>
      <c r="U225" s="6"/>
      <c r="V225" s="6"/>
      <c r="W225" s="6"/>
      <c r="X225" s="6"/>
      <c r="Y225" s="7"/>
      <c r="Z225" s="6"/>
      <c r="AA225" s="6"/>
      <c r="AB225" s="6"/>
      <c r="AC225" s="6"/>
      <c r="AD225" s="6"/>
      <c r="AE225" s="6"/>
      <c r="AF225" s="6"/>
      <c r="AG225" s="6"/>
      <c r="AH225" s="6"/>
      <c r="AI225" s="7"/>
      <c r="AJ225" s="6"/>
      <c r="AK225" s="6"/>
      <c r="AL225" s="6"/>
      <c r="AM225" s="6"/>
      <c r="AN225" s="6"/>
      <c r="AO225" s="6"/>
      <c r="AP225" s="6"/>
      <c r="AQ225" s="6"/>
      <c r="AR225" s="6"/>
      <c r="AS225" s="7"/>
      <c r="AT225" s="6"/>
      <c r="AU225" s="6"/>
      <c r="AV225" s="6"/>
      <c r="AW225" s="6"/>
      <c r="AX225" s="6"/>
      <c r="AY225" s="6"/>
      <c r="AZ225" s="6"/>
      <c r="BA225" s="6"/>
      <c r="BB225" s="6"/>
      <c r="BC225" s="7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</row>
    <row r="226" spans="1:70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7"/>
      <c r="P226" s="6"/>
      <c r="Q226" s="6"/>
      <c r="R226" s="6"/>
      <c r="S226" s="6"/>
      <c r="T226" s="6"/>
      <c r="U226" s="6"/>
      <c r="V226" s="6"/>
      <c r="W226" s="6"/>
      <c r="X226" s="6"/>
      <c r="Y226" s="7"/>
      <c r="Z226" s="6"/>
      <c r="AA226" s="6"/>
      <c r="AB226" s="6"/>
      <c r="AC226" s="6"/>
      <c r="AD226" s="6"/>
      <c r="AE226" s="6"/>
      <c r="AF226" s="6"/>
      <c r="AG226" s="6"/>
      <c r="AH226" s="6"/>
      <c r="AI226" s="7"/>
      <c r="AJ226" s="6"/>
      <c r="AK226" s="6"/>
      <c r="AL226" s="6"/>
      <c r="AM226" s="6"/>
      <c r="AN226" s="6"/>
      <c r="AO226" s="6"/>
      <c r="AP226" s="6"/>
      <c r="AQ226" s="6"/>
      <c r="AR226" s="6"/>
      <c r="AS226" s="7"/>
      <c r="AT226" s="6"/>
      <c r="AU226" s="6"/>
      <c r="AV226" s="6"/>
      <c r="AW226" s="6"/>
      <c r="AX226" s="6"/>
      <c r="AY226" s="6"/>
      <c r="AZ226" s="6"/>
      <c r="BA226" s="6"/>
      <c r="BB226" s="6"/>
      <c r="BC226" s="7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</row>
    <row r="227" spans="1:70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7"/>
      <c r="P227" s="6"/>
      <c r="Q227" s="6"/>
      <c r="R227" s="6"/>
      <c r="S227" s="6"/>
      <c r="T227" s="6"/>
      <c r="U227" s="6"/>
      <c r="V227" s="6"/>
      <c r="W227" s="6"/>
      <c r="X227" s="6"/>
      <c r="Y227" s="7"/>
      <c r="Z227" s="6"/>
      <c r="AA227" s="6"/>
      <c r="AB227" s="6"/>
      <c r="AC227" s="6"/>
      <c r="AD227" s="6"/>
      <c r="AE227" s="6"/>
      <c r="AF227" s="6"/>
      <c r="AG227" s="6"/>
      <c r="AH227" s="6"/>
      <c r="AI227" s="7"/>
      <c r="AJ227" s="6"/>
      <c r="AK227" s="6"/>
      <c r="AL227" s="6"/>
      <c r="AM227" s="6"/>
      <c r="AN227" s="6"/>
      <c r="AO227" s="6"/>
      <c r="AP227" s="6"/>
      <c r="AQ227" s="6"/>
      <c r="AR227" s="6"/>
      <c r="AS227" s="7"/>
      <c r="AT227" s="6"/>
      <c r="AU227" s="6"/>
      <c r="AV227" s="6"/>
      <c r="AW227" s="6"/>
      <c r="AX227" s="6"/>
      <c r="AY227" s="6"/>
      <c r="AZ227" s="6"/>
      <c r="BA227" s="6"/>
      <c r="BB227" s="6"/>
      <c r="BC227" s="7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</row>
    <row r="228" spans="1:70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7"/>
      <c r="P228" s="6"/>
      <c r="Q228" s="6"/>
      <c r="R228" s="6"/>
      <c r="S228" s="6"/>
      <c r="T228" s="6"/>
      <c r="U228" s="6"/>
      <c r="V228" s="6"/>
      <c r="W228" s="6"/>
      <c r="X228" s="6"/>
      <c r="Y228" s="7"/>
      <c r="Z228" s="6"/>
      <c r="AA228" s="6"/>
      <c r="AB228" s="6"/>
      <c r="AC228" s="6"/>
      <c r="AD228" s="6"/>
      <c r="AE228" s="6"/>
      <c r="AF228" s="6"/>
      <c r="AG228" s="6"/>
      <c r="AH228" s="6"/>
      <c r="AI228" s="7"/>
      <c r="AJ228" s="6"/>
      <c r="AK228" s="6"/>
      <c r="AL228" s="6"/>
      <c r="AM228" s="6"/>
      <c r="AN228" s="6"/>
      <c r="AO228" s="6"/>
      <c r="AP228" s="6"/>
      <c r="AQ228" s="6"/>
      <c r="AR228" s="6"/>
      <c r="AS228" s="7"/>
      <c r="AT228" s="6"/>
      <c r="AU228" s="6"/>
      <c r="AV228" s="6"/>
      <c r="AW228" s="6"/>
      <c r="AX228" s="6"/>
      <c r="AY228" s="6"/>
      <c r="AZ228" s="6"/>
      <c r="BA228" s="6"/>
      <c r="BB228" s="6"/>
      <c r="BC228" s="7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</row>
    <row r="229" spans="1:70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7"/>
      <c r="P229" s="6"/>
      <c r="Q229" s="6"/>
      <c r="R229" s="6"/>
      <c r="S229" s="6"/>
      <c r="T229" s="6"/>
      <c r="U229" s="6"/>
      <c r="V229" s="6"/>
      <c r="W229" s="6"/>
      <c r="X229" s="6"/>
      <c r="Y229" s="7"/>
      <c r="Z229" s="6"/>
      <c r="AA229" s="6"/>
      <c r="AB229" s="6"/>
      <c r="AC229" s="6"/>
      <c r="AD229" s="6"/>
      <c r="AE229" s="6"/>
      <c r="AF229" s="6"/>
      <c r="AG229" s="6"/>
      <c r="AH229" s="6"/>
      <c r="AI229" s="7"/>
      <c r="AJ229" s="6"/>
      <c r="AK229" s="6"/>
      <c r="AL229" s="6"/>
      <c r="AM229" s="6"/>
      <c r="AN229" s="6"/>
      <c r="AO229" s="6"/>
      <c r="AP229" s="6"/>
      <c r="AQ229" s="6"/>
      <c r="AR229" s="6"/>
      <c r="AS229" s="7"/>
      <c r="AT229" s="6"/>
      <c r="AU229" s="6"/>
      <c r="AV229" s="6"/>
      <c r="AW229" s="6"/>
      <c r="AX229" s="6"/>
      <c r="AY229" s="6"/>
      <c r="AZ229" s="6"/>
      <c r="BA229" s="6"/>
      <c r="BB229" s="6"/>
      <c r="BC229" s="7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</row>
    <row r="230" spans="1:70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7"/>
      <c r="P230" s="6"/>
      <c r="Q230" s="6"/>
      <c r="R230" s="6"/>
      <c r="S230" s="6"/>
      <c r="T230" s="6"/>
      <c r="U230" s="6"/>
      <c r="V230" s="6"/>
      <c r="W230" s="6"/>
      <c r="X230" s="6"/>
      <c r="Y230" s="7"/>
      <c r="Z230" s="6"/>
      <c r="AA230" s="6"/>
      <c r="AB230" s="6"/>
      <c r="AC230" s="6"/>
      <c r="AD230" s="6"/>
      <c r="AE230" s="6"/>
      <c r="AF230" s="6"/>
      <c r="AG230" s="6"/>
      <c r="AH230" s="6"/>
      <c r="AI230" s="7"/>
      <c r="AJ230" s="6"/>
      <c r="AK230" s="6"/>
      <c r="AL230" s="6"/>
      <c r="AM230" s="6"/>
      <c r="AN230" s="6"/>
      <c r="AO230" s="6"/>
      <c r="AP230" s="6"/>
      <c r="AQ230" s="6"/>
      <c r="AR230" s="6"/>
      <c r="AS230" s="7"/>
      <c r="AT230" s="6"/>
      <c r="AU230" s="6"/>
      <c r="AV230" s="6"/>
      <c r="AW230" s="6"/>
      <c r="AX230" s="6"/>
      <c r="AY230" s="6"/>
      <c r="AZ230" s="6"/>
      <c r="BA230" s="6"/>
      <c r="BB230" s="6"/>
      <c r="BC230" s="7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</row>
    <row r="231" spans="1:70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7"/>
      <c r="P231" s="6"/>
      <c r="Q231" s="6"/>
      <c r="R231" s="6"/>
      <c r="S231" s="6"/>
      <c r="T231" s="6"/>
      <c r="U231" s="6"/>
      <c r="V231" s="6"/>
      <c r="W231" s="6"/>
      <c r="X231" s="6"/>
      <c r="Y231" s="7"/>
      <c r="Z231" s="6"/>
      <c r="AA231" s="6"/>
      <c r="AB231" s="6"/>
      <c r="AC231" s="6"/>
      <c r="AD231" s="6"/>
      <c r="AE231" s="6"/>
      <c r="AF231" s="6"/>
      <c r="AG231" s="6"/>
      <c r="AH231" s="6"/>
      <c r="AI231" s="7"/>
      <c r="AJ231" s="6"/>
      <c r="AK231" s="6"/>
      <c r="AL231" s="6"/>
      <c r="AM231" s="6"/>
      <c r="AN231" s="6"/>
      <c r="AO231" s="6"/>
      <c r="AP231" s="6"/>
      <c r="AQ231" s="6"/>
      <c r="AR231" s="6"/>
      <c r="AS231" s="7"/>
      <c r="AT231" s="6"/>
      <c r="AU231" s="6"/>
      <c r="AV231" s="6"/>
      <c r="AW231" s="6"/>
      <c r="AX231" s="6"/>
      <c r="AY231" s="6"/>
      <c r="AZ231" s="6"/>
      <c r="BA231" s="6"/>
      <c r="BB231" s="6"/>
      <c r="BC231" s="7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</row>
    <row r="232" spans="1:70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7"/>
      <c r="P232" s="6"/>
      <c r="Q232" s="6"/>
      <c r="R232" s="6"/>
      <c r="S232" s="6"/>
      <c r="T232" s="6"/>
      <c r="U232" s="6"/>
      <c r="V232" s="6"/>
      <c r="W232" s="6"/>
      <c r="X232" s="6"/>
      <c r="Y232" s="7"/>
      <c r="Z232" s="6"/>
      <c r="AA232" s="6"/>
      <c r="AB232" s="6"/>
      <c r="AC232" s="6"/>
      <c r="AD232" s="6"/>
      <c r="AE232" s="6"/>
      <c r="AF232" s="6"/>
      <c r="AG232" s="6"/>
      <c r="AH232" s="6"/>
      <c r="AI232" s="7"/>
      <c r="AJ232" s="6"/>
      <c r="AK232" s="6"/>
      <c r="AL232" s="6"/>
      <c r="AM232" s="6"/>
      <c r="AN232" s="6"/>
      <c r="AO232" s="6"/>
      <c r="AP232" s="6"/>
      <c r="AQ232" s="6"/>
      <c r="AR232" s="6"/>
      <c r="AS232" s="7"/>
      <c r="AT232" s="6"/>
      <c r="AU232" s="6"/>
      <c r="AV232" s="6"/>
      <c r="AW232" s="6"/>
      <c r="AX232" s="6"/>
      <c r="AY232" s="6"/>
      <c r="AZ232" s="6"/>
      <c r="BA232" s="6"/>
      <c r="BB232" s="6"/>
      <c r="BC232" s="7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</row>
    <row r="233" spans="1:70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7"/>
      <c r="P233" s="6"/>
      <c r="Q233" s="6"/>
      <c r="R233" s="6"/>
      <c r="S233" s="6"/>
      <c r="T233" s="6"/>
      <c r="U233" s="6"/>
      <c r="V233" s="6"/>
      <c r="W233" s="6"/>
      <c r="X233" s="6"/>
      <c r="Y233" s="7"/>
      <c r="Z233" s="6"/>
      <c r="AA233" s="6"/>
      <c r="AB233" s="6"/>
      <c r="AC233" s="6"/>
      <c r="AD233" s="6"/>
      <c r="AE233" s="6"/>
      <c r="AF233" s="6"/>
      <c r="AG233" s="6"/>
      <c r="AH233" s="6"/>
      <c r="AI233" s="7"/>
      <c r="AJ233" s="6"/>
      <c r="AK233" s="6"/>
      <c r="AL233" s="6"/>
      <c r="AM233" s="6"/>
      <c r="AN233" s="6"/>
      <c r="AO233" s="6"/>
      <c r="AP233" s="6"/>
      <c r="AQ233" s="6"/>
      <c r="AR233" s="6"/>
      <c r="AS233" s="7"/>
      <c r="AT233" s="6"/>
      <c r="AU233" s="6"/>
      <c r="AV233" s="6"/>
      <c r="AW233" s="6"/>
      <c r="AX233" s="6"/>
      <c r="AY233" s="6"/>
      <c r="AZ233" s="6"/>
      <c r="BA233" s="6"/>
      <c r="BB233" s="6"/>
      <c r="BC233" s="7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</row>
    <row r="234" spans="1:70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7"/>
      <c r="P234" s="6"/>
      <c r="Q234" s="6"/>
      <c r="R234" s="6"/>
      <c r="S234" s="6"/>
      <c r="T234" s="6"/>
      <c r="U234" s="6"/>
      <c r="V234" s="6"/>
      <c r="W234" s="6"/>
      <c r="X234" s="6"/>
      <c r="Y234" s="7"/>
      <c r="Z234" s="6"/>
      <c r="AA234" s="6"/>
      <c r="AB234" s="6"/>
      <c r="AC234" s="6"/>
      <c r="AD234" s="6"/>
      <c r="AE234" s="6"/>
      <c r="AF234" s="6"/>
      <c r="AG234" s="6"/>
      <c r="AH234" s="6"/>
      <c r="AI234" s="7"/>
      <c r="AJ234" s="6"/>
      <c r="AK234" s="6"/>
      <c r="AL234" s="6"/>
      <c r="AM234" s="6"/>
      <c r="AN234" s="6"/>
      <c r="AO234" s="6"/>
      <c r="AP234" s="6"/>
      <c r="AQ234" s="6"/>
      <c r="AR234" s="6"/>
      <c r="AS234" s="7"/>
      <c r="AT234" s="6"/>
      <c r="AU234" s="6"/>
      <c r="AV234" s="6"/>
      <c r="AW234" s="6"/>
      <c r="AX234" s="6"/>
      <c r="AY234" s="6"/>
      <c r="AZ234" s="6"/>
      <c r="BA234" s="6"/>
      <c r="BB234" s="6"/>
      <c r="BC234" s="7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</row>
    <row r="235" spans="1:70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7"/>
      <c r="P235" s="6"/>
      <c r="Q235" s="6"/>
      <c r="R235" s="6"/>
      <c r="S235" s="6"/>
      <c r="T235" s="6"/>
      <c r="U235" s="6"/>
      <c r="V235" s="6"/>
      <c r="W235" s="6"/>
      <c r="X235" s="6"/>
      <c r="Y235" s="7"/>
      <c r="Z235" s="6"/>
      <c r="AA235" s="6"/>
      <c r="AB235" s="6"/>
      <c r="AC235" s="6"/>
      <c r="AD235" s="6"/>
      <c r="AE235" s="6"/>
      <c r="AF235" s="6"/>
      <c r="AG235" s="6"/>
      <c r="AH235" s="6"/>
      <c r="AI235" s="7"/>
      <c r="AJ235" s="6"/>
      <c r="AK235" s="6"/>
      <c r="AL235" s="6"/>
      <c r="AM235" s="6"/>
      <c r="AN235" s="6"/>
      <c r="AO235" s="6"/>
      <c r="AP235" s="6"/>
      <c r="AQ235" s="6"/>
      <c r="AR235" s="6"/>
      <c r="AS235" s="7"/>
      <c r="AT235" s="6"/>
      <c r="AU235" s="6"/>
      <c r="AV235" s="6"/>
      <c r="AW235" s="6"/>
      <c r="AX235" s="6"/>
      <c r="AY235" s="6"/>
      <c r="AZ235" s="6"/>
      <c r="BA235" s="6"/>
      <c r="BB235" s="6"/>
      <c r="BC235" s="7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</row>
    <row r="236" spans="1:70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7"/>
      <c r="P236" s="6"/>
      <c r="Q236" s="6"/>
      <c r="R236" s="6"/>
      <c r="S236" s="6"/>
      <c r="T236" s="6"/>
      <c r="U236" s="6"/>
      <c r="V236" s="6"/>
      <c r="W236" s="6"/>
      <c r="X236" s="6"/>
      <c r="Y236" s="7"/>
      <c r="Z236" s="6"/>
      <c r="AA236" s="6"/>
      <c r="AB236" s="6"/>
      <c r="AC236" s="6"/>
      <c r="AD236" s="6"/>
      <c r="AE236" s="6"/>
      <c r="AF236" s="6"/>
      <c r="AG236" s="6"/>
      <c r="AH236" s="6"/>
      <c r="AI236" s="7"/>
      <c r="AJ236" s="6"/>
      <c r="AK236" s="6"/>
      <c r="AL236" s="6"/>
      <c r="AM236" s="6"/>
      <c r="AN236" s="6"/>
      <c r="AO236" s="6"/>
      <c r="AP236" s="6"/>
      <c r="AQ236" s="6"/>
      <c r="AR236" s="6"/>
      <c r="AS236" s="7"/>
      <c r="AT236" s="6"/>
      <c r="AU236" s="6"/>
      <c r="AV236" s="6"/>
      <c r="AW236" s="6"/>
      <c r="AX236" s="6"/>
      <c r="AY236" s="6"/>
      <c r="AZ236" s="6"/>
      <c r="BA236" s="6"/>
      <c r="BB236" s="6"/>
      <c r="BC236" s="7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</row>
    <row r="237" spans="1:70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7"/>
      <c r="P237" s="6"/>
      <c r="Q237" s="6"/>
      <c r="R237" s="6"/>
      <c r="S237" s="6"/>
      <c r="T237" s="6"/>
      <c r="U237" s="6"/>
      <c r="V237" s="6"/>
      <c r="W237" s="6"/>
      <c r="X237" s="6"/>
      <c r="Y237" s="7"/>
      <c r="Z237" s="6"/>
      <c r="AA237" s="6"/>
      <c r="AB237" s="6"/>
      <c r="AC237" s="6"/>
      <c r="AD237" s="6"/>
      <c r="AE237" s="6"/>
      <c r="AF237" s="6"/>
      <c r="AG237" s="6"/>
      <c r="AH237" s="6"/>
      <c r="AI237" s="7"/>
      <c r="AJ237" s="6"/>
      <c r="AK237" s="6"/>
      <c r="AL237" s="6"/>
      <c r="AM237" s="6"/>
      <c r="AN237" s="6"/>
      <c r="AO237" s="6"/>
      <c r="AP237" s="6"/>
      <c r="AQ237" s="6"/>
      <c r="AR237" s="6"/>
      <c r="AS237" s="7"/>
      <c r="AT237" s="6"/>
      <c r="AU237" s="6"/>
      <c r="AV237" s="6"/>
      <c r="AW237" s="6"/>
      <c r="AX237" s="6"/>
      <c r="AY237" s="6"/>
      <c r="AZ237" s="6"/>
      <c r="BA237" s="6"/>
      <c r="BB237" s="6"/>
      <c r="BC237" s="7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</row>
    <row r="238" spans="1:70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7"/>
      <c r="P238" s="6"/>
      <c r="Q238" s="6"/>
      <c r="R238" s="6"/>
      <c r="S238" s="6"/>
      <c r="T238" s="6"/>
      <c r="U238" s="6"/>
      <c r="V238" s="6"/>
      <c r="W238" s="6"/>
      <c r="X238" s="6"/>
      <c r="Y238" s="7"/>
      <c r="Z238" s="6"/>
      <c r="AA238" s="6"/>
      <c r="AB238" s="6"/>
      <c r="AC238" s="6"/>
      <c r="AD238" s="6"/>
      <c r="AE238" s="6"/>
      <c r="AF238" s="6"/>
      <c r="AG238" s="6"/>
      <c r="AH238" s="6"/>
      <c r="AI238" s="7"/>
      <c r="AJ238" s="6"/>
      <c r="AK238" s="6"/>
      <c r="AL238" s="6"/>
      <c r="AM238" s="6"/>
      <c r="AN238" s="6"/>
      <c r="AO238" s="6"/>
      <c r="AP238" s="6"/>
      <c r="AQ238" s="6"/>
      <c r="AR238" s="6"/>
      <c r="AS238" s="7"/>
      <c r="AT238" s="6"/>
      <c r="AU238" s="6"/>
      <c r="AV238" s="6"/>
      <c r="AW238" s="6"/>
      <c r="AX238" s="6"/>
      <c r="AY238" s="6"/>
      <c r="AZ238" s="6"/>
      <c r="BA238" s="6"/>
      <c r="BB238" s="6"/>
      <c r="BC238" s="7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</row>
    <row r="239" spans="1:70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7"/>
      <c r="P239" s="6"/>
      <c r="Q239" s="6"/>
      <c r="R239" s="6"/>
      <c r="S239" s="6"/>
      <c r="T239" s="6"/>
      <c r="U239" s="6"/>
      <c r="V239" s="6"/>
      <c r="W239" s="6"/>
      <c r="X239" s="6"/>
      <c r="Y239" s="7"/>
      <c r="Z239" s="6"/>
      <c r="AA239" s="6"/>
      <c r="AB239" s="6"/>
      <c r="AC239" s="6"/>
      <c r="AD239" s="6"/>
      <c r="AE239" s="6"/>
      <c r="AF239" s="6"/>
      <c r="AG239" s="6"/>
      <c r="AH239" s="6"/>
      <c r="AI239" s="7"/>
      <c r="AJ239" s="6"/>
      <c r="AK239" s="6"/>
      <c r="AL239" s="6"/>
      <c r="AM239" s="6"/>
      <c r="AN239" s="6"/>
      <c r="AO239" s="6"/>
      <c r="AP239" s="6"/>
      <c r="AQ239" s="6"/>
      <c r="AR239" s="6"/>
      <c r="AS239" s="7"/>
      <c r="AT239" s="6"/>
      <c r="AU239" s="6"/>
      <c r="AV239" s="6"/>
      <c r="AW239" s="6"/>
      <c r="AX239" s="6"/>
      <c r="AY239" s="6"/>
      <c r="AZ239" s="6"/>
      <c r="BA239" s="6"/>
      <c r="BB239" s="6"/>
      <c r="BC239" s="7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</row>
    <row r="240" spans="1:70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7"/>
      <c r="P240" s="6"/>
      <c r="Q240" s="6"/>
      <c r="R240" s="6"/>
      <c r="S240" s="6"/>
      <c r="T240" s="6"/>
      <c r="U240" s="6"/>
      <c r="V240" s="6"/>
      <c r="W240" s="6"/>
      <c r="X240" s="6"/>
      <c r="Y240" s="7"/>
      <c r="Z240" s="6"/>
      <c r="AA240" s="6"/>
      <c r="AB240" s="6"/>
      <c r="AC240" s="6"/>
      <c r="AD240" s="6"/>
      <c r="AE240" s="6"/>
      <c r="AF240" s="6"/>
      <c r="AG240" s="6"/>
      <c r="AH240" s="6"/>
      <c r="AI240" s="7"/>
      <c r="AJ240" s="6"/>
      <c r="AK240" s="6"/>
      <c r="AL240" s="6"/>
      <c r="AM240" s="6"/>
      <c r="AN240" s="6"/>
      <c r="AO240" s="6"/>
      <c r="AP240" s="6"/>
      <c r="AQ240" s="6"/>
      <c r="AR240" s="6"/>
      <c r="AS240" s="7"/>
      <c r="AT240" s="6"/>
      <c r="AU240" s="6"/>
      <c r="AV240" s="6"/>
      <c r="AW240" s="6"/>
      <c r="AX240" s="6"/>
      <c r="AY240" s="6"/>
      <c r="AZ240" s="6"/>
      <c r="BA240" s="6"/>
      <c r="BB240" s="6"/>
      <c r="BC240" s="7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</row>
    <row r="241" spans="1:70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7"/>
      <c r="P241" s="6"/>
      <c r="Q241" s="6"/>
      <c r="R241" s="6"/>
      <c r="S241" s="6"/>
      <c r="T241" s="6"/>
      <c r="U241" s="6"/>
      <c r="V241" s="6"/>
      <c r="W241" s="6"/>
      <c r="X241" s="6"/>
      <c r="Y241" s="7"/>
      <c r="Z241" s="6"/>
      <c r="AA241" s="6"/>
      <c r="AB241" s="6"/>
      <c r="AC241" s="6"/>
      <c r="AD241" s="6"/>
      <c r="AE241" s="6"/>
      <c r="AF241" s="6"/>
      <c r="AG241" s="6"/>
      <c r="AH241" s="6"/>
      <c r="AI241" s="7"/>
      <c r="AJ241" s="6"/>
      <c r="AK241" s="6"/>
      <c r="AL241" s="6"/>
      <c r="AM241" s="6"/>
      <c r="AN241" s="6"/>
      <c r="AO241" s="6"/>
      <c r="AP241" s="6"/>
      <c r="AQ241" s="6"/>
      <c r="AR241" s="6"/>
      <c r="AS241" s="7"/>
      <c r="AT241" s="6"/>
      <c r="AU241" s="6"/>
      <c r="AV241" s="6"/>
      <c r="AW241" s="6"/>
      <c r="AX241" s="6"/>
      <c r="AY241" s="6"/>
      <c r="AZ241" s="6"/>
      <c r="BA241" s="6"/>
      <c r="BB241" s="6"/>
      <c r="BC241" s="7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</row>
    <row r="242" spans="1:70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7"/>
      <c r="P242" s="6"/>
      <c r="Q242" s="6"/>
      <c r="R242" s="6"/>
      <c r="S242" s="6"/>
      <c r="T242" s="6"/>
      <c r="U242" s="6"/>
      <c r="V242" s="6"/>
      <c r="W242" s="6"/>
      <c r="X242" s="6"/>
      <c r="Y242" s="7"/>
      <c r="Z242" s="6"/>
      <c r="AA242" s="6"/>
      <c r="AB242" s="6"/>
      <c r="AC242" s="6"/>
      <c r="AD242" s="6"/>
      <c r="AE242" s="6"/>
      <c r="AF242" s="6"/>
      <c r="AG242" s="6"/>
      <c r="AH242" s="6"/>
      <c r="AI242" s="7"/>
      <c r="AJ242" s="6"/>
      <c r="AK242" s="6"/>
      <c r="AL242" s="6"/>
      <c r="AM242" s="6"/>
      <c r="AN242" s="6"/>
      <c r="AO242" s="6"/>
      <c r="AP242" s="6"/>
      <c r="AQ242" s="6"/>
      <c r="AR242" s="6"/>
      <c r="AS242" s="7"/>
      <c r="AT242" s="6"/>
      <c r="AU242" s="6"/>
      <c r="AV242" s="6"/>
      <c r="AW242" s="6"/>
      <c r="AX242" s="6"/>
      <c r="AY242" s="6"/>
      <c r="AZ242" s="6"/>
      <c r="BA242" s="6"/>
      <c r="BB242" s="6"/>
      <c r="BC242" s="7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</row>
    <row r="243" spans="1:70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7"/>
      <c r="P243" s="6"/>
      <c r="Q243" s="6"/>
      <c r="R243" s="6"/>
      <c r="S243" s="6"/>
      <c r="T243" s="6"/>
      <c r="U243" s="6"/>
      <c r="V243" s="6"/>
      <c r="W243" s="6"/>
      <c r="X243" s="6"/>
      <c r="Y243" s="7"/>
      <c r="Z243" s="6"/>
      <c r="AA243" s="6"/>
      <c r="AB243" s="6"/>
      <c r="AC243" s="6"/>
      <c r="AD243" s="6"/>
      <c r="AE243" s="6"/>
      <c r="AF243" s="6"/>
      <c r="AG243" s="6"/>
      <c r="AH243" s="6"/>
      <c r="AI243" s="7"/>
      <c r="AJ243" s="6"/>
      <c r="AK243" s="6"/>
      <c r="AL243" s="6"/>
      <c r="AM243" s="6"/>
      <c r="AN243" s="6"/>
      <c r="AO243" s="6"/>
      <c r="AP243" s="6"/>
      <c r="AQ243" s="6"/>
      <c r="AR243" s="6"/>
      <c r="AS243" s="7"/>
      <c r="AT243" s="6"/>
      <c r="AU243" s="6"/>
      <c r="AV243" s="6"/>
      <c r="AW243" s="6"/>
      <c r="AX243" s="6"/>
      <c r="AY243" s="6"/>
      <c r="AZ243" s="6"/>
      <c r="BA243" s="6"/>
      <c r="BB243" s="6"/>
      <c r="BC243" s="7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</row>
    <row r="244" spans="1:70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7"/>
      <c r="P244" s="6"/>
      <c r="Q244" s="6"/>
      <c r="R244" s="6"/>
      <c r="S244" s="6"/>
      <c r="T244" s="6"/>
      <c r="U244" s="6"/>
      <c r="V244" s="6"/>
      <c r="W244" s="6"/>
      <c r="X244" s="6"/>
      <c r="Y244" s="7"/>
      <c r="Z244" s="6"/>
      <c r="AA244" s="6"/>
      <c r="AB244" s="6"/>
      <c r="AC244" s="6"/>
      <c r="AD244" s="6"/>
      <c r="AE244" s="6"/>
      <c r="AF244" s="6"/>
      <c r="AG244" s="6"/>
      <c r="AH244" s="6"/>
      <c r="AI244" s="7"/>
      <c r="AJ244" s="6"/>
      <c r="AK244" s="6"/>
      <c r="AL244" s="6"/>
      <c r="AM244" s="6"/>
      <c r="AN244" s="6"/>
      <c r="AO244" s="6"/>
      <c r="AP244" s="6"/>
      <c r="AQ244" s="6"/>
      <c r="AR244" s="6"/>
      <c r="AS244" s="7"/>
      <c r="AT244" s="6"/>
      <c r="AU244" s="6"/>
      <c r="AV244" s="6"/>
      <c r="AW244" s="6"/>
      <c r="AX244" s="6"/>
      <c r="AY244" s="6"/>
      <c r="AZ244" s="6"/>
      <c r="BA244" s="6"/>
      <c r="BB244" s="6"/>
      <c r="BC244" s="7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</row>
    <row r="245" spans="1:70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7"/>
      <c r="P245" s="6"/>
      <c r="Q245" s="6"/>
      <c r="R245" s="6"/>
      <c r="S245" s="6"/>
      <c r="T245" s="6"/>
      <c r="U245" s="6"/>
      <c r="V245" s="6"/>
      <c r="W245" s="6"/>
      <c r="X245" s="6"/>
      <c r="Y245" s="7"/>
      <c r="Z245" s="6"/>
      <c r="AA245" s="6"/>
      <c r="AB245" s="6"/>
      <c r="AC245" s="6"/>
      <c r="AD245" s="6"/>
      <c r="AE245" s="6"/>
      <c r="AF245" s="6"/>
      <c r="AG245" s="6"/>
      <c r="AH245" s="6"/>
      <c r="AI245" s="7"/>
      <c r="AJ245" s="6"/>
      <c r="AK245" s="6"/>
      <c r="AL245" s="6"/>
      <c r="AM245" s="6"/>
      <c r="AN245" s="6"/>
      <c r="AO245" s="6"/>
      <c r="AP245" s="6"/>
      <c r="AQ245" s="6"/>
      <c r="AR245" s="6"/>
      <c r="AS245" s="7"/>
      <c r="AT245" s="6"/>
      <c r="AU245" s="6"/>
      <c r="AV245" s="6"/>
      <c r="AW245" s="6"/>
      <c r="AX245" s="6"/>
      <c r="AY245" s="6"/>
      <c r="AZ245" s="6"/>
      <c r="BA245" s="6"/>
      <c r="BB245" s="6"/>
      <c r="BC245" s="7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</row>
    <row r="246" spans="1:70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7"/>
      <c r="P246" s="6"/>
      <c r="Q246" s="6"/>
      <c r="R246" s="6"/>
      <c r="S246" s="6"/>
      <c r="T246" s="6"/>
      <c r="U246" s="6"/>
      <c r="V246" s="6"/>
      <c r="W246" s="6"/>
      <c r="X246" s="6"/>
      <c r="Y246" s="7"/>
      <c r="Z246" s="6"/>
      <c r="AA246" s="6"/>
      <c r="AB246" s="6"/>
      <c r="AC246" s="6"/>
      <c r="AD246" s="6"/>
      <c r="AE246" s="6"/>
      <c r="AF246" s="6"/>
      <c r="AG246" s="6"/>
      <c r="AH246" s="6"/>
      <c r="AI246" s="7"/>
      <c r="AJ246" s="6"/>
      <c r="AK246" s="6"/>
      <c r="AL246" s="6"/>
      <c r="AM246" s="6"/>
      <c r="AN246" s="6"/>
      <c r="AO246" s="6"/>
      <c r="AP246" s="6"/>
      <c r="AQ246" s="6"/>
      <c r="AR246" s="6"/>
      <c r="AS246" s="7"/>
      <c r="AT246" s="6"/>
      <c r="AU246" s="6"/>
      <c r="AV246" s="6"/>
      <c r="AW246" s="6"/>
      <c r="AX246" s="6"/>
      <c r="AY246" s="6"/>
      <c r="AZ246" s="6"/>
      <c r="BA246" s="6"/>
      <c r="BB246" s="6"/>
      <c r="BC246" s="7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</row>
    <row r="247" spans="1:70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7"/>
      <c r="P247" s="6"/>
      <c r="Q247" s="6"/>
      <c r="R247" s="6"/>
      <c r="S247" s="6"/>
      <c r="T247" s="6"/>
      <c r="U247" s="6"/>
      <c r="V247" s="6"/>
      <c r="W247" s="6"/>
      <c r="X247" s="6"/>
      <c r="Y247" s="7"/>
      <c r="Z247" s="6"/>
      <c r="AA247" s="6"/>
      <c r="AB247" s="6"/>
      <c r="AC247" s="6"/>
      <c r="AD247" s="6"/>
      <c r="AE247" s="6"/>
      <c r="AF247" s="6"/>
      <c r="AG247" s="6"/>
      <c r="AH247" s="6"/>
      <c r="AI247" s="7"/>
      <c r="AJ247" s="6"/>
      <c r="AK247" s="6"/>
      <c r="AL247" s="6"/>
      <c r="AM247" s="6"/>
      <c r="AN247" s="6"/>
      <c r="AO247" s="6"/>
      <c r="AP247" s="6"/>
      <c r="AQ247" s="6"/>
      <c r="AR247" s="6"/>
      <c r="AS247" s="7"/>
      <c r="AT247" s="6"/>
      <c r="AU247" s="6"/>
      <c r="AV247" s="6"/>
      <c r="AW247" s="6"/>
      <c r="AX247" s="6"/>
      <c r="AY247" s="6"/>
      <c r="AZ247" s="6"/>
      <c r="BA247" s="6"/>
      <c r="BB247" s="6"/>
      <c r="BC247" s="7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</row>
    <row r="248" spans="1:70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7"/>
      <c r="P248" s="6"/>
      <c r="Q248" s="6"/>
      <c r="R248" s="6"/>
      <c r="S248" s="6"/>
      <c r="T248" s="6"/>
      <c r="U248" s="6"/>
      <c r="V248" s="6"/>
      <c r="W248" s="6"/>
      <c r="X248" s="6"/>
      <c r="Y248" s="7"/>
      <c r="Z248" s="6"/>
      <c r="AA248" s="6"/>
      <c r="AB248" s="6"/>
      <c r="AC248" s="6"/>
      <c r="AD248" s="6"/>
      <c r="AE248" s="6"/>
      <c r="AF248" s="6"/>
      <c r="AG248" s="6"/>
      <c r="AH248" s="6"/>
      <c r="AI248" s="7"/>
      <c r="AJ248" s="6"/>
      <c r="AK248" s="6"/>
      <c r="AL248" s="6"/>
      <c r="AM248" s="6"/>
      <c r="AN248" s="6"/>
      <c r="AO248" s="6"/>
      <c r="AP248" s="6"/>
      <c r="AQ248" s="6"/>
      <c r="AR248" s="6"/>
      <c r="AS248" s="7"/>
      <c r="AT248" s="6"/>
      <c r="AU248" s="6"/>
      <c r="AV248" s="6"/>
      <c r="AW248" s="6"/>
      <c r="AX248" s="6"/>
      <c r="AY248" s="6"/>
      <c r="AZ248" s="6"/>
      <c r="BA248" s="6"/>
      <c r="BB248" s="6"/>
      <c r="BC248" s="7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</row>
    <row r="249" spans="1:70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7"/>
      <c r="P249" s="6"/>
      <c r="Q249" s="6"/>
      <c r="R249" s="6"/>
      <c r="S249" s="6"/>
      <c r="T249" s="6"/>
      <c r="U249" s="6"/>
      <c r="V249" s="6"/>
      <c r="W249" s="6"/>
      <c r="X249" s="6"/>
      <c r="Y249" s="7"/>
      <c r="Z249" s="6"/>
      <c r="AA249" s="6"/>
      <c r="AB249" s="6"/>
      <c r="AC249" s="6"/>
      <c r="AD249" s="6"/>
      <c r="AE249" s="6"/>
      <c r="AF249" s="6"/>
      <c r="AG249" s="6"/>
      <c r="AH249" s="6"/>
      <c r="AI249" s="7"/>
      <c r="AJ249" s="6"/>
      <c r="AK249" s="6"/>
      <c r="AL249" s="6"/>
      <c r="AM249" s="6"/>
      <c r="AN249" s="6"/>
      <c r="AO249" s="6"/>
      <c r="AP249" s="6"/>
      <c r="AQ249" s="6"/>
      <c r="AR249" s="6"/>
      <c r="AS249" s="7"/>
      <c r="AT249" s="6"/>
      <c r="AU249" s="6"/>
      <c r="AV249" s="6"/>
      <c r="AW249" s="6"/>
      <c r="AX249" s="6"/>
      <c r="AY249" s="6"/>
      <c r="AZ249" s="6"/>
      <c r="BA249" s="6"/>
      <c r="BB249" s="6"/>
      <c r="BC249" s="7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</row>
    <row r="250" spans="1:70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7"/>
      <c r="P250" s="6"/>
      <c r="Q250" s="6"/>
      <c r="R250" s="6"/>
      <c r="S250" s="6"/>
      <c r="T250" s="6"/>
      <c r="U250" s="6"/>
      <c r="V250" s="6"/>
      <c r="W250" s="6"/>
      <c r="X250" s="6"/>
      <c r="Y250" s="7"/>
      <c r="Z250" s="6"/>
      <c r="AA250" s="6"/>
      <c r="AB250" s="6"/>
      <c r="AC250" s="6"/>
      <c r="AD250" s="6"/>
      <c r="AE250" s="6"/>
      <c r="AF250" s="6"/>
      <c r="AG250" s="6"/>
      <c r="AH250" s="6"/>
      <c r="AI250" s="7"/>
      <c r="AJ250" s="6"/>
      <c r="AK250" s="6"/>
      <c r="AL250" s="6"/>
      <c r="AM250" s="6"/>
      <c r="AN250" s="6"/>
      <c r="AO250" s="6"/>
      <c r="AP250" s="6"/>
      <c r="AQ250" s="6"/>
      <c r="AR250" s="6"/>
      <c r="AS250" s="7"/>
      <c r="AT250" s="6"/>
      <c r="AU250" s="6"/>
      <c r="AV250" s="6"/>
      <c r="AW250" s="6"/>
      <c r="AX250" s="6"/>
      <c r="AY250" s="6"/>
      <c r="AZ250" s="6"/>
      <c r="BA250" s="6"/>
      <c r="BB250" s="6"/>
      <c r="BC250" s="7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</row>
    <row r="251" spans="1:70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7"/>
      <c r="P251" s="6"/>
      <c r="Q251" s="6"/>
      <c r="R251" s="6"/>
      <c r="S251" s="6"/>
      <c r="T251" s="6"/>
      <c r="U251" s="6"/>
      <c r="V251" s="6"/>
      <c r="W251" s="6"/>
      <c r="X251" s="6"/>
      <c r="Y251" s="7"/>
      <c r="Z251" s="6"/>
      <c r="AA251" s="6"/>
      <c r="AB251" s="6"/>
      <c r="AC251" s="6"/>
      <c r="AD251" s="6"/>
      <c r="AE251" s="6"/>
      <c r="AF251" s="6"/>
      <c r="AG251" s="6"/>
      <c r="AH251" s="6"/>
      <c r="AI251" s="7"/>
      <c r="AJ251" s="6"/>
      <c r="AK251" s="6"/>
      <c r="AL251" s="6"/>
      <c r="AM251" s="6"/>
      <c r="AN251" s="6"/>
      <c r="AO251" s="6"/>
      <c r="AP251" s="6"/>
      <c r="AQ251" s="6"/>
      <c r="AR251" s="6"/>
      <c r="AS251" s="7"/>
      <c r="AT251" s="6"/>
      <c r="AU251" s="6"/>
      <c r="AV251" s="6"/>
      <c r="AW251" s="6"/>
      <c r="AX251" s="6"/>
      <c r="AY251" s="6"/>
      <c r="AZ251" s="6"/>
      <c r="BA251" s="6"/>
      <c r="BB251" s="6"/>
      <c r="BC251" s="7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</row>
    <row r="252" spans="1:70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7"/>
      <c r="P252" s="6"/>
      <c r="Q252" s="6"/>
      <c r="R252" s="6"/>
      <c r="S252" s="6"/>
      <c r="T252" s="6"/>
      <c r="U252" s="6"/>
      <c r="V252" s="6"/>
      <c r="W252" s="6"/>
      <c r="X252" s="6"/>
      <c r="Y252" s="7"/>
      <c r="Z252" s="6"/>
      <c r="AA252" s="6"/>
      <c r="AB252" s="6"/>
      <c r="AC252" s="6"/>
      <c r="AD252" s="6"/>
      <c r="AE252" s="6"/>
      <c r="AF252" s="6"/>
      <c r="AG252" s="6"/>
      <c r="AH252" s="6"/>
      <c r="AI252" s="7"/>
      <c r="AJ252" s="6"/>
      <c r="AK252" s="6"/>
      <c r="AL252" s="6"/>
      <c r="AM252" s="6"/>
      <c r="AN252" s="6"/>
      <c r="AO252" s="6"/>
      <c r="AP252" s="6"/>
      <c r="AQ252" s="6"/>
      <c r="AR252" s="6"/>
      <c r="AS252" s="7"/>
      <c r="AT252" s="6"/>
      <c r="AU252" s="6"/>
      <c r="AV252" s="6"/>
      <c r="AW252" s="6"/>
      <c r="AX252" s="6"/>
      <c r="AY252" s="6"/>
      <c r="AZ252" s="6"/>
      <c r="BA252" s="6"/>
      <c r="BB252" s="6"/>
      <c r="BC252" s="7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</row>
    <row r="253" spans="1:70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7"/>
      <c r="P253" s="6"/>
      <c r="Q253" s="6"/>
      <c r="R253" s="6"/>
      <c r="S253" s="6"/>
      <c r="T253" s="6"/>
      <c r="U253" s="6"/>
      <c r="V253" s="6"/>
      <c r="W253" s="6"/>
      <c r="X253" s="6"/>
      <c r="Y253" s="7"/>
      <c r="Z253" s="6"/>
      <c r="AA253" s="6"/>
      <c r="AB253" s="6"/>
      <c r="AC253" s="6"/>
      <c r="AD253" s="6"/>
      <c r="AE253" s="6"/>
      <c r="AF253" s="6"/>
      <c r="AG253" s="6"/>
      <c r="AH253" s="6"/>
      <c r="AI253" s="7"/>
      <c r="AJ253" s="6"/>
      <c r="AK253" s="6"/>
      <c r="AL253" s="6"/>
      <c r="AM253" s="6"/>
      <c r="AN253" s="6"/>
      <c r="AO253" s="6"/>
      <c r="AP253" s="6"/>
      <c r="AQ253" s="6"/>
      <c r="AR253" s="6"/>
      <c r="AS253" s="7"/>
      <c r="AT253" s="6"/>
      <c r="AU253" s="6"/>
      <c r="AV253" s="6"/>
      <c r="AW253" s="6"/>
      <c r="AX253" s="6"/>
      <c r="AY253" s="6"/>
      <c r="AZ253" s="6"/>
      <c r="BA253" s="6"/>
      <c r="BB253" s="6"/>
      <c r="BC253" s="7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</row>
    <row r="254" spans="1:70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7"/>
      <c r="P254" s="6"/>
      <c r="Q254" s="6"/>
      <c r="R254" s="6"/>
      <c r="S254" s="6"/>
      <c r="T254" s="6"/>
      <c r="U254" s="6"/>
      <c r="V254" s="6"/>
      <c r="W254" s="6"/>
      <c r="X254" s="6"/>
      <c r="Y254" s="7"/>
      <c r="Z254" s="6"/>
      <c r="AA254" s="6"/>
      <c r="AB254" s="6"/>
      <c r="AC254" s="6"/>
      <c r="AD254" s="6"/>
      <c r="AE254" s="6"/>
      <c r="AF254" s="6"/>
      <c r="AG254" s="6"/>
      <c r="AH254" s="6"/>
      <c r="AI254" s="7"/>
      <c r="AJ254" s="6"/>
      <c r="AK254" s="6"/>
      <c r="AL254" s="6"/>
      <c r="AM254" s="6"/>
      <c r="AN254" s="6"/>
      <c r="AO254" s="6"/>
      <c r="AP254" s="6"/>
      <c r="AQ254" s="6"/>
      <c r="AR254" s="6"/>
      <c r="AS254" s="7"/>
      <c r="AT254" s="6"/>
      <c r="AU254" s="6"/>
      <c r="AV254" s="6"/>
      <c r="AW254" s="6"/>
      <c r="AX254" s="6"/>
      <c r="AY254" s="6"/>
      <c r="AZ254" s="6"/>
      <c r="BA254" s="6"/>
      <c r="BB254" s="6"/>
      <c r="BC254" s="7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</row>
    <row r="255" spans="1:70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7"/>
      <c r="P255" s="6"/>
      <c r="Q255" s="6"/>
      <c r="R255" s="6"/>
      <c r="S255" s="6"/>
      <c r="T255" s="6"/>
      <c r="U255" s="6"/>
      <c r="V255" s="6"/>
      <c r="W255" s="6"/>
      <c r="X255" s="6"/>
      <c r="Y255" s="7"/>
      <c r="Z255" s="6"/>
      <c r="AA255" s="6"/>
      <c r="AB255" s="6"/>
      <c r="AC255" s="6"/>
      <c r="AD255" s="6"/>
      <c r="AE255" s="6"/>
      <c r="AF255" s="6"/>
      <c r="AG255" s="6"/>
      <c r="AH255" s="6"/>
      <c r="AI255" s="7"/>
      <c r="AJ255" s="6"/>
      <c r="AK255" s="6"/>
      <c r="AL255" s="6"/>
      <c r="AM255" s="6"/>
      <c r="AN255" s="6"/>
      <c r="AO255" s="6"/>
      <c r="AP255" s="6"/>
      <c r="AQ255" s="6"/>
      <c r="AR255" s="6"/>
      <c r="AS255" s="7"/>
      <c r="AT255" s="6"/>
      <c r="AU255" s="6"/>
      <c r="AV255" s="6"/>
      <c r="AW255" s="6"/>
      <c r="AX255" s="6"/>
      <c r="AY255" s="6"/>
      <c r="AZ255" s="6"/>
      <c r="BA255" s="6"/>
      <c r="BB255" s="6"/>
      <c r="BC255" s="7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</row>
    <row r="256" spans="1:70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7"/>
      <c r="P256" s="6"/>
      <c r="Q256" s="6"/>
      <c r="R256" s="6"/>
      <c r="S256" s="6"/>
      <c r="T256" s="6"/>
      <c r="U256" s="6"/>
      <c r="V256" s="6"/>
      <c r="W256" s="6"/>
      <c r="X256" s="6"/>
      <c r="Y256" s="7"/>
      <c r="Z256" s="6"/>
      <c r="AA256" s="6"/>
      <c r="AB256" s="6"/>
      <c r="AC256" s="6"/>
      <c r="AD256" s="6"/>
      <c r="AE256" s="6"/>
      <c r="AF256" s="6"/>
      <c r="AG256" s="6"/>
      <c r="AH256" s="6"/>
      <c r="AI256" s="7"/>
      <c r="AJ256" s="6"/>
      <c r="AK256" s="6"/>
      <c r="AL256" s="6"/>
      <c r="AM256" s="6"/>
      <c r="AN256" s="6"/>
      <c r="AO256" s="6"/>
      <c r="AP256" s="6"/>
      <c r="AQ256" s="6"/>
      <c r="AR256" s="6"/>
      <c r="AS256" s="7"/>
      <c r="AT256" s="6"/>
      <c r="AU256" s="6"/>
      <c r="AV256" s="6"/>
      <c r="AW256" s="6"/>
      <c r="AX256" s="6"/>
      <c r="AY256" s="6"/>
      <c r="AZ256" s="6"/>
      <c r="BA256" s="6"/>
      <c r="BB256" s="6"/>
      <c r="BC256" s="7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</row>
    <row r="257" spans="1:70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7"/>
      <c r="P257" s="6"/>
      <c r="Q257" s="6"/>
      <c r="R257" s="6"/>
      <c r="S257" s="6"/>
      <c r="T257" s="6"/>
      <c r="U257" s="6"/>
      <c r="V257" s="6"/>
      <c r="W257" s="6"/>
      <c r="X257" s="6"/>
      <c r="Y257" s="7"/>
      <c r="Z257" s="6"/>
      <c r="AA257" s="6"/>
      <c r="AB257" s="6"/>
      <c r="AC257" s="6"/>
      <c r="AD257" s="6"/>
      <c r="AE257" s="6"/>
      <c r="AF257" s="6"/>
      <c r="AG257" s="6"/>
      <c r="AH257" s="6"/>
      <c r="AI257" s="7"/>
      <c r="AJ257" s="6"/>
      <c r="AK257" s="6"/>
      <c r="AL257" s="6"/>
      <c r="AM257" s="6"/>
      <c r="AN257" s="6"/>
      <c r="AO257" s="6"/>
      <c r="AP257" s="6"/>
      <c r="AQ257" s="6"/>
      <c r="AR257" s="6"/>
      <c r="AS257" s="7"/>
      <c r="AT257" s="6"/>
      <c r="AU257" s="6"/>
      <c r="AV257" s="6"/>
      <c r="AW257" s="6"/>
      <c r="AX257" s="6"/>
      <c r="AY257" s="6"/>
      <c r="AZ257" s="6"/>
      <c r="BA257" s="6"/>
      <c r="BB257" s="6"/>
      <c r="BC257" s="7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</row>
    <row r="258" spans="1:70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7"/>
      <c r="P258" s="6"/>
      <c r="Q258" s="6"/>
      <c r="R258" s="6"/>
      <c r="S258" s="6"/>
      <c r="T258" s="6"/>
      <c r="U258" s="6"/>
      <c r="V258" s="6"/>
      <c r="W258" s="6"/>
      <c r="X258" s="6"/>
      <c r="Y258" s="7"/>
      <c r="Z258" s="6"/>
      <c r="AA258" s="6"/>
      <c r="AB258" s="6"/>
      <c r="AC258" s="6"/>
      <c r="AD258" s="6"/>
      <c r="AE258" s="6"/>
      <c r="AF258" s="6"/>
      <c r="AG258" s="6"/>
      <c r="AH258" s="6"/>
      <c r="AI258" s="7"/>
      <c r="AJ258" s="6"/>
      <c r="AK258" s="6"/>
      <c r="AL258" s="6"/>
      <c r="AM258" s="6"/>
      <c r="AN258" s="6"/>
      <c r="AO258" s="6"/>
      <c r="AP258" s="6"/>
      <c r="AQ258" s="6"/>
      <c r="AR258" s="6"/>
      <c r="AS258" s="7"/>
      <c r="AT258" s="6"/>
      <c r="AU258" s="6"/>
      <c r="AV258" s="6"/>
      <c r="AW258" s="6"/>
      <c r="AX258" s="6"/>
      <c r="AY258" s="6"/>
      <c r="AZ258" s="6"/>
      <c r="BA258" s="6"/>
      <c r="BB258" s="6"/>
      <c r="BC258" s="7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</row>
    <row r="259" spans="1:70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7"/>
      <c r="P259" s="6"/>
      <c r="Q259" s="6"/>
      <c r="R259" s="6"/>
      <c r="S259" s="6"/>
      <c r="T259" s="6"/>
      <c r="U259" s="6"/>
      <c r="V259" s="6"/>
      <c r="W259" s="6"/>
      <c r="X259" s="6"/>
      <c r="Y259" s="7"/>
      <c r="Z259" s="6"/>
      <c r="AA259" s="6"/>
      <c r="AB259" s="6"/>
      <c r="AC259" s="6"/>
      <c r="AD259" s="6"/>
      <c r="AE259" s="6"/>
      <c r="AF259" s="6"/>
      <c r="AG259" s="6"/>
      <c r="AH259" s="6"/>
      <c r="AI259" s="7"/>
      <c r="AJ259" s="6"/>
      <c r="AK259" s="6"/>
      <c r="AL259" s="6"/>
      <c r="AM259" s="6"/>
      <c r="AN259" s="6"/>
      <c r="AO259" s="6"/>
      <c r="AP259" s="6"/>
      <c r="AQ259" s="6"/>
      <c r="AR259" s="6"/>
      <c r="AS259" s="7"/>
      <c r="AT259" s="6"/>
      <c r="AU259" s="6"/>
      <c r="AV259" s="6"/>
      <c r="AW259" s="6"/>
      <c r="AX259" s="6"/>
      <c r="AY259" s="6"/>
      <c r="AZ259" s="6"/>
      <c r="BA259" s="6"/>
      <c r="BB259" s="6"/>
      <c r="BC259" s="7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</row>
    <row r="260" spans="1:70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7"/>
      <c r="P260" s="6"/>
      <c r="Q260" s="6"/>
      <c r="R260" s="6"/>
      <c r="S260" s="6"/>
      <c r="T260" s="6"/>
      <c r="U260" s="6"/>
      <c r="V260" s="6"/>
      <c r="W260" s="6"/>
      <c r="X260" s="6"/>
      <c r="Y260" s="7"/>
      <c r="Z260" s="6"/>
      <c r="AA260" s="6"/>
      <c r="AB260" s="6"/>
      <c r="AC260" s="6"/>
      <c r="AD260" s="6"/>
      <c r="AE260" s="6"/>
      <c r="AF260" s="6"/>
      <c r="AG260" s="6"/>
      <c r="AH260" s="6"/>
      <c r="AI260" s="7"/>
      <c r="AJ260" s="6"/>
      <c r="AK260" s="6"/>
      <c r="AL260" s="6"/>
      <c r="AM260" s="6"/>
      <c r="AN260" s="6"/>
      <c r="AO260" s="6"/>
      <c r="AP260" s="6"/>
      <c r="AQ260" s="6"/>
      <c r="AR260" s="6"/>
      <c r="AS260" s="7"/>
      <c r="AT260" s="6"/>
      <c r="AU260" s="6"/>
      <c r="AV260" s="6"/>
      <c r="AW260" s="6"/>
      <c r="AX260" s="6"/>
      <c r="AY260" s="6"/>
      <c r="AZ260" s="6"/>
      <c r="BA260" s="6"/>
      <c r="BB260" s="6"/>
      <c r="BC260" s="7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</row>
    <row r="261" spans="1:70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7"/>
      <c r="P261" s="6"/>
      <c r="Q261" s="6"/>
      <c r="R261" s="6"/>
      <c r="S261" s="6"/>
      <c r="T261" s="6"/>
      <c r="U261" s="6"/>
      <c r="V261" s="6"/>
      <c r="W261" s="6"/>
      <c r="X261" s="6"/>
      <c r="Y261" s="7"/>
      <c r="Z261" s="6"/>
      <c r="AA261" s="6"/>
      <c r="AB261" s="6"/>
      <c r="AC261" s="6"/>
      <c r="AD261" s="6"/>
      <c r="AE261" s="6"/>
      <c r="AF261" s="6"/>
      <c r="AG261" s="6"/>
      <c r="AH261" s="6"/>
      <c r="AI261" s="7"/>
      <c r="AJ261" s="6"/>
      <c r="AK261" s="6"/>
      <c r="AL261" s="6"/>
      <c r="AM261" s="6"/>
      <c r="AN261" s="6"/>
      <c r="AO261" s="6"/>
      <c r="AP261" s="6"/>
      <c r="AQ261" s="6"/>
      <c r="AR261" s="6"/>
      <c r="AS261" s="7"/>
      <c r="AT261" s="6"/>
      <c r="AU261" s="6"/>
      <c r="AV261" s="6"/>
      <c r="AW261" s="6"/>
      <c r="AX261" s="6"/>
      <c r="AY261" s="6"/>
      <c r="AZ261" s="6"/>
      <c r="BA261" s="6"/>
      <c r="BB261" s="6"/>
      <c r="BC261" s="7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</row>
    <row r="262" spans="1:70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7"/>
      <c r="P262" s="6"/>
      <c r="Q262" s="6"/>
      <c r="R262" s="6"/>
      <c r="S262" s="6"/>
      <c r="T262" s="6"/>
      <c r="U262" s="6"/>
      <c r="V262" s="6"/>
      <c r="W262" s="6"/>
      <c r="X262" s="6"/>
      <c r="Y262" s="7"/>
      <c r="Z262" s="6"/>
      <c r="AA262" s="6"/>
      <c r="AB262" s="6"/>
      <c r="AC262" s="6"/>
      <c r="AD262" s="6"/>
      <c r="AE262" s="6"/>
      <c r="AF262" s="6"/>
      <c r="AG262" s="6"/>
      <c r="AH262" s="6"/>
      <c r="AI262" s="7"/>
      <c r="AJ262" s="6"/>
      <c r="AK262" s="6"/>
      <c r="AL262" s="6"/>
      <c r="AM262" s="6"/>
      <c r="AN262" s="6"/>
      <c r="AO262" s="6"/>
      <c r="AP262" s="6"/>
      <c r="AQ262" s="6"/>
      <c r="AR262" s="6"/>
      <c r="AS262" s="7"/>
      <c r="AT262" s="6"/>
      <c r="AU262" s="6"/>
      <c r="AV262" s="6"/>
      <c r="AW262" s="6"/>
      <c r="AX262" s="6"/>
      <c r="AY262" s="6"/>
      <c r="AZ262" s="6"/>
      <c r="BA262" s="6"/>
      <c r="BB262" s="6"/>
      <c r="BC262" s="7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</row>
    <row r="263" spans="1:70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7"/>
      <c r="P263" s="6"/>
      <c r="Q263" s="6"/>
      <c r="R263" s="6"/>
      <c r="S263" s="6"/>
      <c r="T263" s="6"/>
      <c r="U263" s="6"/>
      <c r="V263" s="6"/>
      <c r="W263" s="6"/>
      <c r="X263" s="6"/>
      <c r="Y263" s="7"/>
      <c r="Z263" s="6"/>
      <c r="AA263" s="6"/>
      <c r="AB263" s="6"/>
      <c r="AC263" s="6"/>
      <c r="AD263" s="6"/>
      <c r="AE263" s="6"/>
      <c r="AF263" s="6"/>
      <c r="AG263" s="6"/>
      <c r="AH263" s="6"/>
      <c r="AI263" s="7"/>
      <c r="AJ263" s="6"/>
      <c r="AK263" s="6"/>
      <c r="AL263" s="6"/>
      <c r="AM263" s="6"/>
      <c r="AN263" s="6"/>
      <c r="AO263" s="6"/>
      <c r="AP263" s="6"/>
      <c r="AQ263" s="6"/>
      <c r="AR263" s="6"/>
      <c r="AS263" s="7"/>
      <c r="AT263" s="6"/>
      <c r="AU263" s="6"/>
      <c r="AV263" s="6"/>
      <c r="AW263" s="6"/>
      <c r="AX263" s="6"/>
      <c r="AY263" s="6"/>
      <c r="AZ263" s="6"/>
      <c r="BA263" s="6"/>
      <c r="BB263" s="6"/>
      <c r="BC263" s="7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</row>
    <row r="264" spans="1:70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7"/>
      <c r="P264" s="6"/>
      <c r="Q264" s="6"/>
      <c r="R264" s="6"/>
      <c r="S264" s="6"/>
      <c r="T264" s="6"/>
      <c r="U264" s="6"/>
      <c r="V264" s="6"/>
      <c r="W264" s="6"/>
      <c r="X264" s="6"/>
      <c r="Y264" s="7"/>
      <c r="Z264" s="6"/>
      <c r="AA264" s="6"/>
      <c r="AB264" s="6"/>
      <c r="AC264" s="6"/>
      <c r="AD264" s="6"/>
      <c r="AE264" s="6"/>
      <c r="AF264" s="6"/>
      <c r="AG264" s="6"/>
      <c r="AH264" s="6"/>
      <c r="AI264" s="7"/>
      <c r="AJ264" s="6"/>
      <c r="AK264" s="6"/>
      <c r="AL264" s="6"/>
      <c r="AM264" s="6"/>
      <c r="AN264" s="6"/>
      <c r="AO264" s="6"/>
      <c r="AP264" s="6"/>
      <c r="AQ264" s="6"/>
      <c r="AR264" s="6"/>
      <c r="AS264" s="7"/>
      <c r="AT264" s="6"/>
      <c r="AU264" s="6"/>
      <c r="AV264" s="6"/>
      <c r="AW264" s="6"/>
      <c r="AX264" s="6"/>
      <c r="AY264" s="6"/>
      <c r="AZ264" s="6"/>
      <c r="BA264" s="6"/>
      <c r="BB264" s="6"/>
      <c r="BC264" s="7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</row>
    <row r="265" spans="1:70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7"/>
      <c r="P265" s="6"/>
      <c r="Q265" s="6"/>
      <c r="R265" s="6"/>
      <c r="S265" s="6"/>
      <c r="T265" s="6"/>
      <c r="U265" s="6"/>
      <c r="V265" s="6"/>
      <c r="W265" s="6"/>
      <c r="X265" s="6"/>
      <c r="Y265" s="7"/>
      <c r="Z265" s="6"/>
      <c r="AA265" s="6"/>
      <c r="AB265" s="6"/>
      <c r="AC265" s="6"/>
      <c r="AD265" s="6"/>
      <c r="AE265" s="6"/>
      <c r="AF265" s="6"/>
      <c r="AG265" s="6"/>
      <c r="AH265" s="6"/>
      <c r="AI265" s="7"/>
      <c r="AJ265" s="6"/>
      <c r="AK265" s="6"/>
      <c r="AL265" s="6"/>
      <c r="AM265" s="6"/>
      <c r="AN265" s="6"/>
      <c r="AO265" s="6"/>
      <c r="AP265" s="6"/>
      <c r="AQ265" s="6"/>
      <c r="AR265" s="6"/>
      <c r="AS265" s="7"/>
      <c r="AT265" s="6"/>
      <c r="AU265" s="6"/>
      <c r="AV265" s="6"/>
      <c r="AW265" s="6"/>
      <c r="AX265" s="6"/>
      <c r="AY265" s="6"/>
      <c r="AZ265" s="6"/>
      <c r="BA265" s="6"/>
      <c r="BB265" s="6"/>
      <c r="BC265" s="7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</row>
    <row r="266" spans="1:70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7"/>
      <c r="P266" s="6"/>
      <c r="Q266" s="6"/>
      <c r="R266" s="6"/>
      <c r="S266" s="6"/>
      <c r="T266" s="6"/>
      <c r="U266" s="6"/>
      <c r="V266" s="6"/>
      <c r="W266" s="6"/>
      <c r="X266" s="6"/>
      <c r="Y266" s="7"/>
      <c r="Z266" s="6"/>
      <c r="AA266" s="6"/>
      <c r="AB266" s="6"/>
      <c r="AC266" s="6"/>
      <c r="AD266" s="6"/>
      <c r="AE266" s="6"/>
      <c r="AF266" s="6"/>
      <c r="AG266" s="6"/>
      <c r="AH266" s="6"/>
      <c r="AI266" s="7"/>
      <c r="AJ266" s="6"/>
      <c r="AK266" s="6"/>
      <c r="AL266" s="6"/>
      <c r="AM266" s="6"/>
      <c r="AN266" s="6"/>
      <c r="AO266" s="6"/>
      <c r="AP266" s="6"/>
      <c r="AQ266" s="6"/>
      <c r="AR266" s="6"/>
      <c r="AS266" s="7"/>
      <c r="AT266" s="6"/>
      <c r="AU266" s="6"/>
      <c r="AV266" s="6"/>
      <c r="AW266" s="6"/>
      <c r="AX266" s="6"/>
      <c r="AY266" s="6"/>
      <c r="AZ266" s="6"/>
      <c r="BA266" s="6"/>
      <c r="BB266" s="6"/>
      <c r="BC266" s="7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</row>
    <row r="267" spans="1:70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7"/>
      <c r="P267" s="6"/>
      <c r="Q267" s="6"/>
      <c r="R267" s="6"/>
      <c r="S267" s="6"/>
      <c r="T267" s="6"/>
      <c r="U267" s="6"/>
      <c r="V267" s="6"/>
      <c r="W267" s="6"/>
      <c r="X267" s="6"/>
      <c r="Y267" s="7"/>
      <c r="Z267" s="6"/>
      <c r="AA267" s="6"/>
      <c r="AB267" s="6"/>
      <c r="AC267" s="6"/>
      <c r="AD267" s="6"/>
      <c r="AE267" s="6"/>
      <c r="AF267" s="6"/>
      <c r="AG267" s="6"/>
      <c r="AH267" s="6"/>
      <c r="AI267" s="7"/>
      <c r="AJ267" s="6"/>
      <c r="AK267" s="6"/>
      <c r="AL267" s="6"/>
      <c r="AM267" s="6"/>
      <c r="AN267" s="6"/>
      <c r="AO267" s="6"/>
      <c r="AP267" s="6"/>
      <c r="AQ267" s="6"/>
      <c r="AR267" s="6"/>
      <c r="AS267" s="7"/>
      <c r="AT267" s="6"/>
      <c r="AU267" s="6"/>
      <c r="AV267" s="6"/>
      <c r="AW267" s="6"/>
      <c r="AX267" s="6"/>
      <c r="AY267" s="6"/>
      <c r="AZ267" s="6"/>
      <c r="BA267" s="6"/>
      <c r="BB267" s="6"/>
      <c r="BC267" s="7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</row>
    <row r="268" spans="1:70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7"/>
      <c r="P268" s="6"/>
      <c r="Q268" s="6"/>
      <c r="R268" s="6"/>
      <c r="S268" s="6"/>
      <c r="T268" s="6"/>
      <c r="U268" s="6"/>
      <c r="V268" s="6"/>
      <c r="W268" s="6"/>
      <c r="X268" s="6"/>
      <c r="Y268" s="7"/>
      <c r="Z268" s="6"/>
      <c r="AA268" s="6"/>
      <c r="AB268" s="6"/>
      <c r="AC268" s="6"/>
      <c r="AD268" s="6"/>
      <c r="AE268" s="6"/>
      <c r="AF268" s="6"/>
      <c r="AG268" s="6"/>
      <c r="AH268" s="6"/>
      <c r="AI268" s="7"/>
      <c r="AJ268" s="6"/>
      <c r="AK268" s="6"/>
      <c r="AL268" s="6"/>
      <c r="AM268" s="6"/>
      <c r="AN268" s="6"/>
      <c r="AO268" s="6"/>
      <c r="AP268" s="6"/>
      <c r="AQ268" s="6"/>
      <c r="AR268" s="6"/>
      <c r="AS268" s="7"/>
      <c r="AT268" s="6"/>
      <c r="AU268" s="6"/>
      <c r="AV268" s="6"/>
      <c r="AW268" s="6"/>
      <c r="AX268" s="6"/>
      <c r="AY268" s="6"/>
      <c r="AZ268" s="6"/>
      <c r="BA268" s="6"/>
      <c r="BB268" s="6"/>
      <c r="BC268" s="7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</row>
    <row r="269" spans="1:70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7"/>
      <c r="P269" s="6"/>
      <c r="Q269" s="6"/>
      <c r="R269" s="6"/>
      <c r="S269" s="6"/>
      <c r="T269" s="6"/>
      <c r="U269" s="6"/>
      <c r="V269" s="6"/>
      <c r="W269" s="6"/>
      <c r="X269" s="6"/>
      <c r="Y269" s="7"/>
      <c r="Z269" s="6"/>
      <c r="AA269" s="6"/>
      <c r="AB269" s="6"/>
      <c r="AC269" s="6"/>
      <c r="AD269" s="6"/>
      <c r="AE269" s="6"/>
      <c r="AF269" s="6"/>
      <c r="AG269" s="6"/>
      <c r="AH269" s="6"/>
      <c r="AI269" s="7"/>
      <c r="AJ269" s="6"/>
      <c r="AK269" s="6"/>
      <c r="AL269" s="6"/>
      <c r="AM269" s="6"/>
      <c r="AN269" s="6"/>
      <c r="AO269" s="6"/>
      <c r="AP269" s="6"/>
      <c r="AQ269" s="6"/>
      <c r="AR269" s="6"/>
      <c r="AS269" s="7"/>
      <c r="AT269" s="6"/>
      <c r="AU269" s="6"/>
      <c r="AV269" s="6"/>
      <c r="AW269" s="6"/>
      <c r="AX269" s="6"/>
      <c r="AY269" s="6"/>
      <c r="AZ269" s="6"/>
      <c r="BA269" s="6"/>
      <c r="BB269" s="6"/>
      <c r="BC269" s="7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</row>
    <row r="270" spans="1:70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7"/>
      <c r="P270" s="6"/>
      <c r="Q270" s="6"/>
      <c r="R270" s="6"/>
      <c r="S270" s="6"/>
      <c r="T270" s="6"/>
      <c r="U270" s="6"/>
      <c r="V270" s="6"/>
      <c r="W270" s="6"/>
      <c r="X270" s="6"/>
      <c r="Y270" s="7"/>
      <c r="Z270" s="6"/>
      <c r="AA270" s="6"/>
      <c r="AB270" s="6"/>
      <c r="AC270" s="6"/>
      <c r="AD270" s="6"/>
      <c r="AE270" s="6"/>
      <c r="AF270" s="6"/>
      <c r="AG270" s="6"/>
      <c r="AH270" s="6"/>
      <c r="AI270" s="7"/>
      <c r="AJ270" s="6"/>
      <c r="AK270" s="6"/>
      <c r="AL270" s="6"/>
      <c r="AM270" s="6"/>
      <c r="AN270" s="6"/>
      <c r="AO270" s="6"/>
      <c r="AP270" s="6"/>
      <c r="AQ270" s="6"/>
      <c r="AR270" s="6"/>
      <c r="AS270" s="7"/>
      <c r="AT270" s="6"/>
      <c r="AU270" s="6"/>
      <c r="AV270" s="6"/>
      <c r="AW270" s="6"/>
      <c r="AX270" s="6"/>
      <c r="AY270" s="6"/>
      <c r="AZ270" s="6"/>
      <c r="BA270" s="6"/>
      <c r="BB270" s="6"/>
      <c r="BC270" s="7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</row>
    <row r="271" spans="1:70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7"/>
      <c r="P271" s="6"/>
      <c r="Q271" s="6"/>
      <c r="R271" s="6"/>
      <c r="S271" s="6"/>
      <c r="T271" s="6"/>
      <c r="U271" s="6"/>
      <c r="V271" s="6"/>
      <c r="W271" s="6"/>
      <c r="X271" s="6"/>
      <c r="Y271" s="7"/>
      <c r="Z271" s="6"/>
      <c r="AA271" s="6"/>
      <c r="AB271" s="6"/>
      <c r="AC271" s="6"/>
      <c r="AD271" s="6"/>
      <c r="AE271" s="6"/>
      <c r="AF271" s="6"/>
      <c r="AG271" s="6"/>
      <c r="AH271" s="6"/>
      <c r="AI271" s="7"/>
      <c r="AJ271" s="6"/>
      <c r="AK271" s="6"/>
      <c r="AL271" s="6"/>
      <c r="AM271" s="6"/>
      <c r="AN271" s="6"/>
      <c r="AO271" s="6"/>
      <c r="AP271" s="6"/>
      <c r="AQ271" s="6"/>
      <c r="AR271" s="6"/>
      <c r="AS271" s="7"/>
      <c r="AT271" s="6"/>
      <c r="AU271" s="6"/>
      <c r="AV271" s="6"/>
      <c r="AW271" s="6"/>
      <c r="AX271" s="6"/>
      <c r="AY271" s="6"/>
      <c r="AZ271" s="6"/>
      <c r="BA271" s="6"/>
      <c r="BB271" s="6"/>
      <c r="BC271" s="7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</row>
    <row r="272" spans="1:70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7"/>
      <c r="P272" s="6"/>
      <c r="Q272" s="6"/>
      <c r="R272" s="6"/>
      <c r="S272" s="6"/>
      <c r="T272" s="6"/>
      <c r="U272" s="6"/>
      <c r="V272" s="6"/>
      <c r="W272" s="6"/>
      <c r="X272" s="6"/>
      <c r="Y272" s="7"/>
      <c r="Z272" s="6"/>
      <c r="AA272" s="6"/>
      <c r="AB272" s="6"/>
      <c r="AC272" s="6"/>
      <c r="AD272" s="6"/>
      <c r="AE272" s="6"/>
      <c r="AF272" s="6"/>
      <c r="AG272" s="6"/>
      <c r="AH272" s="6"/>
      <c r="AI272" s="7"/>
      <c r="AJ272" s="6"/>
      <c r="AK272" s="6"/>
      <c r="AL272" s="6"/>
      <c r="AM272" s="6"/>
      <c r="AN272" s="6"/>
      <c r="AO272" s="6"/>
      <c r="AP272" s="6"/>
      <c r="AQ272" s="6"/>
      <c r="AR272" s="6"/>
      <c r="AS272" s="7"/>
      <c r="AT272" s="6"/>
      <c r="AU272" s="6"/>
      <c r="AV272" s="6"/>
      <c r="AW272" s="6"/>
      <c r="AX272" s="6"/>
      <c r="AY272" s="6"/>
      <c r="AZ272" s="6"/>
      <c r="BA272" s="6"/>
      <c r="BB272" s="6"/>
      <c r="BC272" s="7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</row>
    <row r="273" spans="1:70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7"/>
      <c r="P273" s="6"/>
      <c r="Q273" s="6"/>
      <c r="R273" s="6"/>
      <c r="S273" s="6"/>
      <c r="T273" s="6"/>
      <c r="U273" s="6"/>
      <c r="V273" s="6"/>
      <c r="W273" s="6"/>
      <c r="X273" s="6"/>
      <c r="Y273" s="7"/>
      <c r="Z273" s="6"/>
      <c r="AA273" s="6"/>
      <c r="AB273" s="6"/>
      <c r="AC273" s="6"/>
      <c r="AD273" s="6"/>
      <c r="AE273" s="6"/>
      <c r="AF273" s="6"/>
      <c r="AG273" s="6"/>
      <c r="AH273" s="6"/>
      <c r="AI273" s="7"/>
      <c r="AJ273" s="6"/>
      <c r="AK273" s="6"/>
      <c r="AL273" s="6"/>
      <c r="AM273" s="6"/>
      <c r="AN273" s="6"/>
      <c r="AO273" s="6"/>
      <c r="AP273" s="6"/>
      <c r="AQ273" s="6"/>
      <c r="AR273" s="6"/>
      <c r="AS273" s="7"/>
      <c r="AT273" s="6"/>
      <c r="AU273" s="6"/>
      <c r="AV273" s="6"/>
      <c r="AW273" s="6"/>
      <c r="AX273" s="6"/>
      <c r="AY273" s="6"/>
      <c r="AZ273" s="6"/>
      <c r="BA273" s="6"/>
      <c r="BB273" s="6"/>
      <c r="BC273" s="7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</row>
    <row r="274" spans="1:70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7"/>
      <c r="P274" s="6"/>
      <c r="Q274" s="6"/>
      <c r="R274" s="6"/>
      <c r="S274" s="6"/>
      <c r="T274" s="6"/>
      <c r="U274" s="6"/>
      <c r="V274" s="6"/>
      <c r="W274" s="6"/>
      <c r="X274" s="6"/>
      <c r="Y274" s="7"/>
      <c r="Z274" s="6"/>
      <c r="AA274" s="6"/>
      <c r="AB274" s="6"/>
      <c r="AC274" s="6"/>
      <c r="AD274" s="6"/>
      <c r="AE274" s="6"/>
      <c r="AF274" s="6"/>
      <c r="AG274" s="6"/>
      <c r="AH274" s="6"/>
      <c r="AI274" s="7"/>
      <c r="AJ274" s="6"/>
      <c r="AK274" s="6"/>
      <c r="AL274" s="6"/>
      <c r="AM274" s="6"/>
      <c r="AN274" s="6"/>
      <c r="AO274" s="6"/>
      <c r="AP274" s="6"/>
      <c r="AQ274" s="6"/>
      <c r="AR274" s="6"/>
      <c r="AS274" s="7"/>
      <c r="AT274" s="6"/>
      <c r="AU274" s="6"/>
      <c r="AV274" s="6"/>
      <c r="AW274" s="6"/>
      <c r="AX274" s="6"/>
      <c r="AY274" s="6"/>
      <c r="AZ274" s="6"/>
      <c r="BA274" s="6"/>
      <c r="BB274" s="6"/>
      <c r="BC274" s="7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</row>
    <row r="275" spans="1:70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7"/>
      <c r="P275" s="6"/>
      <c r="Q275" s="6"/>
      <c r="R275" s="6"/>
      <c r="S275" s="6"/>
      <c r="T275" s="6"/>
      <c r="U275" s="6"/>
      <c r="V275" s="6"/>
      <c r="W275" s="6"/>
      <c r="X275" s="6"/>
      <c r="Y275" s="7"/>
      <c r="Z275" s="6"/>
      <c r="AA275" s="6"/>
      <c r="AB275" s="6"/>
      <c r="AC275" s="6"/>
      <c r="AD275" s="6"/>
      <c r="AE275" s="6"/>
      <c r="AF275" s="6"/>
      <c r="AG275" s="6"/>
      <c r="AH275" s="6"/>
      <c r="AI275" s="7"/>
      <c r="AJ275" s="6"/>
      <c r="AK275" s="6"/>
      <c r="AL275" s="6"/>
      <c r="AM275" s="6"/>
      <c r="AN275" s="6"/>
      <c r="AO275" s="6"/>
      <c r="AP275" s="6"/>
      <c r="AQ275" s="6"/>
      <c r="AR275" s="6"/>
      <c r="AS275" s="7"/>
      <c r="AT275" s="6"/>
      <c r="AU275" s="6"/>
      <c r="AV275" s="6"/>
      <c r="AW275" s="6"/>
      <c r="AX275" s="6"/>
      <c r="AY275" s="6"/>
      <c r="AZ275" s="6"/>
      <c r="BA275" s="6"/>
      <c r="BB275" s="6"/>
      <c r="BC275" s="7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</row>
    <row r="276" spans="1:70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7"/>
      <c r="P276" s="6"/>
      <c r="Q276" s="6"/>
      <c r="R276" s="6"/>
      <c r="S276" s="6"/>
      <c r="T276" s="6"/>
      <c r="U276" s="6"/>
      <c r="V276" s="6"/>
      <c r="W276" s="6"/>
      <c r="X276" s="6"/>
      <c r="Y276" s="7"/>
      <c r="Z276" s="6"/>
      <c r="AA276" s="6"/>
      <c r="AB276" s="6"/>
      <c r="AC276" s="6"/>
      <c r="AD276" s="6"/>
      <c r="AE276" s="6"/>
      <c r="AF276" s="6"/>
      <c r="AG276" s="6"/>
      <c r="AH276" s="6"/>
      <c r="AI276" s="7"/>
      <c r="AJ276" s="6"/>
      <c r="AK276" s="6"/>
      <c r="AL276" s="6"/>
      <c r="AM276" s="6"/>
      <c r="AN276" s="6"/>
      <c r="AO276" s="6"/>
      <c r="AP276" s="6"/>
      <c r="AQ276" s="6"/>
      <c r="AR276" s="6"/>
      <c r="AS276" s="7"/>
      <c r="AT276" s="6"/>
      <c r="AU276" s="6"/>
      <c r="AV276" s="6"/>
      <c r="AW276" s="6"/>
      <c r="AX276" s="6"/>
      <c r="AY276" s="6"/>
      <c r="AZ276" s="6"/>
      <c r="BA276" s="6"/>
      <c r="BB276" s="6"/>
      <c r="BC276" s="7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</row>
    <row r="277" spans="1:70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7"/>
      <c r="P277" s="6"/>
      <c r="Q277" s="6"/>
      <c r="R277" s="6"/>
      <c r="S277" s="6"/>
      <c r="T277" s="6"/>
      <c r="U277" s="6"/>
      <c r="V277" s="6"/>
      <c r="W277" s="6"/>
      <c r="X277" s="6"/>
      <c r="Y277" s="7"/>
      <c r="Z277" s="6"/>
      <c r="AA277" s="6"/>
      <c r="AB277" s="6"/>
      <c r="AC277" s="6"/>
      <c r="AD277" s="6"/>
      <c r="AE277" s="6"/>
      <c r="AF277" s="6"/>
      <c r="AG277" s="6"/>
      <c r="AH277" s="6"/>
      <c r="AI277" s="7"/>
      <c r="AJ277" s="6"/>
      <c r="AK277" s="6"/>
      <c r="AL277" s="6"/>
      <c r="AM277" s="6"/>
      <c r="AN277" s="6"/>
      <c r="AO277" s="6"/>
      <c r="AP277" s="6"/>
      <c r="AQ277" s="6"/>
      <c r="AR277" s="6"/>
      <c r="AS277" s="7"/>
      <c r="AT277" s="6"/>
      <c r="AU277" s="6"/>
      <c r="AV277" s="6"/>
      <c r="AW277" s="6"/>
      <c r="AX277" s="6"/>
      <c r="AY277" s="6"/>
      <c r="AZ277" s="6"/>
      <c r="BA277" s="6"/>
      <c r="BB277" s="6"/>
      <c r="BC277" s="7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</row>
    <row r="278" spans="1:70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7"/>
      <c r="P278" s="6"/>
      <c r="Q278" s="6"/>
      <c r="R278" s="6"/>
      <c r="S278" s="6"/>
      <c r="T278" s="6"/>
      <c r="U278" s="6"/>
      <c r="V278" s="6"/>
      <c r="W278" s="6"/>
      <c r="X278" s="6"/>
      <c r="Y278" s="7"/>
      <c r="Z278" s="6"/>
      <c r="AA278" s="6"/>
      <c r="AB278" s="6"/>
      <c r="AC278" s="6"/>
      <c r="AD278" s="6"/>
      <c r="AE278" s="6"/>
      <c r="AF278" s="6"/>
      <c r="AG278" s="6"/>
      <c r="AH278" s="6"/>
      <c r="AI278" s="7"/>
      <c r="AJ278" s="6"/>
      <c r="AK278" s="6"/>
      <c r="AL278" s="6"/>
      <c r="AM278" s="6"/>
      <c r="AN278" s="6"/>
      <c r="AO278" s="6"/>
      <c r="AP278" s="6"/>
      <c r="AQ278" s="6"/>
      <c r="AR278" s="6"/>
      <c r="AS278" s="7"/>
      <c r="AT278" s="6"/>
      <c r="AU278" s="6"/>
      <c r="AV278" s="6"/>
      <c r="AW278" s="6"/>
      <c r="AX278" s="6"/>
      <c r="AY278" s="6"/>
      <c r="AZ278" s="6"/>
      <c r="BA278" s="6"/>
      <c r="BB278" s="6"/>
      <c r="BC278" s="7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</row>
    <row r="279" spans="1:70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7"/>
      <c r="P279" s="6"/>
      <c r="Q279" s="6"/>
      <c r="R279" s="6"/>
      <c r="S279" s="6"/>
      <c r="T279" s="6"/>
      <c r="U279" s="6"/>
      <c r="V279" s="6"/>
      <c r="W279" s="6"/>
      <c r="X279" s="6"/>
      <c r="Y279" s="7"/>
      <c r="Z279" s="6"/>
      <c r="AA279" s="6"/>
      <c r="AB279" s="6"/>
      <c r="AC279" s="6"/>
      <c r="AD279" s="6"/>
      <c r="AE279" s="6"/>
      <c r="AF279" s="6"/>
      <c r="AG279" s="6"/>
      <c r="AH279" s="6"/>
      <c r="AI279" s="7"/>
      <c r="AJ279" s="6"/>
      <c r="AK279" s="6"/>
      <c r="AL279" s="6"/>
      <c r="AM279" s="6"/>
      <c r="AN279" s="6"/>
      <c r="AO279" s="6"/>
      <c r="AP279" s="6"/>
      <c r="AQ279" s="6"/>
      <c r="AR279" s="6"/>
      <c r="AS279" s="7"/>
      <c r="AT279" s="6"/>
      <c r="AU279" s="6"/>
      <c r="AV279" s="6"/>
      <c r="AW279" s="6"/>
      <c r="AX279" s="6"/>
      <c r="AY279" s="6"/>
      <c r="AZ279" s="6"/>
      <c r="BA279" s="6"/>
      <c r="BB279" s="6"/>
      <c r="BC279" s="7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</row>
    <row r="280" spans="1:70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7"/>
      <c r="P280" s="6"/>
      <c r="Q280" s="6"/>
      <c r="R280" s="6"/>
      <c r="S280" s="6"/>
      <c r="T280" s="6"/>
      <c r="U280" s="6"/>
      <c r="V280" s="6"/>
      <c r="W280" s="6"/>
      <c r="X280" s="6"/>
      <c r="Y280" s="7"/>
      <c r="Z280" s="6"/>
      <c r="AA280" s="6"/>
      <c r="AB280" s="6"/>
      <c r="AC280" s="6"/>
      <c r="AD280" s="6"/>
      <c r="AE280" s="6"/>
      <c r="AF280" s="6"/>
      <c r="AG280" s="6"/>
      <c r="AH280" s="6"/>
      <c r="AI280" s="7"/>
      <c r="AJ280" s="6"/>
      <c r="AK280" s="6"/>
      <c r="AL280" s="6"/>
      <c r="AM280" s="6"/>
      <c r="AN280" s="6"/>
      <c r="AO280" s="6"/>
      <c r="AP280" s="6"/>
      <c r="AQ280" s="6"/>
      <c r="AR280" s="6"/>
      <c r="AS280" s="7"/>
      <c r="AT280" s="6"/>
      <c r="AU280" s="6"/>
      <c r="AV280" s="6"/>
      <c r="AW280" s="6"/>
      <c r="AX280" s="6"/>
      <c r="AY280" s="6"/>
      <c r="AZ280" s="6"/>
      <c r="BA280" s="6"/>
      <c r="BB280" s="6"/>
      <c r="BC280" s="7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</row>
    <row r="281" spans="1:70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7"/>
      <c r="P281" s="6"/>
      <c r="Q281" s="6"/>
      <c r="R281" s="6"/>
      <c r="S281" s="6"/>
      <c r="T281" s="6"/>
      <c r="U281" s="6"/>
      <c r="V281" s="6"/>
      <c r="W281" s="6"/>
      <c r="X281" s="6"/>
      <c r="Y281" s="7"/>
      <c r="Z281" s="6"/>
      <c r="AA281" s="6"/>
      <c r="AB281" s="6"/>
      <c r="AC281" s="6"/>
      <c r="AD281" s="6"/>
      <c r="AE281" s="6"/>
      <c r="AF281" s="6"/>
      <c r="AG281" s="6"/>
      <c r="AH281" s="6"/>
      <c r="AI281" s="7"/>
      <c r="AJ281" s="6"/>
      <c r="AK281" s="6"/>
      <c r="AL281" s="6"/>
      <c r="AM281" s="6"/>
      <c r="AN281" s="6"/>
      <c r="AO281" s="6"/>
      <c r="AP281" s="6"/>
      <c r="AQ281" s="6"/>
      <c r="AR281" s="6"/>
      <c r="AS281" s="7"/>
      <c r="AT281" s="6"/>
      <c r="AU281" s="6"/>
      <c r="AV281" s="6"/>
      <c r="AW281" s="6"/>
      <c r="AX281" s="6"/>
      <c r="AY281" s="6"/>
      <c r="AZ281" s="6"/>
      <c r="BA281" s="6"/>
      <c r="BB281" s="6"/>
      <c r="BC281" s="7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</row>
    <row r="282" spans="1:70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7"/>
      <c r="P282" s="6"/>
      <c r="Q282" s="6"/>
      <c r="R282" s="6"/>
      <c r="S282" s="6"/>
      <c r="T282" s="6"/>
      <c r="U282" s="6"/>
      <c r="V282" s="6"/>
      <c r="W282" s="6"/>
      <c r="X282" s="6"/>
      <c r="Y282" s="7"/>
      <c r="Z282" s="6"/>
      <c r="AA282" s="6"/>
      <c r="AB282" s="6"/>
      <c r="AC282" s="6"/>
      <c r="AD282" s="6"/>
      <c r="AE282" s="6"/>
      <c r="AF282" s="6"/>
      <c r="AG282" s="6"/>
      <c r="AH282" s="6"/>
      <c r="AI282" s="7"/>
      <c r="AJ282" s="6"/>
      <c r="AK282" s="6"/>
      <c r="AL282" s="6"/>
      <c r="AM282" s="6"/>
      <c r="AN282" s="6"/>
      <c r="AO282" s="6"/>
      <c r="AP282" s="6"/>
      <c r="AQ282" s="6"/>
      <c r="AR282" s="6"/>
      <c r="AS282" s="7"/>
      <c r="AT282" s="6"/>
      <c r="AU282" s="6"/>
      <c r="AV282" s="6"/>
      <c r="AW282" s="6"/>
      <c r="AX282" s="6"/>
      <c r="AY282" s="6"/>
      <c r="AZ282" s="6"/>
      <c r="BA282" s="6"/>
      <c r="BB282" s="6"/>
      <c r="BC282" s="7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</row>
    <row r="283" spans="1:70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7"/>
      <c r="P283" s="6"/>
      <c r="Q283" s="6"/>
      <c r="R283" s="6"/>
      <c r="S283" s="6"/>
      <c r="T283" s="6"/>
      <c r="U283" s="6"/>
      <c r="V283" s="6"/>
      <c r="W283" s="6"/>
      <c r="X283" s="6"/>
      <c r="Y283" s="7"/>
      <c r="Z283" s="6"/>
      <c r="AA283" s="6"/>
      <c r="AB283" s="6"/>
      <c r="AC283" s="6"/>
      <c r="AD283" s="6"/>
      <c r="AE283" s="6"/>
      <c r="AF283" s="6"/>
      <c r="AG283" s="6"/>
      <c r="AH283" s="6"/>
      <c r="AI283" s="7"/>
      <c r="AJ283" s="6"/>
      <c r="AK283" s="6"/>
      <c r="AL283" s="6"/>
      <c r="AM283" s="6"/>
      <c r="AN283" s="6"/>
      <c r="AO283" s="6"/>
      <c r="AP283" s="6"/>
      <c r="AQ283" s="6"/>
      <c r="AR283" s="6"/>
      <c r="AS283" s="7"/>
      <c r="AT283" s="6"/>
      <c r="AU283" s="6"/>
      <c r="AV283" s="6"/>
      <c r="AW283" s="6"/>
      <c r="AX283" s="6"/>
      <c r="AY283" s="6"/>
      <c r="AZ283" s="6"/>
      <c r="BA283" s="6"/>
      <c r="BB283" s="6"/>
      <c r="BC283" s="7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</row>
    <row r="284" spans="1:70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7"/>
      <c r="P284" s="6"/>
      <c r="Q284" s="6"/>
      <c r="R284" s="6"/>
      <c r="S284" s="6"/>
      <c r="T284" s="6"/>
      <c r="U284" s="6"/>
      <c r="V284" s="6"/>
      <c r="W284" s="6"/>
      <c r="X284" s="6"/>
      <c r="Y284" s="7"/>
      <c r="Z284" s="6"/>
      <c r="AA284" s="6"/>
      <c r="AB284" s="6"/>
      <c r="AC284" s="6"/>
      <c r="AD284" s="6"/>
      <c r="AE284" s="6"/>
      <c r="AF284" s="6"/>
      <c r="AG284" s="6"/>
      <c r="AH284" s="6"/>
      <c r="AI284" s="7"/>
      <c r="AJ284" s="6"/>
      <c r="AK284" s="6"/>
      <c r="AL284" s="6"/>
      <c r="AM284" s="6"/>
      <c r="AN284" s="6"/>
      <c r="AO284" s="6"/>
      <c r="AP284" s="6"/>
      <c r="AQ284" s="6"/>
      <c r="AR284" s="6"/>
      <c r="AS284" s="7"/>
      <c r="AT284" s="6"/>
      <c r="AU284" s="6"/>
      <c r="AV284" s="6"/>
      <c r="AW284" s="6"/>
      <c r="AX284" s="6"/>
      <c r="AY284" s="6"/>
      <c r="AZ284" s="6"/>
      <c r="BA284" s="6"/>
      <c r="BB284" s="6"/>
      <c r="BC284" s="7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</row>
    <row r="285" spans="1:70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7"/>
      <c r="P285" s="6"/>
      <c r="Q285" s="6"/>
      <c r="R285" s="6"/>
      <c r="S285" s="6"/>
      <c r="T285" s="6"/>
      <c r="U285" s="6"/>
      <c r="V285" s="6"/>
      <c r="W285" s="6"/>
      <c r="X285" s="6"/>
      <c r="Y285" s="7"/>
      <c r="Z285" s="6"/>
      <c r="AA285" s="6"/>
      <c r="AB285" s="6"/>
      <c r="AC285" s="6"/>
      <c r="AD285" s="6"/>
      <c r="AE285" s="6"/>
      <c r="AF285" s="6"/>
      <c r="AG285" s="6"/>
      <c r="AH285" s="6"/>
      <c r="AI285" s="7"/>
      <c r="AJ285" s="6"/>
      <c r="AK285" s="6"/>
      <c r="AL285" s="6"/>
      <c r="AM285" s="6"/>
      <c r="AN285" s="6"/>
      <c r="AO285" s="6"/>
      <c r="AP285" s="6"/>
      <c r="AQ285" s="6"/>
      <c r="AR285" s="6"/>
      <c r="AS285" s="7"/>
      <c r="AT285" s="6"/>
      <c r="AU285" s="6"/>
      <c r="AV285" s="6"/>
      <c r="AW285" s="6"/>
      <c r="AX285" s="6"/>
      <c r="AY285" s="6"/>
      <c r="AZ285" s="6"/>
      <c r="BA285" s="6"/>
      <c r="BB285" s="6"/>
      <c r="BC285" s="7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</row>
    <row r="286" spans="1:70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7"/>
      <c r="P286" s="6"/>
      <c r="Q286" s="6"/>
      <c r="R286" s="6"/>
      <c r="S286" s="6"/>
      <c r="T286" s="6"/>
      <c r="U286" s="6"/>
      <c r="V286" s="6"/>
      <c r="W286" s="6"/>
      <c r="X286" s="6"/>
      <c r="Y286" s="7"/>
      <c r="Z286" s="6"/>
      <c r="AA286" s="6"/>
      <c r="AB286" s="6"/>
      <c r="AC286" s="6"/>
      <c r="AD286" s="6"/>
      <c r="AE286" s="6"/>
      <c r="AF286" s="6"/>
      <c r="AG286" s="6"/>
      <c r="AH286" s="6"/>
      <c r="AI286" s="7"/>
      <c r="AJ286" s="6"/>
      <c r="AK286" s="6"/>
      <c r="AL286" s="6"/>
      <c r="AM286" s="6"/>
      <c r="AN286" s="6"/>
      <c r="AO286" s="6"/>
      <c r="AP286" s="6"/>
      <c r="AQ286" s="6"/>
      <c r="AR286" s="6"/>
      <c r="AS286" s="7"/>
      <c r="AT286" s="6"/>
      <c r="AU286" s="6"/>
      <c r="AV286" s="6"/>
      <c r="AW286" s="6"/>
      <c r="AX286" s="6"/>
      <c r="AY286" s="6"/>
      <c r="AZ286" s="6"/>
      <c r="BA286" s="6"/>
      <c r="BB286" s="6"/>
      <c r="BC286" s="7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</row>
    <row r="287" spans="1:70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7"/>
      <c r="P287" s="6"/>
      <c r="Q287" s="6"/>
      <c r="R287" s="6"/>
      <c r="S287" s="6"/>
      <c r="T287" s="6"/>
      <c r="U287" s="6"/>
      <c r="V287" s="6"/>
      <c r="W287" s="6"/>
      <c r="X287" s="6"/>
      <c r="Y287" s="7"/>
      <c r="Z287" s="6"/>
      <c r="AA287" s="6"/>
      <c r="AB287" s="6"/>
      <c r="AC287" s="6"/>
      <c r="AD287" s="6"/>
      <c r="AE287" s="6"/>
      <c r="AF287" s="6"/>
      <c r="AG287" s="6"/>
      <c r="AH287" s="6"/>
      <c r="AI287" s="7"/>
      <c r="AJ287" s="6"/>
      <c r="AK287" s="6"/>
      <c r="AL287" s="6"/>
      <c r="AM287" s="6"/>
      <c r="AN287" s="6"/>
      <c r="AO287" s="6"/>
      <c r="AP287" s="6"/>
      <c r="AQ287" s="6"/>
      <c r="AR287" s="6"/>
      <c r="AS287" s="7"/>
      <c r="AT287" s="6"/>
      <c r="AU287" s="6"/>
      <c r="AV287" s="6"/>
      <c r="AW287" s="6"/>
      <c r="AX287" s="6"/>
      <c r="AY287" s="6"/>
      <c r="AZ287" s="6"/>
      <c r="BA287" s="6"/>
      <c r="BB287" s="6"/>
      <c r="BC287" s="7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</row>
    <row r="288" spans="1:70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7"/>
      <c r="P288" s="6"/>
      <c r="Q288" s="6"/>
      <c r="R288" s="6"/>
      <c r="S288" s="6"/>
      <c r="T288" s="6"/>
      <c r="U288" s="6"/>
      <c r="V288" s="6"/>
      <c r="W288" s="6"/>
      <c r="X288" s="6"/>
      <c r="Y288" s="7"/>
      <c r="Z288" s="6"/>
      <c r="AA288" s="6"/>
      <c r="AB288" s="6"/>
      <c r="AC288" s="6"/>
      <c r="AD288" s="6"/>
      <c r="AE288" s="6"/>
      <c r="AF288" s="6"/>
      <c r="AG288" s="6"/>
      <c r="AH288" s="6"/>
      <c r="AI288" s="7"/>
      <c r="AJ288" s="6"/>
      <c r="AK288" s="6"/>
      <c r="AL288" s="6"/>
      <c r="AM288" s="6"/>
      <c r="AN288" s="6"/>
      <c r="AO288" s="6"/>
      <c r="AP288" s="6"/>
      <c r="AQ288" s="6"/>
      <c r="AR288" s="6"/>
      <c r="AS288" s="7"/>
      <c r="AT288" s="6"/>
      <c r="AU288" s="6"/>
      <c r="AV288" s="6"/>
      <c r="AW288" s="6"/>
      <c r="AX288" s="6"/>
      <c r="AY288" s="6"/>
      <c r="AZ288" s="6"/>
      <c r="BA288" s="6"/>
      <c r="BB288" s="6"/>
      <c r="BC288" s="7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</row>
    <row r="289" spans="1:70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7"/>
      <c r="P289" s="6"/>
      <c r="Q289" s="6"/>
      <c r="R289" s="6"/>
      <c r="S289" s="6"/>
      <c r="T289" s="6"/>
      <c r="U289" s="6"/>
      <c r="V289" s="6"/>
      <c r="W289" s="6"/>
      <c r="X289" s="6"/>
      <c r="Y289" s="7"/>
      <c r="Z289" s="6"/>
      <c r="AA289" s="6"/>
      <c r="AB289" s="6"/>
      <c r="AC289" s="6"/>
      <c r="AD289" s="6"/>
      <c r="AE289" s="6"/>
      <c r="AF289" s="6"/>
      <c r="AG289" s="6"/>
      <c r="AH289" s="6"/>
      <c r="AI289" s="7"/>
      <c r="AJ289" s="6"/>
      <c r="AK289" s="6"/>
      <c r="AL289" s="6"/>
      <c r="AM289" s="6"/>
      <c r="AN289" s="6"/>
      <c r="AO289" s="6"/>
      <c r="AP289" s="6"/>
      <c r="AQ289" s="6"/>
      <c r="AR289" s="6"/>
      <c r="AS289" s="7"/>
      <c r="AT289" s="6"/>
      <c r="AU289" s="6"/>
      <c r="AV289" s="6"/>
      <c r="AW289" s="6"/>
      <c r="AX289" s="6"/>
      <c r="AY289" s="6"/>
      <c r="AZ289" s="6"/>
      <c r="BA289" s="6"/>
      <c r="BB289" s="6"/>
      <c r="BC289" s="7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</row>
    <row r="290" spans="1:70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7"/>
      <c r="P290" s="6"/>
      <c r="Q290" s="6"/>
      <c r="R290" s="6"/>
      <c r="S290" s="6"/>
      <c r="T290" s="6"/>
      <c r="U290" s="6"/>
      <c r="V290" s="6"/>
      <c r="W290" s="6"/>
      <c r="X290" s="6"/>
      <c r="Y290" s="7"/>
      <c r="Z290" s="6"/>
      <c r="AA290" s="6"/>
      <c r="AB290" s="6"/>
      <c r="AC290" s="6"/>
      <c r="AD290" s="6"/>
      <c r="AE290" s="6"/>
      <c r="AF290" s="6"/>
      <c r="AG290" s="6"/>
      <c r="AH290" s="6"/>
      <c r="AI290" s="7"/>
      <c r="AJ290" s="6"/>
      <c r="AK290" s="6"/>
      <c r="AL290" s="6"/>
      <c r="AM290" s="6"/>
      <c r="AN290" s="6"/>
      <c r="AO290" s="6"/>
      <c r="AP290" s="6"/>
      <c r="AQ290" s="6"/>
      <c r="AR290" s="6"/>
      <c r="AS290" s="7"/>
      <c r="AT290" s="6"/>
      <c r="AU290" s="6"/>
      <c r="AV290" s="6"/>
      <c r="AW290" s="6"/>
      <c r="AX290" s="6"/>
      <c r="AY290" s="6"/>
      <c r="AZ290" s="6"/>
      <c r="BA290" s="6"/>
      <c r="BB290" s="6"/>
      <c r="BC290" s="7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</row>
    <row r="291" spans="1:70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7"/>
      <c r="P291" s="6"/>
      <c r="Q291" s="6"/>
      <c r="R291" s="6"/>
      <c r="S291" s="6"/>
      <c r="T291" s="6"/>
      <c r="U291" s="6"/>
      <c r="V291" s="6"/>
      <c r="W291" s="6"/>
      <c r="X291" s="6"/>
      <c r="Y291" s="7"/>
      <c r="Z291" s="6"/>
      <c r="AA291" s="6"/>
      <c r="AB291" s="6"/>
      <c r="AC291" s="6"/>
      <c r="AD291" s="6"/>
      <c r="AE291" s="6"/>
      <c r="AF291" s="6"/>
      <c r="AG291" s="6"/>
      <c r="AH291" s="6"/>
      <c r="AI291" s="7"/>
      <c r="AJ291" s="6"/>
      <c r="AK291" s="6"/>
      <c r="AL291" s="6"/>
      <c r="AM291" s="6"/>
      <c r="AN291" s="6"/>
      <c r="AO291" s="6"/>
      <c r="AP291" s="6"/>
      <c r="AQ291" s="6"/>
      <c r="AR291" s="6"/>
      <c r="AS291" s="7"/>
      <c r="AT291" s="6"/>
      <c r="AU291" s="6"/>
      <c r="AV291" s="6"/>
      <c r="AW291" s="6"/>
      <c r="AX291" s="6"/>
      <c r="AY291" s="6"/>
      <c r="AZ291" s="6"/>
      <c r="BA291" s="6"/>
      <c r="BB291" s="6"/>
      <c r="BC291" s="7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</row>
    <row r="292" spans="1:70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7"/>
      <c r="P292" s="6"/>
      <c r="Q292" s="6"/>
      <c r="R292" s="6"/>
      <c r="S292" s="6"/>
      <c r="T292" s="6"/>
      <c r="U292" s="6"/>
      <c r="V292" s="6"/>
      <c r="W292" s="6"/>
      <c r="X292" s="6"/>
      <c r="Y292" s="7"/>
      <c r="Z292" s="6"/>
      <c r="AA292" s="6"/>
      <c r="AB292" s="6"/>
      <c r="AC292" s="6"/>
      <c r="AD292" s="6"/>
      <c r="AE292" s="6"/>
      <c r="AF292" s="6"/>
      <c r="AG292" s="6"/>
      <c r="AH292" s="6"/>
      <c r="AI292" s="7"/>
      <c r="AJ292" s="6"/>
      <c r="AK292" s="6"/>
      <c r="AL292" s="6"/>
      <c r="AM292" s="6"/>
      <c r="AN292" s="6"/>
      <c r="AO292" s="6"/>
      <c r="AP292" s="6"/>
      <c r="AQ292" s="6"/>
      <c r="AR292" s="6"/>
      <c r="AS292" s="7"/>
      <c r="AT292" s="6"/>
      <c r="AU292" s="6"/>
      <c r="AV292" s="6"/>
      <c r="AW292" s="6"/>
      <c r="AX292" s="6"/>
      <c r="AY292" s="6"/>
      <c r="AZ292" s="6"/>
      <c r="BA292" s="6"/>
      <c r="BB292" s="6"/>
      <c r="BC292" s="7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</row>
    <row r="293" spans="1:70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7"/>
      <c r="P293" s="6"/>
      <c r="Q293" s="6"/>
      <c r="R293" s="6"/>
      <c r="S293" s="6"/>
      <c r="T293" s="6"/>
      <c r="U293" s="6"/>
      <c r="V293" s="6"/>
      <c r="W293" s="6"/>
      <c r="X293" s="6"/>
      <c r="Y293" s="7"/>
      <c r="Z293" s="6"/>
      <c r="AA293" s="6"/>
      <c r="AB293" s="6"/>
      <c r="AC293" s="6"/>
      <c r="AD293" s="6"/>
      <c r="AE293" s="6"/>
      <c r="AF293" s="6"/>
      <c r="AG293" s="6"/>
      <c r="AH293" s="6"/>
      <c r="AI293" s="7"/>
      <c r="AJ293" s="6"/>
      <c r="AK293" s="6"/>
      <c r="AL293" s="6"/>
      <c r="AM293" s="6"/>
      <c r="AN293" s="6"/>
      <c r="AO293" s="6"/>
      <c r="AP293" s="6"/>
      <c r="AQ293" s="6"/>
      <c r="AR293" s="6"/>
      <c r="AS293" s="7"/>
      <c r="AT293" s="6"/>
      <c r="AU293" s="6"/>
      <c r="AV293" s="6"/>
      <c r="AW293" s="6"/>
      <c r="AX293" s="6"/>
      <c r="AY293" s="6"/>
      <c r="AZ293" s="6"/>
      <c r="BA293" s="6"/>
      <c r="BB293" s="6"/>
      <c r="BC293" s="7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</row>
    <row r="294" spans="1:70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7"/>
      <c r="P294" s="6"/>
      <c r="Q294" s="6"/>
      <c r="R294" s="6"/>
      <c r="S294" s="6"/>
      <c r="T294" s="6"/>
      <c r="U294" s="6"/>
      <c r="V294" s="6"/>
      <c r="W294" s="6"/>
      <c r="X294" s="6"/>
      <c r="Y294" s="7"/>
      <c r="Z294" s="6"/>
      <c r="AA294" s="6"/>
      <c r="AB294" s="6"/>
      <c r="AC294" s="6"/>
      <c r="AD294" s="6"/>
      <c r="AE294" s="6"/>
      <c r="AF294" s="6"/>
      <c r="AG294" s="6"/>
      <c r="AH294" s="6"/>
      <c r="AI294" s="7"/>
      <c r="AJ294" s="6"/>
      <c r="AK294" s="6"/>
      <c r="AL294" s="6"/>
      <c r="AM294" s="6"/>
      <c r="AN294" s="6"/>
      <c r="AO294" s="6"/>
      <c r="AP294" s="6"/>
      <c r="AQ294" s="6"/>
      <c r="AR294" s="6"/>
      <c r="AS294" s="7"/>
      <c r="AT294" s="6"/>
      <c r="AU294" s="6"/>
      <c r="AV294" s="6"/>
      <c r="AW294" s="6"/>
      <c r="AX294" s="6"/>
      <c r="AY294" s="6"/>
      <c r="AZ294" s="6"/>
      <c r="BA294" s="6"/>
      <c r="BB294" s="6"/>
      <c r="BC294" s="7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</row>
    <row r="295" spans="1:70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7"/>
      <c r="P295" s="6"/>
      <c r="Q295" s="6"/>
      <c r="R295" s="6"/>
      <c r="S295" s="6"/>
      <c r="T295" s="6"/>
      <c r="U295" s="6"/>
      <c r="V295" s="6"/>
      <c r="W295" s="6"/>
      <c r="X295" s="6"/>
      <c r="Y295" s="7"/>
      <c r="Z295" s="6"/>
      <c r="AA295" s="6"/>
      <c r="AB295" s="6"/>
      <c r="AC295" s="6"/>
      <c r="AD295" s="6"/>
      <c r="AE295" s="6"/>
      <c r="AF295" s="6"/>
      <c r="AG295" s="6"/>
      <c r="AH295" s="6"/>
      <c r="AI295" s="7"/>
      <c r="AJ295" s="6"/>
      <c r="AK295" s="6"/>
      <c r="AL295" s="6"/>
      <c r="AM295" s="6"/>
      <c r="AN295" s="6"/>
      <c r="AO295" s="6"/>
      <c r="AP295" s="6"/>
      <c r="AQ295" s="6"/>
      <c r="AR295" s="6"/>
      <c r="AS295" s="7"/>
      <c r="AT295" s="6"/>
      <c r="AU295" s="6"/>
      <c r="AV295" s="6"/>
      <c r="AW295" s="6"/>
      <c r="AX295" s="6"/>
      <c r="AY295" s="6"/>
      <c r="AZ295" s="6"/>
      <c r="BA295" s="6"/>
      <c r="BB295" s="6"/>
      <c r="BC295" s="7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</row>
    <row r="296" spans="1:70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7"/>
      <c r="P296" s="6"/>
      <c r="Q296" s="6"/>
      <c r="R296" s="6"/>
      <c r="S296" s="6"/>
      <c r="T296" s="6"/>
      <c r="U296" s="6"/>
      <c r="V296" s="6"/>
      <c r="W296" s="6"/>
      <c r="X296" s="6"/>
      <c r="Y296" s="7"/>
      <c r="Z296" s="6"/>
      <c r="AA296" s="6"/>
      <c r="AB296" s="6"/>
      <c r="AC296" s="6"/>
      <c r="AD296" s="6"/>
      <c r="AE296" s="6"/>
      <c r="AF296" s="6"/>
      <c r="AG296" s="6"/>
      <c r="AH296" s="6"/>
      <c r="AI296" s="7"/>
      <c r="AJ296" s="6"/>
      <c r="AK296" s="6"/>
      <c r="AL296" s="6"/>
      <c r="AM296" s="6"/>
      <c r="AN296" s="6"/>
      <c r="AO296" s="6"/>
      <c r="AP296" s="6"/>
      <c r="AQ296" s="6"/>
      <c r="AR296" s="6"/>
      <c r="AS296" s="7"/>
      <c r="AT296" s="6"/>
      <c r="AU296" s="6"/>
      <c r="AV296" s="6"/>
      <c r="AW296" s="6"/>
      <c r="AX296" s="6"/>
      <c r="AY296" s="6"/>
      <c r="AZ296" s="6"/>
      <c r="BA296" s="6"/>
      <c r="BB296" s="6"/>
      <c r="BC296" s="7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</row>
    <row r="297" spans="1:70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7"/>
      <c r="P297" s="6"/>
      <c r="Q297" s="6"/>
      <c r="R297" s="6"/>
      <c r="S297" s="6"/>
      <c r="T297" s="6"/>
      <c r="U297" s="6"/>
      <c r="V297" s="6"/>
      <c r="W297" s="6"/>
      <c r="X297" s="6"/>
      <c r="Y297" s="7"/>
      <c r="Z297" s="6"/>
      <c r="AA297" s="6"/>
      <c r="AB297" s="6"/>
      <c r="AC297" s="6"/>
      <c r="AD297" s="6"/>
      <c r="AE297" s="6"/>
      <c r="AF297" s="6"/>
      <c r="AG297" s="6"/>
      <c r="AH297" s="6"/>
      <c r="AI297" s="7"/>
      <c r="AJ297" s="6"/>
      <c r="AK297" s="6"/>
      <c r="AL297" s="6"/>
      <c r="AM297" s="6"/>
      <c r="AN297" s="6"/>
      <c r="AO297" s="6"/>
      <c r="AP297" s="6"/>
      <c r="AQ297" s="6"/>
      <c r="AR297" s="6"/>
      <c r="AS297" s="7"/>
      <c r="AT297" s="6"/>
      <c r="AU297" s="6"/>
      <c r="AV297" s="6"/>
      <c r="AW297" s="6"/>
      <c r="AX297" s="6"/>
      <c r="AY297" s="6"/>
      <c r="AZ297" s="6"/>
      <c r="BA297" s="6"/>
      <c r="BB297" s="6"/>
      <c r="BC297" s="7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</row>
    <row r="298" spans="1:70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7"/>
      <c r="P298" s="6"/>
      <c r="Q298" s="6"/>
      <c r="R298" s="6"/>
      <c r="S298" s="6"/>
      <c r="T298" s="6"/>
      <c r="U298" s="6"/>
      <c r="V298" s="6"/>
      <c r="W298" s="6"/>
      <c r="X298" s="6"/>
      <c r="Y298" s="7"/>
      <c r="Z298" s="6"/>
      <c r="AA298" s="6"/>
      <c r="AB298" s="6"/>
      <c r="AC298" s="6"/>
      <c r="AD298" s="6"/>
      <c r="AE298" s="6"/>
      <c r="AF298" s="6"/>
      <c r="AG298" s="6"/>
      <c r="AH298" s="6"/>
      <c r="AI298" s="7"/>
      <c r="AJ298" s="6"/>
      <c r="AK298" s="6"/>
      <c r="AL298" s="6"/>
      <c r="AM298" s="6"/>
      <c r="AN298" s="6"/>
      <c r="AO298" s="6"/>
      <c r="AP298" s="6"/>
      <c r="AQ298" s="6"/>
      <c r="AR298" s="6"/>
      <c r="AS298" s="7"/>
      <c r="AT298" s="6"/>
      <c r="AU298" s="6"/>
      <c r="AV298" s="6"/>
      <c r="AW298" s="6"/>
      <c r="AX298" s="6"/>
      <c r="AY298" s="6"/>
      <c r="AZ298" s="6"/>
      <c r="BA298" s="6"/>
      <c r="BB298" s="6"/>
      <c r="BC298" s="7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</row>
    <row r="299" spans="1:70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7"/>
      <c r="P299" s="6"/>
      <c r="Q299" s="6"/>
      <c r="R299" s="6"/>
      <c r="S299" s="6"/>
      <c r="T299" s="6"/>
      <c r="U299" s="6"/>
      <c r="V299" s="6"/>
      <c r="W299" s="6"/>
      <c r="X299" s="6"/>
      <c r="Y299" s="7"/>
      <c r="Z299" s="6"/>
      <c r="AA299" s="6"/>
      <c r="AB299" s="6"/>
      <c r="AC299" s="6"/>
      <c r="AD299" s="6"/>
      <c r="AE299" s="6"/>
      <c r="AF299" s="6"/>
      <c r="AG299" s="6"/>
      <c r="AH299" s="6"/>
      <c r="AI299" s="7"/>
      <c r="AJ299" s="6"/>
      <c r="AK299" s="6"/>
      <c r="AL299" s="6"/>
      <c r="AM299" s="6"/>
      <c r="AN299" s="6"/>
      <c r="AO299" s="6"/>
      <c r="AP299" s="6"/>
      <c r="AQ299" s="6"/>
      <c r="AR299" s="6"/>
      <c r="AS299" s="7"/>
      <c r="AT299" s="6"/>
      <c r="AU299" s="6"/>
      <c r="AV299" s="6"/>
      <c r="AW299" s="6"/>
      <c r="AX299" s="6"/>
      <c r="AY299" s="6"/>
      <c r="AZ299" s="6"/>
      <c r="BA299" s="6"/>
      <c r="BB299" s="6"/>
      <c r="BC299" s="7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</row>
    <row r="300" spans="1:70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7"/>
      <c r="P300" s="6"/>
      <c r="Q300" s="6"/>
      <c r="R300" s="6"/>
      <c r="S300" s="6"/>
      <c r="T300" s="6"/>
      <c r="U300" s="6"/>
      <c r="V300" s="6"/>
      <c r="W300" s="6"/>
      <c r="X300" s="6"/>
      <c r="Y300" s="7"/>
      <c r="Z300" s="6"/>
      <c r="AA300" s="6"/>
      <c r="AB300" s="6"/>
      <c r="AC300" s="6"/>
      <c r="AD300" s="6"/>
      <c r="AE300" s="6"/>
      <c r="AF300" s="6"/>
      <c r="AG300" s="6"/>
      <c r="AH300" s="6"/>
      <c r="AI300" s="7"/>
      <c r="AJ300" s="6"/>
      <c r="AK300" s="6"/>
      <c r="AL300" s="6"/>
      <c r="AM300" s="6"/>
      <c r="AN300" s="6"/>
      <c r="AO300" s="6"/>
      <c r="AP300" s="6"/>
      <c r="AQ300" s="6"/>
      <c r="AR300" s="6"/>
      <c r="AS300" s="7"/>
      <c r="AT300" s="6"/>
      <c r="AU300" s="6"/>
      <c r="AV300" s="6"/>
      <c r="AW300" s="6"/>
      <c r="AX300" s="6"/>
      <c r="AY300" s="6"/>
      <c r="AZ300" s="6"/>
      <c r="BA300" s="6"/>
      <c r="BB300" s="6"/>
      <c r="BC300" s="7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</row>
    <row r="301" spans="1:70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7"/>
      <c r="P301" s="6"/>
      <c r="Q301" s="6"/>
      <c r="R301" s="6"/>
      <c r="S301" s="6"/>
      <c r="T301" s="6"/>
      <c r="U301" s="6"/>
      <c r="V301" s="6"/>
      <c r="W301" s="6"/>
      <c r="X301" s="6"/>
      <c r="Y301" s="7"/>
      <c r="Z301" s="6"/>
      <c r="AA301" s="6"/>
      <c r="AB301" s="6"/>
      <c r="AC301" s="6"/>
      <c r="AD301" s="6"/>
      <c r="AE301" s="6"/>
      <c r="AF301" s="6"/>
      <c r="AG301" s="6"/>
      <c r="AH301" s="6"/>
      <c r="AI301" s="7"/>
      <c r="AJ301" s="6"/>
      <c r="AK301" s="6"/>
      <c r="AL301" s="6"/>
      <c r="AM301" s="6"/>
      <c r="AN301" s="6"/>
      <c r="AO301" s="6"/>
      <c r="AP301" s="6"/>
      <c r="AQ301" s="6"/>
      <c r="AR301" s="6"/>
      <c r="AS301" s="7"/>
      <c r="AT301" s="6"/>
      <c r="AU301" s="6"/>
      <c r="AV301" s="6"/>
      <c r="AW301" s="6"/>
      <c r="AX301" s="6"/>
      <c r="AY301" s="6"/>
      <c r="AZ301" s="6"/>
      <c r="BA301" s="6"/>
      <c r="BB301" s="6"/>
      <c r="BC301" s="7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</row>
    <row r="302" spans="1:70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7"/>
      <c r="P302" s="6"/>
      <c r="Q302" s="6"/>
      <c r="R302" s="6"/>
      <c r="S302" s="6"/>
      <c r="T302" s="6"/>
      <c r="U302" s="6"/>
      <c r="V302" s="6"/>
      <c r="W302" s="6"/>
      <c r="X302" s="6"/>
      <c r="Y302" s="7"/>
      <c r="Z302" s="6"/>
      <c r="AA302" s="6"/>
      <c r="AB302" s="6"/>
      <c r="AC302" s="6"/>
      <c r="AD302" s="6"/>
      <c r="AE302" s="6"/>
      <c r="AF302" s="6"/>
      <c r="AG302" s="6"/>
      <c r="AH302" s="6"/>
      <c r="AI302" s="7"/>
      <c r="AJ302" s="6"/>
      <c r="AK302" s="6"/>
      <c r="AL302" s="6"/>
      <c r="AM302" s="6"/>
      <c r="AN302" s="6"/>
      <c r="AO302" s="6"/>
      <c r="AP302" s="6"/>
      <c r="AQ302" s="6"/>
      <c r="AR302" s="6"/>
      <c r="AS302" s="7"/>
      <c r="AT302" s="6"/>
      <c r="AU302" s="6"/>
      <c r="AV302" s="6"/>
      <c r="AW302" s="6"/>
      <c r="AX302" s="6"/>
      <c r="AY302" s="6"/>
      <c r="AZ302" s="6"/>
      <c r="BA302" s="6"/>
      <c r="BB302" s="6"/>
      <c r="BC302" s="7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</row>
    <row r="303" spans="1:70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7"/>
      <c r="P303" s="6"/>
      <c r="Q303" s="6"/>
      <c r="R303" s="6"/>
      <c r="S303" s="6"/>
      <c r="T303" s="6"/>
      <c r="U303" s="6"/>
      <c r="V303" s="6"/>
      <c r="W303" s="6"/>
      <c r="X303" s="6"/>
      <c r="Y303" s="7"/>
      <c r="Z303" s="6"/>
      <c r="AA303" s="6"/>
      <c r="AB303" s="6"/>
      <c r="AC303" s="6"/>
      <c r="AD303" s="6"/>
      <c r="AE303" s="6"/>
      <c r="AF303" s="6"/>
      <c r="AG303" s="6"/>
      <c r="AH303" s="6"/>
      <c r="AI303" s="7"/>
      <c r="AJ303" s="6"/>
      <c r="AK303" s="6"/>
      <c r="AL303" s="6"/>
      <c r="AM303" s="6"/>
      <c r="AN303" s="6"/>
      <c r="AO303" s="6"/>
      <c r="AP303" s="6"/>
      <c r="AQ303" s="6"/>
      <c r="AR303" s="6"/>
      <c r="AS303" s="7"/>
      <c r="AT303" s="6"/>
      <c r="AU303" s="6"/>
      <c r="AV303" s="6"/>
      <c r="AW303" s="6"/>
      <c r="AX303" s="6"/>
      <c r="AY303" s="6"/>
      <c r="AZ303" s="6"/>
      <c r="BA303" s="6"/>
      <c r="BB303" s="6"/>
      <c r="BC303" s="7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</row>
    <row r="304" spans="1:70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7"/>
      <c r="P304" s="6"/>
      <c r="Q304" s="6"/>
      <c r="R304" s="6"/>
      <c r="S304" s="6"/>
      <c r="T304" s="6"/>
      <c r="U304" s="6"/>
      <c r="V304" s="6"/>
      <c r="W304" s="6"/>
      <c r="X304" s="6"/>
      <c r="Y304" s="7"/>
      <c r="Z304" s="6"/>
      <c r="AA304" s="6"/>
      <c r="AB304" s="6"/>
      <c r="AC304" s="6"/>
      <c r="AD304" s="6"/>
      <c r="AE304" s="6"/>
      <c r="AF304" s="6"/>
      <c r="AG304" s="6"/>
      <c r="AH304" s="6"/>
      <c r="AI304" s="7"/>
      <c r="AJ304" s="6"/>
      <c r="AK304" s="6"/>
      <c r="AL304" s="6"/>
      <c r="AM304" s="6"/>
      <c r="AN304" s="6"/>
      <c r="AO304" s="6"/>
      <c r="AP304" s="6"/>
      <c r="AQ304" s="6"/>
      <c r="AR304" s="6"/>
      <c r="AS304" s="7"/>
      <c r="AT304" s="6"/>
      <c r="AU304" s="6"/>
      <c r="AV304" s="6"/>
      <c r="AW304" s="6"/>
      <c r="AX304" s="6"/>
      <c r="AY304" s="6"/>
      <c r="AZ304" s="6"/>
      <c r="BA304" s="6"/>
      <c r="BB304" s="6"/>
      <c r="BC304" s="7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</row>
    <row r="305" spans="1:70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7"/>
      <c r="P305" s="6"/>
      <c r="Q305" s="6"/>
      <c r="R305" s="6"/>
      <c r="S305" s="6"/>
      <c r="T305" s="6"/>
      <c r="U305" s="6"/>
      <c r="V305" s="6"/>
      <c r="W305" s="6"/>
      <c r="X305" s="6"/>
      <c r="Y305" s="7"/>
      <c r="Z305" s="6"/>
      <c r="AA305" s="6"/>
      <c r="AB305" s="6"/>
      <c r="AC305" s="6"/>
      <c r="AD305" s="6"/>
      <c r="AE305" s="6"/>
      <c r="AF305" s="6"/>
      <c r="AG305" s="6"/>
      <c r="AH305" s="6"/>
      <c r="AI305" s="7"/>
      <c r="AJ305" s="6"/>
      <c r="AK305" s="6"/>
      <c r="AL305" s="6"/>
      <c r="AM305" s="6"/>
      <c r="AN305" s="6"/>
      <c r="AO305" s="6"/>
      <c r="AP305" s="6"/>
      <c r="AQ305" s="6"/>
      <c r="AR305" s="6"/>
      <c r="AS305" s="7"/>
      <c r="AT305" s="6"/>
      <c r="AU305" s="6"/>
      <c r="AV305" s="6"/>
      <c r="AW305" s="6"/>
      <c r="AX305" s="6"/>
      <c r="AY305" s="6"/>
      <c r="AZ305" s="6"/>
      <c r="BA305" s="6"/>
      <c r="BB305" s="6"/>
      <c r="BC305" s="7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</row>
    <row r="306" spans="1:70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7"/>
      <c r="P306" s="6"/>
      <c r="Q306" s="6"/>
      <c r="R306" s="6"/>
      <c r="S306" s="6"/>
      <c r="T306" s="6"/>
      <c r="U306" s="6"/>
      <c r="V306" s="6"/>
      <c r="W306" s="6"/>
      <c r="X306" s="6"/>
      <c r="Y306" s="7"/>
      <c r="Z306" s="6"/>
      <c r="AA306" s="6"/>
      <c r="AB306" s="6"/>
      <c r="AC306" s="6"/>
      <c r="AD306" s="6"/>
      <c r="AE306" s="6"/>
      <c r="AF306" s="6"/>
      <c r="AG306" s="6"/>
      <c r="AH306" s="6"/>
      <c r="AI306" s="7"/>
      <c r="AJ306" s="6"/>
      <c r="AK306" s="6"/>
      <c r="AL306" s="6"/>
      <c r="AM306" s="6"/>
      <c r="AN306" s="6"/>
      <c r="AO306" s="6"/>
      <c r="AP306" s="6"/>
      <c r="AQ306" s="6"/>
      <c r="AR306" s="6"/>
      <c r="AS306" s="7"/>
      <c r="AT306" s="6"/>
      <c r="AU306" s="6"/>
      <c r="AV306" s="6"/>
      <c r="AW306" s="6"/>
      <c r="AX306" s="6"/>
      <c r="AY306" s="6"/>
      <c r="AZ306" s="6"/>
      <c r="BA306" s="6"/>
      <c r="BB306" s="6"/>
      <c r="BC306" s="7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</row>
    <row r="307" spans="1:70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7"/>
      <c r="P307" s="6"/>
      <c r="Q307" s="6"/>
      <c r="R307" s="6"/>
      <c r="S307" s="6"/>
      <c r="T307" s="6"/>
      <c r="U307" s="6"/>
      <c r="V307" s="6"/>
      <c r="W307" s="6"/>
      <c r="X307" s="6"/>
      <c r="Y307" s="7"/>
      <c r="Z307" s="6"/>
      <c r="AA307" s="6"/>
      <c r="AB307" s="6"/>
      <c r="AC307" s="6"/>
      <c r="AD307" s="6"/>
      <c r="AE307" s="6"/>
      <c r="AF307" s="6"/>
      <c r="AG307" s="6"/>
      <c r="AH307" s="6"/>
      <c r="AI307" s="7"/>
      <c r="AJ307" s="6"/>
      <c r="AK307" s="6"/>
      <c r="AL307" s="6"/>
      <c r="AM307" s="6"/>
      <c r="AN307" s="6"/>
      <c r="AO307" s="6"/>
      <c r="AP307" s="6"/>
      <c r="AQ307" s="6"/>
      <c r="AR307" s="6"/>
      <c r="AS307" s="7"/>
      <c r="AT307" s="6"/>
      <c r="AU307" s="6"/>
      <c r="AV307" s="6"/>
      <c r="AW307" s="6"/>
      <c r="AX307" s="6"/>
      <c r="AY307" s="6"/>
      <c r="AZ307" s="6"/>
      <c r="BA307" s="6"/>
      <c r="BB307" s="6"/>
      <c r="BC307" s="7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</row>
    <row r="308" spans="1:70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7"/>
      <c r="P308" s="6"/>
      <c r="Q308" s="6"/>
      <c r="R308" s="6"/>
      <c r="S308" s="6"/>
      <c r="T308" s="6"/>
      <c r="U308" s="6"/>
      <c r="V308" s="6"/>
      <c r="W308" s="6"/>
      <c r="X308" s="6"/>
      <c r="Y308" s="7"/>
      <c r="Z308" s="6"/>
      <c r="AA308" s="6"/>
      <c r="AB308" s="6"/>
      <c r="AC308" s="6"/>
      <c r="AD308" s="6"/>
      <c r="AE308" s="6"/>
      <c r="AF308" s="6"/>
      <c r="AG308" s="6"/>
      <c r="AH308" s="6"/>
      <c r="AI308" s="7"/>
      <c r="AJ308" s="6"/>
      <c r="AK308" s="6"/>
      <c r="AL308" s="6"/>
      <c r="AM308" s="6"/>
      <c r="AN308" s="6"/>
      <c r="AO308" s="6"/>
      <c r="AP308" s="6"/>
      <c r="AQ308" s="6"/>
      <c r="AR308" s="6"/>
      <c r="AS308" s="7"/>
      <c r="AT308" s="6"/>
      <c r="AU308" s="6"/>
      <c r="AV308" s="6"/>
      <c r="AW308" s="6"/>
      <c r="AX308" s="6"/>
      <c r="AY308" s="6"/>
      <c r="AZ308" s="6"/>
      <c r="BA308" s="6"/>
      <c r="BB308" s="6"/>
      <c r="BC308" s="7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</row>
    <row r="309" spans="1:70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7"/>
      <c r="P309" s="6"/>
      <c r="Q309" s="6"/>
      <c r="R309" s="6"/>
      <c r="S309" s="6"/>
      <c r="T309" s="6"/>
      <c r="U309" s="6"/>
      <c r="V309" s="6"/>
      <c r="W309" s="6"/>
      <c r="X309" s="6"/>
      <c r="Y309" s="7"/>
      <c r="Z309" s="6"/>
      <c r="AA309" s="6"/>
      <c r="AB309" s="6"/>
      <c r="AC309" s="6"/>
      <c r="AD309" s="6"/>
      <c r="AE309" s="6"/>
      <c r="AF309" s="6"/>
      <c r="AG309" s="6"/>
      <c r="AH309" s="6"/>
      <c r="AI309" s="7"/>
      <c r="AJ309" s="6"/>
      <c r="AK309" s="6"/>
      <c r="AL309" s="6"/>
      <c r="AM309" s="6"/>
      <c r="AN309" s="6"/>
      <c r="AO309" s="6"/>
      <c r="AP309" s="6"/>
      <c r="AQ309" s="6"/>
      <c r="AR309" s="6"/>
      <c r="AS309" s="7"/>
      <c r="AT309" s="6"/>
      <c r="AU309" s="6"/>
      <c r="AV309" s="6"/>
      <c r="AW309" s="6"/>
      <c r="AX309" s="6"/>
      <c r="AY309" s="6"/>
      <c r="AZ309" s="6"/>
      <c r="BA309" s="6"/>
      <c r="BB309" s="6"/>
      <c r="BC309" s="7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</row>
    <row r="310" spans="1:70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7"/>
      <c r="P310" s="6"/>
      <c r="Q310" s="6"/>
      <c r="R310" s="6"/>
      <c r="S310" s="6"/>
      <c r="T310" s="6"/>
      <c r="U310" s="6"/>
      <c r="V310" s="6"/>
      <c r="W310" s="6"/>
      <c r="X310" s="6"/>
      <c r="Y310" s="7"/>
      <c r="Z310" s="6"/>
      <c r="AA310" s="6"/>
      <c r="AB310" s="6"/>
      <c r="AC310" s="6"/>
      <c r="AD310" s="6"/>
      <c r="AE310" s="6"/>
      <c r="AF310" s="6"/>
      <c r="AG310" s="6"/>
      <c r="AH310" s="6"/>
      <c r="AI310" s="7"/>
      <c r="AJ310" s="6"/>
      <c r="AK310" s="6"/>
      <c r="AL310" s="6"/>
      <c r="AM310" s="6"/>
      <c r="AN310" s="6"/>
      <c r="AO310" s="6"/>
      <c r="AP310" s="6"/>
      <c r="AQ310" s="6"/>
      <c r="AR310" s="6"/>
      <c r="AS310" s="7"/>
      <c r="AT310" s="6"/>
      <c r="AU310" s="6"/>
      <c r="AV310" s="6"/>
      <c r="AW310" s="6"/>
      <c r="AX310" s="6"/>
      <c r="AY310" s="6"/>
      <c r="AZ310" s="6"/>
      <c r="BA310" s="6"/>
      <c r="BB310" s="6"/>
      <c r="BC310" s="7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</row>
    <row r="311" spans="1:70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7"/>
      <c r="P311" s="6"/>
      <c r="Q311" s="6"/>
      <c r="R311" s="6"/>
      <c r="S311" s="6"/>
      <c r="T311" s="6"/>
      <c r="U311" s="6"/>
      <c r="V311" s="6"/>
      <c r="W311" s="6"/>
      <c r="X311" s="6"/>
      <c r="Y311" s="7"/>
      <c r="Z311" s="6"/>
      <c r="AA311" s="6"/>
      <c r="AB311" s="6"/>
      <c r="AC311" s="6"/>
      <c r="AD311" s="6"/>
      <c r="AE311" s="6"/>
      <c r="AF311" s="6"/>
      <c r="AG311" s="6"/>
      <c r="AH311" s="6"/>
      <c r="AI311" s="7"/>
      <c r="AJ311" s="6"/>
      <c r="AK311" s="6"/>
      <c r="AL311" s="6"/>
      <c r="AM311" s="6"/>
      <c r="AN311" s="6"/>
      <c r="AO311" s="6"/>
      <c r="AP311" s="6"/>
      <c r="AQ311" s="6"/>
      <c r="AR311" s="6"/>
      <c r="AS311" s="7"/>
      <c r="AT311" s="6"/>
      <c r="AU311" s="6"/>
      <c r="AV311" s="6"/>
      <c r="AW311" s="6"/>
      <c r="AX311" s="6"/>
      <c r="AY311" s="6"/>
      <c r="AZ311" s="6"/>
      <c r="BA311" s="6"/>
      <c r="BB311" s="6"/>
      <c r="BC311" s="7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</row>
    <row r="312" spans="1:70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7"/>
      <c r="P312" s="6"/>
      <c r="Q312" s="6"/>
      <c r="R312" s="6"/>
      <c r="S312" s="6"/>
      <c r="T312" s="6"/>
      <c r="U312" s="6"/>
      <c r="V312" s="6"/>
      <c r="W312" s="6"/>
      <c r="X312" s="6"/>
      <c r="Y312" s="7"/>
      <c r="Z312" s="6"/>
      <c r="AA312" s="6"/>
      <c r="AB312" s="6"/>
      <c r="AC312" s="6"/>
      <c r="AD312" s="6"/>
      <c r="AE312" s="6"/>
      <c r="AF312" s="6"/>
      <c r="AG312" s="6"/>
      <c r="AH312" s="6"/>
      <c r="AI312" s="7"/>
      <c r="AJ312" s="6"/>
      <c r="AK312" s="6"/>
      <c r="AL312" s="6"/>
      <c r="AM312" s="6"/>
      <c r="AN312" s="6"/>
      <c r="AO312" s="6"/>
      <c r="AP312" s="6"/>
      <c r="AQ312" s="6"/>
      <c r="AR312" s="6"/>
      <c r="AS312" s="7"/>
      <c r="AT312" s="6"/>
      <c r="AU312" s="6"/>
      <c r="AV312" s="6"/>
      <c r="AW312" s="6"/>
      <c r="AX312" s="6"/>
      <c r="AY312" s="6"/>
      <c r="AZ312" s="6"/>
      <c r="BA312" s="6"/>
      <c r="BB312" s="6"/>
      <c r="BC312" s="7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</row>
    <row r="313" spans="1:70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7"/>
      <c r="P313" s="6"/>
      <c r="Q313" s="6"/>
      <c r="R313" s="6"/>
      <c r="S313" s="6"/>
      <c r="T313" s="6"/>
      <c r="U313" s="6"/>
      <c r="V313" s="6"/>
      <c r="W313" s="6"/>
      <c r="X313" s="6"/>
      <c r="Y313" s="7"/>
      <c r="Z313" s="6"/>
      <c r="AA313" s="6"/>
      <c r="AB313" s="6"/>
      <c r="AC313" s="6"/>
      <c r="AD313" s="6"/>
      <c r="AE313" s="6"/>
      <c r="AF313" s="6"/>
      <c r="AG313" s="6"/>
      <c r="AH313" s="6"/>
      <c r="AI313" s="7"/>
      <c r="AJ313" s="6"/>
      <c r="AK313" s="6"/>
      <c r="AL313" s="6"/>
      <c r="AM313" s="6"/>
      <c r="AN313" s="6"/>
      <c r="AO313" s="6"/>
      <c r="AP313" s="6"/>
      <c r="AQ313" s="6"/>
      <c r="AR313" s="6"/>
      <c r="AS313" s="7"/>
      <c r="AT313" s="6"/>
      <c r="AU313" s="6"/>
      <c r="AV313" s="6"/>
      <c r="AW313" s="6"/>
      <c r="AX313" s="6"/>
      <c r="AY313" s="6"/>
      <c r="AZ313" s="6"/>
      <c r="BA313" s="6"/>
      <c r="BB313" s="6"/>
      <c r="BC313" s="7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</row>
    <row r="314" spans="1:70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7"/>
      <c r="P314" s="6"/>
      <c r="Q314" s="6"/>
      <c r="R314" s="6"/>
      <c r="S314" s="6"/>
      <c r="T314" s="6"/>
      <c r="U314" s="6"/>
      <c r="V314" s="6"/>
      <c r="W314" s="6"/>
      <c r="X314" s="6"/>
      <c r="Y314" s="7"/>
      <c r="Z314" s="6"/>
      <c r="AA314" s="6"/>
      <c r="AB314" s="6"/>
      <c r="AC314" s="6"/>
      <c r="AD314" s="6"/>
      <c r="AE314" s="6"/>
      <c r="AF314" s="6"/>
      <c r="AG314" s="6"/>
      <c r="AH314" s="6"/>
      <c r="AI314" s="7"/>
      <c r="AJ314" s="6"/>
      <c r="AK314" s="6"/>
      <c r="AL314" s="6"/>
      <c r="AM314" s="6"/>
      <c r="AN314" s="6"/>
      <c r="AO314" s="6"/>
      <c r="AP314" s="6"/>
      <c r="AQ314" s="6"/>
      <c r="AR314" s="6"/>
      <c r="AS314" s="7"/>
      <c r="AT314" s="6"/>
      <c r="AU314" s="6"/>
      <c r="AV314" s="6"/>
      <c r="AW314" s="6"/>
      <c r="AX314" s="6"/>
      <c r="AY314" s="6"/>
      <c r="AZ314" s="6"/>
      <c r="BA314" s="6"/>
      <c r="BB314" s="6"/>
      <c r="BC314" s="7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</row>
    <row r="315" spans="1:70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7"/>
      <c r="P315" s="6"/>
      <c r="Q315" s="6"/>
      <c r="R315" s="6"/>
      <c r="S315" s="6"/>
      <c r="T315" s="6"/>
      <c r="U315" s="6"/>
      <c r="V315" s="6"/>
      <c r="W315" s="6"/>
      <c r="X315" s="6"/>
      <c r="Y315" s="7"/>
      <c r="Z315" s="6"/>
      <c r="AA315" s="6"/>
      <c r="AB315" s="6"/>
      <c r="AC315" s="6"/>
      <c r="AD315" s="6"/>
      <c r="AE315" s="6"/>
      <c r="AF315" s="6"/>
      <c r="AG315" s="6"/>
      <c r="AH315" s="6"/>
      <c r="AI315" s="7"/>
      <c r="AJ315" s="6"/>
      <c r="AK315" s="6"/>
      <c r="AL315" s="6"/>
      <c r="AM315" s="6"/>
      <c r="AN315" s="6"/>
      <c r="AO315" s="6"/>
      <c r="AP315" s="6"/>
      <c r="AQ315" s="6"/>
      <c r="AR315" s="6"/>
      <c r="AS315" s="7"/>
      <c r="AT315" s="6"/>
      <c r="AU315" s="6"/>
      <c r="AV315" s="6"/>
      <c r="AW315" s="6"/>
      <c r="AX315" s="6"/>
      <c r="AY315" s="6"/>
      <c r="AZ315" s="6"/>
      <c r="BA315" s="6"/>
      <c r="BB315" s="6"/>
      <c r="BC315" s="7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</row>
    <row r="316" spans="1:70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7"/>
      <c r="P316" s="6"/>
      <c r="Q316" s="6"/>
      <c r="R316" s="6"/>
      <c r="S316" s="6"/>
      <c r="T316" s="6"/>
      <c r="U316" s="6"/>
      <c r="V316" s="6"/>
      <c r="W316" s="6"/>
      <c r="X316" s="6"/>
      <c r="Y316" s="7"/>
      <c r="Z316" s="6"/>
      <c r="AA316" s="6"/>
      <c r="AB316" s="6"/>
      <c r="AC316" s="6"/>
      <c r="AD316" s="6"/>
      <c r="AE316" s="6"/>
      <c r="AF316" s="6"/>
      <c r="AG316" s="6"/>
      <c r="AH316" s="6"/>
      <c r="AI316" s="7"/>
      <c r="AJ316" s="6"/>
      <c r="AK316" s="6"/>
      <c r="AL316" s="6"/>
      <c r="AM316" s="6"/>
      <c r="AN316" s="6"/>
      <c r="AO316" s="6"/>
      <c r="AP316" s="6"/>
      <c r="AQ316" s="6"/>
      <c r="AR316" s="6"/>
      <c r="AS316" s="7"/>
      <c r="AT316" s="6"/>
      <c r="AU316" s="6"/>
      <c r="AV316" s="6"/>
      <c r="AW316" s="6"/>
      <c r="AX316" s="6"/>
      <c r="AY316" s="6"/>
      <c r="AZ316" s="6"/>
      <c r="BA316" s="6"/>
      <c r="BB316" s="6"/>
      <c r="BC316" s="7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</row>
    <row r="317" spans="1:70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7"/>
      <c r="P317" s="6"/>
      <c r="Q317" s="6"/>
      <c r="R317" s="6"/>
      <c r="S317" s="6"/>
      <c r="T317" s="6"/>
      <c r="U317" s="6"/>
      <c r="V317" s="6"/>
      <c r="W317" s="6"/>
      <c r="X317" s="6"/>
      <c r="Y317" s="7"/>
      <c r="Z317" s="6"/>
      <c r="AA317" s="6"/>
      <c r="AB317" s="6"/>
      <c r="AC317" s="6"/>
      <c r="AD317" s="6"/>
      <c r="AE317" s="6"/>
      <c r="AF317" s="6"/>
      <c r="AG317" s="6"/>
      <c r="AH317" s="6"/>
      <c r="AI317" s="7"/>
      <c r="AJ317" s="6"/>
      <c r="AK317" s="6"/>
      <c r="AL317" s="6"/>
      <c r="AM317" s="6"/>
      <c r="AN317" s="6"/>
      <c r="AO317" s="6"/>
      <c r="AP317" s="6"/>
      <c r="AQ317" s="6"/>
      <c r="AR317" s="6"/>
      <c r="AS317" s="7"/>
      <c r="AT317" s="6"/>
      <c r="AU317" s="6"/>
      <c r="AV317" s="6"/>
      <c r="AW317" s="6"/>
      <c r="AX317" s="6"/>
      <c r="AY317" s="6"/>
      <c r="AZ317" s="6"/>
      <c r="BA317" s="6"/>
      <c r="BB317" s="6"/>
      <c r="BC317" s="7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</row>
    <row r="318" spans="1:70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7"/>
      <c r="P318" s="6"/>
      <c r="Q318" s="6"/>
      <c r="R318" s="6"/>
      <c r="S318" s="6"/>
      <c r="T318" s="6"/>
      <c r="U318" s="6"/>
      <c r="V318" s="6"/>
      <c r="W318" s="6"/>
      <c r="X318" s="6"/>
      <c r="Y318" s="7"/>
      <c r="Z318" s="6"/>
      <c r="AA318" s="6"/>
      <c r="AB318" s="6"/>
      <c r="AC318" s="6"/>
      <c r="AD318" s="6"/>
      <c r="AE318" s="6"/>
      <c r="AF318" s="6"/>
      <c r="AG318" s="6"/>
      <c r="AH318" s="6"/>
      <c r="AI318" s="7"/>
      <c r="AJ318" s="6"/>
      <c r="AK318" s="6"/>
      <c r="AL318" s="6"/>
      <c r="AM318" s="6"/>
      <c r="AN318" s="6"/>
      <c r="AO318" s="6"/>
      <c r="AP318" s="6"/>
      <c r="AQ318" s="6"/>
      <c r="AR318" s="6"/>
      <c r="AS318" s="7"/>
      <c r="AT318" s="6"/>
      <c r="AU318" s="6"/>
      <c r="AV318" s="6"/>
      <c r="AW318" s="6"/>
      <c r="AX318" s="6"/>
      <c r="AY318" s="6"/>
      <c r="AZ318" s="6"/>
      <c r="BA318" s="6"/>
      <c r="BB318" s="6"/>
      <c r="BC318" s="7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</row>
    <row r="319" spans="1:70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7"/>
      <c r="P319" s="6"/>
      <c r="Q319" s="6"/>
      <c r="R319" s="6"/>
      <c r="S319" s="6"/>
      <c r="T319" s="6"/>
      <c r="U319" s="6"/>
      <c r="V319" s="6"/>
      <c r="W319" s="6"/>
      <c r="X319" s="6"/>
      <c r="Y319" s="7"/>
      <c r="Z319" s="6"/>
      <c r="AA319" s="6"/>
      <c r="AB319" s="6"/>
      <c r="AC319" s="6"/>
      <c r="AD319" s="6"/>
      <c r="AE319" s="6"/>
      <c r="AF319" s="6"/>
      <c r="AG319" s="6"/>
      <c r="AH319" s="6"/>
      <c r="AI319" s="7"/>
      <c r="AJ319" s="6"/>
      <c r="AK319" s="6"/>
      <c r="AL319" s="6"/>
      <c r="AM319" s="6"/>
      <c r="AN319" s="6"/>
      <c r="AO319" s="6"/>
      <c r="AP319" s="6"/>
      <c r="AQ319" s="6"/>
      <c r="AR319" s="6"/>
      <c r="AS319" s="7"/>
      <c r="AT319" s="6"/>
      <c r="AU319" s="6"/>
      <c r="AV319" s="6"/>
      <c r="AW319" s="6"/>
      <c r="AX319" s="6"/>
      <c r="AY319" s="6"/>
      <c r="AZ319" s="6"/>
      <c r="BA319" s="6"/>
      <c r="BB319" s="6"/>
      <c r="BC319" s="7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</row>
    <row r="320" spans="1:70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7"/>
      <c r="P320" s="6"/>
      <c r="Q320" s="6"/>
      <c r="R320" s="6"/>
      <c r="S320" s="6"/>
      <c r="T320" s="6"/>
      <c r="U320" s="6"/>
      <c r="V320" s="6"/>
      <c r="W320" s="6"/>
      <c r="X320" s="6"/>
      <c r="Y320" s="7"/>
      <c r="Z320" s="6"/>
      <c r="AA320" s="6"/>
      <c r="AB320" s="6"/>
      <c r="AC320" s="6"/>
      <c r="AD320" s="6"/>
      <c r="AE320" s="6"/>
      <c r="AF320" s="6"/>
      <c r="AG320" s="6"/>
      <c r="AH320" s="6"/>
      <c r="AI320" s="7"/>
      <c r="AJ320" s="6"/>
      <c r="AK320" s="6"/>
      <c r="AL320" s="6"/>
      <c r="AM320" s="6"/>
      <c r="AN320" s="6"/>
      <c r="AO320" s="6"/>
      <c r="AP320" s="6"/>
      <c r="AQ320" s="6"/>
      <c r="AR320" s="6"/>
      <c r="AS320" s="7"/>
      <c r="AT320" s="6"/>
      <c r="AU320" s="6"/>
      <c r="AV320" s="6"/>
      <c r="AW320" s="6"/>
      <c r="AX320" s="6"/>
      <c r="AY320" s="6"/>
      <c r="AZ320" s="6"/>
      <c r="BA320" s="6"/>
      <c r="BB320" s="6"/>
      <c r="BC320" s="7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</row>
    <row r="321" spans="1:70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7"/>
      <c r="P321" s="6"/>
      <c r="Q321" s="6"/>
      <c r="R321" s="6"/>
      <c r="S321" s="6"/>
      <c r="T321" s="6"/>
      <c r="U321" s="6"/>
      <c r="V321" s="6"/>
      <c r="W321" s="6"/>
      <c r="X321" s="6"/>
      <c r="Y321" s="7"/>
      <c r="Z321" s="6"/>
      <c r="AA321" s="6"/>
      <c r="AB321" s="6"/>
      <c r="AC321" s="6"/>
      <c r="AD321" s="6"/>
      <c r="AE321" s="6"/>
      <c r="AF321" s="6"/>
      <c r="AG321" s="6"/>
      <c r="AH321" s="6"/>
      <c r="AI321" s="7"/>
      <c r="AJ321" s="6"/>
      <c r="AK321" s="6"/>
      <c r="AL321" s="6"/>
      <c r="AM321" s="6"/>
      <c r="AN321" s="6"/>
      <c r="AO321" s="6"/>
      <c r="AP321" s="6"/>
      <c r="AQ321" s="6"/>
      <c r="AR321" s="6"/>
      <c r="AS321" s="7"/>
      <c r="AT321" s="6"/>
      <c r="AU321" s="6"/>
      <c r="AV321" s="6"/>
      <c r="AW321" s="6"/>
      <c r="AX321" s="6"/>
      <c r="AY321" s="6"/>
      <c r="AZ321" s="6"/>
      <c r="BA321" s="6"/>
      <c r="BB321" s="6"/>
      <c r="BC321" s="7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</row>
    <row r="322" spans="1:70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7"/>
      <c r="P322" s="6"/>
      <c r="Q322" s="6"/>
      <c r="R322" s="6"/>
      <c r="S322" s="6"/>
      <c r="T322" s="6"/>
      <c r="U322" s="6"/>
      <c r="V322" s="6"/>
      <c r="W322" s="6"/>
      <c r="X322" s="6"/>
      <c r="Y322" s="7"/>
      <c r="Z322" s="6"/>
      <c r="AA322" s="6"/>
      <c r="AB322" s="6"/>
      <c r="AC322" s="6"/>
      <c r="AD322" s="6"/>
      <c r="AE322" s="6"/>
      <c r="AF322" s="6"/>
      <c r="AG322" s="6"/>
      <c r="AH322" s="6"/>
      <c r="AI322" s="7"/>
      <c r="AJ322" s="6"/>
      <c r="AK322" s="6"/>
      <c r="AL322" s="6"/>
      <c r="AM322" s="6"/>
      <c r="AN322" s="6"/>
      <c r="AO322" s="6"/>
      <c r="AP322" s="6"/>
      <c r="AQ322" s="6"/>
      <c r="AR322" s="6"/>
      <c r="AS322" s="7"/>
      <c r="AT322" s="6"/>
      <c r="AU322" s="6"/>
      <c r="AV322" s="6"/>
      <c r="AW322" s="6"/>
      <c r="AX322" s="6"/>
      <c r="AY322" s="6"/>
      <c r="AZ322" s="6"/>
      <c r="BA322" s="6"/>
      <c r="BB322" s="6"/>
      <c r="BC322" s="7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</row>
    <row r="323" spans="1:70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7"/>
      <c r="P323" s="6"/>
      <c r="Q323" s="6"/>
      <c r="R323" s="6"/>
      <c r="S323" s="6"/>
      <c r="T323" s="6"/>
      <c r="U323" s="6"/>
      <c r="V323" s="6"/>
      <c r="W323" s="6"/>
      <c r="X323" s="6"/>
      <c r="Y323" s="7"/>
      <c r="Z323" s="6"/>
      <c r="AA323" s="6"/>
      <c r="AB323" s="6"/>
      <c r="AC323" s="6"/>
      <c r="AD323" s="6"/>
      <c r="AE323" s="6"/>
      <c r="AF323" s="6"/>
      <c r="AG323" s="6"/>
      <c r="AH323" s="6"/>
      <c r="AI323" s="7"/>
      <c r="AJ323" s="6"/>
      <c r="AK323" s="6"/>
      <c r="AL323" s="6"/>
      <c r="AM323" s="6"/>
      <c r="AN323" s="6"/>
      <c r="AO323" s="6"/>
      <c r="AP323" s="6"/>
      <c r="AQ323" s="6"/>
      <c r="AR323" s="6"/>
      <c r="AS323" s="7"/>
      <c r="AT323" s="6"/>
      <c r="AU323" s="6"/>
      <c r="AV323" s="6"/>
      <c r="AW323" s="6"/>
      <c r="AX323" s="6"/>
      <c r="AY323" s="6"/>
      <c r="AZ323" s="6"/>
      <c r="BA323" s="6"/>
      <c r="BB323" s="6"/>
      <c r="BC323" s="7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</row>
    <row r="324" spans="1:70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7"/>
      <c r="P324" s="6"/>
      <c r="Q324" s="6"/>
      <c r="R324" s="6"/>
      <c r="S324" s="6"/>
      <c r="T324" s="6"/>
      <c r="U324" s="6"/>
      <c r="V324" s="6"/>
      <c r="W324" s="6"/>
      <c r="X324" s="6"/>
      <c r="Y324" s="7"/>
      <c r="Z324" s="6"/>
      <c r="AA324" s="6"/>
      <c r="AB324" s="6"/>
      <c r="AC324" s="6"/>
      <c r="AD324" s="6"/>
      <c r="AE324" s="6"/>
      <c r="AF324" s="6"/>
      <c r="AG324" s="6"/>
      <c r="AH324" s="6"/>
      <c r="AI324" s="7"/>
      <c r="AJ324" s="6"/>
      <c r="AK324" s="6"/>
      <c r="AL324" s="6"/>
      <c r="AM324" s="6"/>
      <c r="AN324" s="6"/>
      <c r="AO324" s="6"/>
      <c r="AP324" s="6"/>
      <c r="AQ324" s="6"/>
      <c r="AR324" s="6"/>
      <c r="AS324" s="7"/>
      <c r="AT324" s="6"/>
      <c r="AU324" s="6"/>
      <c r="AV324" s="6"/>
      <c r="AW324" s="6"/>
      <c r="AX324" s="6"/>
      <c r="AY324" s="6"/>
      <c r="AZ324" s="6"/>
      <c r="BA324" s="6"/>
      <c r="BB324" s="6"/>
      <c r="BC324" s="7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</row>
    <row r="325" spans="1:70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7"/>
      <c r="P325" s="6"/>
      <c r="Q325" s="6"/>
      <c r="R325" s="6"/>
      <c r="S325" s="6"/>
      <c r="T325" s="6"/>
      <c r="U325" s="6"/>
      <c r="V325" s="6"/>
      <c r="W325" s="6"/>
      <c r="X325" s="6"/>
      <c r="Y325" s="7"/>
      <c r="Z325" s="6"/>
      <c r="AA325" s="6"/>
      <c r="AB325" s="6"/>
      <c r="AC325" s="6"/>
      <c r="AD325" s="6"/>
      <c r="AE325" s="6"/>
      <c r="AF325" s="6"/>
      <c r="AG325" s="6"/>
      <c r="AH325" s="6"/>
      <c r="AI325" s="7"/>
      <c r="AJ325" s="6"/>
      <c r="AK325" s="6"/>
      <c r="AL325" s="6"/>
      <c r="AM325" s="6"/>
      <c r="AN325" s="6"/>
      <c r="AO325" s="6"/>
      <c r="AP325" s="6"/>
      <c r="AQ325" s="6"/>
      <c r="AR325" s="6"/>
      <c r="AS325" s="7"/>
      <c r="AT325" s="6"/>
      <c r="AU325" s="6"/>
      <c r="AV325" s="6"/>
      <c r="AW325" s="6"/>
      <c r="AX325" s="6"/>
      <c r="AY325" s="6"/>
      <c r="AZ325" s="6"/>
      <c r="BA325" s="6"/>
      <c r="BB325" s="6"/>
      <c r="BC325" s="7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</row>
    <row r="326" spans="1:70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7"/>
      <c r="P326" s="6"/>
      <c r="Q326" s="6"/>
      <c r="R326" s="6"/>
      <c r="S326" s="6"/>
      <c r="T326" s="6"/>
      <c r="U326" s="6"/>
      <c r="V326" s="6"/>
      <c r="W326" s="6"/>
      <c r="X326" s="6"/>
      <c r="Y326" s="7"/>
      <c r="Z326" s="6"/>
      <c r="AA326" s="6"/>
      <c r="AB326" s="6"/>
      <c r="AC326" s="6"/>
      <c r="AD326" s="6"/>
      <c r="AE326" s="6"/>
      <c r="AF326" s="6"/>
      <c r="AG326" s="6"/>
      <c r="AH326" s="6"/>
      <c r="AI326" s="7"/>
      <c r="AJ326" s="6"/>
      <c r="AK326" s="6"/>
      <c r="AL326" s="6"/>
      <c r="AM326" s="6"/>
      <c r="AN326" s="6"/>
      <c r="AO326" s="6"/>
      <c r="AP326" s="6"/>
      <c r="AQ326" s="6"/>
      <c r="AR326" s="6"/>
      <c r="AS326" s="7"/>
      <c r="AT326" s="6"/>
      <c r="AU326" s="6"/>
      <c r="AV326" s="6"/>
      <c r="AW326" s="6"/>
      <c r="AX326" s="6"/>
      <c r="AY326" s="6"/>
      <c r="AZ326" s="6"/>
      <c r="BA326" s="6"/>
      <c r="BB326" s="6"/>
      <c r="BC326" s="7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</row>
    <row r="327" spans="1:70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7"/>
      <c r="P327" s="6"/>
      <c r="Q327" s="6"/>
      <c r="R327" s="6"/>
      <c r="S327" s="6"/>
      <c r="T327" s="6"/>
      <c r="U327" s="6"/>
      <c r="V327" s="6"/>
      <c r="W327" s="6"/>
      <c r="X327" s="6"/>
      <c r="Y327" s="7"/>
      <c r="Z327" s="6"/>
      <c r="AA327" s="6"/>
      <c r="AB327" s="6"/>
      <c r="AC327" s="6"/>
      <c r="AD327" s="6"/>
      <c r="AE327" s="6"/>
      <c r="AF327" s="6"/>
      <c r="AG327" s="6"/>
      <c r="AH327" s="6"/>
      <c r="AI327" s="7"/>
      <c r="AJ327" s="6"/>
      <c r="AK327" s="6"/>
      <c r="AL327" s="6"/>
      <c r="AM327" s="6"/>
      <c r="AN327" s="6"/>
      <c r="AO327" s="6"/>
      <c r="AP327" s="6"/>
      <c r="AQ327" s="6"/>
      <c r="AR327" s="6"/>
      <c r="AS327" s="7"/>
      <c r="AT327" s="6"/>
      <c r="AU327" s="6"/>
      <c r="AV327" s="6"/>
      <c r="AW327" s="6"/>
      <c r="AX327" s="6"/>
      <c r="AY327" s="6"/>
      <c r="AZ327" s="6"/>
      <c r="BA327" s="6"/>
      <c r="BB327" s="6"/>
      <c r="BC327" s="7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</row>
    <row r="328" spans="1:70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7"/>
      <c r="P328" s="6"/>
      <c r="Q328" s="6"/>
      <c r="R328" s="6"/>
      <c r="S328" s="6"/>
      <c r="T328" s="6"/>
      <c r="U328" s="6"/>
      <c r="V328" s="6"/>
      <c r="W328" s="6"/>
      <c r="X328" s="6"/>
      <c r="Y328" s="7"/>
      <c r="Z328" s="6"/>
      <c r="AA328" s="6"/>
      <c r="AB328" s="6"/>
      <c r="AC328" s="6"/>
      <c r="AD328" s="6"/>
      <c r="AE328" s="6"/>
      <c r="AF328" s="6"/>
      <c r="AG328" s="6"/>
      <c r="AH328" s="6"/>
      <c r="AI328" s="7"/>
      <c r="AJ328" s="6"/>
      <c r="AK328" s="6"/>
      <c r="AL328" s="6"/>
      <c r="AM328" s="6"/>
      <c r="AN328" s="6"/>
      <c r="AO328" s="6"/>
      <c r="AP328" s="6"/>
      <c r="AQ328" s="6"/>
      <c r="AR328" s="6"/>
      <c r="AS328" s="7"/>
      <c r="AT328" s="6"/>
      <c r="AU328" s="6"/>
      <c r="AV328" s="6"/>
      <c r="AW328" s="6"/>
      <c r="AX328" s="6"/>
      <c r="AY328" s="6"/>
      <c r="AZ328" s="6"/>
      <c r="BA328" s="6"/>
      <c r="BB328" s="6"/>
      <c r="BC328" s="7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</row>
    <row r="329" spans="1:70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7"/>
      <c r="P329" s="6"/>
      <c r="Q329" s="6"/>
      <c r="R329" s="6"/>
      <c r="S329" s="6"/>
      <c r="T329" s="6"/>
      <c r="U329" s="6"/>
      <c r="V329" s="6"/>
      <c r="W329" s="6"/>
      <c r="X329" s="6"/>
      <c r="Y329" s="7"/>
      <c r="Z329" s="6"/>
      <c r="AA329" s="6"/>
      <c r="AB329" s="6"/>
      <c r="AC329" s="6"/>
      <c r="AD329" s="6"/>
      <c r="AE329" s="6"/>
      <c r="AF329" s="6"/>
      <c r="AG329" s="6"/>
      <c r="AH329" s="6"/>
      <c r="AI329" s="7"/>
      <c r="AJ329" s="6"/>
      <c r="AK329" s="6"/>
      <c r="AL329" s="6"/>
      <c r="AM329" s="6"/>
      <c r="AN329" s="6"/>
      <c r="AO329" s="6"/>
      <c r="AP329" s="6"/>
      <c r="AQ329" s="6"/>
      <c r="AR329" s="6"/>
      <c r="AS329" s="7"/>
      <c r="AT329" s="6"/>
      <c r="AU329" s="6"/>
      <c r="AV329" s="6"/>
      <c r="AW329" s="6"/>
      <c r="AX329" s="6"/>
      <c r="AY329" s="6"/>
      <c r="AZ329" s="6"/>
      <c r="BA329" s="6"/>
      <c r="BB329" s="6"/>
      <c r="BC329" s="7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</row>
    <row r="330" spans="1:70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7"/>
      <c r="P330" s="6"/>
      <c r="Q330" s="6"/>
      <c r="R330" s="6"/>
      <c r="S330" s="6"/>
      <c r="T330" s="6"/>
      <c r="U330" s="6"/>
      <c r="V330" s="6"/>
      <c r="W330" s="6"/>
      <c r="X330" s="6"/>
      <c r="Y330" s="7"/>
      <c r="Z330" s="6"/>
      <c r="AA330" s="6"/>
      <c r="AB330" s="6"/>
      <c r="AC330" s="6"/>
      <c r="AD330" s="6"/>
      <c r="AE330" s="6"/>
      <c r="AF330" s="6"/>
      <c r="AG330" s="6"/>
      <c r="AH330" s="6"/>
      <c r="AI330" s="7"/>
      <c r="AJ330" s="6"/>
      <c r="AK330" s="6"/>
      <c r="AL330" s="6"/>
      <c r="AM330" s="6"/>
      <c r="AN330" s="6"/>
      <c r="AO330" s="6"/>
      <c r="AP330" s="6"/>
      <c r="AQ330" s="6"/>
      <c r="AR330" s="6"/>
      <c r="AS330" s="7"/>
      <c r="AT330" s="6"/>
      <c r="AU330" s="6"/>
      <c r="AV330" s="6"/>
      <c r="AW330" s="6"/>
      <c r="AX330" s="6"/>
      <c r="AY330" s="6"/>
      <c r="AZ330" s="6"/>
      <c r="BA330" s="6"/>
      <c r="BB330" s="6"/>
      <c r="BC330" s="7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</row>
    <row r="331" spans="1:70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7"/>
      <c r="P331" s="6"/>
      <c r="Q331" s="6"/>
      <c r="R331" s="6"/>
      <c r="S331" s="6"/>
      <c r="T331" s="6"/>
      <c r="U331" s="6"/>
      <c r="V331" s="6"/>
      <c r="W331" s="6"/>
      <c r="X331" s="6"/>
      <c r="Y331" s="7"/>
      <c r="Z331" s="6"/>
      <c r="AA331" s="6"/>
      <c r="AB331" s="6"/>
      <c r="AC331" s="6"/>
      <c r="AD331" s="6"/>
      <c r="AE331" s="6"/>
      <c r="AF331" s="6"/>
      <c r="AG331" s="6"/>
      <c r="AH331" s="6"/>
      <c r="AI331" s="7"/>
      <c r="AJ331" s="6"/>
      <c r="AK331" s="6"/>
      <c r="AL331" s="6"/>
      <c r="AM331" s="6"/>
      <c r="AN331" s="6"/>
      <c r="AO331" s="6"/>
      <c r="AP331" s="6"/>
      <c r="AQ331" s="6"/>
      <c r="AR331" s="6"/>
      <c r="AS331" s="7"/>
      <c r="AT331" s="6"/>
      <c r="AU331" s="6"/>
      <c r="AV331" s="6"/>
      <c r="AW331" s="6"/>
      <c r="AX331" s="6"/>
      <c r="AY331" s="6"/>
      <c r="AZ331" s="6"/>
      <c r="BA331" s="6"/>
      <c r="BB331" s="6"/>
      <c r="BC331" s="7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</row>
  </sheetData>
  <sheetProtection selectLockedCells="1"/>
  <mergeCells count="488">
    <mergeCell ref="B178:C178"/>
    <mergeCell ref="E178:M178"/>
    <mergeCell ref="AQ178:BF180"/>
    <mergeCell ref="L179:M180"/>
    <mergeCell ref="O179:W179"/>
    <mergeCell ref="B180:C180"/>
    <mergeCell ref="E180:K180"/>
    <mergeCell ref="L173:M174"/>
    <mergeCell ref="O173:W173"/>
    <mergeCell ref="B174:C174"/>
    <mergeCell ref="E174:K174"/>
    <mergeCell ref="BV171:BX172"/>
    <mergeCell ref="BZ171:CX172"/>
    <mergeCell ref="DF171:DH172"/>
    <mergeCell ref="DF176:DH177"/>
    <mergeCell ref="DJ171:EH172"/>
    <mergeCell ref="B172:C172"/>
    <mergeCell ref="E172:M172"/>
    <mergeCell ref="BD169:BL169"/>
    <mergeCell ref="B170:C170"/>
    <mergeCell ref="E170:K170"/>
    <mergeCell ref="AQ170:AR170"/>
    <mergeCell ref="AT170:AZ170"/>
    <mergeCell ref="V171:W172"/>
    <mergeCell ref="Y171:AG171"/>
    <mergeCell ref="DJ176:EH177"/>
    <mergeCell ref="BV176:BX177"/>
    <mergeCell ref="BZ176:CX177"/>
    <mergeCell ref="B168:C168"/>
    <mergeCell ref="E168:M168"/>
    <mergeCell ref="AQ168:AR168"/>
    <mergeCell ref="AT168:BB168"/>
    <mergeCell ref="L169:M170"/>
    <mergeCell ref="O169:W169"/>
    <mergeCell ref="BA169:BB170"/>
    <mergeCell ref="DF161:DH162"/>
    <mergeCell ref="DJ161:EH162"/>
    <mergeCell ref="B164:Q166"/>
    <mergeCell ref="AQ164:BF166"/>
    <mergeCell ref="BV166:BX167"/>
    <mergeCell ref="BZ166:CX167"/>
    <mergeCell ref="DF166:DH167"/>
    <mergeCell ref="DJ166:EH167"/>
    <mergeCell ref="BV161:BX162"/>
    <mergeCell ref="BZ161:CX162"/>
    <mergeCell ref="DF156:DH157"/>
    <mergeCell ref="DJ156:EH157"/>
    <mergeCell ref="V157:W158"/>
    <mergeCell ref="Y157:AG157"/>
    <mergeCell ref="B158:C158"/>
    <mergeCell ref="E158:M158"/>
    <mergeCell ref="L155:M156"/>
    <mergeCell ref="O155:W155"/>
    <mergeCell ref="B156:C156"/>
    <mergeCell ref="E156:K156"/>
    <mergeCell ref="BV156:BX157"/>
    <mergeCell ref="BZ156:CX157"/>
    <mergeCell ref="AF153:AG154"/>
    <mergeCell ref="AI153:AQ153"/>
    <mergeCell ref="B154:C154"/>
    <mergeCell ref="E154:M154"/>
    <mergeCell ref="L151:M152"/>
    <mergeCell ref="O151:W151"/>
    <mergeCell ref="BV151:BX152"/>
    <mergeCell ref="L159:M160"/>
    <mergeCell ref="O159:W159"/>
    <mergeCell ref="B160:C160"/>
    <mergeCell ref="E160:K160"/>
    <mergeCell ref="BZ151:CX152"/>
    <mergeCell ref="DF151:DH152"/>
    <mergeCell ref="DJ151:EH152"/>
    <mergeCell ref="DJ146:EH147"/>
    <mergeCell ref="L147:M148"/>
    <mergeCell ref="O147:W147"/>
    <mergeCell ref="B148:C148"/>
    <mergeCell ref="E148:K148"/>
    <mergeCell ref="V149:W150"/>
    <mergeCell ref="Y149:AG149"/>
    <mergeCell ref="B150:C150"/>
    <mergeCell ref="E150:M150"/>
    <mergeCell ref="B152:C152"/>
    <mergeCell ref="E152:K152"/>
    <mergeCell ref="BV141:BX142"/>
    <mergeCell ref="BZ141:CX142"/>
    <mergeCell ref="DF141:DH142"/>
    <mergeCell ref="DJ141:EH142"/>
    <mergeCell ref="B142:Q144"/>
    <mergeCell ref="B146:C146"/>
    <mergeCell ref="E146:M146"/>
    <mergeCell ref="BV146:BX147"/>
    <mergeCell ref="BZ146:CX147"/>
    <mergeCell ref="DF146:DH147"/>
    <mergeCell ref="AG131:AH132"/>
    <mergeCell ref="AJ131:AR131"/>
    <mergeCell ref="BZ136:CX137"/>
    <mergeCell ref="DF136:DH137"/>
    <mergeCell ref="DJ136:EH137"/>
    <mergeCell ref="M137:N138"/>
    <mergeCell ref="P137:X137"/>
    <mergeCell ref="B138:C138"/>
    <mergeCell ref="E138:L138"/>
    <mergeCell ref="W135:X136"/>
    <mergeCell ref="Z135:AH135"/>
    <mergeCell ref="B136:C136"/>
    <mergeCell ref="E136:L136"/>
    <mergeCell ref="M136:N136"/>
    <mergeCell ref="BV136:BX137"/>
    <mergeCell ref="BV131:BX132"/>
    <mergeCell ref="BZ131:CX132"/>
    <mergeCell ref="DF131:DH132"/>
    <mergeCell ref="DJ131:EH132"/>
    <mergeCell ref="M129:N130"/>
    <mergeCell ref="P129:X129"/>
    <mergeCell ref="B130:C130"/>
    <mergeCell ref="E130:L130"/>
    <mergeCell ref="B132:C132"/>
    <mergeCell ref="E132:L132"/>
    <mergeCell ref="M132:N132"/>
    <mergeCell ref="M133:N134"/>
    <mergeCell ref="P133:X133"/>
    <mergeCell ref="B134:C134"/>
    <mergeCell ref="E134:L134"/>
    <mergeCell ref="BV126:BX127"/>
    <mergeCell ref="BZ126:CX127"/>
    <mergeCell ref="DF126:DH127"/>
    <mergeCell ref="DJ126:EH127"/>
    <mergeCell ref="W127:X128"/>
    <mergeCell ref="Z127:AH127"/>
    <mergeCell ref="AQ123:AR124"/>
    <mergeCell ref="AT123:BB123"/>
    <mergeCell ref="B124:C124"/>
    <mergeCell ref="E124:L124"/>
    <mergeCell ref="M125:N126"/>
    <mergeCell ref="P125:X125"/>
    <mergeCell ref="B126:C126"/>
    <mergeCell ref="E126:L126"/>
    <mergeCell ref="B128:C128"/>
    <mergeCell ref="E128:L128"/>
    <mergeCell ref="M128:N128"/>
    <mergeCell ref="BV121:BX122"/>
    <mergeCell ref="BZ121:CX122"/>
    <mergeCell ref="DF121:DH122"/>
    <mergeCell ref="DJ121:EH122"/>
    <mergeCell ref="B122:C122"/>
    <mergeCell ref="E122:L122"/>
    <mergeCell ref="W119:X120"/>
    <mergeCell ref="Z119:AH119"/>
    <mergeCell ref="B120:C120"/>
    <mergeCell ref="E120:L120"/>
    <mergeCell ref="M121:N122"/>
    <mergeCell ref="P121:X121"/>
    <mergeCell ref="M113:N114"/>
    <mergeCell ref="P113:X113"/>
    <mergeCell ref="B114:C114"/>
    <mergeCell ref="E114:L114"/>
    <mergeCell ref="W111:X112"/>
    <mergeCell ref="Z111:AH111"/>
    <mergeCell ref="BV111:BX112"/>
    <mergeCell ref="DF116:DH117"/>
    <mergeCell ref="DJ116:EH117"/>
    <mergeCell ref="M117:N118"/>
    <mergeCell ref="P117:X117"/>
    <mergeCell ref="B118:C118"/>
    <mergeCell ref="E118:L118"/>
    <mergeCell ref="AG115:AH116"/>
    <mergeCell ref="AJ115:AR115"/>
    <mergeCell ref="B116:C116"/>
    <mergeCell ref="E116:L116"/>
    <mergeCell ref="BV116:BX117"/>
    <mergeCell ref="BZ116:CX117"/>
    <mergeCell ref="BZ111:CX112"/>
    <mergeCell ref="DF111:DH112"/>
    <mergeCell ref="DJ111:EH112"/>
    <mergeCell ref="B108:C108"/>
    <mergeCell ref="E108:L108"/>
    <mergeCell ref="M109:N110"/>
    <mergeCell ref="P109:X109"/>
    <mergeCell ref="B110:C110"/>
    <mergeCell ref="E110:L110"/>
    <mergeCell ref="B112:C112"/>
    <mergeCell ref="E112:L112"/>
    <mergeCell ref="BV101:BX102"/>
    <mergeCell ref="BZ101:CX102"/>
    <mergeCell ref="DF101:DH102"/>
    <mergeCell ref="DJ101:EH102"/>
    <mergeCell ref="B104:Q106"/>
    <mergeCell ref="BV106:BX107"/>
    <mergeCell ref="BZ106:CX107"/>
    <mergeCell ref="DF106:DH107"/>
    <mergeCell ref="DJ106:EH107"/>
    <mergeCell ref="CH89:CP89"/>
    <mergeCell ref="BU90:BV90"/>
    <mergeCell ref="BX90:CD90"/>
    <mergeCell ref="B94:BB96"/>
    <mergeCell ref="BV94:EH98"/>
    <mergeCell ref="B98:BB100"/>
    <mergeCell ref="BU84:CJ86"/>
    <mergeCell ref="BU88:BV88"/>
    <mergeCell ref="BX88:CF88"/>
    <mergeCell ref="B89:K90"/>
    <mergeCell ref="M89:O90"/>
    <mergeCell ref="AG89:AK90"/>
    <mergeCell ref="AN89:AS90"/>
    <mergeCell ref="AY89:BC90"/>
    <mergeCell ref="BF89:BK90"/>
    <mergeCell ref="CE89:CF90"/>
    <mergeCell ref="AN79:AO79"/>
    <mergeCell ref="AQ79:AY79"/>
    <mergeCell ref="CE79:CF80"/>
    <mergeCell ref="CH79:CP79"/>
    <mergeCell ref="AX80:AY81"/>
    <mergeCell ref="BA80:BI80"/>
    <mergeCell ref="BU80:BV80"/>
    <mergeCell ref="BX80:CD80"/>
    <mergeCell ref="AN81:AO81"/>
    <mergeCell ref="AQ81:AW81"/>
    <mergeCell ref="AN75:BC77"/>
    <mergeCell ref="CE75:CF76"/>
    <mergeCell ref="CH75:CP75"/>
    <mergeCell ref="DU75:DV76"/>
    <mergeCell ref="N73:O74"/>
    <mergeCell ref="Q73:Y73"/>
    <mergeCell ref="DX75:EF75"/>
    <mergeCell ref="BU76:BV76"/>
    <mergeCell ref="BX76:CD76"/>
    <mergeCell ref="DK76:DL76"/>
    <mergeCell ref="DN76:DT76"/>
    <mergeCell ref="CO77:CP78"/>
    <mergeCell ref="CR77:CZ77"/>
    <mergeCell ref="BU78:BV78"/>
    <mergeCell ref="BX78:CF78"/>
    <mergeCell ref="A74:B74"/>
    <mergeCell ref="C74:D74"/>
    <mergeCell ref="F74:M74"/>
    <mergeCell ref="BU74:BV74"/>
    <mergeCell ref="BU70:CJ72"/>
    <mergeCell ref="DK70:DZ72"/>
    <mergeCell ref="X71:Y72"/>
    <mergeCell ref="AA71:AI71"/>
    <mergeCell ref="A72:B72"/>
    <mergeCell ref="C72:D72"/>
    <mergeCell ref="F72:O72"/>
    <mergeCell ref="BX74:CF74"/>
    <mergeCell ref="DK74:DL74"/>
    <mergeCell ref="DN74:DV74"/>
    <mergeCell ref="AH67:AI68"/>
    <mergeCell ref="AK67:AS67"/>
    <mergeCell ref="A68:B68"/>
    <mergeCell ref="C68:D68"/>
    <mergeCell ref="F68:O68"/>
    <mergeCell ref="N69:O70"/>
    <mergeCell ref="Q69:Y69"/>
    <mergeCell ref="A70:B70"/>
    <mergeCell ref="C70:D70"/>
    <mergeCell ref="F70:M70"/>
    <mergeCell ref="N65:O66"/>
    <mergeCell ref="Q65:Y65"/>
    <mergeCell ref="CF65:CG66"/>
    <mergeCell ref="CI65:CQ65"/>
    <mergeCell ref="A66:B66"/>
    <mergeCell ref="C66:D66"/>
    <mergeCell ref="F66:M66"/>
    <mergeCell ref="BU66:BV66"/>
    <mergeCell ref="BX66:CE66"/>
    <mergeCell ref="X63:Y64"/>
    <mergeCell ref="AA63:AI63"/>
    <mergeCell ref="CP63:CQ64"/>
    <mergeCell ref="CS63:DA63"/>
    <mergeCell ref="A64:B64"/>
    <mergeCell ref="C64:D64"/>
    <mergeCell ref="F64:O64"/>
    <mergeCell ref="BU64:BV64"/>
    <mergeCell ref="BX64:CE64"/>
    <mergeCell ref="CF64:CG64"/>
    <mergeCell ref="A62:B62"/>
    <mergeCell ref="C62:D62"/>
    <mergeCell ref="F62:M62"/>
    <mergeCell ref="BU62:BV62"/>
    <mergeCell ref="BX62:CE62"/>
    <mergeCell ref="DJ62:DK62"/>
    <mergeCell ref="N61:O62"/>
    <mergeCell ref="Q61:Y61"/>
    <mergeCell ref="CF61:CG62"/>
    <mergeCell ref="CI61:CQ61"/>
    <mergeCell ref="DU61:DV62"/>
    <mergeCell ref="DX61:EF61"/>
    <mergeCell ref="DM62:DT62"/>
    <mergeCell ref="BU60:BV60"/>
    <mergeCell ref="BX60:CE60"/>
    <mergeCell ref="CF60:CG60"/>
    <mergeCell ref="DJ60:DK60"/>
    <mergeCell ref="DM60:DT60"/>
    <mergeCell ref="DU60:DV60"/>
    <mergeCell ref="AR59:AS60"/>
    <mergeCell ref="AU59:BC59"/>
    <mergeCell ref="A60:B60"/>
    <mergeCell ref="C60:D60"/>
    <mergeCell ref="F60:O60"/>
    <mergeCell ref="AA55:AI55"/>
    <mergeCell ref="A56:B56"/>
    <mergeCell ref="C56:D56"/>
    <mergeCell ref="F56:O56"/>
    <mergeCell ref="BU56:CJ58"/>
    <mergeCell ref="DJ56:DY58"/>
    <mergeCell ref="N57:O58"/>
    <mergeCell ref="Q57:Y57"/>
    <mergeCell ref="A58:B58"/>
    <mergeCell ref="C58:D58"/>
    <mergeCell ref="N53:O54"/>
    <mergeCell ref="Q53:Y53"/>
    <mergeCell ref="A54:B54"/>
    <mergeCell ref="C54:D54"/>
    <mergeCell ref="F54:M54"/>
    <mergeCell ref="X55:Y56"/>
    <mergeCell ref="F58:M58"/>
    <mergeCell ref="AH51:AI52"/>
    <mergeCell ref="AK51:AS51"/>
    <mergeCell ref="CF51:CG52"/>
    <mergeCell ref="CI51:CQ51"/>
    <mergeCell ref="A52:B52"/>
    <mergeCell ref="C52:D52"/>
    <mergeCell ref="F52:O52"/>
    <mergeCell ref="BU52:BV52"/>
    <mergeCell ref="BX52:CE52"/>
    <mergeCell ref="N49:O50"/>
    <mergeCell ref="Q49:Y49"/>
    <mergeCell ref="CP49:CQ50"/>
    <mergeCell ref="CS49:DA49"/>
    <mergeCell ref="A50:B50"/>
    <mergeCell ref="C50:D50"/>
    <mergeCell ref="F50:M50"/>
    <mergeCell ref="BU50:BV50"/>
    <mergeCell ref="BX50:CE50"/>
    <mergeCell ref="CF50:CG50"/>
    <mergeCell ref="DX47:EF47"/>
    <mergeCell ref="A48:B48"/>
    <mergeCell ref="C48:D48"/>
    <mergeCell ref="F48:O48"/>
    <mergeCell ref="BU48:BV48"/>
    <mergeCell ref="BX48:CE48"/>
    <mergeCell ref="DJ48:DK48"/>
    <mergeCell ref="DM48:DT48"/>
    <mergeCell ref="DM46:DT46"/>
    <mergeCell ref="DU46:DV46"/>
    <mergeCell ref="X47:Y48"/>
    <mergeCell ref="AA47:AI47"/>
    <mergeCell ref="CF47:CG48"/>
    <mergeCell ref="CI47:CQ47"/>
    <mergeCell ref="DU47:DV48"/>
    <mergeCell ref="C46:D46"/>
    <mergeCell ref="F46:M46"/>
    <mergeCell ref="BU46:BV46"/>
    <mergeCell ref="BX46:CE46"/>
    <mergeCell ref="CF46:CG46"/>
    <mergeCell ref="DJ46:DK46"/>
    <mergeCell ref="N41:O42"/>
    <mergeCell ref="Q41:Y41"/>
    <mergeCell ref="A42:B42"/>
    <mergeCell ref="C42:D42"/>
    <mergeCell ref="F42:M42"/>
    <mergeCell ref="BU42:CJ44"/>
    <mergeCell ref="DJ42:DY44"/>
    <mergeCell ref="A44:B44"/>
    <mergeCell ref="C44:D44"/>
    <mergeCell ref="F44:O44"/>
    <mergeCell ref="BB44:BC45"/>
    <mergeCell ref="BE44:BM44"/>
    <mergeCell ref="N45:O46"/>
    <mergeCell ref="Q45:Y45"/>
    <mergeCell ref="A46:B46"/>
    <mergeCell ref="N37:O38"/>
    <mergeCell ref="Q37:Y37"/>
    <mergeCell ref="A38:B38"/>
    <mergeCell ref="C38:D38"/>
    <mergeCell ref="F38:M38"/>
    <mergeCell ref="X39:Y40"/>
    <mergeCell ref="DU34:EC34"/>
    <mergeCell ref="AH35:AI36"/>
    <mergeCell ref="AK35:AS35"/>
    <mergeCell ref="DG35:DH35"/>
    <mergeCell ref="DJ35:DQ35"/>
    <mergeCell ref="A36:B36"/>
    <mergeCell ref="C36:D36"/>
    <mergeCell ref="F36:O36"/>
    <mergeCell ref="AA39:AI39"/>
    <mergeCell ref="A40:B40"/>
    <mergeCell ref="C40:D40"/>
    <mergeCell ref="F40:O40"/>
    <mergeCell ref="DG33:DH33"/>
    <mergeCell ref="DJ33:DQ33"/>
    <mergeCell ref="DR33:DS33"/>
    <mergeCell ref="A34:B34"/>
    <mergeCell ref="C34:D34"/>
    <mergeCell ref="F34:M34"/>
    <mergeCell ref="DR34:DS35"/>
    <mergeCell ref="X31:Y32"/>
    <mergeCell ref="AA31:AI31"/>
    <mergeCell ref="A32:B32"/>
    <mergeCell ref="C32:D32"/>
    <mergeCell ref="F32:O32"/>
    <mergeCell ref="N33:O34"/>
    <mergeCell ref="Q33:Y33"/>
    <mergeCell ref="N29:O30"/>
    <mergeCell ref="Q29:Y29"/>
    <mergeCell ref="CF29:CG30"/>
    <mergeCell ref="CI29:CQ29"/>
    <mergeCell ref="DG29:DV31"/>
    <mergeCell ref="A30:B30"/>
    <mergeCell ref="C30:D30"/>
    <mergeCell ref="F30:M30"/>
    <mergeCell ref="BU30:BV30"/>
    <mergeCell ref="BX30:CE30"/>
    <mergeCell ref="AR27:AS28"/>
    <mergeCell ref="AU27:BC27"/>
    <mergeCell ref="CP27:CQ28"/>
    <mergeCell ref="CS27:DA27"/>
    <mergeCell ref="A28:B28"/>
    <mergeCell ref="C28:D28"/>
    <mergeCell ref="F28:O28"/>
    <mergeCell ref="BU28:BV28"/>
    <mergeCell ref="BX28:CE28"/>
    <mergeCell ref="CF28:CG28"/>
    <mergeCell ref="N25:O26"/>
    <mergeCell ref="Q25:Y25"/>
    <mergeCell ref="CF25:CG26"/>
    <mergeCell ref="CI25:CQ25"/>
    <mergeCell ref="A26:B26"/>
    <mergeCell ref="C26:D26"/>
    <mergeCell ref="F26:M26"/>
    <mergeCell ref="BU26:BV26"/>
    <mergeCell ref="BX26:CE26"/>
    <mergeCell ref="X23:Y24"/>
    <mergeCell ref="AA23:AI23"/>
    <mergeCell ref="CZ23:DA24"/>
    <mergeCell ref="DC23:DK23"/>
    <mergeCell ref="A24:B24"/>
    <mergeCell ref="C24:D24"/>
    <mergeCell ref="F24:O24"/>
    <mergeCell ref="BU24:BV24"/>
    <mergeCell ref="BX24:CE24"/>
    <mergeCell ref="CF24:CG24"/>
    <mergeCell ref="N21:O22"/>
    <mergeCell ref="Q21:Y21"/>
    <mergeCell ref="CF21:CG22"/>
    <mergeCell ref="CI21:CQ21"/>
    <mergeCell ref="A22:B22"/>
    <mergeCell ref="C22:D22"/>
    <mergeCell ref="F22:M22"/>
    <mergeCell ref="BU22:BV22"/>
    <mergeCell ref="BX22:CE22"/>
    <mergeCell ref="AH19:AI20"/>
    <mergeCell ref="AK19:AS19"/>
    <mergeCell ref="CP19:CQ20"/>
    <mergeCell ref="CS19:DA19"/>
    <mergeCell ref="A20:B20"/>
    <mergeCell ref="C20:D20"/>
    <mergeCell ref="F20:O20"/>
    <mergeCell ref="BU20:BV20"/>
    <mergeCell ref="BX20:CE20"/>
    <mergeCell ref="CF20:CG20"/>
    <mergeCell ref="CI17:CQ17"/>
    <mergeCell ref="A18:B18"/>
    <mergeCell ref="C18:D18"/>
    <mergeCell ref="F18:M18"/>
    <mergeCell ref="BU18:BV18"/>
    <mergeCell ref="BX18:CE18"/>
    <mergeCell ref="BU16:BV16"/>
    <mergeCell ref="BX16:CE16"/>
    <mergeCell ref="CF16:CG16"/>
    <mergeCell ref="N17:O18"/>
    <mergeCell ref="Q17:Y17"/>
    <mergeCell ref="CF17:CG18"/>
    <mergeCell ref="F14:M14"/>
    <mergeCell ref="X15:Y16"/>
    <mergeCell ref="AA15:AI15"/>
    <mergeCell ref="A16:B16"/>
    <mergeCell ref="C16:D16"/>
    <mergeCell ref="F16:O16"/>
    <mergeCell ref="BU2:DU4"/>
    <mergeCell ref="BU6:DU8"/>
    <mergeCell ref="A12:B12"/>
    <mergeCell ref="C12:D12"/>
    <mergeCell ref="F12:O12"/>
    <mergeCell ref="BU12:CJ14"/>
    <mergeCell ref="N13:O14"/>
    <mergeCell ref="Q13:Y13"/>
    <mergeCell ref="A14:B14"/>
    <mergeCell ref="C14:D14"/>
  </mergeCells>
  <pageMargins left="0.25" right="0.25" top="0.75" bottom="0.75" header="0.3" footer="0.3"/>
  <pageSetup paperSize="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Classements 128 j</vt:lpstr>
      <vt:lpstr>Tableau 32 joueurs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BEL</dc:creator>
  <cp:lastModifiedBy>Maxime BEL</cp:lastModifiedBy>
  <dcterms:created xsi:type="dcterms:W3CDTF">2017-12-11T19:45:43Z</dcterms:created>
  <dcterms:modified xsi:type="dcterms:W3CDTF">2018-02-04T23:11:30Z</dcterms:modified>
</cp:coreProperties>
</file>