
<file path=[Content_Types].xml><?xml version="1.0" encoding="utf-8"?>
<Types xmlns="http://schemas.openxmlformats.org/package/2006/content-types">
  <Default Extension="png" ContentType="image/png"/>
  <Default Extension="svg" ContentType="image/svg+xml"/>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9029"/>
  <workbookPr codeName="ThisWorkbook" defaultThemeVersion="166925"/>
  <mc:AlternateContent xmlns:mc="http://schemas.openxmlformats.org/markup-compatibility/2006">
    <mc:Choice Requires="x15">
      <x15ac:absPath xmlns:x15ac="http://schemas.microsoft.com/office/spreadsheetml/2010/11/ac" url="C:\Users\Martin GIVELET\Documents\Cabinet de courtage\GIE\"/>
    </mc:Choice>
  </mc:AlternateContent>
  <xr:revisionPtr revIDLastSave="0" documentId="13_ncr:1_{BD3B12E9-CD07-4A92-A7B7-D240D6DF52E7}" xr6:coauthVersionLast="28" xr6:coauthVersionMax="28" xr10:uidLastSave="{00000000-0000-0000-0000-000000000000}"/>
  <bookViews>
    <workbookView xWindow="0" yWindow="0" windowWidth="28800" windowHeight="12930" xr2:uid="{80DBA0B8-929B-47AF-B26D-7499446558CA}"/>
  </bookViews>
  <sheets>
    <sheet name="Panorama FM" sheetId="2" r:id="rId1"/>
    <sheet name="Formules santé éxistantes" sheetId="1" r:id="rId2"/>
  </sheets>
  <externalReferences>
    <externalReference r:id="rId3"/>
  </externalReferences>
  <definedNames>
    <definedName name="Date_Etude">'[1]Données Client'!$C$2</definedName>
    <definedName name="Effet_Date">'[1]Données Client'!$C$3</definedName>
    <definedName name="PASS">PASS18</definedName>
    <definedName name="PASS18">3311*12</definedName>
    <definedName name="PMSS">PASS/12</definedName>
  </definedNames>
  <calcPr calcId="171027" iterate="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BX108" i="2" l="1"/>
  <c r="BW108" i="2"/>
  <c r="BV108" i="2"/>
  <c r="BU108" i="2"/>
  <c r="BN108" i="2"/>
  <c r="BM108" i="2"/>
  <c r="BL108" i="2"/>
  <c r="BK108" i="2"/>
  <c r="BJ108" i="2"/>
  <c r="BI108" i="2"/>
  <c r="BH108" i="2"/>
  <c r="BG108" i="2"/>
  <c r="BF108" i="2"/>
  <c r="BE108" i="2"/>
  <c r="BD108" i="2"/>
  <c r="BC108" i="2"/>
  <c r="BB108" i="2"/>
  <c r="BA108" i="2"/>
  <c r="AZ108" i="2"/>
  <c r="AR108" i="2"/>
  <c r="AQ108" i="2"/>
  <c r="AP108" i="2"/>
  <c r="AO108" i="2"/>
  <c r="AN108" i="2"/>
  <c r="AM108" i="2"/>
  <c r="AL108" i="2"/>
  <c r="BR108" i="2"/>
  <c r="BQ108" i="2"/>
  <c r="AX108" i="2"/>
  <c r="AW108" i="2"/>
  <c r="AT108" i="2"/>
  <c r="AS108" i="2"/>
  <c r="AK108" i="2"/>
  <c r="AH108" i="2"/>
  <c r="AG108" i="2"/>
  <c r="AD108" i="2"/>
  <c r="AC108" i="2"/>
  <c r="Z108" i="2"/>
  <c r="Y108" i="2"/>
  <c r="V108" i="2"/>
  <c r="U108" i="2"/>
  <c r="R108" i="2"/>
  <c r="Q108" i="2"/>
  <c r="N108" i="2"/>
  <c r="M108" i="2"/>
  <c r="J108" i="2"/>
  <c r="I108" i="2"/>
  <c r="AQ102" i="2"/>
  <c r="AP102" i="2"/>
  <c r="AO102" i="2"/>
  <c r="AN102" i="2"/>
  <c r="AG102" i="2"/>
  <c r="AF102" i="2"/>
  <c r="AE102" i="2"/>
  <c r="AD102" i="2"/>
  <c r="AC102" i="2"/>
  <c r="AB102" i="2"/>
  <c r="AA102" i="2"/>
  <c r="Z102" i="2"/>
  <c r="Y102" i="2"/>
  <c r="X102" i="2"/>
  <c r="W102" i="2"/>
  <c r="V102" i="2"/>
  <c r="AQ101" i="2"/>
  <c r="AP101" i="2"/>
  <c r="AO101" i="2"/>
  <c r="AN101" i="2"/>
  <c r="AC101" i="2"/>
  <c r="AL100" i="2"/>
  <c r="AC100" i="2"/>
  <c r="AK99" i="2"/>
  <c r="AJ99" i="2"/>
  <c r="AI99" i="2"/>
  <c r="AH99" i="2"/>
  <c r="AG99" i="2"/>
  <c r="AF99" i="2"/>
  <c r="AE99" i="2"/>
  <c r="AD99" i="2"/>
  <c r="AB99" i="2"/>
  <c r="AC99" i="2" s="1"/>
  <c r="AA99" i="2"/>
  <c r="Z99" i="2"/>
  <c r="Y99" i="2"/>
  <c r="X99" i="2"/>
  <c r="V99" i="2"/>
  <c r="W99" i="2" s="1"/>
  <c r="AG98" i="2"/>
  <c r="AF98" i="2"/>
  <c r="AE98" i="2"/>
  <c r="AD98" i="2"/>
  <c r="AB98" i="2"/>
  <c r="AC98" i="2" s="1"/>
  <c r="AA98" i="2"/>
  <c r="Z98" i="2"/>
  <c r="Y98" i="2"/>
  <c r="X98" i="2"/>
  <c r="V98" i="2"/>
  <c r="W98" i="2" s="1"/>
  <c r="AQ97" i="2"/>
  <c r="AP97" i="2"/>
  <c r="AO97" i="2"/>
  <c r="AN97" i="2"/>
  <c r="AG97" i="2"/>
  <c r="AG101" i="2" s="1"/>
  <c r="AF97" i="2"/>
  <c r="AF101" i="2" s="1"/>
  <c r="AE97" i="2"/>
  <c r="AE101" i="2" s="1"/>
  <c r="AD97" i="2"/>
  <c r="AD101" i="2" s="1"/>
  <c r="AB97" i="2"/>
  <c r="AC97" i="2" s="1"/>
  <c r="AA97" i="2"/>
  <c r="Z97" i="2"/>
  <c r="Y97" i="2"/>
  <c r="X97" i="2"/>
  <c r="W97" i="2"/>
  <c r="V97" i="2"/>
  <c r="AR95" i="2"/>
  <c r="AQ91" i="2"/>
  <c r="AP91" i="2"/>
  <c r="AO91" i="2"/>
  <c r="AN91" i="2"/>
  <c r="AG91" i="2"/>
  <c r="AF91" i="2"/>
  <c r="AE91" i="2"/>
  <c r="AD91" i="2"/>
  <c r="AB91" i="2"/>
  <c r="AC91" i="2" s="1"/>
  <c r="AA91" i="2"/>
  <c r="Z91" i="2"/>
  <c r="Y91" i="2"/>
  <c r="X91" i="2"/>
  <c r="W91" i="2"/>
  <c r="V91" i="2"/>
  <c r="Q91" i="2"/>
  <c r="P91" i="2"/>
  <c r="O91" i="2"/>
  <c r="N91" i="2"/>
  <c r="M91" i="2"/>
  <c r="L91" i="2"/>
  <c r="AQ90" i="2"/>
  <c r="AP90" i="2"/>
  <c r="AO90" i="2"/>
  <c r="AN90" i="2"/>
  <c r="AM90" i="2"/>
  <c r="AG90" i="2"/>
  <c r="AF90" i="2"/>
  <c r="AE90" i="2"/>
  <c r="AD90" i="2"/>
  <c r="AB90" i="2"/>
  <c r="AC90" i="2" s="1"/>
  <c r="Z90" i="2"/>
  <c r="AA90" i="2" s="1"/>
  <c r="Y90" i="2"/>
  <c r="X90" i="2"/>
  <c r="W90" i="2"/>
  <c r="V90" i="2"/>
  <c r="BT89" i="2"/>
  <c r="BS89" i="2"/>
  <c r="BR89" i="2"/>
  <c r="BQ89" i="2"/>
  <c r="BP89" i="2"/>
  <c r="BO89" i="2"/>
  <c r="AY89" i="2"/>
  <c r="AX89" i="2"/>
  <c r="AW89" i="2"/>
  <c r="AV89" i="2"/>
  <c r="AU89" i="2"/>
  <c r="AT89" i="2"/>
  <c r="AS89" i="2"/>
  <c r="AK89" i="2"/>
  <c r="AJ89" i="2"/>
  <c r="AG89" i="2"/>
  <c r="AF89" i="2"/>
  <c r="AE89" i="2"/>
  <c r="AD89" i="2"/>
  <c r="W89" i="2"/>
  <c r="V89" i="2"/>
  <c r="U89" i="2"/>
  <c r="T89" i="2"/>
  <c r="S89" i="2"/>
  <c r="R89" i="2"/>
  <c r="J89" i="2"/>
  <c r="I89" i="2"/>
  <c r="H89" i="2"/>
  <c r="G89" i="2"/>
  <c r="BT88" i="2"/>
  <c r="BS88" i="2"/>
  <c r="BR88" i="2"/>
  <c r="BQ88" i="2"/>
  <c r="BP88" i="2"/>
  <c r="BO88" i="2"/>
  <c r="AY88" i="2"/>
  <c r="AX88" i="2"/>
  <c r="AW88" i="2"/>
  <c r="AV88" i="2"/>
  <c r="AU88" i="2"/>
  <c r="AT88" i="2"/>
  <c r="AS88" i="2"/>
  <c r="AK88" i="2"/>
  <c r="AJ88" i="2"/>
  <c r="AG88" i="2"/>
  <c r="AF88" i="2"/>
  <c r="AE88" i="2"/>
  <c r="AD88" i="2"/>
  <c r="AC88" i="2"/>
  <c r="AC89" i="2" s="1"/>
  <c r="AB88" i="2"/>
  <c r="AB89" i="2" s="1"/>
  <c r="AA88" i="2"/>
  <c r="AA89" i="2" s="1"/>
  <c r="Z88" i="2"/>
  <c r="Z89" i="2" s="1"/>
  <c r="Y88" i="2"/>
  <c r="Y89" i="2" s="1"/>
  <c r="X88" i="2"/>
  <c r="X89" i="2" s="1"/>
  <c r="W88" i="2"/>
  <c r="V88" i="2"/>
  <c r="U88" i="2"/>
  <c r="T88" i="2"/>
  <c r="S88" i="2"/>
  <c r="R88" i="2"/>
  <c r="J88" i="2"/>
  <c r="I88" i="2"/>
  <c r="H88" i="2"/>
  <c r="G88" i="2"/>
  <c r="AY87" i="2"/>
  <c r="AX87" i="2"/>
  <c r="AW87" i="2"/>
  <c r="AV87" i="2"/>
  <c r="AU87" i="2"/>
  <c r="AT87" i="2"/>
  <c r="AS87" i="2"/>
  <c r="AK87" i="2"/>
  <c r="AJ87" i="2"/>
  <c r="AG87" i="2"/>
  <c r="AF87" i="2"/>
  <c r="AE87" i="2"/>
  <c r="AD87" i="2"/>
  <c r="AC87" i="2"/>
  <c r="AB87" i="2"/>
  <c r="AA87" i="2"/>
  <c r="Z87" i="2"/>
  <c r="Y87" i="2"/>
  <c r="X87" i="2"/>
  <c r="W87" i="2"/>
  <c r="V87" i="2"/>
  <c r="U87" i="2"/>
  <c r="T87" i="2"/>
  <c r="S87" i="2"/>
  <c r="R87" i="2"/>
  <c r="J87" i="2"/>
  <c r="I87" i="2"/>
  <c r="H87" i="2"/>
  <c r="G87" i="2"/>
  <c r="AQ83" i="2"/>
  <c r="AQ89" i="2" s="1"/>
  <c r="AP83" i="2"/>
  <c r="AP89" i="2" s="1"/>
  <c r="AO83" i="2"/>
  <c r="AO88" i="2" s="1"/>
  <c r="AN83" i="2"/>
  <c r="AN88" i="2" s="1"/>
  <c r="AM83" i="2"/>
  <c r="AM89" i="2" s="1"/>
  <c r="AG83" i="2"/>
  <c r="AF83" i="2"/>
  <c r="AE83" i="2"/>
  <c r="AD83" i="2"/>
  <c r="BT82" i="2"/>
  <c r="BS82" i="2"/>
  <c r="BR82" i="2"/>
  <c r="BQ82" i="2"/>
  <c r="BP82" i="2"/>
  <c r="BO82" i="2"/>
  <c r="AY82" i="2"/>
  <c r="AX82" i="2"/>
  <c r="AW82" i="2"/>
  <c r="AV82" i="2"/>
  <c r="AU82" i="2"/>
  <c r="AT82" i="2"/>
  <c r="AS82" i="2"/>
  <c r="AP82" i="2"/>
  <c r="AO82" i="2"/>
  <c r="AN82" i="2"/>
  <c r="AM82" i="2"/>
  <c r="T82" i="2"/>
  <c r="S82" i="2"/>
  <c r="R82" i="2"/>
  <c r="Q82" i="2"/>
  <c r="P82" i="2"/>
  <c r="O82" i="2"/>
  <c r="N82" i="2"/>
  <c r="M82" i="2"/>
  <c r="L82" i="2"/>
  <c r="J82" i="2"/>
  <c r="I82" i="2"/>
  <c r="H82" i="2"/>
  <c r="G82" i="2"/>
  <c r="BT81" i="2"/>
  <c r="BS81" i="2"/>
  <c r="BR81" i="2"/>
  <c r="BQ81" i="2"/>
  <c r="BP81" i="2"/>
  <c r="BO81" i="2"/>
  <c r="AY81" i="2"/>
  <c r="AX81" i="2"/>
  <c r="AW81" i="2"/>
  <c r="AV81" i="2"/>
  <c r="AU81" i="2"/>
  <c r="AT81" i="2"/>
  <c r="AS81" i="2"/>
  <c r="AQ81" i="2"/>
  <c r="AP81" i="2"/>
  <c r="AO81" i="2"/>
  <c r="AN81" i="2"/>
  <c r="AM81" i="2"/>
  <c r="T81" i="2"/>
  <c r="S81" i="2"/>
  <c r="R81" i="2"/>
  <c r="Q81" i="2"/>
  <c r="P81" i="2"/>
  <c r="O81" i="2"/>
  <c r="N81" i="2"/>
  <c r="M81" i="2"/>
  <c r="L81" i="2"/>
  <c r="J81" i="2"/>
  <c r="I81" i="2"/>
  <c r="H81" i="2"/>
  <c r="G81" i="2"/>
  <c r="AY80" i="2"/>
  <c r="AX80" i="2"/>
  <c r="AW80" i="2"/>
  <c r="AV80" i="2"/>
  <c r="AU80" i="2"/>
  <c r="AT80" i="2"/>
  <c r="AS80" i="2"/>
  <c r="AQ80" i="2"/>
  <c r="AP80" i="2"/>
  <c r="AO80" i="2"/>
  <c r="AN80" i="2"/>
  <c r="AM80" i="2"/>
  <c r="T80" i="2"/>
  <c r="S80" i="2"/>
  <c r="R80" i="2"/>
  <c r="Q80" i="2"/>
  <c r="P80" i="2"/>
  <c r="O80" i="2"/>
  <c r="N80" i="2"/>
  <c r="M80" i="2"/>
  <c r="L80" i="2"/>
  <c r="J80" i="2"/>
  <c r="I80" i="2"/>
  <c r="H80" i="2"/>
  <c r="G80" i="2"/>
  <c r="AQ79" i="2"/>
  <c r="AQ82" i="2" s="1"/>
  <c r="AK79" i="2"/>
  <c r="AK82" i="2" s="1"/>
  <c r="AJ79" i="2"/>
  <c r="AJ82" i="2" s="1"/>
  <c r="AI79" i="2"/>
  <c r="AI82" i="2" s="1"/>
  <c r="AH79" i="2"/>
  <c r="AH86" i="2" s="1"/>
  <c r="AH89" i="2" s="1"/>
  <c r="AG79" i="2"/>
  <c r="AF79" i="2"/>
  <c r="AE79" i="2"/>
  <c r="AD79" i="2"/>
  <c r="AC79" i="2"/>
  <c r="AB79" i="2"/>
  <c r="AA79" i="2"/>
  <c r="Z79" i="2"/>
  <c r="Y79" i="2"/>
  <c r="X79" i="2"/>
  <c r="W79" i="2"/>
  <c r="V79" i="2"/>
  <c r="AK78" i="2"/>
  <c r="AK81" i="2" s="1"/>
  <c r="AJ78" i="2"/>
  <c r="AJ81" i="2" s="1"/>
  <c r="AI78" i="2"/>
  <c r="AI85" i="2" s="1"/>
  <c r="AI88" i="2" s="1"/>
  <c r="AH78" i="2"/>
  <c r="AH85" i="2" s="1"/>
  <c r="AH88" i="2" s="1"/>
  <c r="AG78" i="2"/>
  <c r="AF78" i="2"/>
  <c r="AE78" i="2"/>
  <c r="AD78" i="2"/>
  <c r="AC78" i="2"/>
  <c r="AB78" i="2"/>
  <c r="AA78" i="2"/>
  <c r="Z78" i="2"/>
  <c r="Y78" i="2"/>
  <c r="X78" i="2"/>
  <c r="W78" i="2"/>
  <c r="V78" i="2"/>
  <c r="AK77" i="2"/>
  <c r="AK80" i="2" s="1"/>
  <c r="AJ77" i="2"/>
  <c r="AJ80" i="2" s="1"/>
  <c r="AI77" i="2"/>
  <c r="AI80" i="2" s="1"/>
  <c r="AH77" i="2"/>
  <c r="AH84" i="2" s="1"/>
  <c r="AH87" i="2" s="1"/>
  <c r="AG77" i="2"/>
  <c r="AF77" i="2"/>
  <c r="AE77" i="2"/>
  <c r="AD77" i="2"/>
  <c r="AC77" i="2"/>
  <c r="AB77" i="2"/>
  <c r="AA77" i="2"/>
  <c r="Z77" i="2"/>
  <c r="Y77" i="2"/>
  <c r="X77" i="2"/>
  <c r="W77" i="2"/>
  <c r="V77" i="2"/>
  <c r="AG76" i="2"/>
  <c r="AG82" i="2" s="1"/>
  <c r="AF76" i="2"/>
  <c r="AF82" i="2" s="1"/>
  <c r="AE76" i="2"/>
  <c r="AE80" i="2" s="1"/>
  <c r="AD76" i="2"/>
  <c r="AD80" i="2" s="1"/>
  <c r="AC76" i="2"/>
  <c r="AC82" i="2" s="1"/>
  <c r="AB76" i="2"/>
  <c r="AB82" i="2" s="1"/>
  <c r="AA76" i="2"/>
  <c r="AA80" i="2" s="1"/>
  <c r="Z76" i="2"/>
  <c r="Z80" i="2" s="1"/>
  <c r="Y76" i="2"/>
  <c r="Y82" i="2" s="1"/>
  <c r="X76" i="2"/>
  <c r="X82" i="2" s="1"/>
  <c r="W76" i="2"/>
  <c r="W80" i="2" s="1"/>
  <c r="V76" i="2"/>
  <c r="U82" i="2" s="1"/>
  <c r="AG74" i="2"/>
  <c r="AF74" i="2"/>
  <c r="AE74" i="2"/>
  <c r="AD74" i="2"/>
  <c r="AA71" i="2"/>
  <c r="W71" i="2"/>
  <c r="AA69" i="2"/>
  <c r="W69" i="2"/>
  <c r="BT68" i="2"/>
  <c r="BS68" i="2"/>
  <c r="BR68" i="2"/>
  <c r="BQ68" i="2"/>
  <c r="BP68" i="2"/>
  <c r="BO68" i="2"/>
  <c r="AY68" i="2"/>
  <c r="AX68" i="2"/>
  <c r="AW68" i="2"/>
  <c r="AV68" i="2"/>
  <c r="AU68" i="2"/>
  <c r="AT68" i="2"/>
  <c r="AS68" i="2"/>
  <c r="AQ68" i="2"/>
  <c r="AP68" i="2"/>
  <c r="AO68" i="2"/>
  <c r="AN68" i="2"/>
  <c r="AM68" i="2"/>
  <c r="AL68" i="2"/>
  <c r="AK68" i="2"/>
  <c r="AJ68" i="2"/>
  <c r="AI68" i="2"/>
  <c r="AH68" i="2"/>
  <c r="AC68" i="2"/>
  <c r="AB68" i="2"/>
  <c r="Z68" i="2"/>
  <c r="Y68" i="2"/>
  <c r="X68" i="2"/>
  <c r="V68" i="2"/>
  <c r="U68" i="2"/>
  <c r="T68" i="2"/>
  <c r="S68" i="2"/>
  <c r="R68" i="2"/>
  <c r="Q68" i="2"/>
  <c r="P68" i="2"/>
  <c r="O68" i="2"/>
  <c r="N68" i="2"/>
  <c r="M68" i="2"/>
  <c r="L68" i="2"/>
  <c r="K68" i="2"/>
  <c r="J68" i="2"/>
  <c r="I68" i="2"/>
  <c r="H68" i="2"/>
  <c r="G68" i="2"/>
  <c r="AG67" i="2"/>
  <c r="AG68" i="2" s="1"/>
  <c r="AF67" i="2"/>
  <c r="AF68" i="2" s="1"/>
  <c r="AE67" i="2"/>
  <c r="AE68" i="2" s="1"/>
  <c r="AD67" i="2"/>
  <c r="AD68" i="2" s="1"/>
  <c r="AA67" i="2"/>
  <c r="AA68" i="2" s="1"/>
  <c r="W67" i="2"/>
  <c r="W68" i="2" s="1"/>
  <c r="BT66" i="2"/>
  <c r="BS66" i="2"/>
  <c r="BR66" i="2"/>
  <c r="BQ66" i="2"/>
  <c r="BP66" i="2"/>
  <c r="BO66" i="2"/>
  <c r="AY66" i="2"/>
  <c r="AX66" i="2"/>
  <c r="AW66" i="2"/>
  <c r="AV66" i="2"/>
  <c r="AU66" i="2"/>
  <c r="AT66" i="2"/>
  <c r="AS66" i="2"/>
  <c r="AQ66" i="2"/>
  <c r="AP66" i="2"/>
  <c r="AO66" i="2"/>
  <c r="AN66" i="2"/>
  <c r="AM66" i="2"/>
  <c r="AL66" i="2"/>
  <c r="AK66" i="2"/>
  <c r="AJ66" i="2"/>
  <c r="AI66" i="2"/>
  <c r="AH66" i="2"/>
  <c r="AG66" i="2"/>
  <c r="AF66" i="2"/>
  <c r="AE66" i="2"/>
  <c r="AD66" i="2"/>
  <c r="AC66" i="2"/>
  <c r="AB66" i="2"/>
  <c r="Z66" i="2"/>
  <c r="Y66" i="2"/>
  <c r="X66" i="2"/>
  <c r="V66" i="2"/>
  <c r="U66" i="2"/>
  <c r="T66" i="2"/>
  <c r="S66" i="2"/>
  <c r="R66" i="2"/>
  <c r="Q66" i="2"/>
  <c r="P66" i="2"/>
  <c r="O66" i="2"/>
  <c r="N66" i="2"/>
  <c r="M66" i="2"/>
  <c r="L66" i="2"/>
  <c r="K66" i="2"/>
  <c r="J66" i="2"/>
  <c r="I66" i="2"/>
  <c r="H66" i="2"/>
  <c r="G66" i="2"/>
  <c r="AA64" i="2"/>
  <c r="AA66" i="2" s="1"/>
  <c r="W64" i="2"/>
  <c r="W66" i="2" s="1"/>
  <c r="AC61" i="2"/>
  <c r="AA61" i="2"/>
  <c r="W61" i="2"/>
  <c r="AC60" i="2"/>
  <c r="AA60" i="2"/>
  <c r="W60" i="2"/>
  <c r="AC59" i="2"/>
  <c r="AA59" i="2"/>
  <c r="W59" i="2"/>
  <c r="AQ57" i="2"/>
  <c r="AP57" i="2"/>
  <c r="AO57" i="2"/>
  <c r="AN57" i="2"/>
  <c r="AM57" i="2"/>
  <c r="AG57" i="2"/>
  <c r="AF57" i="2"/>
  <c r="AE57" i="2"/>
  <c r="AD57" i="2"/>
  <c r="AB57" i="2"/>
  <c r="AC57" i="2" s="1"/>
  <c r="AA57" i="2"/>
  <c r="Z57" i="2"/>
  <c r="Y57" i="2"/>
  <c r="X57" i="2"/>
  <c r="W57" i="2"/>
  <c r="V57" i="2"/>
  <c r="AC56" i="2"/>
  <c r="AA56" i="2"/>
  <c r="AC55" i="2"/>
  <c r="AA55" i="2"/>
  <c r="AC54" i="2"/>
  <c r="AA54" i="2"/>
  <c r="AQ53" i="2"/>
  <c r="AP53" i="2"/>
  <c r="AO53" i="2"/>
  <c r="AN53" i="2"/>
  <c r="AM53" i="2"/>
  <c r="AC53" i="2"/>
  <c r="AA53" i="2"/>
  <c r="AC51" i="2"/>
  <c r="AA51" i="2"/>
  <c r="Y51" i="2"/>
  <c r="AC49" i="2"/>
  <c r="AA49" i="2"/>
  <c r="Y49" i="2"/>
  <c r="AC48" i="2"/>
  <c r="AA48" i="2"/>
  <c r="Y48" i="2"/>
  <c r="AG47" i="2"/>
  <c r="AF47" i="2"/>
  <c r="AE47" i="2"/>
  <c r="AC47" i="2"/>
  <c r="AA47" i="2"/>
  <c r="Y47" i="2"/>
  <c r="AM46" i="2"/>
  <c r="AL46" i="2"/>
  <c r="AG46" i="2"/>
  <c r="AF46" i="2"/>
  <c r="AE46" i="2"/>
  <c r="AC46" i="2"/>
  <c r="AA46" i="2"/>
  <c r="Y46" i="2"/>
  <c r="AM45" i="2"/>
  <c r="AL45" i="2"/>
  <c r="AG45" i="2"/>
  <c r="AF45" i="2"/>
  <c r="AE45" i="2"/>
  <c r="AD45" i="2"/>
  <c r="AC45" i="2"/>
  <c r="AA45" i="2"/>
  <c r="Y45" i="2"/>
  <c r="J45" i="2"/>
  <c r="I45" i="2"/>
  <c r="H45" i="2"/>
  <c r="G45" i="2"/>
  <c r="AG44" i="2"/>
  <c r="AF44" i="2"/>
  <c r="AE44" i="2"/>
  <c r="AC44" i="2"/>
  <c r="AA44" i="2"/>
  <c r="Y44" i="2"/>
  <c r="AC43" i="2"/>
  <c r="AA43" i="2"/>
  <c r="Y43" i="2"/>
  <c r="J43" i="2"/>
  <c r="AC42" i="2"/>
  <c r="AA42" i="2"/>
  <c r="Y42" i="2"/>
  <c r="AQ38" i="2"/>
  <c r="AP38" i="2"/>
  <c r="AO38" i="2"/>
  <c r="AN38" i="2"/>
  <c r="AM38" i="2"/>
  <c r="AG38" i="2"/>
  <c r="AF38" i="2"/>
  <c r="AE38" i="2"/>
  <c r="AD38" i="2"/>
  <c r="AB38" i="2"/>
  <c r="AC38" i="2" s="1"/>
  <c r="Z38" i="2"/>
  <c r="AA38" i="2" s="1"/>
  <c r="X38" i="2"/>
  <c r="Y38" i="2" s="1"/>
  <c r="W38" i="2"/>
  <c r="V38" i="2"/>
  <c r="J38" i="2"/>
  <c r="I38" i="2"/>
  <c r="H38" i="2"/>
  <c r="G38" i="2"/>
  <c r="AG35" i="2"/>
  <c r="AF35" i="2"/>
  <c r="AE35" i="2"/>
  <c r="AD35" i="2"/>
  <c r="AB35" i="2"/>
  <c r="AC35" i="2" s="1"/>
  <c r="X35" i="2"/>
  <c r="AF34" i="2"/>
  <c r="AE34" i="2"/>
  <c r="AD34" i="2"/>
  <c r="AC34" i="2"/>
  <c r="AA34" i="2"/>
  <c r="Y34" i="2"/>
  <c r="X34" i="2"/>
  <c r="AQ31" i="2"/>
  <c r="AP31" i="2"/>
  <c r="AO31" i="2"/>
  <c r="AN31" i="2"/>
  <c r="AM31" i="2"/>
  <c r="AE31" i="2"/>
  <c r="AA31" i="2"/>
  <c r="Z31" i="2"/>
  <c r="W31" i="2"/>
  <c r="U31" i="2"/>
  <c r="T31" i="2"/>
  <c r="S31" i="2"/>
  <c r="R31" i="2"/>
  <c r="J31" i="2"/>
  <c r="I31" i="2"/>
  <c r="H31" i="2"/>
  <c r="G31" i="2"/>
  <c r="AG27" i="2"/>
  <c r="AF27" i="2"/>
  <c r="AE27" i="2"/>
  <c r="AD27" i="2"/>
  <c r="AC27" i="2"/>
  <c r="AB27" i="2"/>
  <c r="AA27" i="2"/>
  <c r="Z27" i="2"/>
  <c r="Y27" i="2"/>
  <c r="X27" i="2"/>
  <c r="W27" i="2"/>
  <c r="V27" i="2"/>
  <c r="U27" i="2"/>
  <c r="T27" i="2"/>
  <c r="S27" i="2"/>
  <c r="R27" i="2"/>
  <c r="J27" i="2"/>
  <c r="I27" i="2"/>
  <c r="H27" i="2"/>
  <c r="G27" i="2"/>
  <c r="AG25" i="2"/>
  <c r="AF25" i="2"/>
  <c r="AE25" i="2"/>
  <c r="AD25" i="2"/>
  <c r="AC25" i="2"/>
  <c r="AB25" i="2"/>
  <c r="AA25" i="2"/>
  <c r="Z25" i="2"/>
  <c r="Y25" i="2"/>
  <c r="X25" i="2"/>
  <c r="W25" i="2"/>
  <c r="V25" i="2"/>
  <c r="U25" i="2"/>
  <c r="T25" i="2"/>
  <c r="S25" i="2"/>
  <c r="R25" i="2"/>
  <c r="H25" i="2"/>
  <c r="AQ24" i="2"/>
  <c r="AP24" i="2"/>
  <c r="AO24" i="2"/>
  <c r="AN24" i="2"/>
  <c r="AM24" i="2"/>
  <c r="AL24" i="2"/>
  <c r="AL31" i="2" s="1"/>
  <c r="AG24" i="2"/>
  <c r="AG31" i="2" s="1"/>
  <c r="AF24" i="2"/>
  <c r="AF31" i="2" s="1"/>
  <c r="AE24" i="2"/>
  <c r="AD24" i="2"/>
  <c r="AD31" i="2" s="1"/>
  <c r="AC24" i="2"/>
  <c r="AB24" i="2"/>
  <c r="AB31" i="2" s="1"/>
  <c r="AC31" i="2" s="1"/>
  <c r="AA24" i="2"/>
  <c r="Z24" i="2"/>
  <c r="Y24" i="2"/>
  <c r="X24" i="2"/>
  <c r="X31" i="2" s="1"/>
  <c r="Y31" i="2" s="1"/>
  <c r="W24" i="2"/>
  <c r="V24" i="2"/>
  <c r="V31" i="2" s="1"/>
  <c r="U24" i="2"/>
  <c r="T24" i="2"/>
  <c r="S24" i="2"/>
  <c r="R24" i="2"/>
  <c r="J24" i="2"/>
  <c r="J25" i="2" s="1"/>
  <c r="I24" i="2"/>
  <c r="I25" i="2" s="1"/>
  <c r="H24" i="2"/>
  <c r="G24" i="2"/>
  <c r="G25" i="2" s="1"/>
  <c r="AC23" i="2"/>
  <c r="AC22" i="2"/>
  <c r="AO21" i="2"/>
  <c r="AN21" i="2"/>
  <c r="AL21" i="2"/>
  <c r="AG17" i="2"/>
  <c r="AG34" i="2" s="1"/>
  <c r="AA16" i="2"/>
  <c r="C11" i="2"/>
  <c r="D9" i="2"/>
  <c r="X80" i="2" l="1"/>
  <c r="AB80" i="2"/>
  <c r="AF80" i="2"/>
  <c r="V81" i="2"/>
  <c r="Z81" i="2"/>
  <c r="AD81" i="2"/>
  <c r="AH81" i="2"/>
  <c r="V82" i="2"/>
  <c r="Z82" i="2"/>
  <c r="AD82" i="2"/>
  <c r="AH82" i="2"/>
  <c r="AI84" i="2"/>
  <c r="AI87" i="2" s="1"/>
  <c r="AI86" i="2"/>
  <c r="AI89" i="2" s="1"/>
  <c r="AP87" i="2"/>
  <c r="AP88" i="2"/>
  <c r="AN89" i="2"/>
  <c r="G108" i="2"/>
  <c r="K108" i="2"/>
  <c r="O108" i="2"/>
  <c r="S108" i="2"/>
  <c r="W108" i="2"/>
  <c r="AA108" i="2"/>
  <c r="AE108" i="2"/>
  <c r="AI108" i="2"/>
  <c r="AU108" i="2"/>
  <c r="AY108" i="2"/>
  <c r="BO108" i="2"/>
  <c r="BS108" i="2"/>
  <c r="U80" i="2"/>
  <c r="Y80" i="2"/>
  <c r="AC80" i="2"/>
  <c r="AG80" i="2"/>
  <c r="W81" i="2"/>
  <c r="AA81" i="2"/>
  <c r="AE81" i="2"/>
  <c r="AI81" i="2"/>
  <c r="W82" i="2"/>
  <c r="AA82" i="2"/>
  <c r="AE82" i="2"/>
  <c r="AM87" i="2"/>
  <c r="AQ87" i="2"/>
  <c r="AM88" i="2"/>
  <c r="AQ88" i="2"/>
  <c r="AO89" i="2"/>
  <c r="H108" i="2"/>
  <c r="L108" i="2"/>
  <c r="P108" i="2"/>
  <c r="T108" i="2"/>
  <c r="X108" i="2"/>
  <c r="AB108" i="2"/>
  <c r="AF108" i="2"/>
  <c r="AJ108" i="2"/>
  <c r="AV108" i="2"/>
  <c r="BP108" i="2"/>
  <c r="BT108" i="2"/>
  <c r="V80" i="2"/>
  <c r="AH80" i="2"/>
  <c r="X81" i="2"/>
  <c r="AB81" i="2"/>
  <c r="AF81" i="2"/>
  <c r="AN87" i="2"/>
  <c r="U81" i="2"/>
  <c r="Y81" i="2"/>
  <c r="AC81" i="2"/>
  <c r="AG81" i="2"/>
  <c r="AO87" i="2"/>
  <c r="C9" i="2" l="1"/>
</calcChain>
</file>

<file path=xl/sharedStrings.xml><?xml version="1.0" encoding="utf-8"?>
<sst xmlns="http://schemas.openxmlformats.org/spreadsheetml/2006/main" count="1188" uniqueCount="317">
  <si>
    <t>A saisir</t>
  </si>
  <si>
    <t>ACPS 100</t>
  </si>
  <si>
    <t>ACPS 150</t>
  </si>
  <si>
    <t>ACPS 200</t>
  </si>
  <si>
    <t>ACPS 300</t>
  </si>
  <si>
    <t>ACPS 400</t>
  </si>
  <si>
    <t>ACPS F Réels</t>
  </si>
  <si>
    <t>ACTIO TNS 1</t>
  </si>
  <si>
    <t>ACTIO TNS 2</t>
  </si>
  <si>
    <t>ACTIO TNS 3</t>
  </si>
  <si>
    <t>ACTIO TNS 4</t>
  </si>
  <si>
    <t>Alptis Eco</t>
  </si>
  <si>
    <t>Alptis Niv. 1</t>
  </si>
  <si>
    <t>Alptis Niv. 2</t>
  </si>
  <si>
    <t>Alptis Niv. 3</t>
  </si>
  <si>
    <t>Alptis Niv. 4</t>
  </si>
  <si>
    <t>Alptis Niv. 5</t>
  </si>
  <si>
    <t>APICIL  1</t>
  </si>
  <si>
    <t>APICIL  2</t>
  </si>
  <si>
    <t>APICIL  3</t>
  </si>
  <si>
    <t>APICIL  3.2</t>
  </si>
  <si>
    <t>Base</t>
  </si>
  <si>
    <t>Confort</t>
  </si>
  <si>
    <t>Cosae 34</t>
  </si>
  <si>
    <t>Créasio 1</t>
  </si>
  <si>
    <t>Créasio 1 +</t>
  </si>
  <si>
    <t>Créasio 2</t>
  </si>
  <si>
    <t>Créasio 3</t>
  </si>
  <si>
    <t>Essentiel</t>
  </si>
  <si>
    <t>Excellence</t>
  </si>
  <si>
    <t>Idéo Santé G1</t>
  </si>
  <si>
    <t>Idéo Santé G2</t>
  </si>
  <si>
    <t>Idéo Santé G3</t>
  </si>
  <si>
    <t>Idéo Santé G4</t>
  </si>
  <si>
    <t>Idéo Santé G5</t>
  </si>
  <si>
    <t>Idéo Santé GH</t>
  </si>
  <si>
    <t>Loréa 1</t>
  </si>
  <si>
    <t>Loréa 2</t>
  </si>
  <si>
    <t>Loréa 3</t>
  </si>
  <si>
    <t>Loréa 4</t>
  </si>
  <si>
    <t>Niveau 1</t>
  </si>
  <si>
    <t>Niveau 2</t>
  </si>
  <si>
    <t>Niveau 3</t>
  </si>
  <si>
    <t>Niveau 4</t>
  </si>
  <si>
    <t>Niveau 5</t>
  </si>
  <si>
    <t>Niveau 6</t>
  </si>
  <si>
    <t>Option non résponsable</t>
  </si>
  <si>
    <t>Santé TNS B</t>
  </si>
  <si>
    <t>Santé TNS C</t>
  </si>
  <si>
    <t>Santé TNS D</t>
  </si>
  <si>
    <t>Santé TNS E</t>
  </si>
  <si>
    <t>Sécurité</t>
  </si>
  <si>
    <t>Stella 100</t>
  </si>
  <si>
    <t>Stella 150</t>
  </si>
  <si>
    <t>Stella 200</t>
  </si>
  <si>
    <t>Stella 300</t>
  </si>
  <si>
    <t>Stella 400</t>
  </si>
  <si>
    <t>Stella 500</t>
  </si>
  <si>
    <t>Stella First</t>
  </si>
  <si>
    <t>SwissLife 1</t>
  </si>
  <si>
    <t>SwissLife 2</t>
  </si>
  <si>
    <t>SwissLife 3</t>
  </si>
  <si>
    <t>SwissLife 4</t>
  </si>
  <si>
    <t>SwissLife 5</t>
  </si>
  <si>
    <t>SwissLife 6</t>
  </si>
  <si>
    <t>SwissLife 7</t>
  </si>
  <si>
    <t>SwissLife 8</t>
  </si>
  <si>
    <t>SwissLife 9</t>
  </si>
  <si>
    <t>Y compris Loréa 1</t>
  </si>
  <si>
    <t>Y compris Loréa 2</t>
  </si>
  <si>
    <t>Y compris Loréa 3</t>
  </si>
  <si>
    <t>Y compris Loréa 4</t>
  </si>
  <si>
    <t>Oui</t>
  </si>
  <si>
    <t>Frais Réels</t>
  </si>
  <si>
    <t>?</t>
  </si>
  <si>
    <t>Inclus</t>
  </si>
  <si>
    <t>inclus</t>
  </si>
  <si>
    <t>Frais réels</t>
  </si>
  <si>
    <t>-</t>
  </si>
  <si>
    <t>limité à 230% BR</t>
  </si>
  <si>
    <t>80 €/j. &amp; 20 j./an</t>
  </si>
  <si>
    <t>100 €/j. &amp; 20 j./an</t>
  </si>
  <si>
    <t>150 €/j. &amp; 20 j./an</t>
  </si>
  <si>
    <t>limité à 280% BR</t>
  </si>
  <si>
    <t>350% BR</t>
  </si>
  <si>
    <t>100% BR</t>
  </si>
  <si>
    <t>300% BR</t>
  </si>
  <si>
    <t>400% BR</t>
  </si>
  <si>
    <t>450% BR</t>
  </si>
  <si>
    <t>200 €/ 2ans</t>
  </si>
  <si>
    <t>250% BR</t>
  </si>
  <si>
    <t>225% BR</t>
  </si>
  <si>
    <t>15% PMSS</t>
  </si>
  <si>
    <t>20% PMSS</t>
  </si>
  <si>
    <t>V. antigrippal</t>
  </si>
  <si>
    <t>50% FR</t>
  </si>
  <si>
    <t>60% FR</t>
  </si>
  <si>
    <t>80% FR</t>
  </si>
  <si>
    <t>Livraison à domicile</t>
  </si>
  <si>
    <t>3+3+3</t>
  </si>
  <si>
    <t>100% BR + 100 €</t>
  </si>
  <si>
    <t>1 200 € / 4 ans</t>
  </si>
  <si>
    <t>Forfait</t>
  </si>
  <si>
    <t>Verres + Monture</t>
  </si>
  <si>
    <t>45 à 60 €</t>
  </si>
  <si>
    <t>60 à 80 €</t>
  </si>
  <si>
    <t>80 à 95 €</t>
  </si>
  <si>
    <t>95 à 125 €</t>
  </si>
  <si>
    <t>125 à 155 €</t>
  </si>
  <si>
    <t>80 à 185 €</t>
  </si>
  <si>
    <t>95 à 280 €</t>
  </si>
  <si>
    <t>110 à 310 €</t>
  </si>
  <si>
    <t>140 à 310 €</t>
  </si>
  <si>
    <t>185 à 350 €</t>
  </si>
  <si>
    <t xml:space="preserve"> + 150 € Progressifs</t>
  </si>
  <si>
    <t xml:space="preserve"> 48 à 79 € /Verre</t>
  </si>
  <si>
    <t>79 à 111 € /Verre</t>
  </si>
  <si>
    <t>111 à 143 € /Verre</t>
  </si>
  <si>
    <t>143 à 174 € /Verre</t>
  </si>
  <si>
    <t>500 € / an</t>
  </si>
  <si>
    <t>470% BR</t>
  </si>
  <si>
    <t>500% BR</t>
  </si>
  <si>
    <t>700% BR</t>
  </si>
  <si>
    <t>270% BR</t>
  </si>
  <si>
    <t>570% BR</t>
  </si>
  <si>
    <t>370% BR</t>
  </si>
  <si>
    <t>1</t>
  </si>
  <si>
    <t>2</t>
  </si>
  <si>
    <t>3</t>
  </si>
  <si>
    <t>4</t>
  </si>
  <si>
    <t>5</t>
  </si>
  <si>
    <t>6</t>
  </si>
  <si>
    <t>7</t>
  </si>
  <si>
    <t>8</t>
  </si>
  <si>
    <t>9</t>
  </si>
  <si>
    <t>10</t>
  </si>
  <si>
    <t>11</t>
  </si>
  <si>
    <t>12</t>
  </si>
  <si>
    <t>13</t>
  </si>
  <si>
    <t>14</t>
  </si>
  <si>
    <t>15</t>
  </si>
  <si>
    <t>16</t>
  </si>
  <si>
    <t>17</t>
  </si>
  <si>
    <t>18</t>
  </si>
  <si>
    <t>19</t>
  </si>
  <si>
    <t>20</t>
  </si>
  <si>
    <t>21</t>
  </si>
  <si>
    <t>22</t>
  </si>
  <si>
    <t>23</t>
  </si>
  <si>
    <t>24</t>
  </si>
  <si>
    <t>25</t>
  </si>
  <si>
    <t>26</t>
  </si>
  <si>
    <t>27</t>
  </si>
  <si>
    <t>28</t>
  </si>
  <si>
    <t>29</t>
  </si>
  <si>
    <t>30</t>
  </si>
  <si>
    <t>31</t>
  </si>
  <si>
    <t>32</t>
  </si>
  <si>
    <t>33</t>
  </si>
  <si>
    <t>34</t>
  </si>
  <si>
    <t>35</t>
  </si>
  <si>
    <t>36</t>
  </si>
  <si>
    <t>37</t>
  </si>
  <si>
    <t>38</t>
  </si>
  <si>
    <t>39</t>
  </si>
  <si>
    <t>40</t>
  </si>
  <si>
    <t>41</t>
  </si>
  <si>
    <t>42</t>
  </si>
  <si>
    <t>43</t>
  </si>
  <si>
    <t>44</t>
  </si>
  <si>
    <t>45</t>
  </si>
  <si>
    <t>46</t>
  </si>
  <si>
    <t>47</t>
  </si>
  <si>
    <t>48</t>
  </si>
  <si>
    <t>49</t>
  </si>
  <si>
    <t>50</t>
  </si>
  <si>
    <t>51</t>
  </si>
  <si>
    <t>52</t>
  </si>
  <si>
    <t>53</t>
  </si>
  <si>
    <t>54</t>
  </si>
  <si>
    <t>55</t>
  </si>
  <si>
    <t>56</t>
  </si>
  <si>
    <t>57</t>
  </si>
  <si>
    <t>58</t>
  </si>
  <si>
    <t>59</t>
  </si>
  <si>
    <t>60</t>
  </si>
  <si>
    <t>61</t>
  </si>
  <si>
    <t>62</t>
  </si>
  <si>
    <t>63</t>
  </si>
  <si>
    <t>64</t>
  </si>
  <si>
    <t>65</t>
  </si>
  <si>
    <t>66</t>
  </si>
  <si>
    <t>67</t>
  </si>
  <si>
    <t>68</t>
  </si>
  <si>
    <t>69</t>
  </si>
  <si>
    <t>70</t>
  </si>
  <si>
    <t>Les taux, exprimés en % de la Base de Remboursement (BR) ou des frais réels (FR), incluent les remboursements du Régime Obligatoire. Les remboursements, effectués selon les conditions légales et réglementaires du Contrat Responsable, ne peuvent excéder les frais réels engagés. Les dépassements d’honoraires en secteurs 1 et 2 hors parcours de soins ne sont pas pris en charge. Les forfaits annuels s'entendent par année civile et par bénéficiaire. Les plafonds n'intègrent pas les remboursements du Régime Obligatoire.</t>
  </si>
  <si>
    <t>Votre contrat</t>
  </si>
  <si>
    <t>Hospitalisation médicale &amp; chirurgicale</t>
  </si>
  <si>
    <t>Y compris Hospitalisation à domicile</t>
  </si>
  <si>
    <t>Y compris Maternité</t>
  </si>
  <si>
    <t>Honoraires chirurgicaux &amp; médicaux</t>
  </si>
  <si>
    <t>Secteur  conventionné</t>
  </si>
  <si>
    <t>Médecins liés au Contrat d'Accès aux Soins (CAS)*</t>
  </si>
  <si>
    <t xml:space="preserve">              non conventionné</t>
  </si>
  <si>
    <t>Tous secteurs</t>
  </si>
  <si>
    <t>Médecins non liés au Contrat d'Accès aux Soins (CAS)*</t>
  </si>
  <si>
    <r>
      <rPr>
        <b/>
        <sz val="12"/>
        <rFont val="Arial"/>
        <family val="2"/>
      </rPr>
      <t>Forfait 18€</t>
    </r>
    <r>
      <rPr>
        <sz val="10"/>
        <rFont val="Arial"/>
        <family val="2"/>
      </rPr>
      <t xml:space="preserve"> sur les actes médicaux &gt; à 120€                                  </t>
    </r>
  </si>
  <si>
    <r>
      <rPr>
        <b/>
        <sz val="12"/>
        <rFont val="Arial"/>
        <family val="2"/>
      </rPr>
      <t>Forfait journalier</t>
    </r>
    <r>
      <rPr>
        <sz val="10"/>
        <rFont val="Arial"/>
        <family val="2"/>
      </rPr>
      <t xml:space="preserve"> Hospitalier</t>
    </r>
  </si>
  <si>
    <r>
      <rPr>
        <b/>
        <sz val="12"/>
        <rFont val="Arial"/>
        <family val="2"/>
      </rPr>
      <t>Frais de séjour</t>
    </r>
  </si>
  <si>
    <t>Etabllissements conventionnés</t>
  </si>
  <si>
    <t>Etabllissements  non conventionnés</t>
  </si>
  <si>
    <t xml:space="preserve">                                                           dans les limites de </t>
  </si>
  <si>
    <r>
      <rPr>
        <b/>
        <sz val="12"/>
        <rFont val="Arial"/>
        <family val="2"/>
      </rPr>
      <t>Chambre particulière</t>
    </r>
  </si>
  <si>
    <t>Médecine et Chirurgie</t>
  </si>
  <si>
    <t xml:space="preserve">                                                     </t>
  </si>
  <si>
    <t xml:space="preserve">Psychiatrie, séjour en rééducation fonctionnelle ou motrice, </t>
  </si>
  <si>
    <t>Maison de repos et centre de convalescence dans la limite de</t>
  </si>
  <si>
    <r>
      <rPr>
        <b/>
        <sz val="12"/>
        <rFont val="Arial"/>
        <family val="2"/>
      </rPr>
      <t>Frais d'accompagnant</t>
    </r>
  </si>
  <si>
    <t xml:space="preserve">Nuitée et repas (Enfants - de 14 ans affilié)                    </t>
  </si>
  <si>
    <t>Frais de transport</t>
  </si>
  <si>
    <t>Maternité &amp; Obstétrique</t>
  </si>
  <si>
    <t>Chambre maternité</t>
  </si>
  <si>
    <r>
      <rPr>
        <b/>
        <sz val="12"/>
        <rFont val="Arial"/>
        <family val="2"/>
      </rPr>
      <t>Amniocentèse</t>
    </r>
  </si>
  <si>
    <t>non prise en charge par le RO</t>
  </si>
  <si>
    <r>
      <rPr>
        <b/>
        <sz val="12"/>
        <rFont val="Arial"/>
        <family val="2"/>
      </rPr>
      <t>Fécondation in vitro</t>
    </r>
  </si>
  <si>
    <r>
      <rPr>
        <b/>
        <sz val="12"/>
        <rFont val="Arial"/>
        <family val="2"/>
      </rPr>
      <t>Actes accouchement</t>
    </r>
  </si>
  <si>
    <t>liés au Contrat d'Accès aux Soins (CAS)*</t>
  </si>
  <si>
    <t>Obstétricien &amp; anesthésie</t>
  </si>
  <si>
    <t>non liés au Contrat d'Accès aux Soins (CAS)*</t>
  </si>
  <si>
    <t>ALLOCATION NAISSANCE / ADOPTION</t>
  </si>
  <si>
    <r>
      <rPr>
        <b/>
        <sz val="12"/>
        <rFont val="Arial"/>
        <family val="2"/>
      </rPr>
      <t>Allocation
Naissance Adoption</t>
    </r>
  </si>
  <si>
    <t>versée lors de l'affiliation du nouveau né ou de l'enfant adopté
Fournir Extrait Acte de naissance ou Certificat d'adoption</t>
  </si>
  <si>
    <t>Médecine courante</t>
  </si>
  <si>
    <t>Consultations, Visites</t>
  </si>
  <si>
    <t>Généralistes</t>
  </si>
  <si>
    <t>conventionnés liés au Contrat d'Accès aux Soins (CAS)*</t>
  </si>
  <si>
    <t>Spécialistes</t>
  </si>
  <si>
    <t>Médecins</t>
  </si>
  <si>
    <t>non conventionnés et/ou non liés au Contrat d'Accès aux Soins (CAS)*</t>
  </si>
  <si>
    <r>
      <t xml:space="preserve">Actes techniques médicaux, Radiologie &amp; Echographie    </t>
    </r>
    <r>
      <rPr>
        <sz val="10"/>
        <rFont val="Arial"/>
        <family val="2"/>
      </rPr>
      <t>Médecins liés au CAS</t>
    </r>
  </si>
  <si>
    <r>
      <rPr>
        <b/>
        <sz val="12"/>
        <rFont val="Arial"/>
        <family val="2"/>
      </rPr>
      <t>Auxiliaires médicaux</t>
    </r>
  </si>
  <si>
    <t>(soins infirmiers, kinésithérapie, orthoptie, orthophonie, pédicurie-podologie)</t>
  </si>
  <si>
    <t>Analyses médicales</t>
  </si>
  <si>
    <r>
      <rPr>
        <b/>
        <sz val="12"/>
        <rFont val="Arial"/>
        <family val="2"/>
      </rPr>
      <t>Vaccins</t>
    </r>
  </si>
  <si>
    <t>prescrits &amp; non pris en charge par le RO (joindre ordonnance)</t>
  </si>
  <si>
    <t xml:space="preserve">Pharmacie </t>
  </si>
  <si>
    <t>Forfait supplémentaire automédication</t>
  </si>
  <si>
    <t>Bien Etre &amp; Prévention</t>
  </si>
  <si>
    <r>
      <rPr>
        <b/>
        <sz val="12"/>
        <rFont val="Arial"/>
        <family val="2"/>
      </rPr>
      <t>Médecines douces</t>
    </r>
  </si>
  <si>
    <t>Ostéopathie, acupuncture, chiropractie, diététique, naturopathie Total par an sur présentation de la facture originale nominative</t>
  </si>
  <si>
    <t>Nombre de séances</t>
  </si>
  <si>
    <t>Max par séance</t>
  </si>
  <si>
    <r>
      <rPr>
        <b/>
        <sz val="12"/>
        <rFont val="Arial"/>
        <family val="2"/>
      </rPr>
      <t>Cure thermale</t>
    </r>
  </si>
  <si>
    <t xml:space="preserve">acceptée RO Soins     </t>
  </si>
  <si>
    <t>Transport &amp; Hébergement (sur justicatifs)</t>
  </si>
  <si>
    <r>
      <rPr>
        <b/>
        <sz val="12"/>
        <rFont val="Arial"/>
        <family val="2"/>
      </rPr>
      <t>Cure Thalassothérapie</t>
    </r>
    <r>
      <rPr>
        <sz val="10"/>
        <rFont val="Arial"/>
        <family val="2"/>
      </rPr>
      <t xml:space="preserve">  (5 jours consécutifs, hors balnéo)</t>
    </r>
  </si>
  <si>
    <r>
      <rPr>
        <b/>
        <sz val="12"/>
        <rFont val="Arial"/>
        <family val="2"/>
      </rPr>
      <t>Sevrage tabagique</t>
    </r>
  </si>
  <si>
    <r>
      <rPr>
        <b/>
        <sz val="12"/>
        <rFont val="Arial"/>
        <family val="2"/>
      </rPr>
      <t>Pilule, stérilet</t>
    </r>
  </si>
  <si>
    <t>non pris en charge  RO</t>
  </si>
  <si>
    <r>
      <rPr>
        <b/>
        <sz val="12"/>
        <rFont val="Arial"/>
        <family val="2"/>
      </rPr>
      <t>Ostéodensitométrie</t>
    </r>
  </si>
  <si>
    <t>non prise en charge  par le RO</t>
  </si>
  <si>
    <t>Orthopédie &amp; Appareillages</t>
  </si>
  <si>
    <r>
      <rPr>
        <b/>
        <sz val="12"/>
        <rFont val="Arial"/>
        <family val="2"/>
      </rPr>
      <t>Appareillage auditif</t>
    </r>
  </si>
  <si>
    <r>
      <rPr>
        <b/>
        <u/>
        <sz val="11"/>
        <color theme="1"/>
        <rFont val="Arial"/>
        <family val="2"/>
      </rPr>
      <t>Adultes</t>
    </r>
    <r>
      <rPr>
        <sz val="11"/>
        <color theme="1"/>
        <rFont val="Arial"/>
        <family val="2"/>
      </rPr>
      <t xml:space="preserve"> + de 20 ans (Maxi base SS 199 € )</t>
    </r>
  </si>
  <si>
    <t>forfait par appareil</t>
  </si>
  <si>
    <t>Total</t>
  </si>
  <si>
    <r>
      <rPr>
        <b/>
        <u/>
        <sz val="11"/>
        <color theme="1"/>
        <rFont val="Arial"/>
        <family val="2"/>
      </rPr>
      <t>Enfants</t>
    </r>
    <r>
      <rPr>
        <sz val="11"/>
        <color theme="1"/>
        <rFont val="Arial"/>
        <family val="2"/>
      </rPr>
      <t xml:space="preserve"> - de 20 ans (Maxi base SS 1400 € )</t>
    </r>
  </si>
  <si>
    <t>Orthopédie et appareillage</t>
  </si>
  <si>
    <t>Forfait supplémentaire</t>
  </si>
  <si>
    <r>
      <rPr>
        <b/>
        <sz val="12"/>
        <rFont val="Arial"/>
        <family val="2"/>
      </rPr>
      <t>Fauteuil handicapé</t>
    </r>
  </si>
  <si>
    <t>Optique</t>
  </si>
  <si>
    <t>Un équipement (monture + 2 verres) par période de 2 ans à effet de la date de souscription. Cette limite ne s'applique pas aux enfants de - 18 ans et en cas de changement de dioptrie</t>
  </si>
  <si>
    <t>Lunettes</t>
  </si>
  <si>
    <r>
      <rPr>
        <b/>
        <sz val="12"/>
        <rFont val="Arial"/>
        <family val="2"/>
      </rPr>
      <t xml:space="preserve"> Monture</t>
    </r>
  </si>
  <si>
    <t>Adulte</t>
  </si>
  <si>
    <t>Verre simple</t>
  </si>
  <si>
    <t>Enfants + 12 ans</t>
  </si>
  <si>
    <t>Verre Complexe</t>
  </si>
  <si>
    <t>Verre Très complexe</t>
  </si>
  <si>
    <t>Total monture + Verres Simples</t>
  </si>
  <si>
    <t>Total monture + Verres Complexes</t>
  </si>
  <si>
    <t>Total monture + Verres Tres Complexes</t>
  </si>
  <si>
    <t>Enfants - 13 ans</t>
  </si>
  <si>
    <r>
      <rPr>
        <b/>
        <sz val="12"/>
        <rFont val="Arial"/>
        <family val="2"/>
      </rPr>
      <t>Lentilles</t>
    </r>
    <r>
      <rPr>
        <sz val="10"/>
        <rFont val="Arial"/>
        <family val="2"/>
      </rPr>
      <t xml:space="preserve">                      </t>
    </r>
  </si>
  <si>
    <t>Acceptées RO ou refusées  (Forfait en complément du Rbt RO)(Maxi)</t>
  </si>
  <si>
    <r>
      <rPr>
        <b/>
        <sz val="12"/>
        <rFont val="Arial"/>
        <family val="2"/>
      </rPr>
      <t>Chirurgie de l'œil</t>
    </r>
  </si>
  <si>
    <t>Dentaire</t>
  </si>
  <si>
    <t xml:space="preserve">Soins dentaires </t>
  </si>
  <si>
    <t>Chirurgiens Dentistes liés au Contrat d'Accès aux Soins (CAS)*</t>
  </si>
  <si>
    <r>
      <t>Inlays, Onlays</t>
    </r>
    <r>
      <rPr>
        <b/>
        <strike/>
        <sz val="12"/>
        <rFont val="Arial"/>
        <family val="2"/>
      </rPr>
      <t xml:space="preserve"> </t>
    </r>
  </si>
  <si>
    <r>
      <rPr>
        <b/>
        <sz val="12"/>
        <rFont val="Arial"/>
        <family val="2"/>
      </rPr>
      <t>Orthodontie</t>
    </r>
  </si>
  <si>
    <t>prise en charge par le RO (max.)</t>
  </si>
  <si>
    <t xml:space="preserve">                             </t>
  </si>
  <si>
    <t xml:space="preserve">non prise en charge par le RO (traitement échu par semestre) </t>
  </si>
  <si>
    <r>
      <t>Prothèses, Implants</t>
    </r>
    <r>
      <rPr>
        <sz val="10"/>
        <rFont val="Arial"/>
        <family val="2"/>
      </rPr>
      <t/>
    </r>
  </si>
  <si>
    <r>
      <rPr>
        <sz val="10"/>
        <rFont val="Arial"/>
        <family val="2"/>
      </rPr>
      <t xml:space="preserve">Plafond annuel de Remboursement au delà de 100%   </t>
    </r>
    <r>
      <rPr>
        <b/>
        <sz val="10"/>
        <rFont val="Arial"/>
        <family val="2"/>
      </rPr>
      <t>Année 1</t>
    </r>
  </si>
  <si>
    <r>
      <rPr>
        <sz val="12"/>
        <rFont val="Arial"/>
        <family val="2"/>
      </rPr>
      <t xml:space="preserve">          </t>
    </r>
    <r>
      <rPr>
        <b/>
        <sz val="12"/>
        <rFont val="Arial"/>
        <family val="2"/>
      </rPr>
      <t>&amp; Parodontologie</t>
    </r>
  </si>
  <si>
    <r>
      <t xml:space="preserve">                                                                                         </t>
    </r>
    <r>
      <rPr>
        <b/>
        <sz val="10"/>
        <rFont val="Arial"/>
        <family val="2"/>
      </rPr>
      <t>Années suivantes</t>
    </r>
  </si>
  <si>
    <r>
      <rPr>
        <b/>
        <sz val="12"/>
        <rFont val="Arial"/>
        <family val="2"/>
      </rPr>
      <t>Prothèses dentaires</t>
    </r>
  </si>
  <si>
    <t>prises en charge par le RO (max,)</t>
  </si>
  <si>
    <r>
      <rPr>
        <b/>
        <sz val="12"/>
        <rFont val="Arial"/>
        <family val="2"/>
      </rPr>
      <t>Parodontologie</t>
    </r>
  </si>
  <si>
    <t>non prise en charge par le RO (forfait par traitement)</t>
  </si>
  <si>
    <r>
      <rPr>
        <b/>
        <sz val="12"/>
        <rFont val="Arial"/>
        <family val="2"/>
      </rPr>
      <t>Implants</t>
    </r>
    <r>
      <rPr>
        <sz val="12"/>
        <rFont val="Arial"/>
        <family val="2"/>
      </rPr>
      <t xml:space="preserve"> </t>
    </r>
  </si>
  <si>
    <t>(pilier et racine)</t>
  </si>
  <si>
    <r>
      <t>Allocation obsèques</t>
    </r>
    <r>
      <rPr>
        <sz val="11"/>
        <color indexed="9"/>
        <rFont val="Arial Rounded MT Bold"/>
        <family val="2"/>
      </rPr>
      <t xml:space="preserve">  (affiliés de plus de 12 ans)</t>
    </r>
  </si>
  <si>
    <t>Assistance Santé</t>
  </si>
  <si>
    <t>Tarification en age à l'adhésion</t>
  </si>
  <si>
    <t xml:space="preserve"> Tarifs 2018</t>
  </si>
  <si>
    <t>Econnomie réalisée</t>
  </si>
  <si>
    <t>Mensuelle</t>
  </si>
  <si>
    <t>Annuelle</t>
  </si>
  <si>
    <t>Synthèse récapitulative  : les documents établis aux fins d'information et d'aide à l'évaluation comparative ne constituent pas une information contractuelle.</t>
  </si>
  <si>
    <t>Non</t>
  </si>
  <si>
    <t>Zone OK</t>
  </si>
  <si>
    <t>ZONE 38/73/74/69 OK</t>
  </si>
  <si>
    <t>Tarifs Ok</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</si>
</sst>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2">
    <numFmt numFmtId="44" formatCode="_-* #,##0.00\ &quot;€&quot;_-;\-* #,##0.00\ &quot;€&quot;_-;_-* &quot;-&quot;??\ &quot;€&quot;_-;_-@_-"/>
    <numFmt numFmtId="164" formatCode="#,##0&quot; € / Implant&quot;"/>
    <numFmt numFmtId="165" formatCode="0%&quot; BR&quot;"/>
    <numFmt numFmtId="166" formatCode="0%&quot; F.Réels&quot;"/>
    <numFmt numFmtId="167" formatCode="#,##0&quot; € / J.&quot;"/>
    <numFmt numFmtId="168" formatCode="&quot;Max.&quot;#,##0&quot; J /an&quot;"/>
    <numFmt numFmtId="169" formatCode="&quot;€&quot;#,##0_);[Red]\(&quot;€&quot;#,##0\)"/>
    <numFmt numFmtId="170" formatCode="#,##0&quot; € /an&quot;"/>
    <numFmt numFmtId="171" formatCode="#,##0\ &quot;€&quot;"/>
    <numFmt numFmtId="172" formatCode="&quot;Max.&quot;\ #,##0&quot; /an&quot;"/>
    <numFmt numFmtId="173" formatCode="#,##0&quot; € par séance&quot;"/>
    <numFmt numFmtId="174" formatCode="#,##0\ &quot;€&quot;_);[Red]\(#,##0\ &quot;€&quot;\)"/>
    <numFmt numFmtId="175" formatCode="&quot;Plafond &quot;0&quot; € /an&quot;"/>
    <numFmt numFmtId="176" formatCode="#,##0&quot; € /Verre&quot;"/>
    <numFmt numFmtId="177" formatCode="#,##0&quot; € / Paire&quot;"/>
    <numFmt numFmtId="178" formatCode="#,##0&quot; €&quot;"/>
    <numFmt numFmtId="179" formatCode="#,##0&quot; € / Equip.&quot;"/>
    <numFmt numFmtId="180" formatCode="#,##0&quot; € /Oeil&quot;"/>
    <numFmt numFmtId="181" formatCode="0&quot; € / an&quot;"/>
    <numFmt numFmtId="182" formatCode="#,##0&quot; /an&quot;"/>
    <numFmt numFmtId="184" formatCode="#,##0.00&quot; €&quot;"/>
    <numFmt numFmtId="185" formatCode="0&quot; ans&quot;"/>
  </numFmts>
  <fonts count="71" x14ac:knownFonts="1">
    <font>
      <sz val="11"/>
      <color theme="1"/>
      <name val="Calibri"/>
      <family val="2"/>
      <scheme val="minor"/>
    </font>
    <font>
      <sz val="11"/>
      <color theme="1"/>
      <name val="Calibri"/>
      <family val="2"/>
      <scheme val="minor"/>
    </font>
    <font>
      <sz val="14"/>
      <name val="Calibri"/>
      <family val="2"/>
      <scheme val="minor"/>
    </font>
    <font>
      <b/>
      <sz val="24"/>
      <color rgb="FF6C7BBF"/>
      <name val="Arial Rounded MT Bold"/>
      <family val="2"/>
    </font>
    <font>
      <sz val="14"/>
      <color theme="1"/>
      <name val="Calibri"/>
      <family val="2"/>
      <scheme val="minor"/>
    </font>
    <font>
      <b/>
      <sz val="16"/>
      <color theme="0"/>
      <name val="Arial Rounded MT Bold"/>
      <family val="2"/>
    </font>
    <font>
      <b/>
      <sz val="20"/>
      <color theme="0"/>
      <name val="Arial Rounded MT Bold"/>
      <family val="2"/>
    </font>
    <font>
      <b/>
      <sz val="9"/>
      <color theme="0"/>
      <name val="Arial Rounded MT Bold"/>
      <family val="2"/>
    </font>
    <font>
      <sz val="11"/>
      <name val="Arial"/>
      <family val="2"/>
    </font>
    <font>
      <sz val="11"/>
      <color rgb="FF6C7BBF"/>
      <name val="Arial"/>
      <family val="2"/>
    </font>
    <font>
      <b/>
      <sz val="12"/>
      <name val="Arial"/>
      <family val="2"/>
    </font>
    <font>
      <sz val="11"/>
      <color theme="1"/>
      <name val="Arial"/>
      <family val="2"/>
    </font>
    <font>
      <sz val="10"/>
      <name val="Arial"/>
      <family val="2"/>
    </font>
    <font>
      <sz val="12"/>
      <name val="Arial"/>
      <family val="2"/>
    </font>
    <font>
      <b/>
      <sz val="14"/>
      <name val="Arial"/>
      <family val="2"/>
    </font>
    <font>
      <sz val="11"/>
      <name val="Calibri"/>
      <family val="2"/>
      <scheme val="minor"/>
    </font>
    <font>
      <sz val="9"/>
      <name val="Arial"/>
      <family val="2"/>
    </font>
    <font>
      <sz val="10"/>
      <color theme="1"/>
      <name val="Arial"/>
      <family val="2"/>
    </font>
    <font>
      <sz val="9"/>
      <color theme="1"/>
      <name val="Arial"/>
      <family val="2"/>
    </font>
    <font>
      <b/>
      <u/>
      <sz val="11"/>
      <color theme="1"/>
      <name val="Arial"/>
      <family val="2"/>
    </font>
    <font>
      <sz val="12"/>
      <name val="Calibri"/>
      <family val="2"/>
      <scheme val="minor"/>
    </font>
    <font>
      <b/>
      <sz val="12"/>
      <color theme="1" tint="0.249977111117893"/>
      <name val="Arial"/>
      <family val="2"/>
    </font>
    <font>
      <b/>
      <strike/>
      <sz val="12"/>
      <name val="Arial"/>
      <family val="2"/>
    </font>
    <font>
      <b/>
      <sz val="10"/>
      <name val="Arial"/>
      <family val="2"/>
    </font>
    <font>
      <b/>
      <sz val="11"/>
      <name val="Arial"/>
      <family val="2"/>
    </font>
    <font>
      <sz val="11"/>
      <color theme="0"/>
      <name val="Arial Rounded MT Bold"/>
      <family val="2"/>
    </font>
    <font>
      <sz val="11"/>
      <color indexed="9"/>
      <name val="Arial Rounded MT Bold"/>
      <family val="2"/>
    </font>
    <font>
      <sz val="16"/>
      <color theme="0"/>
      <name val="Arial Rounded MT Bold"/>
      <family val="2"/>
    </font>
    <font>
      <sz val="18"/>
      <color theme="0"/>
      <name val="Arial Rounded MT Bold"/>
      <family val="2"/>
    </font>
    <font>
      <sz val="14"/>
      <name val="Arial"/>
      <family val="2"/>
    </font>
    <font>
      <b/>
      <sz val="16"/>
      <name val="Arial Rounded MT Bold"/>
      <family val="2"/>
    </font>
    <font>
      <b/>
      <sz val="14"/>
      <color theme="0"/>
      <name val="Arial Rounded MT Bold"/>
      <family val="2"/>
    </font>
    <font>
      <b/>
      <sz val="18"/>
      <color theme="0"/>
      <name val="Arial Rounded MT Bold"/>
      <family val="2"/>
    </font>
    <font>
      <b/>
      <sz val="8"/>
      <color theme="0"/>
      <name val="Arial Rounded MT Bold"/>
      <family val="2"/>
    </font>
    <font>
      <sz val="11"/>
      <color rgb="FF000000"/>
      <name val="Calibri"/>
      <family val="2"/>
    </font>
    <font>
      <sz val="11"/>
      <color indexed="8"/>
      <name val="Calibri"/>
      <family val="2"/>
      <charset val="1"/>
    </font>
    <font>
      <b/>
      <sz val="9"/>
      <name val="Calibri"/>
      <family val="2"/>
      <charset val="1"/>
    </font>
    <font>
      <b/>
      <sz val="11"/>
      <color rgb="FF6C7BBF"/>
      <name val="Calibri"/>
      <family val="2"/>
      <scheme val="minor"/>
    </font>
    <font>
      <sz val="14"/>
      <color theme="0"/>
      <name val="Arial Rounded MT Bold"/>
      <family val="2"/>
    </font>
    <font>
      <sz val="12"/>
      <color theme="0"/>
      <name val="Arial Rounded MT Bold"/>
      <family val="2"/>
    </font>
    <font>
      <sz val="10"/>
      <color theme="0"/>
      <name val="Arial Rounded MT Bold"/>
      <family val="2"/>
    </font>
    <font>
      <sz val="12"/>
      <name val="Arial Rounded MT Bold"/>
      <family val="2"/>
    </font>
    <font>
      <sz val="20"/>
      <color theme="0"/>
      <name val="Arial Rounded MT Bold"/>
      <family val="2"/>
    </font>
    <font>
      <sz val="20"/>
      <name val="Arial Rounded MT Bold"/>
      <family val="2"/>
    </font>
    <font>
      <b/>
      <sz val="11"/>
      <color theme="0"/>
      <name val="Arial Rounded MT Bold"/>
      <family val="2"/>
    </font>
    <font>
      <b/>
      <sz val="11"/>
      <color rgb="FF6C7BBF"/>
      <name val="Arial"/>
      <family val="2"/>
    </font>
    <font>
      <sz val="11"/>
      <color theme="4" tint="-0.499984740745262"/>
      <name val="Arial"/>
      <family val="2"/>
    </font>
    <font>
      <sz val="11"/>
      <color rgb="FF6C7BBF"/>
      <name val="Calibri"/>
      <family val="2"/>
      <scheme val="minor"/>
    </font>
    <font>
      <sz val="11"/>
      <color theme="1" tint="0.249977111117893"/>
      <name val="Arial"/>
      <family val="2"/>
    </font>
    <font>
      <sz val="11"/>
      <color rgb="FFE10070"/>
      <name val="Arial"/>
      <family val="2"/>
    </font>
    <font>
      <sz val="11"/>
      <color theme="4" tint="-0.499984740745262"/>
      <name val="Calibri"/>
      <family val="2"/>
      <scheme val="minor"/>
    </font>
    <font>
      <b/>
      <sz val="11"/>
      <color theme="4" tint="-0.499984740745262"/>
      <name val="Arial"/>
      <family val="2"/>
    </font>
    <font>
      <sz val="11"/>
      <color theme="4" tint="-0.499984740745262"/>
      <name val="Arial Rounded MT Bold"/>
      <family val="2"/>
    </font>
    <font>
      <b/>
      <sz val="11"/>
      <color theme="0"/>
      <name val="Arial"/>
      <family val="2"/>
    </font>
    <font>
      <sz val="10"/>
      <color theme="4" tint="-0.499984740745262"/>
      <name val="Arial"/>
      <family val="2"/>
    </font>
    <font>
      <b/>
      <sz val="11"/>
      <color theme="1" tint="0.249977111117893"/>
      <name val="Arial"/>
      <family val="2"/>
    </font>
    <font>
      <b/>
      <sz val="14"/>
      <color theme="0"/>
      <name val="Arial"/>
      <family val="2"/>
    </font>
    <font>
      <b/>
      <sz val="16"/>
      <color rgb="FF475280"/>
      <name val="Arial Rounded MT Bold"/>
      <family val="2"/>
    </font>
    <font>
      <sz val="16"/>
      <name val="Calibri"/>
      <family val="2"/>
      <scheme val="minor"/>
    </font>
    <font>
      <b/>
      <sz val="18"/>
      <color theme="9" tint="-0.249977111117893"/>
      <name val="Arial Rounded MT Bold"/>
      <family val="2"/>
    </font>
    <font>
      <b/>
      <sz val="14"/>
      <color theme="9" tint="-0.249977111117893"/>
      <name val="Arial Rounded MT Bold"/>
      <family val="2"/>
    </font>
    <font>
      <sz val="18"/>
      <name val="Calibri"/>
      <family val="2"/>
      <scheme val="minor"/>
    </font>
    <font>
      <b/>
      <sz val="18"/>
      <color rgb="FF475280"/>
      <name val="Arial Rounded MT Bold"/>
      <family val="2"/>
    </font>
    <font>
      <sz val="8"/>
      <name val="Arial"/>
      <family val="2"/>
    </font>
    <font>
      <b/>
      <sz val="12"/>
      <color theme="0"/>
      <name val="Arial"/>
      <family val="2"/>
    </font>
    <font>
      <b/>
      <sz val="36"/>
      <color rgb="FF6C7BBF"/>
      <name val="Wingdings"/>
      <charset val="2"/>
    </font>
    <font>
      <b/>
      <sz val="36"/>
      <name val="Wingdings"/>
      <charset val="2"/>
    </font>
    <font>
      <sz val="36"/>
      <name val="Wingdings"/>
      <charset val="2"/>
    </font>
    <font>
      <b/>
      <sz val="14"/>
      <color theme="0" tint="-0.34998626667073579"/>
      <name val="Arial Rounded MT Bold"/>
      <family val="2"/>
    </font>
    <font>
      <b/>
      <sz val="18"/>
      <color theme="0" tint="-0.34998626667073579"/>
      <name val="Arial Rounded MT Bold"/>
      <family val="2"/>
    </font>
    <font>
      <b/>
      <sz val="14"/>
      <color rgb="FF6C7BBF"/>
      <name val="Arial Rounded MT Bold"/>
      <family val="2"/>
    </font>
  </fonts>
  <fills count="24">
    <fill>
      <patternFill patternType="none"/>
    </fill>
    <fill>
      <patternFill patternType="gray125"/>
    </fill>
    <fill>
      <patternFill patternType="solid">
        <fgColor rgb="FF869FDC"/>
        <bgColor indexed="64"/>
      </patternFill>
    </fill>
    <fill>
      <patternFill patternType="solid">
        <fgColor theme="9" tint="0.79998168889431442"/>
        <bgColor indexed="64"/>
      </patternFill>
    </fill>
    <fill>
      <patternFill patternType="solid">
        <fgColor rgb="FFFFFF00"/>
        <bgColor indexed="64"/>
      </patternFill>
    </fill>
    <fill>
      <patternFill patternType="solid">
        <fgColor theme="8" tint="0.79998168889431442"/>
        <bgColor indexed="64"/>
      </patternFill>
    </fill>
    <fill>
      <patternFill patternType="solid">
        <fgColor theme="7" tint="0.79998168889431442"/>
        <bgColor indexed="64"/>
      </patternFill>
    </fill>
    <fill>
      <patternFill patternType="solid">
        <fgColor theme="6" tint="0.79998168889431442"/>
        <bgColor indexed="64"/>
      </patternFill>
    </fill>
    <fill>
      <patternFill patternType="solid">
        <fgColor rgb="FFFFCCCC"/>
        <bgColor indexed="64"/>
      </patternFill>
    </fill>
    <fill>
      <patternFill patternType="solid">
        <fgColor rgb="FFCCFFFF"/>
        <bgColor indexed="64"/>
      </patternFill>
    </fill>
    <fill>
      <patternFill patternType="solid">
        <fgColor rgb="FFFFFFFF"/>
        <bgColor indexed="64"/>
      </patternFill>
    </fill>
    <fill>
      <patternFill patternType="solid">
        <fgColor theme="0"/>
        <bgColor indexed="64"/>
      </patternFill>
    </fill>
    <fill>
      <patternFill patternType="solid">
        <fgColor theme="9" tint="0.39997558519241921"/>
        <bgColor indexed="64"/>
      </patternFill>
    </fill>
    <fill>
      <patternFill patternType="solid">
        <fgColor theme="5" tint="0.59999389629810485"/>
        <bgColor indexed="64"/>
      </patternFill>
    </fill>
    <fill>
      <patternFill patternType="solid">
        <fgColor rgb="FF7030A0"/>
        <bgColor indexed="64"/>
      </patternFill>
    </fill>
    <fill>
      <patternFill patternType="solid">
        <fgColor rgb="FFFF8000"/>
        <bgColor indexed="64"/>
      </patternFill>
    </fill>
    <fill>
      <patternFill patternType="solid">
        <fgColor rgb="FFC30000"/>
        <bgColor indexed="64"/>
      </patternFill>
    </fill>
    <fill>
      <patternFill patternType="solid">
        <fgColor rgb="FFC10060"/>
        <bgColor indexed="64"/>
      </patternFill>
    </fill>
    <fill>
      <patternFill patternType="solid">
        <fgColor rgb="FF6666FF"/>
        <bgColor indexed="64"/>
      </patternFill>
    </fill>
    <fill>
      <patternFill patternType="solid">
        <fgColor rgb="FF00CC66"/>
        <bgColor indexed="64"/>
      </patternFill>
    </fill>
    <fill>
      <patternFill patternType="solid">
        <fgColor theme="9" tint="-0.499984740745262"/>
        <bgColor indexed="64"/>
      </patternFill>
    </fill>
    <fill>
      <patternFill patternType="solid">
        <fgColor rgb="FFFF6600"/>
        <bgColor indexed="64"/>
      </patternFill>
    </fill>
    <fill>
      <patternFill patternType="solid">
        <fgColor rgb="FFE561B9"/>
        <bgColor indexed="64"/>
      </patternFill>
    </fill>
    <fill>
      <patternFill patternType="solid">
        <fgColor theme="8" tint="0.39997558519241921"/>
        <bgColor indexed="64"/>
      </patternFill>
    </fill>
  </fills>
  <borders count="80">
    <border>
      <left/>
      <right/>
      <top/>
      <bottom/>
      <diagonal/>
    </border>
    <border>
      <left style="thin">
        <color rgb="FF6D93D8"/>
      </left>
      <right/>
      <top style="thin">
        <color rgb="FF6D93D8"/>
      </top>
      <bottom style="thin">
        <color theme="0"/>
      </bottom>
      <diagonal/>
    </border>
    <border>
      <left/>
      <right style="thin">
        <color theme="0"/>
      </right>
      <top style="thin">
        <color rgb="FF6D93D8"/>
      </top>
      <bottom style="thin">
        <color theme="0"/>
      </bottom>
      <diagonal/>
    </border>
    <border>
      <left/>
      <right style="thin">
        <color theme="0"/>
      </right>
      <top style="thin">
        <color rgb="FF6D93D8"/>
      </top>
      <bottom/>
      <diagonal/>
    </border>
    <border>
      <left style="thin">
        <color rgb="FF6D93D8"/>
      </left>
      <right/>
      <top style="thin">
        <color theme="0"/>
      </top>
      <bottom style="thin">
        <color theme="0"/>
      </bottom>
      <diagonal/>
    </border>
    <border>
      <left/>
      <right/>
      <top style="thin">
        <color theme="0"/>
      </top>
      <bottom style="thin">
        <color theme="0"/>
      </bottom>
      <diagonal/>
    </border>
    <border>
      <left/>
      <right/>
      <top style="thin">
        <color theme="0"/>
      </top>
      <bottom/>
      <diagonal/>
    </border>
    <border>
      <left style="thin">
        <color rgb="FF6D93D8"/>
      </left>
      <right style="thin">
        <color theme="8" tint="-0.249977111117893"/>
      </right>
      <top/>
      <bottom style="thin">
        <color theme="8" tint="-0.249977111117893"/>
      </bottom>
      <diagonal/>
    </border>
    <border>
      <left/>
      <right/>
      <top/>
      <bottom style="thin">
        <color theme="8" tint="-0.249977111117893"/>
      </bottom>
      <diagonal/>
    </border>
    <border>
      <left style="medium">
        <color theme="4" tint="0.39994506668294322"/>
      </left>
      <right style="medium">
        <color theme="4" tint="0.39994506668294322"/>
      </right>
      <top style="medium">
        <color theme="4" tint="0.39994506668294322"/>
      </top>
      <bottom style="medium">
        <color theme="4" tint="0.39994506668294322"/>
      </bottom>
      <diagonal/>
    </border>
    <border>
      <left style="thin">
        <color rgb="FF6D93D8"/>
      </left>
      <right style="thin">
        <color theme="8" tint="-0.249977111117893"/>
      </right>
      <top style="thin">
        <color theme="8" tint="-0.249977111117893"/>
      </top>
      <bottom style="thin">
        <color theme="8" tint="-0.249977111117893"/>
      </bottom>
      <diagonal/>
    </border>
    <border>
      <left/>
      <right/>
      <top style="thin">
        <color theme="8" tint="-0.249977111117893"/>
      </top>
      <bottom style="thin">
        <color theme="8" tint="-0.249977111117893"/>
      </bottom>
      <diagonal/>
    </border>
    <border>
      <left style="thin">
        <color rgb="FF6D93D8"/>
      </left>
      <right/>
      <top style="thin">
        <color theme="8" tint="-0.249977111117893"/>
      </top>
      <bottom/>
      <diagonal/>
    </border>
    <border>
      <left/>
      <right/>
      <top style="thin">
        <color theme="8" tint="-0.249977111117893"/>
      </top>
      <bottom/>
      <diagonal/>
    </border>
    <border>
      <left style="thin">
        <color rgb="FF6D93D8"/>
      </left>
      <right/>
      <top/>
      <bottom style="thin">
        <color theme="0" tint="-0.14999847407452621"/>
      </bottom>
      <diagonal/>
    </border>
    <border>
      <left/>
      <right/>
      <top/>
      <bottom style="thin">
        <color theme="0" tint="-0.14999847407452621"/>
      </bottom>
      <diagonal/>
    </border>
    <border>
      <left style="thin">
        <color rgb="FF6D93D8"/>
      </left>
      <right/>
      <top style="thin">
        <color theme="0" tint="-0.14999847407452621"/>
      </top>
      <bottom style="thin">
        <color theme="0" tint="-0.14999847407452621"/>
      </bottom>
      <diagonal/>
    </border>
    <border>
      <left/>
      <right/>
      <top style="thin">
        <color theme="0" tint="-0.14999847407452621"/>
      </top>
      <bottom style="thin">
        <color theme="0" tint="-0.14999847407452621"/>
      </bottom>
      <diagonal/>
    </border>
    <border>
      <left style="thin">
        <color rgb="FF6D93D8"/>
      </left>
      <right/>
      <top style="thin">
        <color theme="0" tint="-0.14999847407452621"/>
      </top>
      <bottom/>
      <diagonal/>
    </border>
    <border>
      <left/>
      <right/>
      <top style="thin">
        <color theme="0" tint="-0.14999847407452621"/>
      </top>
      <bottom/>
      <diagonal/>
    </border>
    <border>
      <left style="thin">
        <color rgb="FF6D93D8"/>
      </left>
      <right/>
      <top style="thin">
        <color theme="8" tint="-0.249977111117893"/>
      </top>
      <bottom style="thin">
        <color theme="8" tint="-0.249977111117893"/>
      </bottom>
      <diagonal/>
    </border>
    <border>
      <left style="thin">
        <color rgb="FF6D93D8"/>
      </left>
      <right/>
      <top style="thin">
        <color rgb="FF6D93D8"/>
      </top>
      <bottom/>
      <diagonal/>
    </border>
    <border>
      <left/>
      <right/>
      <top style="thin">
        <color rgb="FF6D93D8"/>
      </top>
      <bottom/>
      <diagonal/>
    </border>
    <border>
      <left style="thin">
        <color rgb="FF6D93D8"/>
      </left>
      <right/>
      <top/>
      <bottom/>
      <diagonal/>
    </border>
    <border>
      <left style="thin">
        <color rgb="FF6D93D8"/>
      </left>
      <right/>
      <top/>
      <bottom style="thin">
        <color rgb="FF6D93D8"/>
      </bottom>
      <diagonal/>
    </border>
    <border>
      <left/>
      <right/>
      <top/>
      <bottom style="thin">
        <color rgb="FF6D93D8"/>
      </bottom>
      <diagonal/>
    </border>
    <border>
      <left style="thin">
        <color rgb="FF6D93D8"/>
      </left>
      <right/>
      <top/>
      <bottom style="thin">
        <color theme="8" tint="-0.249977111117893"/>
      </bottom>
      <diagonal/>
    </border>
    <border>
      <left style="thin">
        <color rgb="FF6D93D8"/>
      </left>
      <right/>
      <top style="thin">
        <color theme="8" tint="-0.249977111117893"/>
      </top>
      <bottom style="thin">
        <color rgb="FF6D93D8"/>
      </bottom>
      <diagonal/>
    </border>
    <border>
      <left/>
      <right/>
      <top style="thin">
        <color theme="8" tint="-0.249977111117893"/>
      </top>
      <bottom style="thin">
        <color rgb="FF6D93D8"/>
      </bottom>
      <diagonal/>
    </border>
    <border>
      <left style="thin">
        <color rgb="FF6D93D8"/>
      </left>
      <right/>
      <top style="thin">
        <color rgb="FF6D93D8"/>
      </top>
      <bottom style="thin">
        <color rgb="FF6D93D8"/>
      </bottom>
      <diagonal/>
    </border>
    <border>
      <left/>
      <right/>
      <top style="thin">
        <color rgb="FF6D93D8"/>
      </top>
      <bottom style="thin">
        <color rgb="FF6D93D8"/>
      </bottom>
      <diagonal/>
    </border>
    <border>
      <left style="thin">
        <color rgb="FF6D93D8"/>
      </left>
      <right/>
      <top style="thin">
        <color theme="0" tint="-4.9989318521683403E-2"/>
      </top>
      <bottom style="thin">
        <color theme="0" tint="-4.9989318521683403E-2"/>
      </bottom>
      <diagonal/>
    </border>
    <border>
      <left/>
      <right/>
      <top style="thin">
        <color theme="0" tint="-4.9989318521683403E-2"/>
      </top>
      <bottom style="thin">
        <color theme="0" tint="-4.9989318521683403E-2"/>
      </bottom>
      <diagonal/>
    </border>
    <border>
      <left style="thin">
        <color rgb="FF6D93D8"/>
      </left>
      <right/>
      <top/>
      <bottom style="thin">
        <color theme="0" tint="-0.34998626667073579"/>
      </bottom>
      <diagonal/>
    </border>
    <border>
      <left/>
      <right/>
      <top/>
      <bottom style="thin">
        <color theme="0" tint="-0.34998626667073579"/>
      </bottom>
      <diagonal/>
    </border>
    <border>
      <left style="thin">
        <color rgb="FF6D93D8"/>
      </left>
      <right/>
      <top style="thin">
        <color theme="0" tint="-0.34998626667073579"/>
      </top>
      <bottom/>
      <diagonal/>
    </border>
    <border>
      <left/>
      <right/>
      <top style="thin">
        <color theme="0" tint="-0.34998626667073579"/>
      </top>
      <bottom/>
      <diagonal/>
    </border>
    <border>
      <left/>
      <right style="thin">
        <color theme="4" tint="0.39997558519241921"/>
      </right>
      <top/>
      <bottom/>
      <diagonal/>
    </border>
    <border>
      <left/>
      <right/>
      <top style="thin">
        <color theme="0" tint="-0.34998626667073579"/>
      </top>
      <bottom style="thin">
        <color theme="0" tint="-0.34998626667073579"/>
      </bottom>
      <diagonal/>
    </border>
    <border>
      <left/>
      <right/>
      <top style="thin">
        <color rgb="FF6D93D8"/>
      </top>
      <bottom style="thin">
        <color theme="0" tint="-0.249977111117893"/>
      </bottom>
      <diagonal/>
    </border>
    <border>
      <left style="thin">
        <color rgb="FF6D93D8"/>
      </left>
      <right/>
      <top style="thin">
        <color theme="0" tint="-0.14999847407452621"/>
      </top>
      <bottom style="thin">
        <color rgb="FF6D93D8"/>
      </bottom>
      <diagonal/>
    </border>
    <border>
      <left/>
      <right/>
      <top style="thin">
        <color theme="0" tint="-0.14999847407452621"/>
      </top>
      <bottom style="thin">
        <color rgb="FF6D93D8"/>
      </bottom>
      <diagonal/>
    </border>
    <border>
      <left style="thin">
        <color rgb="FF6D93D8"/>
      </left>
      <right/>
      <top style="thin">
        <color theme="0" tint="-0.249977111117893"/>
      </top>
      <bottom style="thin">
        <color theme="0" tint="-0.249977111117893"/>
      </bottom>
      <diagonal/>
    </border>
    <border>
      <left/>
      <right/>
      <top style="thin">
        <color theme="0" tint="-0.249977111117893"/>
      </top>
      <bottom style="thin">
        <color theme="0" tint="-0.249977111117893"/>
      </bottom>
      <diagonal/>
    </border>
    <border>
      <left style="thin">
        <color rgb="FF6D93D8"/>
      </left>
      <right/>
      <top style="medium">
        <color theme="0"/>
      </top>
      <bottom style="thin">
        <color rgb="FF6D93D8"/>
      </bottom>
      <diagonal/>
    </border>
    <border>
      <left style="thin">
        <color rgb="FF6D93D8"/>
      </left>
      <right/>
      <top style="thin">
        <color rgb="FF6D93D8"/>
      </top>
      <bottom style="medium">
        <color theme="0"/>
      </bottom>
      <diagonal/>
    </border>
    <border>
      <left/>
      <right/>
      <top style="thin">
        <color rgb="FF6D93D8"/>
      </top>
      <bottom style="medium">
        <color theme="0"/>
      </bottom>
      <diagonal/>
    </border>
    <border>
      <left style="thin">
        <color auto="1"/>
      </left>
      <right style="thin">
        <color auto="1"/>
      </right>
      <top style="thin">
        <color auto="1"/>
      </top>
      <bottom style="thin">
        <color auto="1"/>
      </bottom>
      <diagonal/>
    </border>
    <border>
      <left/>
      <right/>
      <top style="thin">
        <color auto="1"/>
      </top>
      <bottom style="thin">
        <color auto="1"/>
      </bottom>
      <diagonal/>
    </border>
    <border>
      <left/>
      <right/>
      <top style="thin">
        <color auto="1"/>
      </top>
      <bottom/>
      <diagonal/>
    </border>
    <border>
      <left style="thin">
        <color theme="4" tint="0.39997558519241921"/>
      </left>
      <right/>
      <top/>
      <bottom/>
      <diagonal/>
    </border>
    <border>
      <left style="thick">
        <color rgb="FF6D93D8"/>
      </left>
      <right style="thick">
        <color rgb="FF6D93D8"/>
      </right>
      <top style="thin">
        <color rgb="FF6D93D8"/>
      </top>
      <bottom/>
      <diagonal/>
    </border>
    <border>
      <left style="thick">
        <color rgb="FF6D93D8"/>
      </left>
      <right style="thick">
        <color rgb="FF6D93D8"/>
      </right>
      <top/>
      <bottom/>
      <diagonal/>
    </border>
    <border>
      <left style="thick">
        <color rgb="FF6D93D8"/>
      </left>
      <right style="thick">
        <color rgb="FF6D93D8"/>
      </right>
      <top style="thin">
        <color theme="4" tint="-0.249977111117893"/>
      </top>
      <bottom/>
      <diagonal/>
    </border>
    <border>
      <left style="thick">
        <color rgb="FF6D93D8"/>
      </left>
      <right style="thick">
        <color rgb="FF6D93D8"/>
      </right>
      <top style="thin">
        <color rgb="FFFF8000"/>
      </top>
      <bottom/>
      <diagonal/>
    </border>
    <border>
      <left style="thick">
        <color rgb="FF6D93D8"/>
      </left>
      <right style="thick">
        <color rgb="FF6D93D8"/>
      </right>
      <top style="thin">
        <color rgb="FFD70000"/>
      </top>
      <bottom/>
      <diagonal/>
    </border>
    <border>
      <left style="thick">
        <color rgb="FF6D93D8"/>
      </left>
      <right style="thick">
        <color rgb="FF6D93D8"/>
      </right>
      <top style="thin">
        <color rgb="FFC80064"/>
      </top>
      <bottom/>
      <diagonal/>
    </border>
    <border>
      <left style="thick">
        <color rgb="FF6D93D8"/>
      </left>
      <right style="thick">
        <color rgb="FF6D93D8"/>
      </right>
      <top style="thin">
        <color theme="0"/>
      </top>
      <bottom style="thin">
        <color theme="0"/>
      </bottom>
      <diagonal/>
    </border>
    <border>
      <left style="thick">
        <color rgb="FF6D93D8"/>
      </left>
      <right style="thick">
        <color rgb="FF6D93D8"/>
      </right>
      <top/>
      <bottom style="thin">
        <color theme="8" tint="-0.249977111117893"/>
      </bottom>
      <diagonal/>
    </border>
    <border>
      <left style="thick">
        <color rgb="FF6D93D8"/>
      </left>
      <right style="thick">
        <color rgb="FF6D93D8"/>
      </right>
      <top style="thin">
        <color theme="8" tint="-0.249977111117893"/>
      </top>
      <bottom style="thin">
        <color theme="8" tint="-0.249977111117893"/>
      </bottom>
      <diagonal/>
    </border>
    <border>
      <left style="thick">
        <color rgb="FF6D93D8"/>
      </left>
      <right style="thick">
        <color rgb="FF6D93D8"/>
      </right>
      <top style="thin">
        <color theme="8" tint="-0.249977111117893"/>
      </top>
      <bottom/>
      <diagonal/>
    </border>
    <border>
      <left style="thick">
        <color rgb="FF6D93D8"/>
      </left>
      <right style="thick">
        <color rgb="FF6D93D8"/>
      </right>
      <top/>
      <bottom style="medium">
        <color theme="4" tint="0.59996337778862885"/>
      </bottom>
      <diagonal/>
    </border>
    <border>
      <left style="thick">
        <color rgb="FF6D93D8"/>
      </left>
      <right style="thick">
        <color rgb="FF6D93D8"/>
      </right>
      <top style="medium">
        <color theme="4" tint="0.59996337778862885"/>
      </top>
      <bottom style="medium">
        <color theme="4" tint="0.59996337778862885"/>
      </bottom>
      <diagonal/>
    </border>
    <border>
      <left style="thick">
        <color rgb="FF6D93D8"/>
      </left>
      <right style="thick">
        <color rgb="FF6D93D8"/>
      </right>
      <top/>
      <bottom style="thin">
        <color theme="0" tint="-0.14999847407452621"/>
      </bottom>
      <diagonal/>
    </border>
    <border>
      <left style="thick">
        <color rgb="FF6D93D8"/>
      </left>
      <right style="thick">
        <color rgb="FF6D93D8"/>
      </right>
      <top style="thick">
        <color theme="4" tint="0.39994506668294322"/>
      </top>
      <bottom style="thick">
        <color theme="4" tint="0.39994506668294322"/>
      </bottom>
      <diagonal/>
    </border>
    <border>
      <left style="thick">
        <color rgb="FF6D93D8"/>
      </left>
      <right style="thick">
        <color rgb="FF6D93D8"/>
      </right>
      <top style="medium">
        <color theme="4" tint="0.59996337778862885"/>
      </top>
      <bottom/>
      <diagonal/>
    </border>
    <border>
      <left style="thick">
        <color rgb="FF6D93D8"/>
      </left>
      <right style="thick">
        <color rgb="FF6D93D8"/>
      </right>
      <top style="thin">
        <color theme="4" tint="0.39994506668294322"/>
      </top>
      <bottom/>
      <diagonal/>
    </border>
    <border>
      <left style="thick">
        <color rgb="FF6D93D8"/>
      </left>
      <right style="thick">
        <color rgb="FF6D93D8"/>
      </right>
      <top style="thin">
        <color theme="4" tint="0.59996337778862885"/>
      </top>
      <bottom/>
      <diagonal/>
    </border>
    <border>
      <left style="thick">
        <color rgb="FF6D93D8"/>
      </left>
      <right style="thick">
        <color rgb="FF6D93D8"/>
      </right>
      <top style="thin">
        <color rgb="FF6D93D8"/>
      </top>
      <bottom style="medium">
        <color theme="0"/>
      </bottom>
      <diagonal/>
    </border>
    <border>
      <left style="thick">
        <color rgb="FF6D93D8"/>
      </left>
      <right style="thick">
        <color rgb="FF6D93D8"/>
      </right>
      <top style="thin">
        <color theme="4" tint="-0.249977111117893"/>
      </top>
      <bottom style="medium">
        <color theme="0"/>
      </bottom>
      <diagonal/>
    </border>
    <border>
      <left style="thick">
        <color rgb="FF6D93D8"/>
      </left>
      <right style="thick">
        <color rgb="FF6D93D8"/>
      </right>
      <top/>
      <bottom style="medium">
        <color theme="0"/>
      </bottom>
      <diagonal/>
    </border>
    <border>
      <left style="thick">
        <color rgb="FF6D93D8"/>
      </left>
      <right style="thick">
        <color rgb="FF6D93D8"/>
      </right>
      <top style="thin">
        <color rgb="FFC80064"/>
      </top>
      <bottom style="medium">
        <color theme="0"/>
      </bottom>
      <diagonal/>
    </border>
    <border>
      <left style="thick">
        <color rgb="FF6D93D8"/>
      </left>
      <right style="thick">
        <color rgb="FF6D93D8"/>
      </right>
      <top style="thin">
        <color theme="4" tint="-0.249977111117893"/>
      </top>
      <bottom style="thin">
        <color theme="4" tint="-0.249977111117893"/>
      </bottom>
      <diagonal/>
    </border>
    <border>
      <left style="thick">
        <color rgb="FF6D93D8"/>
      </left>
      <right style="thick">
        <color rgb="FF6D93D8"/>
      </right>
      <top style="thin">
        <color theme="0"/>
      </top>
      <bottom/>
      <diagonal/>
    </border>
    <border>
      <left style="medium">
        <color auto="1"/>
      </left>
      <right/>
      <top style="medium">
        <color auto="1"/>
      </top>
      <bottom style="thin">
        <color auto="1"/>
      </bottom>
      <diagonal/>
    </border>
    <border>
      <left style="medium">
        <color indexed="64"/>
      </left>
      <right style="medium">
        <color indexed="64"/>
      </right>
      <top style="medium">
        <color indexed="64"/>
      </top>
      <bottom style="thin">
        <color auto="1"/>
      </bottom>
      <diagonal/>
    </border>
    <border>
      <left style="medium">
        <color indexed="64"/>
      </left>
      <right/>
      <top style="thin">
        <color indexed="64"/>
      </top>
      <bottom style="thin">
        <color indexed="64"/>
      </bottom>
      <diagonal/>
    </border>
    <border>
      <left style="medium">
        <color indexed="64"/>
      </left>
      <right style="medium">
        <color indexed="64"/>
      </right>
      <top style="thin">
        <color auto="1"/>
      </top>
      <bottom style="thin">
        <color auto="1"/>
      </bottom>
      <diagonal/>
    </border>
    <border>
      <left style="medium">
        <color indexed="64"/>
      </left>
      <right/>
      <top style="thin">
        <color indexed="64"/>
      </top>
      <bottom style="medium">
        <color indexed="64"/>
      </bottom>
      <diagonal/>
    </border>
    <border>
      <left style="medium">
        <color indexed="64"/>
      </left>
      <right style="medium">
        <color indexed="64"/>
      </right>
      <top style="thin">
        <color auto="1"/>
      </top>
      <bottom style="medium">
        <color indexed="64"/>
      </bottom>
      <diagonal/>
    </border>
  </borders>
  <cellStyleXfs count="8">
    <xf numFmtId="0" fontId="0" fillId="0" borderId="0"/>
    <xf numFmtId="44" fontId="1" fillId="0" borderId="0" applyFont="0" applyFill="0" applyBorder="0" applyAlignment="0" applyProtection="0"/>
    <xf numFmtId="9" fontId="1" fillId="0" borderId="0" applyFont="0" applyFill="0" applyBorder="0" applyAlignment="0" applyProtection="0"/>
    <xf numFmtId="0" fontId="1" fillId="0" borderId="0"/>
    <xf numFmtId="0" fontId="35" fillId="0" borderId="0"/>
    <xf numFmtId="0" fontId="12" fillId="0" borderId="0"/>
    <xf numFmtId="0" fontId="1" fillId="0" borderId="0">
      <alignment vertical="center"/>
    </xf>
    <xf numFmtId="0" fontId="1" fillId="0" borderId="0"/>
  </cellStyleXfs>
  <cellXfs count="486">
    <xf numFmtId="0" fontId="0" fillId="0" borderId="0" xfId="0"/>
    <xf numFmtId="49" fontId="0" fillId="0" borderId="0" xfId="0" applyNumberFormat="1"/>
    <xf numFmtId="164" fontId="0" fillId="0" borderId="0" xfId="0" applyNumberFormat="1"/>
    <xf numFmtId="165" fontId="0" fillId="0" borderId="0" xfId="0" applyNumberFormat="1"/>
    <xf numFmtId="9" fontId="0" fillId="0" borderId="0" xfId="0" applyNumberFormat="1"/>
    <xf numFmtId="166" fontId="0" fillId="0" borderId="0" xfId="0" applyNumberFormat="1"/>
    <xf numFmtId="167" fontId="0" fillId="0" borderId="0" xfId="0" applyNumberFormat="1"/>
    <xf numFmtId="168" fontId="0" fillId="0" borderId="0" xfId="0" applyNumberFormat="1"/>
    <xf numFmtId="169" fontId="0" fillId="0" borderId="0" xfId="0" applyNumberFormat="1"/>
    <xf numFmtId="170" fontId="0" fillId="0" borderId="0" xfId="0" applyNumberFormat="1"/>
    <xf numFmtId="171" fontId="0" fillId="0" borderId="0" xfId="0" applyNumberFormat="1"/>
    <xf numFmtId="172" fontId="0" fillId="0" borderId="0" xfId="0" applyNumberFormat="1"/>
    <xf numFmtId="173" fontId="0" fillId="0" borderId="0" xfId="0" applyNumberFormat="1"/>
    <xf numFmtId="174" fontId="0" fillId="0" borderId="0" xfId="0" applyNumberFormat="1"/>
    <xf numFmtId="175" fontId="0" fillId="0" borderId="0" xfId="0" applyNumberFormat="1"/>
    <xf numFmtId="176" fontId="0" fillId="0" borderId="0" xfId="0" applyNumberFormat="1"/>
    <xf numFmtId="177" fontId="0" fillId="0" borderId="0" xfId="0" applyNumberFormat="1"/>
    <xf numFmtId="178" fontId="0" fillId="0" borderId="0" xfId="0" applyNumberFormat="1"/>
    <xf numFmtId="179" fontId="0" fillId="0" borderId="0" xfId="0" applyNumberFormat="1"/>
    <xf numFmtId="180" fontId="0" fillId="0" borderId="0" xfId="0" applyNumberFormat="1"/>
    <xf numFmtId="181" fontId="0" fillId="0" borderId="0" xfId="0" applyNumberFormat="1"/>
    <xf numFmtId="182" fontId="0" fillId="0" borderId="0" xfId="0" applyNumberFormat="1"/>
    <xf numFmtId="0" fontId="2" fillId="0" borderId="0" xfId="3" applyFont="1" applyAlignment="1">
      <alignment horizontal="center" textRotation="90" wrapText="1"/>
    </xf>
    <xf numFmtId="0" fontId="3" fillId="0" borderId="1" xfId="3" applyNumberFormat="1" applyFont="1" applyBorder="1" applyAlignment="1">
      <alignment horizontal="left" shrinkToFit="1"/>
    </xf>
    <xf numFmtId="0" fontId="3" fillId="0" borderId="2" xfId="3" applyNumberFormat="1" applyFont="1" applyBorder="1" applyAlignment="1">
      <alignment horizontal="left" shrinkToFit="1"/>
    </xf>
    <xf numFmtId="0" fontId="3" fillId="0" borderId="3" xfId="3" applyNumberFormat="1" applyFont="1" applyBorder="1" applyAlignment="1">
      <alignment horizontal="center" shrinkToFit="1"/>
    </xf>
    <xf numFmtId="0" fontId="4" fillId="0" borderId="0" xfId="0" applyFont="1" applyAlignment="1">
      <alignment horizontal="center" textRotation="90"/>
    </xf>
    <xf numFmtId="0" fontId="5" fillId="2" borderId="4" xfId="3" applyNumberFormat="1" applyFont="1" applyFill="1" applyBorder="1" applyAlignment="1">
      <alignment horizontal="left" vertical="center" indent="1"/>
    </xf>
    <xf numFmtId="0" fontId="6" fillId="2" borderId="5" xfId="3" applyNumberFormat="1" applyFont="1" applyFill="1" applyBorder="1" applyAlignment="1">
      <alignment horizontal="left" wrapText="1" indent="1"/>
    </xf>
    <xf numFmtId="0" fontId="7" fillId="2" borderId="6" xfId="3" applyNumberFormat="1" applyFont="1" applyFill="1" applyBorder="1" applyAlignment="1">
      <alignment horizontal="center" vertical="center" wrapText="1"/>
    </xf>
    <xf numFmtId="0" fontId="8" fillId="3" borderId="7" xfId="3" applyNumberFormat="1" applyFont="1" applyFill="1" applyBorder="1" applyAlignment="1">
      <alignment horizontal="left" vertical="center" indent="22"/>
    </xf>
    <xf numFmtId="0" fontId="9" fillId="3" borderId="8" xfId="3" applyNumberFormat="1" applyFont="1" applyFill="1" applyBorder="1" applyAlignment="1">
      <alignment horizontal="left" vertical="center" wrapText="1" indent="22"/>
    </xf>
    <xf numFmtId="0" fontId="8" fillId="3" borderId="10" xfId="3" applyNumberFormat="1" applyFont="1" applyFill="1" applyBorder="1" applyAlignment="1">
      <alignment horizontal="left" vertical="center" wrapText="1" indent="22"/>
    </xf>
    <xf numFmtId="0" fontId="8" fillId="3" borderId="11" xfId="3" applyNumberFormat="1" applyFont="1" applyFill="1" applyBorder="1" applyAlignment="1">
      <alignment horizontal="left" vertical="center" wrapText="1" indent="22"/>
    </xf>
    <xf numFmtId="0" fontId="8" fillId="0" borderId="9" xfId="3" applyFont="1" applyFill="1" applyBorder="1" applyAlignment="1" applyProtection="1">
      <alignment horizontal="center" vertical="center" wrapText="1"/>
      <protection locked="0"/>
    </xf>
    <xf numFmtId="0" fontId="10" fillId="3" borderId="12" xfId="3" applyNumberFormat="1" applyFont="1" applyFill="1" applyBorder="1" applyAlignment="1">
      <alignment horizontal="left" indent="1"/>
    </xf>
    <xf numFmtId="0" fontId="10" fillId="3" borderId="13" xfId="3" applyNumberFormat="1" applyFont="1" applyFill="1" applyBorder="1" applyAlignment="1">
      <alignment horizontal="left" wrapText="1" indent="1"/>
    </xf>
    <xf numFmtId="0" fontId="10" fillId="4" borderId="9" xfId="3" applyFont="1" applyFill="1" applyBorder="1" applyAlignment="1" applyProtection="1">
      <alignment horizontal="center" wrapText="1"/>
      <protection locked="0"/>
    </xf>
    <xf numFmtId="0" fontId="1" fillId="3" borderId="14" xfId="3" applyNumberFormat="1" applyFont="1" applyFill="1" applyBorder="1" applyAlignment="1">
      <alignment horizontal="left" vertical="center" indent="2" shrinkToFit="1"/>
    </xf>
    <xf numFmtId="0" fontId="11" fillId="3" borderId="15" xfId="3" applyNumberFormat="1" applyFont="1" applyFill="1" applyBorder="1" applyAlignment="1">
      <alignment horizontal="left" vertical="center" wrapText="1"/>
    </xf>
    <xf numFmtId="165" fontId="11" fillId="4" borderId="9" xfId="3" applyNumberFormat="1" applyFont="1" applyFill="1" applyBorder="1" applyAlignment="1" applyProtection="1">
      <alignment horizontal="center" vertical="center" wrapText="1"/>
      <protection locked="0"/>
    </xf>
    <xf numFmtId="0" fontId="1" fillId="3" borderId="16" xfId="3" applyFont="1" applyFill="1" applyBorder="1" applyAlignment="1">
      <alignment horizontal="left" vertical="center" indent="2" shrinkToFit="1"/>
    </xf>
    <xf numFmtId="0" fontId="11" fillId="3" borderId="17" xfId="3" applyFont="1" applyFill="1" applyBorder="1" applyAlignment="1">
      <alignment horizontal="left" vertical="center" wrapText="1"/>
    </xf>
    <xf numFmtId="0" fontId="1" fillId="3" borderId="18" xfId="3" applyFont="1" applyFill="1" applyBorder="1" applyAlignment="1">
      <alignment horizontal="left" vertical="center" indent="2"/>
    </xf>
    <xf numFmtId="0" fontId="11" fillId="3" borderId="19" xfId="3" applyFont="1" applyFill="1" applyBorder="1" applyAlignment="1">
      <alignment horizontal="left" vertical="center" wrapText="1"/>
    </xf>
    <xf numFmtId="0" fontId="12" fillId="3" borderId="20" xfId="3" applyFont="1" applyFill="1" applyBorder="1" applyAlignment="1">
      <alignment horizontal="left" indent="1"/>
    </xf>
    <xf numFmtId="0" fontId="12" fillId="3" borderId="11" xfId="3" applyFont="1" applyFill="1" applyBorder="1" applyAlignment="1">
      <alignment horizontal="left" wrapText="1" indent="1"/>
    </xf>
    <xf numFmtId="165" fontId="12" fillId="4" borderId="9" xfId="3" applyNumberFormat="1" applyFont="1" applyFill="1" applyBorder="1" applyAlignment="1" applyProtection="1">
      <alignment horizontal="center" wrapText="1"/>
      <protection locked="0"/>
    </xf>
    <xf numFmtId="0" fontId="12" fillId="3" borderId="12" xfId="3" applyFont="1" applyFill="1" applyBorder="1" applyAlignment="1">
      <alignment horizontal="left" indent="1"/>
    </xf>
    <xf numFmtId="0" fontId="12" fillId="3" borderId="13" xfId="3" applyFont="1" applyFill="1" applyBorder="1" applyAlignment="1">
      <alignment horizontal="left" wrapText="1" indent="1"/>
    </xf>
    <xf numFmtId="0" fontId="11" fillId="3" borderId="21" xfId="3" applyFont="1" applyFill="1" applyBorder="1" applyAlignment="1">
      <alignment horizontal="left" indent="1" shrinkToFit="1"/>
    </xf>
    <xf numFmtId="0" fontId="11" fillId="3" borderId="22" xfId="3" applyFont="1" applyFill="1" applyBorder="1" applyAlignment="1">
      <alignment wrapText="1"/>
    </xf>
    <xf numFmtId="165" fontId="11" fillId="4" borderId="9" xfId="3" applyNumberFormat="1" applyFont="1" applyFill="1" applyBorder="1" applyAlignment="1" applyProtection="1">
      <alignment horizontal="center" wrapText="1"/>
      <protection locked="0"/>
    </xf>
    <xf numFmtId="0" fontId="12" fillId="3" borderId="23" xfId="3" applyFont="1" applyFill="1" applyBorder="1" applyAlignment="1">
      <alignment horizontal="left" indent="1" shrinkToFit="1"/>
    </xf>
    <xf numFmtId="0" fontId="11" fillId="3" borderId="19" xfId="3" applyFont="1" applyFill="1" applyBorder="1" applyAlignment="1">
      <alignment wrapText="1"/>
    </xf>
    <xf numFmtId="0" fontId="12" fillId="3" borderId="24" xfId="3" applyFont="1" applyFill="1" applyBorder="1" applyAlignment="1">
      <alignment horizontal="left" indent="1" shrinkToFit="1"/>
    </xf>
    <xf numFmtId="0" fontId="11" fillId="3" borderId="25" xfId="3" applyFont="1" applyFill="1" applyBorder="1" applyAlignment="1">
      <alignment horizontal="left" wrapText="1" indent="1"/>
    </xf>
    <xf numFmtId="0" fontId="11" fillId="3" borderId="23" xfId="3" applyFont="1" applyFill="1" applyBorder="1" applyAlignment="1">
      <alignment horizontal="left" indent="1" shrinkToFit="1"/>
    </xf>
    <xf numFmtId="0" fontId="11" fillId="3" borderId="0" xfId="3" applyFont="1" applyFill="1" applyBorder="1" applyAlignment="1">
      <alignment wrapText="1"/>
    </xf>
    <xf numFmtId="167" fontId="11" fillId="4" borderId="9" xfId="3" applyNumberFormat="1" applyFont="1" applyFill="1" applyBorder="1" applyAlignment="1" applyProtection="1">
      <alignment horizontal="center" wrapText="1"/>
      <protection locked="0"/>
    </xf>
    <xf numFmtId="0" fontId="11" fillId="3" borderId="23" xfId="3" applyFont="1" applyFill="1" applyBorder="1" applyAlignment="1">
      <alignment horizontal="left" vertical="center" shrinkToFit="1"/>
    </xf>
    <xf numFmtId="0" fontId="11" fillId="3" borderId="19" xfId="3" applyFont="1" applyFill="1" applyBorder="1" applyAlignment="1">
      <alignment horizontal="left" vertical="center" wrapText="1" shrinkToFit="1"/>
    </xf>
    <xf numFmtId="0" fontId="12" fillId="3" borderId="26" xfId="3" applyFont="1" applyFill="1" applyBorder="1" applyAlignment="1">
      <alignment horizontal="left" vertical="center" shrinkToFit="1"/>
    </xf>
    <xf numFmtId="0" fontId="12" fillId="3" borderId="8" xfId="3" applyFont="1" applyFill="1" applyBorder="1" applyAlignment="1">
      <alignment horizontal="left" vertical="center" wrapText="1"/>
    </xf>
    <xf numFmtId="168" fontId="12" fillId="4" borderId="9" xfId="3" applyNumberFormat="1" applyFont="1" applyFill="1" applyBorder="1" applyAlignment="1" applyProtection="1">
      <alignment horizontal="center" vertical="center" wrapText="1"/>
      <protection locked="0"/>
    </xf>
    <xf numFmtId="0" fontId="11" fillId="3" borderId="20" xfId="3" applyFont="1" applyFill="1" applyBorder="1" applyAlignment="1">
      <alignment horizontal="left" vertical="center" indent="1" shrinkToFit="1"/>
    </xf>
    <xf numFmtId="0" fontId="11" fillId="3" borderId="11" xfId="3" applyFont="1" applyFill="1" applyBorder="1" applyAlignment="1">
      <alignment vertical="center" wrapText="1"/>
    </xf>
    <xf numFmtId="167" fontId="11" fillId="4" borderId="9" xfId="3" applyNumberFormat="1" applyFont="1" applyFill="1" applyBorder="1" applyAlignment="1" applyProtection="1">
      <alignment horizontal="center" vertical="center" wrapText="1"/>
      <protection locked="0"/>
    </xf>
    <xf numFmtId="0" fontId="10" fillId="3" borderId="27" xfId="3" applyFont="1" applyFill="1" applyBorder="1" applyAlignment="1">
      <alignment horizontal="left" indent="1" shrinkToFit="1"/>
    </xf>
    <xf numFmtId="0" fontId="10" fillId="3" borderId="28" xfId="3" applyFont="1" applyFill="1" applyBorder="1" applyAlignment="1">
      <alignment horizontal="left" vertical="center" wrapText="1" indent="1"/>
    </xf>
    <xf numFmtId="165" fontId="13" fillId="4" borderId="9" xfId="3" applyNumberFormat="1" applyFont="1" applyFill="1" applyBorder="1" applyAlignment="1" applyProtection="1">
      <alignment horizontal="center" vertical="center" wrapText="1"/>
      <protection locked="0"/>
    </xf>
    <xf numFmtId="0" fontId="12" fillId="0" borderId="23" xfId="3" applyFont="1" applyBorder="1" applyAlignment="1">
      <alignment horizontal="left" vertical="center" wrapText="1"/>
    </xf>
    <xf numFmtId="0" fontId="12" fillId="0" borderId="0" xfId="3" applyFont="1" applyBorder="1" applyAlignment="1">
      <alignment horizontal="left" vertical="center" wrapText="1"/>
    </xf>
    <xf numFmtId="169" fontId="12" fillId="0" borderId="0" xfId="3" applyNumberFormat="1" applyFont="1" applyBorder="1" applyAlignment="1">
      <alignment horizontal="center" vertical="center" wrapText="1"/>
    </xf>
    <xf numFmtId="0" fontId="5" fillId="2" borderId="4" xfId="3" applyNumberFormat="1" applyFont="1" applyFill="1" applyBorder="1" applyAlignment="1">
      <alignment horizontal="left" vertical="center"/>
    </xf>
    <xf numFmtId="0" fontId="6" fillId="2" borderId="22" xfId="3" applyFont="1" applyFill="1" applyBorder="1" applyAlignment="1">
      <alignment horizontal="left" wrapText="1" indent="1"/>
    </xf>
    <xf numFmtId="164" fontId="6" fillId="2" borderId="22" xfId="3" applyNumberFormat="1" applyFont="1" applyFill="1" applyBorder="1" applyAlignment="1" applyProtection="1">
      <alignment horizontal="center" wrapText="1"/>
    </xf>
    <xf numFmtId="0" fontId="10" fillId="5" borderId="23" xfId="3" applyFont="1" applyFill="1" applyBorder="1" applyAlignment="1">
      <alignment horizontal="left" vertical="center" indent="1" shrinkToFit="1"/>
    </xf>
    <xf numFmtId="0" fontId="10" fillId="5" borderId="0" xfId="3" applyFont="1" applyFill="1" applyBorder="1" applyAlignment="1">
      <alignment horizontal="left" vertical="center" wrapText="1" indent="1"/>
    </xf>
    <xf numFmtId="0" fontId="11" fillId="5" borderId="29" xfId="3" applyFont="1" applyFill="1" applyBorder="1" applyAlignment="1">
      <alignment horizontal="left" vertical="center" indent="1" shrinkToFit="1"/>
    </xf>
    <xf numFmtId="0" fontId="11" fillId="5" borderId="30" xfId="3" applyFont="1" applyFill="1" applyBorder="1" applyAlignment="1">
      <alignment vertical="center" wrapText="1"/>
    </xf>
    <xf numFmtId="170" fontId="11" fillId="4" borderId="9" xfId="3" applyNumberFormat="1" applyFont="1" applyFill="1" applyBorder="1" applyAlignment="1" applyProtection="1">
      <alignment horizontal="center" vertical="center" wrapText="1"/>
      <protection locked="0"/>
    </xf>
    <xf numFmtId="0" fontId="11" fillId="5" borderId="21" xfId="3" applyFont="1" applyFill="1" applyBorder="1" applyAlignment="1">
      <alignment horizontal="left" vertical="center" indent="1" shrinkToFit="1"/>
    </xf>
    <xf numFmtId="0" fontId="11" fillId="5" borderId="22" xfId="3" applyFont="1" applyFill="1" applyBorder="1" applyAlignment="1">
      <alignment vertical="center" wrapText="1"/>
    </xf>
    <xf numFmtId="0" fontId="11" fillId="5" borderId="24" xfId="3" applyFont="1" applyFill="1" applyBorder="1" applyAlignment="1">
      <alignment horizontal="left" vertical="top" indent="2" shrinkToFit="1"/>
    </xf>
    <xf numFmtId="0" fontId="11" fillId="5" borderId="25" xfId="3" applyFont="1" applyFill="1" applyBorder="1" applyAlignment="1">
      <alignment vertical="center" shrinkToFit="1"/>
    </xf>
    <xf numFmtId="0" fontId="8" fillId="5" borderId="23" xfId="3" applyFont="1" applyFill="1" applyBorder="1"/>
    <xf numFmtId="0" fontId="8" fillId="5" borderId="0" xfId="3" applyFont="1" applyFill="1" applyBorder="1"/>
    <xf numFmtId="0" fontId="8" fillId="4" borderId="9" xfId="3" applyFont="1" applyFill="1" applyBorder="1" applyAlignment="1" applyProtection="1">
      <alignment horizontal="center"/>
      <protection locked="0"/>
    </xf>
    <xf numFmtId="0" fontId="14" fillId="5" borderId="20" xfId="3" applyFont="1" applyFill="1" applyBorder="1" applyAlignment="1">
      <alignment vertical="center" wrapText="1"/>
    </xf>
    <xf numFmtId="0" fontId="14" fillId="5" borderId="11" xfId="3" applyFont="1" applyFill="1" applyBorder="1" applyAlignment="1">
      <alignment vertical="center" wrapText="1"/>
    </xf>
    <xf numFmtId="0" fontId="14" fillId="4" borderId="9" xfId="3" applyFont="1" applyFill="1" applyBorder="1" applyAlignment="1">
      <alignment horizontal="center" vertical="center" wrapText="1"/>
    </xf>
    <xf numFmtId="0" fontId="11" fillId="5" borderId="24" xfId="3" applyFont="1" applyFill="1" applyBorder="1" applyAlignment="1">
      <alignment horizontal="left" vertical="center" wrapText="1" indent="1"/>
    </xf>
    <xf numFmtId="0" fontId="11" fillId="5" borderId="25" xfId="3" applyFont="1" applyFill="1" applyBorder="1" applyAlignment="1">
      <alignment wrapText="1"/>
    </xf>
    <xf numFmtId="171" fontId="11" fillId="4" borderId="9" xfId="3" applyNumberFormat="1" applyFont="1" applyFill="1" applyBorder="1" applyAlignment="1" applyProtection="1">
      <alignment horizontal="center" vertical="center" wrapText="1"/>
      <protection locked="0"/>
    </xf>
    <xf numFmtId="0" fontId="15" fillId="0" borderId="23" xfId="3" applyFont="1" applyBorder="1"/>
    <xf numFmtId="0" fontId="15" fillId="0" borderId="0" xfId="3" applyFont="1" applyBorder="1"/>
    <xf numFmtId="0" fontId="15" fillId="0" borderId="0" xfId="3" applyFont="1" applyBorder="1" applyAlignment="1">
      <alignment horizontal="center"/>
    </xf>
    <xf numFmtId="0" fontId="5" fillId="2" borderId="21" xfId="3" applyFont="1" applyFill="1" applyBorder="1" applyAlignment="1">
      <alignment horizontal="left" vertical="center" indent="1"/>
    </xf>
    <xf numFmtId="164" fontId="6" fillId="2" borderId="22" xfId="3" applyNumberFormat="1" applyFont="1" applyFill="1" applyBorder="1" applyAlignment="1">
      <alignment horizontal="center" wrapText="1"/>
    </xf>
    <xf numFmtId="0" fontId="10" fillId="6" borderId="23" xfId="3" applyFont="1" applyFill="1" applyBorder="1" applyAlignment="1">
      <alignment horizontal="left" vertical="center" indent="1" shrinkToFit="1"/>
    </xf>
    <xf numFmtId="0" fontId="10" fillId="6" borderId="0" xfId="3" applyFont="1" applyFill="1" applyBorder="1" applyAlignment="1">
      <alignment horizontal="left" vertical="center" indent="1"/>
    </xf>
    <xf numFmtId="9" fontId="10" fillId="4" borderId="9" xfId="3" applyNumberFormat="1" applyFont="1" applyFill="1" applyBorder="1" applyAlignment="1" applyProtection="1">
      <alignment horizontal="center" vertical="center"/>
      <protection locked="0"/>
    </xf>
    <xf numFmtId="0" fontId="11" fillId="6" borderId="31" xfId="3" applyFont="1" applyFill="1" applyBorder="1" applyAlignment="1">
      <alignment horizontal="left" vertical="center" indent="3" shrinkToFit="1"/>
    </xf>
    <xf numFmtId="0" fontId="12" fillId="6" borderId="32" xfId="3" applyFont="1" applyFill="1" applyBorder="1" applyAlignment="1">
      <alignment vertical="center" wrapText="1"/>
    </xf>
    <xf numFmtId="0" fontId="11" fillId="6" borderId="23" xfId="3" applyFont="1" applyFill="1" applyBorder="1" applyAlignment="1">
      <alignment horizontal="left" vertical="center" indent="3" shrinkToFit="1"/>
    </xf>
    <xf numFmtId="0" fontId="16" fillId="6" borderId="0" xfId="3" applyFont="1" applyFill="1" applyBorder="1" applyAlignment="1">
      <alignment vertical="center" wrapText="1"/>
    </xf>
    <xf numFmtId="0" fontId="10" fillId="6" borderId="29" xfId="3" applyFont="1" applyFill="1" applyBorder="1" applyAlignment="1">
      <alignment horizontal="left" vertical="center" indent="1"/>
    </xf>
    <xf numFmtId="0" fontId="1" fillId="6" borderId="30" xfId="3" applyFont="1" applyFill="1" applyBorder="1" applyAlignment="1">
      <alignment vertical="center" shrinkToFit="1"/>
    </xf>
    <xf numFmtId="0" fontId="1" fillId="6" borderId="29" xfId="3" applyFont="1" applyFill="1" applyBorder="1" applyAlignment="1">
      <alignment horizontal="left" vertical="center" indent="1" shrinkToFit="1"/>
    </xf>
    <xf numFmtId="0" fontId="10" fillId="6" borderId="29" xfId="3" applyFont="1" applyFill="1" applyBorder="1" applyAlignment="1">
      <alignment horizontal="left" vertical="center" wrapText="1" indent="1"/>
    </xf>
    <xf numFmtId="0" fontId="10" fillId="6" borderId="30" xfId="3" applyFont="1" applyFill="1" applyBorder="1" applyAlignment="1">
      <alignment horizontal="left" vertical="center" wrapText="1" indent="1"/>
    </xf>
    <xf numFmtId="0" fontId="0" fillId="6" borderId="29" xfId="3" applyFont="1" applyFill="1" applyBorder="1" applyAlignment="1">
      <alignment horizontal="left" vertical="center" wrapText="1" indent="1"/>
    </xf>
    <xf numFmtId="0" fontId="17" fillId="6" borderId="30" xfId="3" applyFont="1" applyFill="1" applyBorder="1" applyAlignment="1">
      <alignment vertical="center" wrapText="1"/>
    </xf>
    <xf numFmtId="169" fontId="11" fillId="4" borderId="9" xfId="1" applyNumberFormat="1" applyFont="1" applyFill="1" applyBorder="1" applyAlignment="1" applyProtection="1">
      <alignment horizontal="center" vertical="center" wrapText="1"/>
      <protection locked="0"/>
    </xf>
    <xf numFmtId="0" fontId="10" fillId="6" borderId="24" xfId="3" applyFont="1" applyFill="1" applyBorder="1" applyAlignment="1">
      <alignment horizontal="left" vertical="center" wrapText="1" indent="1"/>
    </xf>
    <xf numFmtId="0" fontId="10" fillId="6" borderId="25" xfId="3" applyFont="1" applyFill="1" applyBorder="1" applyAlignment="1">
      <alignment horizontal="left" vertical="center" wrapText="1" indent="1"/>
    </xf>
    <xf numFmtId="0" fontId="15" fillId="6" borderId="23" xfId="3" applyFont="1" applyFill="1" applyBorder="1"/>
    <xf numFmtId="0" fontId="15" fillId="6" borderId="0" xfId="3" applyFont="1" applyFill="1" applyBorder="1"/>
    <xf numFmtId="0" fontId="15" fillId="4" borderId="9" xfId="3" applyFont="1" applyFill="1" applyBorder="1" applyAlignment="1">
      <alignment horizontal="center"/>
    </xf>
    <xf numFmtId="171" fontId="15" fillId="4" borderId="9" xfId="3" applyNumberFormat="1" applyFont="1" applyFill="1" applyBorder="1" applyAlignment="1" applyProtection="1">
      <alignment horizontal="center"/>
      <protection locked="0"/>
    </xf>
    <xf numFmtId="164" fontId="6" fillId="2" borderId="0" xfId="3" applyNumberFormat="1" applyFont="1" applyFill="1" applyBorder="1" applyAlignment="1">
      <alignment horizontal="center" wrapText="1"/>
    </xf>
    <xf numFmtId="0" fontId="1" fillId="7" borderId="21" xfId="3" applyFont="1" applyFill="1" applyBorder="1" applyAlignment="1">
      <alignment horizontal="left" vertical="center" indent="1" shrinkToFit="1"/>
    </xf>
    <xf numFmtId="0" fontId="18" fillId="7" borderId="22" xfId="3" applyFont="1" applyFill="1" applyBorder="1" applyAlignment="1">
      <alignment vertical="center" wrapText="1" shrinkToFit="1"/>
    </xf>
    <xf numFmtId="170" fontId="11" fillId="4" borderId="9" xfId="3" applyNumberFormat="1" applyFont="1" applyFill="1" applyBorder="1" applyAlignment="1" applyProtection="1">
      <alignment horizontal="center" vertical="center" shrinkToFit="1"/>
      <protection locked="0"/>
    </xf>
    <xf numFmtId="0" fontId="1" fillId="7" borderId="23" xfId="3" applyFont="1" applyFill="1" applyBorder="1" applyAlignment="1">
      <alignment horizontal="left" vertical="center" indent="1" shrinkToFit="1"/>
    </xf>
    <xf numFmtId="0" fontId="11" fillId="7" borderId="0" xfId="3" applyFont="1" applyFill="1" applyBorder="1" applyAlignment="1">
      <alignment vertical="center" shrinkToFit="1"/>
    </xf>
    <xf numFmtId="172" fontId="11" fillId="4" borderId="9" xfId="3" applyNumberFormat="1" applyFont="1" applyFill="1" applyBorder="1" applyAlignment="1" applyProtection="1">
      <alignment horizontal="center" vertical="center" shrinkToFit="1"/>
      <protection locked="0"/>
    </xf>
    <xf numFmtId="0" fontId="12" fillId="7" borderId="24" xfId="3" applyFont="1" applyFill="1" applyBorder="1" applyAlignment="1">
      <alignment horizontal="left" vertical="center" wrapText="1" indent="1"/>
    </xf>
    <xf numFmtId="0" fontId="11" fillId="7" borderId="25" xfId="3" applyFont="1" applyFill="1" applyBorder="1" applyAlignment="1">
      <alignment vertical="center" wrapText="1"/>
    </xf>
    <xf numFmtId="173" fontId="11" fillId="4" borderId="9" xfId="3" applyNumberFormat="1" applyFont="1" applyFill="1" applyBorder="1" applyAlignment="1" applyProtection="1">
      <alignment horizontal="center" vertical="center" wrapText="1"/>
      <protection locked="0"/>
    </xf>
    <xf numFmtId="0" fontId="11" fillId="7" borderId="0" xfId="3" applyFont="1" applyFill="1" applyBorder="1" applyAlignment="1">
      <alignment vertical="center" wrapText="1"/>
    </xf>
    <xf numFmtId="0" fontId="12" fillId="7" borderId="26" xfId="3" applyFont="1" applyFill="1" applyBorder="1" applyAlignment="1">
      <alignment horizontal="left" vertical="center" wrapText="1" indent="1"/>
    </xf>
    <xf numFmtId="0" fontId="11" fillId="7" borderId="8" xfId="3" applyFont="1" applyFill="1" applyBorder="1" applyAlignment="1">
      <alignment vertical="center" wrapText="1"/>
    </xf>
    <xf numFmtId="0" fontId="1" fillId="7" borderId="12" xfId="3" applyFont="1" applyFill="1" applyBorder="1" applyAlignment="1">
      <alignment horizontal="left" vertical="center" indent="1"/>
    </xf>
    <xf numFmtId="0" fontId="11" fillId="7" borderId="13" xfId="3" applyFont="1" applyFill="1" applyBorder="1" applyAlignment="1">
      <alignment vertical="center" wrapText="1"/>
    </xf>
    <xf numFmtId="0" fontId="13" fillId="7" borderId="29" xfId="3" applyFont="1" applyFill="1" applyBorder="1" applyAlignment="1">
      <alignment horizontal="left" vertical="center" indent="1" shrinkToFit="1"/>
    </xf>
    <xf numFmtId="0" fontId="13" fillId="7" borderId="30" xfId="3" applyFont="1" applyFill="1" applyBorder="1" applyAlignment="1">
      <alignment vertical="center" wrapText="1"/>
    </xf>
    <xf numFmtId="165" fontId="11" fillId="4" borderId="9" xfId="3" applyNumberFormat="1" applyFont="1" applyFill="1" applyBorder="1" applyAlignment="1" applyProtection="1">
      <alignment horizontal="center" vertical="center" shrinkToFit="1"/>
      <protection locked="0"/>
    </xf>
    <xf numFmtId="0" fontId="1" fillId="7" borderId="29" xfId="3" applyFont="1" applyFill="1" applyBorder="1" applyAlignment="1">
      <alignment horizontal="left" vertical="center" indent="1" shrinkToFit="1"/>
    </xf>
    <xf numFmtId="0" fontId="11" fillId="7" borderId="30" xfId="3" applyFont="1" applyFill="1" applyBorder="1" applyAlignment="1">
      <alignment vertical="center" wrapText="1"/>
    </xf>
    <xf numFmtId="0" fontId="1" fillId="7" borderId="24" xfId="3" applyFont="1" applyFill="1" applyBorder="1" applyAlignment="1">
      <alignment horizontal="left" vertical="center" indent="1" shrinkToFit="1"/>
    </xf>
    <xf numFmtId="0" fontId="1" fillId="8" borderId="33" xfId="3" applyFont="1" applyFill="1" applyBorder="1" applyAlignment="1">
      <alignment horizontal="left" vertical="center" indent="1" shrinkToFit="1"/>
    </xf>
    <xf numFmtId="0" fontId="11" fillId="8" borderId="34" xfId="3" applyFont="1" applyFill="1" applyBorder="1" applyAlignment="1">
      <alignment vertical="center" wrapText="1"/>
    </xf>
    <xf numFmtId="0" fontId="1" fillId="8" borderId="23" xfId="3" applyFont="1" applyFill="1" applyBorder="1" applyAlignment="1">
      <alignment horizontal="left" vertical="center" indent="1" shrinkToFit="1"/>
    </xf>
    <xf numFmtId="0" fontId="11" fillId="8" borderId="0" xfId="3" applyFont="1" applyFill="1" applyBorder="1" applyAlignment="1">
      <alignment vertical="center" wrapText="1"/>
    </xf>
    <xf numFmtId="171" fontId="11" fillId="4" borderId="9" xfId="3" applyNumberFormat="1" applyFont="1" applyFill="1" applyBorder="1" applyAlignment="1" applyProtection="1">
      <alignment horizontal="center" vertical="center" wrapText="1"/>
    </xf>
    <xf numFmtId="0" fontId="12" fillId="8" borderId="35" xfId="3" applyFont="1" applyFill="1" applyBorder="1" applyAlignment="1">
      <alignment horizontal="left" vertical="center" wrapText="1" indent="1"/>
    </xf>
    <xf numFmtId="0" fontId="11" fillId="8" borderId="36" xfId="3" applyFont="1" applyFill="1" applyBorder="1" applyAlignment="1">
      <alignment vertical="center" wrapText="1"/>
    </xf>
    <xf numFmtId="0" fontId="12" fillId="8" borderId="23" xfId="3" applyFont="1" applyFill="1" applyBorder="1" applyAlignment="1">
      <alignment horizontal="left" vertical="center" wrapText="1" indent="1"/>
    </xf>
    <xf numFmtId="171" fontId="11" fillId="4" borderId="9" xfId="3" applyNumberFormat="1" applyFont="1" applyFill="1" applyBorder="1" applyAlignment="1">
      <alignment horizontal="center" vertical="center" wrapText="1"/>
    </xf>
    <xf numFmtId="0" fontId="10" fillId="8" borderId="29" xfId="3" applyFont="1" applyFill="1" applyBorder="1" applyAlignment="1">
      <alignment horizontal="left" vertical="center" indent="1"/>
    </xf>
    <xf numFmtId="0" fontId="10" fillId="8" borderId="30" xfId="3" applyFont="1" applyFill="1" applyBorder="1" applyAlignment="1">
      <alignment vertical="center" wrapText="1"/>
    </xf>
    <xf numFmtId="165" fontId="8" fillId="4" borderId="9" xfId="3" applyNumberFormat="1" applyFont="1" applyFill="1" applyBorder="1" applyAlignment="1" applyProtection="1">
      <alignment horizontal="center" vertical="center" shrinkToFit="1"/>
      <protection locked="0"/>
    </xf>
    <xf numFmtId="0" fontId="8" fillId="8" borderId="30" xfId="3" applyFont="1" applyFill="1" applyBorder="1" applyAlignment="1">
      <alignment vertical="center" wrapText="1"/>
    </xf>
    <xf numFmtId="0" fontId="13" fillId="8" borderId="29" xfId="3" applyFont="1" applyFill="1" applyBorder="1" applyAlignment="1">
      <alignment horizontal="left" vertical="center" indent="1" shrinkToFit="1"/>
    </xf>
    <xf numFmtId="0" fontId="13" fillId="8" borderId="30" xfId="3" applyFont="1" applyFill="1" applyBorder="1" applyAlignment="1">
      <alignment vertical="center" wrapText="1"/>
    </xf>
    <xf numFmtId="0" fontId="15" fillId="8" borderId="23" xfId="3" applyFont="1" applyFill="1" applyBorder="1"/>
    <xf numFmtId="0" fontId="15" fillId="8" borderId="0" xfId="3" applyFont="1" applyFill="1" applyBorder="1"/>
    <xf numFmtId="0" fontId="15" fillId="4" borderId="9" xfId="3" applyFont="1" applyFill="1" applyBorder="1" applyAlignment="1" applyProtection="1">
      <alignment horizontal="center"/>
      <protection locked="0"/>
    </xf>
    <xf numFmtId="171" fontId="20" fillId="4" borderId="9" xfId="3" applyNumberFormat="1" applyFont="1" applyFill="1" applyBorder="1" applyAlignment="1" applyProtection="1">
      <alignment horizontal="center"/>
      <protection locked="0"/>
    </xf>
    <xf numFmtId="0" fontId="5" fillId="2" borderId="21" xfId="3" applyFont="1" applyFill="1" applyBorder="1" applyAlignment="1">
      <alignment horizontal="left" vertical="center" wrapText="1" indent="1"/>
    </xf>
    <xf numFmtId="0" fontId="12" fillId="9" borderId="24" xfId="3" applyFont="1" applyFill="1" applyBorder="1" applyAlignment="1">
      <alignment horizontal="left" vertical="center" wrapText="1"/>
    </xf>
    <xf numFmtId="0" fontId="12" fillId="9" borderId="25" xfId="3" applyFont="1" applyFill="1" applyBorder="1" applyAlignment="1">
      <alignment horizontal="left" vertical="center" wrapText="1"/>
    </xf>
    <xf numFmtId="0" fontId="12" fillId="9" borderId="37" xfId="3" applyFont="1" applyFill="1" applyBorder="1" applyAlignment="1">
      <alignment vertical="center" wrapText="1"/>
    </xf>
    <xf numFmtId="0" fontId="10" fillId="9" borderId="21" xfId="3" applyFont="1" applyFill="1" applyBorder="1" applyAlignment="1">
      <alignment horizontal="left" vertical="center" indent="1"/>
    </xf>
    <xf numFmtId="0" fontId="13" fillId="9" borderId="22" xfId="3" applyFont="1" applyFill="1" applyBorder="1" applyAlignment="1">
      <alignment vertical="center"/>
    </xf>
    <xf numFmtId="171" fontId="8" fillId="4" borderId="9" xfId="3" applyNumberFormat="1" applyFont="1" applyFill="1" applyBorder="1" applyAlignment="1" applyProtection="1">
      <alignment horizontal="center" vertical="center"/>
      <protection locked="0"/>
    </xf>
    <xf numFmtId="0" fontId="21" fillId="9" borderId="23" xfId="3" applyFont="1" applyFill="1" applyBorder="1" applyAlignment="1">
      <alignment horizontal="left" vertical="center" indent="2"/>
    </xf>
    <xf numFmtId="0" fontId="8" fillId="9" borderId="38" xfId="3" applyFont="1" applyFill="1" applyBorder="1" applyAlignment="1">
      <alignment horizontal="left" vertical="center" indent="1"/>
    </xf>
    <xf numFmtId="176" fontId="8" fillId="4" borderId="9" xfId="3" applyNumberFormat="1" applyFont="1" applyFill="1" applyBorder="1" applyAlignment="1" applyProtection="1">
      <alignment horizontal="center" vertical="center"/>
      <protection locked="0"/>
    </xf>
    <xf numFmtId="0" fontId="8" fillId="9" borderId="24" xfId="3" applyFont="1" applyFill="1" applyBorder="1" applyAlignment="1">
      <alignment horizontal="left" vertical="center" indent="1"/>
    </xf>
    <xf numFmtId="0" fontId="8" fillId="9" borderId="25" xfId="3" applyFont="1" applyFill="1" applyBorder="1" applyAlignment="1">
      <alignment horizontal="left" vertical="center" indent="1"/>
    </xf>
    <xf numFmtId="0" fontId="8" fillId="9" borderId="23" xfId="3" applyFont="1" applyFill="1" applyBorder="1" applyAlignment="1">
      <alignment horizontal="left" vertical="center" indent="1"/>
    </xf>
    <xf numFmtId="0" fontId="8" fillId="9" borderId="0" xfId="3" applyFont="1" applyFill="1" applyBorder="1" applyAlignment="1">
      <alignment horizontal="left" vertical="center" indent="1"/>
    </xf>
    <xf numFmtId="171" fontId="8" fillId="4" borderId="9" xfId="3" applyNumberFormat="1" applyFont="1" applyFill="1" applyBorder="1" applyAlignment="1">
      <alignment horizontal="center" vertical="center"/>
    </xf>
    <xf numFmtId="179" fontId="8" fillId="4" borderId="9" xfId="3" applyNumberFormat="1" applyFont="1" applyFill="1" applyBorder="1" applyAlignment="1" applyProtection="1">
      <alignment horizontal="center" vertical="center"/>
      <protection locked="0"/>
    </xf>
    <xf numFmtId="169" fontId="8" fillId="4" borderId="9" xfId="3" applyNumberFormat="1" applyFont="1" applyFill="1" applyBorder="1" applyAlignment="1" applyProtection="1">
      <alignment horizontal="center" vertical="center"/>
      <protection locked="0"/>
    </xf>
    <xf numFmtId="0" fontId="1" fillId="9" borderId="21" xfId="3" applyFont="1" applyFill="1" applyBorder="1" applyAlignment="1">
      <alignment horizontal="left" vertical="center" wrapText="1" indent="1"/>
    </xf>
    <xf numFmtId="0" fontId="18" fillId="9" borderId="39" xfId="3" applyFont="1" applyFill="1" applyBorder="1" applyAlignment="1">
      <alignment vertical="center" wrapText="1"/>
    </xf>
    <xf numFmtId="170" fontId="8" fillId="4" borderId="9" xfId="3" applyNumberFormat="1" applyFont="1" applyFill="1" applyBorder="1" applyAlignment="1" applyProtection="1">
      <alignment horizontal="center" vertical="center" shrinkToFit="1"/>
      <protection locked="0"/>
    </xf>
    <xf numFmtId="0" fontId="1" fillId="9" borderId="24" xfId="3" applyFont="1" applyFill="1" applyBorder="1" applyAlignment="1">
      <alignment horizontal="left" vertical="center" wrapText="1" indent="1"/>
    </xf>
    <xf numFmtId="0" fontId="11" fillId="9" borderId="25" xfId="3" applyFont="1" applyFill="1" applyBorder="1" applyAlignment="1">
      <alignment vertical="center" wrapText="1"/>
    </xf>
    <xf numFmtId="180" fontId="11" fillId="4" borderId="9" xfId="3" applyNumberFormat="1" applyFont="1" applyFill="1" applyBorder="1" applyAlignment="1" applyProtection="1">
      <alignment horizontal="center" vertical="center" wrapText="1"/>
      <protection locked="0"/>
    </xf>
    <xf numFmtId="0" fontId="10" fillId="10" borderId="23" xfId="3" applyFont="1" applyFill="1" applyBorder="1" applyAlignment="1">
      <alignment horizontal="left" vertical="center" indent="1" shrinkToFit="1"/>
    </xf>
    <xf numFmtId="0" fontId="11" fillId="10" borderId="0" xfId="3" applyFont="1" applyFill="1" applyBorder="1" applyAlignment="1">
      <alignment horizontal="center" vertical="center" shrinkToFit="1"/>
    </xf>
    <xf numFmtId="0" fontId="10" fillId="10" borderId="29" xfId="3" applyFont="1" applyFill="1" applyBorder="1" applyAlignment="1">
      <alignment horizontal="left" vertical="center" indent="1" shrinkToFit="1"/>
    </xf>
    <xf numFmtId="0" fontId="11" fillId="10" borderId="25" xfId="3" applyFont="1" applyFill="1" applyBorder="1" applyAlignment="1">
      <alignment horizontal="center" vertical="center" shrinkToFit="1"/>
    </xf>
    <xf numFmtId="9" fontId="1" fillId="10" borderId="14" xfId="3" applyNumberFormat="1" applyFont="1" applyFill="1" applyBorder="1" applyAlignment="1">
      <alignment horizontal="left" vertical="center" indent="1" shrinkToFit="1"/>
    </xf>
    <xf numFmtId="9" fontId="11" fillId="10" borderId="15" xfId="3" applyNumberFormat="1" applyFont="1" applyFill="1" applyBorder="1" applyAlignment="1">
      <alignment vertical="center"/>
    </xf>
    <xf numFmtId="0" fontId="1" fillId="10" borderId="40" xfId="3" applyFont="1" applyFill="1" applyBorder="1" applyAlignment="1">
      <alignment horizontal="left" vertical="center" wrapText="1" indent="1"/>
    </xf>
    <xf numFmtId="0" fontId="17" fillId="10" borderId="41" xfId="3" applyFont="1" applyFill="1" applyBorder="1" applyAlignment="1">
      <alignment vertical="center" wrapText="1"/>
    </xf>
    <xf numFmtId="0" fontId="10" fillId="10" borderId="21" xfId="3" applyFont="1" applyFill="1" applyBorder="1" applyAlignment="1">
      <alignment horizontal="left" vertical="center" indent="1" shrinkToFit="1"/>
    </xf>
    <xf numFmtId="0" fontId="23" fillId="10" borderId="22" xfId="3" applyFont="1" applyFill="1" applyBorder="1" applyAlignment="1">
      <alignment vertical="center" shrinkToFit="1"/>
    </xf>
    <xf numFmtId="171" fontId="24" fillId="4" borderId="9" xfId="3" applyNumberFormat="1" applyFont="1" applyFill="1" applyBorder="1" applyAlignment="1" applyProtection="1">
      <alignment horizontal="center" vertical="center" shrinkToFit="1"/>
      <protection locked="0"/>
    </xf>
    <xf numFmtId="0" fontId="1" fillId="10" borderId="23" xfId="3" applyFont="1" applyFill="1" applyBorder="1" applyAlignment="1">
      <alignment horizontal="left" vertical="center" indent="1" shrinkToFit="1"/>
    </xf>
    <xf numFmtId="0" fontId="11" fillId="10" borderId="0" xfId="3" applyFont="1" applyFill="1" applyBorder="1" applyAlignment="1">
      <alignment vertical="center" shrinkToFit="1"/>
    </xf>
    <xf numFmtId="0" fontId="1" fillId="10" borderId="42" xfId="3" applyFont="1" applyFill="1" applyBorder="1" applyAlignment="1">
      <alignment horizontal="left" vertical="center" indent="1" shrinkToFit="1"/>
    </xf>
    <xf numFmtId="0" fontId="11" fillId="10" borderId="43" xfId="3" applyFont="1" applyFill="1" applyBorder="1" applyAlignment="1">
      <alignment vertical="center" wrapText="1"/>
    </xf>
    <xf numFmtId="0" fontId="13" fillId="10" borderId="24" xfId="3" applyFont="1" applyFill="1" applyBorder="1" applyAlignment="1">
      <alignment horizontal="left" vertical="center" indent="1" shrinkToFit="1"/>
    </xf>
    <xf numFmtId="0" fontId="13" fillId="10" borderId="25" xfId="3" applyFont="1" applyFill="1" applyBorder="1" applyAlignment="1">
      <alignment vertical="center" wrapText="1"/>
    </xf>
    <xf numFmtId="171" fontId="8" fillId="4" borderId="9" xfId="3" applyNumberFormat="1" applyFont="1" applyFill="1" applyBorder="1" applyAlignment="1" applyProtection="1">
      <alignment horizontal="center" vertical="center" shrinkToFit="1"/>
      <protection locked="0"/>
    </xf>
    <xf numFmtId="0" fontId="25" fillId="2" borderId="44" xfId="3" applyFont="1" applyFill="1" applyBorder="1" applyAlignment="1">
      <alignment horizontal="left" vertical="center" indent="1"/>
    </xf>
    <xf numFmtId="0" fontId="27" fillId="2" borderId="45" xfId="3" applyFont="1" applyFill="1" applyBorder="1" applyAlignment="1">
      <alignment horizontal="left" vertical="center" indent="1"/>
    </xf>
    <xf numFmtId="0" fontId="28" fillId="2" borderId="46" xfId="3" applyFont="1" applyFill="1" applyBorder="1" applyAlignment="1">
      <alignment horizontal="left" vertical="center" wrapText="1" indent="1"/>
    </xf>
    <xf numFmtId="164" fontId="29" fillId="4" borderId="46" xfId="3" applyNumberFormat="1" applyFont="1" applyFill="1" applyBorder="1" applyAlignment="1" applyProtection="1">
      <alignment horizontal="center" vertical="center" wrapText="1"/>
      <protection locked="0"/>
    </xf>
    <xf numFmtId="0" fontId="5" fillId="2" borderId="21" xfId="3" applyFont="1" applyFill="1" applyBorder="1" applyAlignment="1">
      <alignment horizontal="center" vertical="center"/>
    </xf>
    <xf numFmtId="0" fontId="5" fillId="2" borderId="22" xfId="3" applyFont="1" applyFill="1" applyBorder="1" applyAlignment="1">
      <alignment horizontal="center" vertical="center" wrapText="1"/>
    </xf>
    <xf numFmtId="171" fontId="30" fillId="4" borderId="22" xfId="3" applyNumberFormat="1" applyFont="1" applyFill="1" applyBorder="1" applyAlignment="1" applyProtection="1">
      <alignment horizontal="center" vertical="center" wrapText="1"/>
      <protection locked="0"/>
    </xf>
    <xf numFmtId="0" fontId="31" fillId="2" borderId="47" xfId="3" applyFont="1" applyFill="1" applyBorder="1" applyAlignment="1">
      <alignment horizontal="center" vertical="center" wrapText="1"/>
    </xf>
    <xf numFmtId="178" fontId="31" fillId="2" borderId="48" xfId="3" applyNumberFormat="1" applyFont="1" applyFill="1" applyBorder="1" applyAlignment="1">
      <alignment vertical="center"/>
    </xf>
    <xf numFmtId="0" fontId="32" fillId="2" borderId="48" xfId="3" applyFont="1" applyFill="1" applyBorder="1" applyAlignment="1">
      <alignment horizontal="left" vertical="center"/>
    </xf>
    <xf numFmtId="0" fontId="4" fillId="0" borderId="47" xfId="0" applyFont="1" applyBorder="1" applyAlignment="1">
      <alignment horizontal="center" wrapText="1"/>
    </xf>
    <xf numFmtId="0" fontId="32" fillId="2" borderId="48" xfId="3" applyFont="1" applyFill="1" applyBorder="1" applyAlignment="1">
      <alignment horizontal="center" vertical="center" wrapText="1"/>
    </xf>
    <xf numFmtId="0" fontId="33" fillId="2" borderId="49" xfId="3" applyFont="1" applyFill="1" applyBorder="1" applyAlignment="1">
      <alignment horizontal="center" vertical="center" wrapText="1"/>
    </xf>
    <xf numFmtId="0" fontId="35" fillId="0" borderId="0" xfId="4" applyFont="1" applyAlignment="1" applyProtection="1"/>
    <xf numFmtId="0" fontId="35" fillId="0" borderId="0" xfId="4" applyFont="1" applyFill="1" applyAlignment="1" applyProtection="1"/>
    <xf numFmtId="0" fontId="35" fillId="0" borderId="0" xfId="4" applyFont="1" applyAlignment="1" applyProtection="1">
      <alignment horizontal="center"/>
    </xf>
    <xf numFmtId="0" fontId="35" fillId="0" borderId="0" xfId="4" applyFont="1" applyProtection="1"/>
    <xf numFmtId="0" fontId="35" fillId="0" borderId="0" xfId="4" applyNumberFormat="1" applyFont="1" applyAlignment="1" applyProtection="1"/>
    <xf numFmtId="0" fontId="35" fillId="0" borderId="0" xfId="4" applyNumberFormat="1" applyFont="1" applyFill="1" applyAlignment="1" applyProtection="1"/>
    <xf numFmtId="0" fontId="23" fillId="0" borderId="0" xfId="0" applyFont="1" applyFill="1" applyBorder="1" applyAlignment="1" applyProtection="1">
      <alignment horizontal="center" vertical="center" wrapText="1"/>
    </xf>
    <xf numFmtId="0" fontId="36" fillId="0" borderId="0" xfId="4" applyFont="1" applyFill="1" applyBorder="1" applyAlignment="1" applyProtection="1">
      <alignment horizontal="center" vertical="center" wrapText="1"/>
    </xf>
    <xf numFmtId="0" fontId="12" fillId="0" borderId="0" xfId="0" applyFont="1" applyFill="1" applyBorder="1" applyAlignment="1" applyProtection="1">
      <alignment horizontal="center" vertical="center" wrapText="1"/>
    </xf>
    <xf numFmtId="0" fontId="15" fillId="0" borderId="0" xfId="3" applyFont="1" applyFill="1" applyAlignment="1"/>
    <xf numFmtId="0" fontId="12" fillId="0" borderId="0" xfId="3" applyNumberFormat="1" applyFont="1" applyFill="1" applyBorder="1" applyAlignment="1">
      <alignment horizontal="right" vertical="center" wrapText="1"/>
    </xf>
    <xf numFmtId="0" fontId="12" fillId="0" borderId="0" xfId="3" applyNumberFormat="1" applyFont="1" applyFill="1" applyBorder="1" applyAlignment="1">
      <alignment horizontal="center" vertical="center" wrapText="1"/>
    </xf>
    <xf numFmtId="0" fontId="37" fillId="0" borderId="0" xfId="3" applyNumberFormat="1" applyFont="1" applyFill="1" applyAlignment="1">
      <alignment horizontal="center"/>
    </xf>
    <xf numFmtId="0" fontId="15" fillId="0" borderId="0" xfId="3" applyFont="1" applyFill="1"/>
    <xf numFmtId="0" fontId="15" fillId="0" borderId="0" xfId="3" applyFont="1"/>
    <xf numFmtId="0" fontId="15" fillId="11" borderId="0" xfId="3" applyNumberFormat="1" applyFont="1" applyFill="1"/>
    <xf numFmtId="0" fontId="15" fillId="11" borderId="0" xfId="3" applyNumberFormat="1" applyFont="1" applyFill="1" applyAlignment="1">
      <alignment horizontal="center"/>
    </xf>
    <xf numFmtId="0" fontId="15" fillId="0" borderId="0" xfId="3" applyFont="1" applyAlignment="1"/>
    <xf numFmtId="0" fontId="37" fillId="0" borderId="50" xfId="3" applyNumberFormat="1" applyFont="1" applyFill="1" applyBorder="1" applyAlignment="1">
      <alignment horizontal="center"/>
    </xf>
    <xf numFmtId="0" fontId="27" fillId="2" borderId="51" xfId="3" applyFont="1" applyFill="1" applyBorder="1" applyAlignment="1">
      <alignment horizontal="center" vertical="center" wrapText="1"/>
    </xf>
    <xf numFmtId="164" fontId="38" fillId="2" borderId="51" xfId="3" applyNumberFormat="1" applyFont="1" applyFill="1" applyBorder="1" applyAlignment="1">
      <alignment horizontal="center" vertical="center" wrapText="1"/>
    </xf>
    <xf numFmtId="164" fontId="27" fillId="2" borderId="51" xfId="3" applyNumberFormat="1" applyFont="1" applyFill="1" applyBorder="1" applyAlignment="1">
      <alignment horizontal="center" vertical="center" wrapText="1"/>
    </xf>
    <xf numFmtId="164" fontId="39" fillId="12" borderId="52" xfId="3" applyNumberFormat="1" applyFont="1" applyFill="1" applyBorder="1" applyAlignment="1">
      <alignment horizontal="center" vertical="center" wrapText="1"/>
    </xf>
    <xf numFmtId="164" fontId="39" fillId="13" borderId="52" xfId="3" applyNumberFormat="1" applyFont="1" applyFill="1" applyBorder="1" applyAlignment="1">
      <alignment horizontal="center" vertical="center" wrapText="1"/>
    </xf>
    <xf numFmtId="164" fontId="27" fillId="14" borderId="52" xfId="3" applyNumberFormat="1" applyFont="1" applyFill="1" applyBorder="1" applyAlignment="1">
      <alignment horizontal="center" vertical="top" wrapText="1"/>
    </xf>
    <xf numFmtId="164" fontId="40" fillId="14" borderId="52" xfId="3" applyNumberFormat="1" applyFont="1" applyFill="1" applyBorder="1" applyAlignment="1">
      <alignment horizontal="center" vertical="top" wrapText="1"/>
    </xf>
    <xf numFmtId="164" fontId="27" fillId="14" borderId="53" xfId="3" applyNumberFormat="1" applyFont="1" applyFill="1" applyBorder="1" applyAlignment="1">
      <alignment horizontal="center" vertical="top" wrapText="1"/>
    </xf>
    <xf numFmtId="164" fontId="38" fillId="15" borderId="54" xfId="3" applyNumberFormat="1" applyFont="1" applyFill="1" applyBorder="1" applyAlignment="1">
      <alignment horizontal="center" vertical="center" shrinkToFit="1"/>
    </xf>
    <xf numFmtId="164" fontId="27" fillId="17" borderId="56" xfId="3" applyNumberFormat="1" applyFont="1" applyFill="1" applyBorder="1" applyAlignment="1">
      <alignment horizontal="center" vertical="top" wrapText="1"/>
    </xf>
    <xf numFmtId="164" fontId="39" fillId="18" borderId="52" xfId="3" applyNumberFormat="1" applyFont="1" applyFill="1" applyBorder="1" applyAlignment="1">
      <alignment horizontal="center" vertical="center" wrapText="1"/>
    </xf>
    <xf numFmtId="164" fontId="41" fillId="4" borderId="52" xfId="3" applyNumberFormat="1" applyFont="1" applyFill="1" applyBorder="1" applyAlignment="1">
      <alignment horizontal="center" vertical="center" wrapText="1"/>
    </xf>
    <xf numFmtId="164" fontId="41" fillId="19" borderId="52" xfId="3" applyNumberFormat="1" applyFont="1" applyFill="1" applyBorder="1" applyAlignment="1">
      <alignment horizontal="center" vertical="center" wrapText="1"/>
    </xf>
    <xf numFmtId="164" fontId="39" fillId="20" borderId="52" xfId="3" applyNumberFormat="1" applyFont="1" applyFill="1" applyBorder="1" applyAlignment="1">
      <alignment horizontal="center" vertical="center" wrapText="1"/>
    </xf>
    <xf numFmtId="164" fontId="39" fillId="21" borderId="52" xfId="3" applyNumberFormat="1" applyFont="1" applyFill="1" applyBorder="1" applyAlignment="1">
      <alignment horizontal="center" vertical="center" wrapText="1"/>
    </xf>
    <xf numFmtId="0" fontId="42" fillId="2" borderId="57" xfId="3" applyFont="1" applyFill="1" applyBorder="1" applyAlignment="1">
      <alignment vertical="center" wrapText="1"/>
    </xf>
    <xf numFmtId="0" fontId="0" fillId="12" borderId="52" xfId="0" applyFill="1" applyBorder="1" applyAlignment="1"/>
    <xf numFmtId="0" fontId="42" fillId="13" borderId="52" xfId="3" applyFont="1" applyFill="1" applyBorder="1" applyAlignment="1">
      <alignment vertical="center" wrapText="1"/>
    </xf>
    <xf numFmtId="0" fontId="42" fillId="14" borderId="52" xfId="3" applyFont="1" applyFill="1" applyBorder="1" applyAlignment="1">
      <alignment vertical="center" wrapText="1"/>
    </xf>
    <xf numFmtId="0" fontId="25" fillId="14" borderId="52" xfId="3" applyFont="1" applyFill="1" applyBorder="1" applyAlignment="1">
      <alignment horizontal="center" vertical="center" wrapText="1"/>
    </xf>
    <xf numFmtId="0" fontId="42" fillId="14" borderId="57" xfId="3" applyFont="1" applyFill="1" applyBorder="1" applyAlignment="1">
      <alignment vertical="center" wrapText="1"/>
    </xf>
    <xf numFmtId="0" fontId="12" fillId="15" borderId="52" xfId="5" applyFill="1" applyBorder="1" applyAlignment="1"/>
    <xf numFmtId="0" fontId="12" fillId="0" borderId="52" xfId="5" applyBorder="1" applyAlignment="1"/>
    <xf numFmtId="0" fontId="42" fillId="18" borderId="52" xfId="3" applyFont="1" applyFill="1" applyBorder="1" applyAlignment="1">
      <alignment vertical="center" wrapText="1"/>
    </xf>
    <xf numFmtId="0" fontId="43" fillId="4" borderId="52" xfId="3" applyFont="1" applyFill="1" applyBorder="1" applyAlignment="1">
      <alignment vertical="center" wrapText="1"/>
    </xf>
    <xf numFmtId="0" fontId="43" fillId="19" borderId="52" xfId="3" applyFont="1" applyFill="1" applyBorder="1" applyAlignment="1">
      <alignment vertical="center" wrapText="1"/>
    </xf>
    <xf numFmtId="0" fontId="43" fillId="20" borderId="52" xfId="3" applyFont="1" applyFill="1" applyBorder="1" applyAlignment="1">
      <alignment vertical="center" wrapText="1"/>
    </xf>
    <xf numFmtId="0" fontId="44" fillId="21" borderId="52" xfId="3" applyFont="1" applyFill="1" applyBorder="1" applyAlignment="1">
      <alignment vertical="center" shrinkToFit="1"/>
    </xf>
    <xf numFmtId="0" fontId="15" fillId="22" borderId="0" xfId="3" applyFont="1" applyFill="1"/>
    <xf numFmtId="0" fontId="37" fillId="0" borderId="0" xfId="3" applyNumberFormat="1" applyFont="1" applyFill="1" applyBorder="1" applyAlignment="1">
      <alignment horizontal="center"/>
    </xf>
    <xf numFmtId="0" fontId="45" fillId="0" borderId="58" xfId="3" applyFont="1" applyBorder="1" applyAlignment="1">
      <alignment horizontal="center" vertical="center" wrapText="1"/>
    </xf>
    <xf numFmtId="0" fontId="8" fillId="0" borderId="59" xfId="3" applyFont="1" applyBorder="1" applyAlignment="1">
      <alignment horizontal="center" vertical="center" wrapText="1"/>
    </xf>
    <xf numFmtId="0" fontId="8" fillId="0" borderId="52" xfId="3" applyFont="1" applyBorder="1" applyAlignment="1">
      <alignment horizontal="center" vertical="center" wrapText="1"/>
    </xf>
    <xf numFmtId="0" fontId="8" fillId="0" borderId="60" xfId="3" applyFont="1" applyBorder="1" applyAlignment="1">
      <alignment horizontal="center" vertical="center" wrapText="1"/>
    </xf>
    <xf numFmtId="0" fontId="8" fillId="0" borderId="60" xfId="3" applyFont="1" applyBorder="1" applyAlignment="1">
      <alignment horizontal="center" vertical="center" shrinkToFit="1"/>
    </xf>
    <xf numFmtId="0" fontId="8" fillId="0" borderId="52" xfId="3" applyFont="1" applyBorder="1" applyAlignment="1">
      <alignment horizontal="center" vertical="center" shrinkToFit="1"/>
    </xf>
    <xf numFmtId="0" fontId="46" fillId="0" borderId="54" xfId="3" applyFont="1" applyBorder="1" applyAlignment="1">
      <alignment horizontal="center" vertical="center" shrinkToFit="1"/>
    </xf>
    <xf numFmtId="0" fontId="8" fillId="0" borderId="54" xfId="3" applyFont="1" applyBorder="1" applyAlignment="1">
      <alignment horizontal="center" vertical="center" shrinkToFit="1"/>
    </xf>
    <xf numFmtId="0" fontId="46" fillId="0" borderId="55" xfId="3" applyFont="1" applyBorder="1" applyAlignment="1">
      <alignment horizontal="center" vertical="center" shrinkToFit="1"/>
    </xf>
    <xf numFmtId="0" fontId="8" fillId="0" borderId="56" xfId="3" applyFont="1" applyBorder="1" applyAlignment="1">
      <alignment horizontal="center" vertical="center" wrapText="1"/>
    </xf>
    <xf numFmtId="0" fontId="8" fillId="0" borderId="61" xfId="3" applyFont="1" applyBorder="1" applyAlignment="1">
      <alignment horizontal="center" vertical="center" shrinkToFit="1"/>
    </xf>
    <xf numFmtId="0" fontId="47" fillId="0" borderId="0" xfId="3" applyNumberFormat="1" applyFont="1" applyFill="1" applyBorder="1" applyAlignment="1">
      <alignment horizontal="center"/>
    </xf>
    <xf numFmtId="9" fontId="48" fillId="0" borderId="59" xfId="3" applyNumberFormat="1" applyFont="1" applyBorder="1" applyAlignment="1">
      <alignment horizontal="center" vertical="center" shrinkToFit="1"/>
    </xf>
    <xf numFmtId="9" fontId="48" fillId="0" borderId="62" xfId="3" applyNumberFormat="1" applyFont="1" applyBorder="1" applyAlignment="1">
      <alignment horizontal="center" vertical="center" shrinkToFit="1"/>
    </xf>
    <xf numFmtId="165" fontId="48" fillId="0" borderId="62" xfId="3" applyNumberFormat="1" applyFont="1" applyBorder="1" applyAlignment="1">
      <alignment horizontal="center" vertical="center" shrinkToFit="1"/>
    </xf>
    <xf numFmtId="165" fontId="46" fillId="0" borderId="62" xfId="3" applyNumberFormat="1" applyFont="1" applyBorder="1" applyAlignment="1">
      <alignment horizontal="center" vertical="center" shrinkToFit="1"/>
    </xf>
    <xf numFmtId="165" fontId="48" fillId="0" borderId="62" xfId="3" applyNumberFormat="1" applyFont="1" applyBorder="1" applyAlignment="1">
      <alignment horizontal="center" vertical="center"/>
    </xf>
    <xf numFmtId="165" fontId="46" fillId="0" borderId="17" xfId="3" applyNumberFormat="1" applyFont="1" applyFill="1" applyBorder="1" applyAlignment="1">
      <alignment horizontal="center" vertical="center" shrinkToFit="1"/>
    </xf>
    <xf numFmtId="165" fontId="48" fillId="0" borderId="59" xfId="3" applyNumberFormat="1" applyFont="1" applyBorder="1" applyAlignment="1">
      <alignment horizontal="center" vertical="center" shrinkToFit="1"/>
    </xf>
    <xf numFmtId="166" fontId="48" fillId="0" borderId="62" xfId="3" applyNumberFormat="1" applyFont="1" applyBorder="1" applyAlignment="1">
      <alignment horizontal="center" vertical="center" shrinkToFit="1"/>
    </xf>
    <xf numFmtId="165" fontId="48" fillId="0" borderId="15" xfId="3" applyNumberFormat="1" applyFont="1" applyFill="1" applyBorder="1" applyAlignment="1">
      <alignment horizontal="center" vertical="center" shrinkToFit="1"/>
    </xf>
    <xf numFmtId="166" fontId="48" fillId="0" borderId="15" xfId="3" applyNumberFormat="1" applyFont="1" applyFill="1" applyBorder="1" applyAlignment="1">
      <alignment horizontal="center" vertical="center" shrinkToFit="1"/>
    </xf>
    <xf numFmtId="166" fontId="48" fillId="0" borderId="59" xfId="3" applyNumberFormat="1" applyFont="1" applyBorder="1" applyAlignment="1">
      <alignment horizontal="center" vertical="center" shrinkToFit="1"/>
    </xf>
    <xf numFmtId="9" fontId="49" fillId="0" borderId="62" xfId="3" applyNumberFormat="1" applyFont="1" applyBorder="1" applyAlignment="1">
      <alignment horizontal="center" vertical="center" wrapText="1"/>
    </xf>
    <xf numFmtId="0" fontId="47" fillId="0" borderId="0" xfId="3" applyFont="1" applyFill="1" applyBorder="1" applyAlignment="1">
      <alignment horizontal="center"/>
    </xf>
    <xf numFmtId="0" fontId="8" fillId="0" borderId="59" xfId="3" applyFont="1" applyBorder="1" applyAlignment="1">
      <alignment horizontal="center" vertical="center" shrinkToFit="1"/>
    </xf>
    <xf numFmtId="0" fontId="8" fillId="0" borderId="62" xfId="3" applyFont="1" applyBorder="1" applyAlignment="1">
      <alignment horizontal="center" vertical="center" shrinkToFit="1"/>
    </xf>
    <xf numFmtId="167" fontId="48" fillId="0" borderId="15" xfId="3" applyNumberFormat="1" applyFont="1" applyFill="1" applyBorder="1" applyAlignment="1">
      <alignment horizontal="center" vertical="center" shrinkToFit="1"/>
    </xf>
    <xf numFmtId="167" fontId="48" fillId="0" borderId="59" xfId="3" applyNumberFormat="1" applyFont="1" applyBorder="1" applyAlignment="1">
      <alignment horizontal="center" vertical="center" shrinkToFit="1"/>
    </xf>
    <xf numFmtId="167" fontId="48" fillId="0" borderId="62" xfId="3" applyNumberFormat="1" applyFont="1" applyBorder="1" applyAlignment="1">
      <alignment horizontal="center" vertical="center" shrinkToFit="1"/>
    </xf>
    <xf numFmtId="166" fontId="46" fillId="0" borderId="62" xfId="3" applyNumberFormat="1" applyFont="1" applyBorder="1" applyAlignment="1">
      <alignment horizontal="center" vertical="center" shrinkToFit="1"/>
    </xf>
    <xf numFmtId="168" fontId="48" fillId="0" borderId="15" xfId="3" applyNumberFormat="1" applyFont="1" applyFill="1" applyBorder="1" applyAlignment="1">
      <alignment horizontal="center" vertical="center" shrinkToFit="1"/>
    </xf>
    <xf numFmtId="168" fontId="48" fillId="0" borderId="59" xfId="3" applyNumberFormat="1" applyFont="1" applyBorder="1" applyAlignment="1">
      <alignment horizontal="center" vertical="center" shrinkToFit="1"/>
    </xf>
    <xf numFmtId="168" fontId="48" fillId="0" borderId="62" xfId="3" applyNumberFormat="1" applyFont="1" applyBorder="1" applyAlignment="1">
      <alignment horizontal="center" vertical="center" shrinkToFit="1"/>
    </xf>
    <xf numFmtId="165" fontId="48" fillId="0" borderId="63" xfId="3" applyNumberFormat="1" applyFont="1" applyBorder="1" applyAlignment="1">
      <alignment horizontal="center" vertical="center" shrinkToFit="1"/>
    </xf>
    <xf numFmtId="0" fontId="37" fillId="0" borderId="50" xfId="3" applyFont="1" applyFill="1" applyBorder="1" applyAlignment="1">
      <alignment horizontal="center"/>
    </xf>
    <xf numFmtId="169" fontId="8" fillId="0" borderId="52" xfId="3" applyNumberFormat="1" applyFont="1" applyBorder="1" applyAlignment="1">
      <alignment horizontal="center" vertical="center" shrinkToFit="1"/>
    </xf>
    <xf numFmtId="169" fontId="8" fillId="0" borderId="52" xfId="3" applyNumberFormat="1" applyFont="1" applyBorder="1" applyAlignment="1">
      <alignment horizontal="center" vertical="center"/>
    </xf>
    <xf numFmtId="0" fontId="44" fillId="2" borderId="51" xfId="3" applyFont="1" applyFill="1" applyBorder="1" applyAlignment="1">
      <alignment vertical="center" shrinkToFit="1"/>
    </xf>
    <xf numFmtId="0" fontId="44" fillId="13" borderId="52" xfId="3" applyFont="1" applyFill="1" applyBorder="1" applyAlignment="1">
      <alignment vertical="center" shrinkToFit="1"/>
    </xf>
    <xf numFmtId="0" fontId="44" fillId="14" borderId="52" xfId="3" applyFont="1" applyFill="1" applyBorder="1" applyAlignment="1">
      <alignment vertical="center" shrinkToFit="1"/>
    </xf>
    <xf numFmtId="0" fontId="44" fillId="14" borderId="51" xfId="3" applyFont="1" applyFill="1" applyBorder="1" applyAlignment="1">
      <alignment vertical="center" shrinkToFit="1"/>
    </xf>
    <xf numFmtId="0" fontId="44" fillId="15" borderId="51" xfId="3" applyFont="1" applyFill="1" applyBorder="1" applyAlignment="1">
      <alignment vertical="center" shrinkToFit="1"/>
    </xf>
    <xf numFmtId="0" fontId="44" fillId="16" borderId="51" xfId="3" applyFont="1" applyFill="1" applyBorder="1" applyAlignment="1">
      <alignment vertical="center" shrinkToFit="1"/>
    </xf>
    <xf numFmtId="0" fontId="44" fillId="17" borderId="51" xfId="3" applyFont="1" applyFill="1" applyBorder="1" applyAlignment="1">
      <alignment vertical="center" wrapText="1"/>
    </xf>
    <xf numFmtId="0" fontId="44" fillId="18" borderId="52" xfId="3" applyFont="1" applyFill="1" applyBorder="1" applyAlignment="1">
      <alignment vertical="center" shrinkToFit="1"/>
    </xf>
    <xf numFmtId="167" fontId="48" fillId="0" borderId="64" xfId="3" applyNumberFormat="1" applyFont="1" applyBorder="1" applyAlignment="1">
      <alignment horizontal="center" vertical="center" shrinkToFit="1"/>
    </xf>
    <xf numFmtId="170" fontId="48" fillId="0" borderId="15" xfId="3" applyNumberFormat="1" applyFont="1" applyFill="1" applyBorder="1" applyAlignment="1">
      <alignment horizontal="center" vertical="center" shrinkToFit="1"/>
    </xf>
    <xf numFmtId="170" fontId="48" fillId="0" borderId="64" xfId="3" applyNumberFormat="1" applyFont="1" applyBorder="1" applyAlignment="1">
      <alignment horizontal="center" vertical="center" shrinkToFit="1"/>
    </xf>
    <xf numFmtId="170" fontId="48" fillId="0" borderId="62" xfId="3" applyNumberFormat="1" applyFont="1" applyBorder="1" applyAlignment="1">
      <alignment horizontal="center" vertical="center" shrinkToFit="1"/>
    </xf>
    <xf numFmtId="165" fontId="48" fillId="0" borderId="64" xfId="3" applyNumberFormat="1" applyFont="1" applyBorder="1" applyAlignment="1">
      <alignment horizontal="center" vertical="center" shrinkToFit="1"/>
    </xf>
    <xf numFmtId="169" fontId="8" fillId="0" borderId="62" xfId="3" applyNumberFormat="1" applyFont="1" applyBorder="1" applyAlignment="1">
      <alignment horizontal="center" vertical="center"/>
    </xf>
    <xf numFmtId="0" fontId="37" fillId="0" borderId="0" xfId="3" applyFont="1" applyFill="1" applyBorder="1" applyAlignment="1">
      <alignment horizontal="center"/>
    </xf>
    <xf numFmtId="0" fontId="15" fillId="0" borderId="64" xfId="3" applyFont="1" applyBorder="1" applyAlignment="1">
      <alignment shrinkToFit="1"/>
    </xf>
    <xf numFmtId="0" fontId="15" fillId="0" borderId="62" xfId="3" applyFont="1" applyBorder="1" applyAlignment="1">
      <alignment shrinkToFit="1"/>
    </xf>
    <xf numFmtId="0" fontId="50" fillId="0" borderId="62" xfId="3" applyFont="1" applyBorder="1" applyAlignment="1">
      <alignment shrinkToFit="1"/>
    </xf>
    <xf numFmtId="0" fontId="15" fillId="0" borderId="62" xfId="3" applyFont="1" applyBorder="1" applyAlignment="1"/>
    <xf numFmtId="0" fontId="24" fillId="23" borderId="64" xfId="3" applyFont="1" applyFill="1" applyBorder="1" applyAlignment="1">
      <alignment vertical="center" shrinkToFit="1"/>
    </xf>
    <xf numFmtId="0" fontId="24" fillId="23" borderId="62" xfId="3" applyFont="1" applyFill="1" applyBorder="1" applyAlignment="1">
      <alignment vertical="center" shrinkToFit="1"/>
    </xf>
    <xf numFmtId="0" fontId="51" fillId="23" borderId="62" xfId="3" applyFont="1" applyFill="1" applyBorder="1" applyAlignment="1">
      <alignment vertical="center" shrinkToFit="1"/>
    </xf>
    <xf numFmtId="0" fontId="24" fillId="23" borderId="62" xfId="3" applyFont="1" applyFill="1" applyBorder="1" applyAlignment="1">
      <alignment vertical="center" wrapText="1"/>
    </xf>
    <xf numFmtId="171" fontId="48" fillId="0" borderId="15" xfId="3" applyNumberFormat="1" applyFont="1" applyFill="1" applyBorder="1" applyAlignment="1">
      <alignment horizontal="center" vertical="center" shrinkToFit="1"/>
    </xf>
    <xf numFmtId="171" fontId="48" fillId="0" borderId="64" xfId="3" applyNumberFormat="1" applyFont="1" applyBorder="1" applyAlignment="1">
      <alignment horizontal="center" vertical="center" shrinkToFit="1"/>
    </xf>
    <xf numFmtId="171" fontId="48" fillId="0" borderId="62" xfId="3" applyNumberFormat="1" applyFont="1" applyBorder="1" applyAlignment="1">
      <alignment horizontal="center" vertical="center" shrinkToFit="1"/>
    </xf>
    <xf numFmtId="0" fontId="15" fillId="0" borderId="52" xfId="3" applyFont="1" applyBorder="1" applyAlignment="1">
      <alignment shrinkToFit="1"/>
    </xf>
    <xf numFmtId="0" fontId="50" fillId="0" borderId="52" xfId="3" applyFont="1" applyBorder="1" applyAlignment="1">
      <alignment shrinkToFit="1"/>
    </xf>
    <xf numFmtId="0" fontId="15" fillId="0" borderId="52" xfId="3" applyFont="1" applyBorder="1" applyAlignment="1"/>
    <xf numFmtId="0" fontId="25" fillId="2" borderId="51" xfId="3" applyFont="1" applyFill="1" applyBorder="1" applyAlignment="1">
      <alignment vertical="center" shrinkToFit="1"/>
    </xf>
    <xf numFmtId="0" fontId="25" fillId="13" borderId="52" xfId="3" applyFont="1" applyFill="1" applyBorder="1" applyAlignment="1">
      <alignment vertical="center" shrinkToFit="1"/>
    </xf>
    <xf numFmtId="0" fontId="25" fillId="14" borderId="52" xfId="3" applyFont="1" applyFill="1" applyBorder="1" applyAlignment="1">
      <alignment vertical="center" shrinkToFit="1"/>
    </xf>
    <xf numFmtId="0" fontId="25" fillId="14" borderId="65" xfId="3" applyFont="1" applyFill="1" applyBorder="1" applyAlignment="1">
      <alignment vertical="center" shrinkToFit="1"/>
    </xf>
    <xf numFmtId="0" fontId="25" fillId="14" borderId="51" xfId="3" applyFont="1" applyFill="1" applyBorder="1" applyAlignment="1">
      <alignment vertical="center" shrinkToFit="1"/>
    </xf>
    <xf numFmtId="0" fontId="52" fillId="15" borderId="51" xfId="3" applyFont="1" applyFill="1" applyBorder="1" applyAlignment="1">
      <alignment vertical="center" shrinkToFit="1"/>
    </xf>
    <xf numFmtId="0" fontId="52" fillId="16" borderId="51" xfId="3" applyFont="1" applyFill="1" applyBorder="1" applyAlignment="1">
      <alignment vertical="center" shrinkToFit="1"/>
    </xf>
    <xf numFmtId="0" fontId="25" fillId="17" borderId="56" xfId="3" applyFont="1" applyFill="1" applyBorder="1" applyAlignment="1">
      <alignment vertical="center" wrapText="1"/>
    </xf>
    <xf numFmtId="0" fontId="25" fillId="18" borderId="52" xfId="3" applyFont="1" applyFill="1" applyBorder="1" applyAlignment="1">
      <alignment vertical="center" shrinkToFit="1"/>
    </xf>
    <xf numFmtId="0" fontId="25" fillId="21" borderId="52" xfId="3" applyFont="1" applyFill="1" applyBorder="1" applyAlignment="1">
      <alignment vertical="center" shrinkToFit="1"/>
    </xf>
    <xf numFmtId="9" fontId="8" fillId="0" borderId="62" xfId="3" applyNumberFormat="1" applyFont="1" applyBorder="1" applyAlignment="1">
      <alignment horizontal="center" vertical="center" shrinkToFit="1"/>
    </xf>
    <xf numFmtId="9" fontId="8" fillId="11" borderId="62" xfId="3" applyNumberFormat="1" applyFont="1" applyFill="1" applyBorder="1" applyAlignment="1">
      <alignment horizontal="center" vertical="center" shrinkToFit="1"/>
    </xf>
    <xf numFmtId="9" fontId="46" fillId="11" borderId="62" xfId="3" applyNumberFormat="1" applyFont="1" applyFill="1" applyBorder="1" applyAlignment="1">
      <alignment horizontal="center" vertical="center" shrinkToFit="1"/>
    </xf>
    <xf numFmtId="9" fontId="8" fillId="11" borderId="62" xfId="3" applyNumberFormat="1" applyFont="1" applyFill="1" applyBorder="1" applyAlignment="1">
      <alignment horizontal="center" vertical="center"/>
    </xf>
    <xf numFmtId="165" fontId="48" fillId="0" borderId="0" xfId="3" applyNumberFormat="1" applyFont="1" applyFill="1" applyBorder="1" applyAlignment="1">
      <alignment horizontal="center" vertical="center" shrinkToFit="1"/>
    </xf>
    <xf numFmtId="166" fontId="8" fillId="0" borderId="62" xfId="3" applyNumberFormat="1" applyFont="1" applyBorder="1" applyAlignment="1">
      <alignment horizontal="center" vertical="center" shrinkToFit="1"/>
    </xf>
    <xf numFmtId="169" fontId="8" fillId="0" borderId="62" xfId="3" applyNumberFormat="1" applyFont="1" applyBorder="1" applyAlignment="1">
      <alignment horizontal="center" vertical="center" shrinkToFit="1"/>
    </xf>
    <xf numFmtId="170" fontId="46" fillId="0" borderId="62" xfId="3" applyNumberFormat="1" applyFont="1" applyBorder="1" applyAlignment="1">
      <alignment horizontal="center" vertical="center" shrinkToFit="1"/>
    </xf>
    <xf numFmtId="170" fontId="8" fillId="0" borderId="62" xfId="3" applyNumberFormat="1" applyFont="1" applyBorder="1" applyAlignment="1">
      <alignment horizontal="center" vertical="center"/>
    </xf>
    <xf numFmtId="171" fontId="8" fillId="0" borderId="62" xfId="1" applyNumberFormat="1" applyFont="1" applyBorder="1" applyAlignment="1">
      <alignment horizontal="center" vertical="center" shrinkToFit="1"/>
    </xf>
    <xf numFmtId="0" fontId="25" fillId="2" borderId="52" xfId="3" applyFont="1" applyFill="1" applyBorder="1" applyAlignment="1">
      <alignment shrinkToFit="1"/>
    </xf>
    <xf numFmtId="0" fontId="25" fillId="13" borderId="52" xfId="3" applyFont="1" applyFill="1" applyBorder="1" applyAlignment="1">
      <alignment shrinkToFit="1"/>
    </xf>
    <xf numFmtId="0" fontId="25" fillId="14" borderId="52" xfId="3" applyFont="1" applyFill="1" applyBorder="1" applyAlignment="1">
      <alignment shrinkToFit="1"/>
    </xf>
    <xf numFmtId="0" fontId="52" fillId="15" borderId="52" xfId="3" applyFont="1" applyFill="1" applyBorder="1" applyAlignment="1">
      <alignment shrinkToFit="1"/>
    </xf>
    <xf numFmtId="0" fontId="52" fillId="16" borderId="52" xfId="3" applyFont="1" applyFill="1" applyBorder="1" applyAlignment="1">
      <alignment shrinkToFit="1"/>
    </xf>
    <xf numFmtId="0" fontId="25" fillId="17" borderId="52" xfId="3" applyFont="1" applyFill="1" applyBorder="1" applyAlignment="1"/>
    <xf numFmtId="0" fontId="25" fillId="18" borderId="52" xfId="3" applyFont="1" applyFill="1" applyBorder="1" applyAlignment="1">
      <alignment shrinkToFit="1"/>
    </xf>
    <xf numFmtId="0" fontId="25" fillId="21" borderId="52" xfId="3" applyFont="1" applyFill="1" applyBorder="1" applyAlignment="1">
      <alignment shrinkToFit="1"/>
    </xf>
    <xf numFmtId="172" fontId="48" fillId="0" borderId="15" xfId="3" applyNumberFormat="1" applyFont="1" applyFill="1" applyBorder="1" applyAlignment="1">
      <alignment horizontal="center" vertical="center" shrinkToFit="1"/>
    </xf>
    <xf numFmtId="172" fontId="48" fillId="0" borderId="62" xfId="3" applyNumberFormat="1" applyFont="1" applyBorder="1" applyAlignment="1">
      <alignment horizontal="center" vertical="center" shrinkToFit="1"/>
    </xf>
    <xf numFmtId="173" fontId="48" fillId="0" borderId="15" xfId="3" applyNumberFormat="1" applyFont="1" applyFill="1" applyBorder="1" applyAlignment="1">
      <alignment horizontal="center" vertical="center" shrinkToFit="1"/>
    </xf>
    <xf numFmtId="173" fontId="48" fillId="0" borderId="62" xfId="3" applyNumberFormat="1" applyFont="1" applyBorder="1" applyAlignment="1">
      <alignment horizontal="center" vertical="center" shrinkToFit="1"/>
    </xf>
    <xf numFmtId="170" fontId="48" fillId="0" borderId="62" xfId="3" applyNumberFormat="1" applyFont="1" applyFill="1" applyBorder="1" applyAlignment="1">
      <alignment horizontal="center" vertical="center" shrinkToFit="1"/>
    </xf>
    <xf numFmtId="170" fontId="51" fillId="0" borderId="62" xfId="3" applyNumberFormat="1" applyFont="1" applyBorder="1" applyAlignment="1">
      <alignment horizontal="center" vertical="center" shrinkToFit="1"/>
    </xf>
    <xf numFmtId="170" fontId="8" fillId="0" borderId="62" xfId="3" applyNumberFormat="1" applyFont="1" applyBorder="1" applyAlignment="1">
      <alignment horizontal="center" vertical="center" shrinkToFit="1"/>
    </xf>
    <xf numFmtId="174" fontId="8" fillId="0" borderId="62" xfId="3" applyNumberFormat="1" applyFont="1" applyBorder="1" applyAlignment="1">
      <alignment horizontal="center" vertical="center" shrinkToFit="1"/>
    </xf>
    <xf numFmtId="0" fontId="8" fillId="0" borderId="62" xfId="3" applyFont="1" applyBorder="1" applyAlignment="1">
      <alignment horizontal="center" vertical="center" wrapText="1"/>
    </xf>
    <xf numFmtId="0" fontId="12" fillId="0" borderId="62" xfId="3" applyFont="1" applyBorder="1" applyAlignment="1">
      <alignment vertical="center" wrapText="1" shrinkToFit="1"/>
    </xf>
    <xf numFmtId="165" fontId="8" fillId="0" borderId="62" xfId="3" applyNumberFormat="1" applyFont="1" applyBorder="1" applyAlignment="1">
      <alignment horizontal="center" vertical="center" shrinkToFit="1"/>
    </xf>
    <xf numFmtId="169" fontId="12" fillId="0" borderId="62" xfId="3" applyNumberFormat="1" applyFont="1" applyBorder="1" applyAlignment="1">
      <alignment horizontal="center" vertical="center" wrapText="1" shrinkToFit="1"/>
    </xf>
    <xf numFmtId="0" fontId="42" fillId="2" borderId="52" xfId="3" applyFont="1" applyFill="1" applyBorder="1" applyAlignment="1">
      <alignment shrinkToFit="1"/>
    </xf>
    <xf numFmtId="175" fontId="53" fillId="13" borderId="52" xfId="3" applyNumberFormat="1" applyFont="1" applyFill="1" applyBorder="1" applyAlignment="1">
      <alignment shrinkToFit="1"/>
    </xf>
    <xf numFmtId="175" fontId="53" fillId="14" borderId="52" xfId="3" applyNumberFormat="1" applyFont="1" applyFill="1" applyBorder="1" applyAlignment="1">
      <alignment shrinkToFit="1"/>
    </xf>
    <xf numFmtId="175" fontId="53" fillId="15" borderId="52" xfId="3" applyNumberFormat="1" applyFont="1" applyFill="1" applyBorder="1" applyAlignment="1">
      <alignment shrinkToFit="1"/>
    </xf>
    <xf numFmtId="175" fontId="53" fillId="16" borderId="52" xfId="3" applyNumberFormat="1" applyFont="1" applyFill="1" applyBorder="1" applyAlignment="1">
      <alignment shrinkToFit="1"/>
    </xf>
    <xf numFmtId="175" fontId="53" fillId="17" borderId="52" xfId="3" applyNumberFormat="1" applyFont="1" applyFill="1" applyBorder="1" applyAlignment="1"/>
    <xf numFmtId="175" fontId="53" fillId="18" borderId="52" xfId="3" applyNumberFormat="1" applyFont="1" applyFill="1" applyBorder="1" applyAlignment="1">
      <alignment shrinkToFit="1"/>
    </xf>
    <xf numFmtId="175" fontId="53" fillId="21" borderId="52" xfId="3" applyNumberFormat="1" applyFont="1" applyFill="1" applyBorder="1" applyAlignment="1">
      <alignment shrinkToFit="1"/>
    </xf>
    <xf numFmtId="0" fontId="12" fillId="0" borderId="52" xfId="3" applyFont="1" applyBorder="1" applyAlignment="1">
      <alignment vertical="center" shrinkToFit="1"/>
    </xf>
    <xf numFmtId="0" fontId="15" fillId="0" borderId="66" xfId="3" applyFont="1" applyBorder="1" applyAlignment="1">
      <alignment shrinkToFit="1"/>
    </xf>
    <xf numFmtId="0" fontId="15" fillId="0" borderId="67" xfId="3" applyFont="1" applyBorder="1" applyAlignment="1">
      <alignment shrinkToFit="1"/>
    </xf>
    <xf numFmtId="0" fontId="50" fillId="0" borderId="52" xfId="3" applyFont="1" applyBorder="1" applyAlignment="1">
      <alignment horizontal="center" shrinkToFit="1"/>
    </xf>
    <xf numFmtId="0" fontId="50" fillId="0" borderId="55" xfId="3" applyFont="1" applyBorder="1" applyAlignment="1">
      <alignment horizontal="center" shrinkToFit="1"/>
    </xf>
    <xf numFmtId="171" fontId="37" fillId="0" borderId="0" xfId="3" applyNumberFormat="1" applyFont="1" applyFill="1" applyBorder="1" applyAlignment="1">
      <alignment horizontal="center"/>
    </xf>
    <xf numFmtId="171" fontId="8" fillId="11" borderId="62" xfId="3" applyNumberFormat="1" applyFont="1" applyFill="1" applyBorder="1" applyAlignment="1">
      <alignment horizontal="center" vertical="center" shrinkToFit="1"/>
    </xf>
    <xf numFmtId="171" fontId="8" fillId="11" borderId="62" xfId="2" applyNumberFormat="1" applyFont="1" applyFill="1" applyBorder="1" applyAlignment="1">
      <alignment horizontal="center" vertical="center" shrinkToFit="1"/>
    </xf>
    <xf numFmtId="171" fontId="54" fillId="11" borderId="62" xfId="3" applyNumberFormat="1" applyFont="1" applyFill="1" applyBorder="1" applyAlignment="1">
      <alignment horizontal="center" vertical="center" shrinkToFit="1"/>
    </xf>
    <xf numFmtId="171" fontId="8" fillId="11" borderId="62" xfId="3" applyNumberFormat="1" applyFont="1" applyFill="1" applyBorder="1" applyAlignment="1">
      <alignment horizontal="center" vertical="center" wrapText="1"/>
    </xf>
    <xf numFmtId="176" fontId="8" fillId="11" borderId="62" xfId="3" applyNumberFormat="1" applyFont="1" applyFill="1" applyBorder="1" applyAlignment="1">
      <alignment horizontal="center" vertical="center" shrinkToFit="1"/>
    </xf>
    <xf numFmtId="165" fontId="8" fillId="11" borderId="62" xfId="2" applyNumberFormat="1" applyFont="1" applyFill="1" applyBorder="1" applyAlignment="1">
      <alignment horizontal="center" vertical="center" shrinkToFit="1"/>
    </xf>
    <xf numFmtId="177" fontId="46" fillId="11" borderId="62" xfId="3" applyNumberFormat="1" applyFont="1" applyFill="1" applyBorder="1" applyAlignment="1">
      <alignment horizontal="center" vertical="center" shrinkToFit="1"/>
    </xf>
    <xf numFmtId="176" fontId="46" fillId="11" borderId="62" xfId="3" applyNumberFormat="1" applyFont="1" applyFill="1" applyBorder="1" applyAlignment="1">
      <alignment horizontal="center" vertical="center" shrinkToFit="1"/>
    </xf>
    <xf numFmtId="177" fontId="8" fillId="11" borderId="62" xfId="3" applyNumberFormat="1" applyFont="1" applyFill="1" applyBorder="1" applyAlignment="1">
      <alignment horizontal="center" vertical="center" wrapText="1"/>
    </xf>
    <xf numFmtId="178" fontId="8" fillId="11" borderId="62" xfId="3" applyNumberFormat="1" applyFont="1" applyFill="1" applyBorder="1" applyAlignment="1">
      <alignment horizontal="center" vertical="center" wrapText="1"/>
    </xf>
    <xf numFmtId="177" fontId="8" fillId="11" borderId="62" xfId="3" applyNumberFormat="1" applyFont="1" applyFill="1" applyBorder="1" applyAlignment="1">
      <alignment horizontal="center" vertical="center" shrinkToFit="1"/>
    </xf>
    <xf numFmtId="171" fontId="8" fillId="0" borderId="62" xfId="3" applyNumberFormat="1" applyFont="1" applyFill="1" applyBorder="1" applyAlignment="1">
      <alignment horizontal="center" vertical="center" shrinkToFit="1"/>
    </xf>
    <xf numFmtId="171" fontId="8" fillId="0" borderId="62" xfId="2" applyNumberFormat="1" applyFont="1" applyFill="1" applyBorder="1" applyAlignment="1">
      <alignment horizontal="center" vertical="center" shrinkToFit="1"/>
    </xf>
    <xf numFmtId="179" fontId="8" fillId="11" borderId="62" xfId="3" applyNumberFormat="1" applyFont="1" applyFill="1" applyBorder="1" applyAlignment="1">
      <alignment horizontal="center" vertical="center" shrinkToFit="1"/>
    </xf>
    <xf numFmtId="179" fontId="8" fillId="11" borderId="62" xfId="3" applyNumberFormat="1" applyFont="1" applyFill="1" applyBorder="1" applyAlignment="1">
      <alignment horizontal="center" vertical="center" wrapText="1"/>
    </xf>
    <xf numFmtId="165" fontId="8" fillId="0" borderId="62" xfId="2" applyNumberFormat="1" applyFont="1" applyFill="1" applyBorder="1" applyAlignment="1">
      <alignment horizontal="center" vertical="center" shrinkToFit="1"/>
    </xf>
    <xf numFmtId="169" fontId="8" fillId="0" borderId="62" xfId="3" applyNumberFormat="1" applyFont="1" applyFill="1" applyBorder="1" applyAlignment="1">
      <alignment horizontal="center" vertical="center" shrinkToFit="1"/>
    </xf>
    <xf numFmtId="176" fontId="8" fillId="0" borderId="62" xfId="3" applyNumberFormat="1" applyFont="1" applyFill="1" applyBorder="1" applyAlignment="1">
      <alignment horizontal="center" vertical="center" shrinkToFit="1"/>
    </xf>
    <xf numFmtId="180" fontId="48" fillId="0" borderId="15" xfId="3" applyNumberFormat="1" applyFont="1" applyFill="1" applyBorder="1" applyAlignment="1">
      <alignment horizontal="center" vertical="center" shrinkToFit="1"/>
    </xf>
    <xf numFmtId="180" fontId="48" fillId="0" borderId="62" xfId="3" applyNumberFormat="1" applyFont="1" applyBorder="1" applyAlignment="1">
      <alignment horizontal="center" vertical="center" shrinkToFit="1"/>
    </xf>
    <xf numFmtId="181" fontId="48" fillId="0" borderId="62" xfId="3" applyNumberFormat="1" applyFont="1" applyBorder="1" applyAlignment="1">
      <alignment horizontal="center" vertical="center" shrinkToFit="1"/>
    </xf>
    <xf numFmtId="9" fontId="8" fillId="0" borderId="62" xfId="3" applyNumberFormat="1" applyFont="1" applyFill="1" applyBorder="1" applyAlignment="1">
      <alignment horizontal="center" vertical="center"/>
    </xf>
    <xf numFmtId="182" fontId="48" fillId="0" borderId="62" xfId="3" applyNumberFormat="1" applyFont="1" applyBorder="1" applyAlignment="1">
      <alignment horizontal="center" vertical="center" shrinkToFit="1"/>
    </xf>
    <xf numFmtId="171" fontId="55" fillId="0" borderId="15" xfId="3" applyNumberFormat="1" applyFont="1" applyFill="1" applyBorder="1" applyAlignment="1">
      <alignment horizontal="center" vertical="center" shrinkToFit="1"/>
    </xf>
    <xf numFmtId="171" fontId="55" fillId="0" borderId="62" xfId="3" applyNumberFormat="1" applyFont="1" applyBorder="1" applyAlignment="1">
      <alignment horizontal="center" vertical="center" shrinkToFit="1"/>
    </xf>
    <xf numFmtId="164" fontId="48" fillId="0" borderId="15" xfId="3" applyNumberFormat="1" applyFont="1" applyFill="1" applyBorder="1" applyAlignment="1">
      <alignment horizontal="center" vertical="center" shrinkToFit="1"/>
    </xf>
    <xf numFmtId="164" fontId="48" fillId="0" borderId="62" xfId="3" applyNumberFormat="1" applyFont="1" applyBorder="1" applyAlignment="1">
      <alignment horizontal="center" vertical="center" shrinkToFit="1"/>
    </xf>
    <xf numFmtId="0" fontId="56" fillId="2" borderId="68" xfId="3" applyFont="1" applyFill="1" applyBorder="1" applyAlignment="1">
      <alignment horizontal="center" shrinkToFit="1"/>
    </xf>
    <xf numFmtId="0" fontId="56" fillId="13" borderId="52" xfId="3" applyFont="1" applyFill="1" applyBorder="1" applyAlignment="1">
      <alignment horizontal="center" shrinkToFit="1"/>
    </xf>
    <xf numFmtId="0" fontId="56" fillId="14" borderId="52" xfId="3" applyFont="1" applyFill="1" applyBorder="1" applyAlignment="1">
      <alignment horizontal="center" shrinkToFit="1"/>
    </xf>
    <xf numFmtId="0" fontId="56" fillId="14" borderId="65" xfId="3" applyFont="1" applyFill="1" applyBorder="1" applyAlignment="1">
      <alignment horizontal="center" shrinkToFit="1"/>
    </xf>
    <xf numFmtId="0" fontId="56" fillId="14" borderId="69" xfId="3" applyFont="1" applyFill="1" applyBorder="1" applyAlignment="1">
      <alignment horizontal="center" shrinkToFit="1"/>
    </xf>
    <xf numFmtId="0" fontId="56" fillId="15" borderId="70" xfId="3" applyFont="1" applyFill="1" applyBorder="1" applyAlignment="1">
      <alignment horizontal="center" shrinkToFit="1"/>
    </xf>
    <xf numFmtId="0" fontId="56" fillId="16" borderId="70" xfId="3" applyFont="1" applyFill="1" applyBorder="1" applyAlignment="1">
      <alignment horizontal="center" shrinkToFit="1"/>
    </xf>
    <xf numFmtId="0" fontId="56" fillId="17" borderId="71" xfId="3" applyFont="1" applyFill="1" applyBorder="1" applyAlignment="1">
      <alignment horizontal="center"/>
    </xf>
    <xf numFmtId="0" fontId="56" fillId="18" borderId="52" xfId="3" applyFont="1" applyFill="1" applyBorder="1" applyAlignment="1">
      <alignment horizontal="center" shrinkToFit="1"/>
    </xf>
    <xf numFmtId="0" fontId="29" fillId="4" borderId="52" xfId="3" applyFont="1" applyFill="1" applyBorder="1" applyAlignment="1">
      <alignment horizontal="center" vertical="center" wrapText="1"/>
    </xf>
    <xf numFmtId="0" fontId="29" fillId="19" borderId="52" xfId="3" applyFont="1" applyFill="1" applyBorder="1" applyAlignment="1">
      <alignment horizontal="center" vertical="center" wrapText="1"/>
    </xf>
    <xf numFmtId="0" fontId="56" fillId="21" borderId="52" xfId="3" applyFont="1" applyFill="1" applyBorder="1" applyAlignment="1">
      <alignment horizontal="center" shrinkToFit="1"/>
    </xf>
    <xf numFmtId="0" fontId="31" fillId="21" borderId="52" xfId="3" applyFont="1" applyFill="1" applyBorder="1" applyAlignment="1">
      <alignment horizontal="center" shrinkToFit="1"/>
    </xf>
    <xf numFmtId="178" fontId="57" fillId="0" borderId="50" xfId="3" applyNumberFormat="1" applyFont="1" applyFill="1" applyBorder="1" applyAlignment="1">
      <alignment horizontal="right"/>
    </xf>
    <xf numFmtId="178" fontId="30" fillId="0" borderId="72" xfId="3" applyNumberFormat="1" applyFont="1" applyFill="1" applyBorder="1" applyAlignment="1">
      <alignment vertical="center" wrapText="1"/>
    </xf>
    <xf numFmtId="171" fontId="30" fillId="0" borderId="72" xfId="3" applyNumberFormat="1" applyFont="1" applyFill="1" applyBorder="1" applyAlignment="1">
      <alignment vertical="center" wrapText="1"/>
    </xf>
    <xf numFmtId="0" fontId="58" fillId="0" borderId="0" xfId="3" applyFont="1" applyAlignment="1"/>
    <xf numFmtId="0" fontId="58" fillId="0" borderId="0" xfId="3" applyFont="1"/>
    <xf numFmtId="178" fontId="59" fillId="0" borderId="0" xfId="3" applyNumberFormat="1" applyFont="1" applyFill="1" applyBorder="1" applyAlignment="1">
      <alignment vertical="center" wrapText="1"/>
    </xf>
    <xf numFmtId="178" fontId="60" fillId="0" borderId="52" xfId="3" applyNumberFormat="1" applyFont="1" applyFill="1" applyBorder="1" applyAlignment="1">
      <alignment vertical="center" wrapText="1"/>
    </xf>
    <xf numFmtId="0" fontId="61" fillId="0" borderId="0" xfId="3" applyFont="1" applyAlignment="1"/>
    <xf numFmtId="0" fontId="61" fillId="0" borderId="0" xfId="3" applyFont="1"/>
    <xf numFmtId="178" fontId="62" fillId="0" borderId="0" xfId="3" applyNumberFormat="1" applyFont="1" applyFill="1" applyBorder="1" applyAlignment="1">
      <alignment horizontal="right"/>
    </xf>
    <xf numFmtId="178" fontId="32" fillId="2" borderId="52" xfId="3" applyNumberFormat="1" applyFont="1" applyFill="1" applyBorder="1" applyAlignment="1">
      <alignment vertical="center" wrapText="1"/>
    </xf>
    <xf numFmtId="178" fontId="32" fillId="2" borderId="0" xfId="3" applyNumberFormat="1" applyFont="1" applyFill="1" applyBorder="1" applyAlignment="1">
      <alignment vertical="center" wrapText="1"/>
    </xf>
    <xf numFmtId="164" fontId="39" fillId="12" borderId="0" xfId="3" applyNumberFormat="1" applyFont="1" applyFill="1" applyBorder="1" applyAlignment="1">
      <alignment horizontal="center" vertical="center" wrapText="1"/>
    </xf>
    <xf numFmtId="178" fontId="56" fillId="13" borderId="0" xfId="3" applyNumberFormat="1" applyFont="1" applyFill="1" applyBorder="1" applyAlignment="1">
      <alignment horizontal="center" shrinkToFit="1"/>
    </xf>
    <xf numFmtId="178" fontId="32" fillId="14" borderId="0" xfId="3" applyNumberFormat="1" applyFont="1" applyFill="1" applyBorder="1" applyAlignment="1">
      <alignment vertical="center" wrapText="1"/>
    </xf>
    <xf numFmtId="178" fontId="32" fillId="15" borderId="0" xfId="3" applyNumberFormat="1" applyFont="1" applyFill="1" applyBorder="1" applyAlignment="1">
      <alignment vertical="center" shrinkToFit="1"/>
    </xf>
    <xf numFmtId="184" fontId="32" fillId="16" borderId="0" xfId="3" applyNumberFormat="1" applyFont="1" applyFill="1" applyBorder="1" applyAlignment="1">
      <alignment vertical="center" wrapText="1"/>
    </xf>
    <xf numFmtId="184" fontId="32" fillId="17" borderId="0" xfId="3" applyNumberFormat="1" applyFont="1" applyFill="1" applyBorder="1" applyAlignment="1">
      <alignment vertical="center" wrapText="1"/>
    </xf>
    <xf numFmtId="178" fontId="56" fillId="18" borderId="0" xfId="3" applyNumberFormat="1" applyFont="1" applyFill="1" applyBorder="1" applyAlignment="1">
      <alignment horizontal="center" shrinkToFit="1"/>
    </xf>
    <xf numFmtId="178" fontId="56" fillId="21" borderId="0" xfId="3" applyNumberFormat="1" applyFont="1" applyFill="1" applyBorder="1" applyAlignment="1">
      <alignment horizontal="center" shrinkToFit="1"/>
    </xf>
    <xf numFmtId="0" fontId="0" fillId="0" borderId="0" xfId="0" applyAlignment="1">
      <alignment horizontal="center" textRotation="90"/>
    </xf>
    <xf numFmtId="0" fontId="63" fillId="0" borderId="0" xfId="3" applyFont="1" applyFill="1" applyBorder="1" applyAlignment="1">
      <alignment horizontal="left" vertical="center" wrapText="1"/>
    </xf>
    <xf numFmtId="0" fontId="63" fillId="0" borderId="0" xfId="3" applyFont="1" applyFill="1" applyBorder="1" applyAlignment="1">
      <alignment horizontal="left" vertical="center"/>
    </xf>
    <xf numFmtId="0" fontId="37" fillId="0" borderId="0" xfId="3" applyFont="1" applyFill="1" applyAlignment="1">
      <alignment horizontal="center"/>
    </xf>
    <xf numFmtId="0" fontId="15" fillId="0" borderId="0" xfId="3" applyFont="1" applyFill="1" applyBorder="1" applyAlignment="1"/>
    <xf numFmtId="0" fontId="15" fillId="11" borderId="0" xfId="3" applyFont="1" applyFill="1" applyAlignment="1"/>
    <xf numFmtId="0" fontId="64" fillId="2" borderId="0" xfId="6" applyFont="1" applyFill="1" applyBorder="1" applyAlignment="1"/>
    <xf numFmtId="0" fontId="64" fillId="2" borderId="0" xfId="6" applyFont="1" applyFill="1" applyBorder="1" applyAlignment="1">
      <alignment horizontal="center"/>
    </xf>
    <xf numFmtId="0" fontId="64" fillId="0" borderId="0" xfId="6" applyFont="1" applyFill="1" applyBorder="1" applyAlignment="1"/>
    <xf numFmtId="0" fontId="15" fillId="2" borderId="0" xfId="3" applyFont="1" applyFill="1" applyAlignment="1"/>
    <xf numFmtId="0" fontId="17" fillId="0" borderId="0" xfId="7" applyFont="1" applyAlignment="1"/>
    <xf numFmtId="0" fontId="28" fillId="2" borderId="23" xfId="3" applyFont="1" applyFill="1" applyBorder="1" applyAlignment="1">
      <alignment horizontal="left" vertical="center" indent="1"/>
    </xf>
    <xf numFmtId="0" fontId="28" fillId="2" borderId="0" xfId="3" applyFont="1" applyFill="1" applyBorder="1" applyAlignment="1">
      <alignment horizontal="left" vertical="center" wrapText="1" indent="1"/>
    </xf>
    <xf numFmtId="0" fontId="28" fillId="2" borderId="0" xfId="3" applyFont="1" applyFill="1" applyBorder="1" applyAlignment="1">
      <alignment horizontal="center" vertical="center" wrapText="1"/>
    </xf>
    <xf numFmtId="164" fontId="38" fillId="16" borderId="55" xfId="3" applyNumberFormat="1" applyFont="1" applyFill="1" applyBorder="1" applyAlignment="1">
      <alignment horizontal="center" vertical="top" shrinkToFit="1"/>
    </xf>
    <xf numFmtId="0" fontId="42" fillId="2" borderId="73" xfId="3" applyFont="1" applyFill="1" applyBorder="1" applyAlignment="1">
      <alignment vertical="center" wrapText="1"/>
    </xf>
    <xf numFmtId="0" fontId="25" fillId="2" borderId="0" xfId="3" applyFont="1" applyFill="1" applyBorder="1" applyAlignment="1">
      <alignment horizontal="left" vertical="center" indent="1"/>
    </xf>
    <xf numFmtId="171" fontId="48" fillId="0" borderId="0" xfId="3" applyNumberFormat="1" applyFont="1" applyFill="1" applyBorder="1" applyAlignment="1">
      <alignment horizontal="center" vertical="center" shrinkToFit="1"/>
    </xf>
    <xf numFmtId="0" fontId="65" fillId="0" borderId="0" xfId="3" applyFont="1" applyBorder="1" applyAlignment="1">
      <alignment horizontal="center" vertical="center" wrapText="1"/>
    </xf>
    <xf numFmtId="0" fontId="66" fillId="0" borderId="0" xfId="3" applyFont="1" applyBorder="1" applyAlignment="1">
      <alignment horizontal="center" vertical="center" wrapText="1"/>
    </xf>
    <xf numFmtId="0" fontId="67" fillId="0" borderId="0" xfId="3" applyFont="1" applyAlignment="1">
      <alignment horizontal="center"/>
    </xf>
    <xf numFmtId="0" fontId="15" fillId="0" borderId="0" xfId="3" applyFont="1" applyFill="1" applyBorder="1" applyProtection="1">
      <protection locked="0"/>
    </xf>
    <xf numFmtId="0" fontId="15" fillId="0" borderId="0" xfId="3" applyFont="1" applyFill="1" applyBorder="1" applyAlignment="1" applyProtection="1">
      <protection locked="0"/>
    </xf>
    <xf numFmtId="0" fontId="67" fillId="0" borderId="47" xfId="3" applyFont="1" applyFill="1" applyBorder="1" applyAlignment="1" applyProtection="1">
      <alignment horizontal="center"/>
      <protection locked="0"/>
    </xf>
    <xf numFmtId="0" fontId="67" fillId="0" borderId="0" xfId="3" applyFont="1" applyFill="1" applyBorder="1" applyAlignment="1" applyProtection="1">
      <alignment horizontal="center"/>
      <protection locked="0"/>
    </xf>
    <xf numFmtId="0" fontId="15" fillId="0" borderId="0" xfId="3" applyFont="1" applyAlignment="1">
      <alignment wrapText="1"/>
    </xf>
    <xf numFmtId="0" fontId="15" fillId="0" borderId="0" xfId="3" applyFont="1" applyAlignment="1">
      <alignment horizontal="center" wrapText="1"/>
    </xf>
    <xf numFmtId="0" fontId="15" fillId="0" borderId="0" xfId="3" applyFont="1" applyAlignment="1">
      <alignment horizontal="center" vertical="center"/>
    </xf>
    <xf numFmtId="0" fontId="15" fillId="0" borderId="0" xfId="3" applyFont="1" applyAlignment="1">
      <alignment horizontal="center" vertical="center" wrapText="1"/>
    </xf>
    <xf numFmtId="0" fontId="68" fillId="0" borderId="74" xfId="3" applyFont="1" applyFill="1" applyBorder="1" applyAlignment="1">
      <alignment horizontal="right" vertical="center" wrapText="1"/>
    </xf>
    <xf numFmtId="0" fontId="69" fillId="0" borderId="75" xfId="3" applyFont="1" applyFill="1" applyBorder="1" applyAlignment="1" applyProtection="1">
      <alignment horizontal="center" vertical="center" wrapText="1"/>
      <protection locked="0"/>
    </xf>
    <xf numFmtId="0" fontId="69" fillId="0" borderId="76" xfId="3" applyFont="1" applyFill="1" applyBorder="1" applyAlignment="1">
      <alignment horizontal="right" vertical="center"/>
    </xf>
    <xf numFmtId="0" fontId="69" fillId="0" borderId="77" xfId="3" applyFont="1" applyFill="1" applyBorder="1" applyAlignment="1" applyProtection="1">
      <alignment horizontal="center" vertical="center" wrapText="1"/>
      <protection locked="0"/>
    </xf>
    <xf numFmtId="0" fontId="70" fillId="0" borderId="0" xfId="3" applyFont="1" applyFill="1" applyAlignment="1">
      <alignment horizontal="center"/>
    </xf>
    <xf numFmtId="185" fontId="37" fillId="0" borderId="0" xfId="3" applyNumberFormat="1" applyFont="1" applyAlignment="1">
      <alignment horizontal="center"/>
    </xf>
    <xf numFmtId="0" fontId="69" fillId="0" borderId="78" xfId="3" applyFont="1" applyFill="1" applyBorder="1" applyAlignment="1">
      <alignment horizontal="right" vertical="center"/>
    </xf>
    <xf numFmtId="0" fontId="69" fillId="0" borderId="79" xfId="3" applyFont="1" applyFill="1" applyBorder="1" applyAlignment="1" applyProtection="1">
      <alignment horizontal="center" vertical="center" wrapText="1"/>
      <protection locked="0"/>
    </xf>
    <xf numFmtId="0" fontId="12" fillId="0" borderId="0" xfId="3" applyFont="1" applyFill="1" applyBorder="1" applyAlignment="1">
      <alignment horizontal="center" vertical="center"/>
    </xf>
    <xf numFmtId="0" fontId="15" fillId="0" borderId="0" xfId="3" applyFont="1" applyBorder="1" applyAlignment="1"/>
    <xf numFmtId="0" fontId="15" fillId="0" borderId="0" xfId="3" applyFont="1" applyAlignment="1">
      <alignment horizontal="center"/>
    </xf>
    <xf numFmtId="0" fontId="9" fillId="4" borderId="9" xfId="3" applyFont="1" applyFill="1" applyBorder="1" applyAlignment="1" applyProtection="1">
      <alignment horizontal="center" vertical="center" wrapText="1"/>
      <protection locked="0"/>
    </xf>
  </cellXfs>
  <cellStyles count="8">
    <cellStyle name="Excel Built-in Normal" xfId="4" xr:uid="{67672982-B995-4DED-992B-950F083F936B}"/>
    <cellStyle name="Monétaire" xfId="1" builtinId="4"/>
    <cellStyle name="Normal" xfId="0" builtinId="0"/>
    <cellStyle name="Normal 2 2" xfId="5" xr:uid="{6A3DF2CA-B2AF-40B7-9E9F-08EE21C7F9C9}"/>
    <cellStyle name="Normal 3 2" xfId="7" xr:uid="{EEC99738-3AC3-478D-AC7A-A822C60A9883}"/>
    <cellStyle name="Normal 5 3" xfId="6" xr:uid="{2B84D4A3-AEAF-4009-B6E8-A9D973097206}"/>
    <cellStyle name="Normal 6 2" xfId="3" xr:uid="{1CF4B85C-775D-4946-A41D-EE16991EA0A8}"/>
    <cellStyle name="Pourcentage" xfId="2" builtinId="5"/>
  </cellStyles>
  <dxfs count="230">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0CF443"/>
        </patternFill>
      </fill>
    </dxf>
    <dxf>
      <fill>
        <patternFill>
          <bgColor rgb="FFC1FEBE"/>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66FF66"/>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66FF66"/>
        </patternFill>
      </fill>
    </dxf>
    <dxf>
      <fill>
        <patternFill>
          <bgColor rgb="FF99FF99"/>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C1FEBE"/>
        </patternFill>
      </fill>
    </dxf>
    <dxf>
      <fill>
        <patternFill>
          <bgColor rgb="FF66FF66"/>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66FF66"/>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ill>
        <patternFill>
          <bgColor rgb="FF0CF443"/>
        </patternFill>
      </fill>
    </dxf>
    <dxf>
      <fill>
        <patternFill>
          <bgColor rgb="FFC1FEBE"/>
        </patternFill>
      </fill>
    </dxf>
    <dxf>
      <font>
        <color theme="0"/>
      </font>
    </dxf>
    <dxf>
      <fill>
        <patternFill>
          <bgColor rgb="FF66FF66"/>
        </patternFill>
      </fill>
    </dxf>
    <dxf>
      <fill>
        <patternFill>
          <bgColor rgb="FFC1FEBE"/>
        </patternFill>
      </fill>
    </dxf>
    <dxf>
      <fill>
        <patternFill>
          <bgColor rgb="FF0CF443"/>
        </patternFill>
      </fill>
    </dxf>
    <dxf>
      <fill>
        <patternFill>
          <bgColor rgb="FFC1FEBE"/>
        </patternFill>
      </fill>
    </dxf>
    <dxf>
      <fill>
        <patternFill>
          <bgColor rgb="FF66FF66"/>
        </patternFill>
      </fill>
    </dxf>
    <dxf>
      <fill>
        <patternFill>
          <bgColor rgb="FFC1FEB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3" Type="http://schemas.openxmlformats.org/officeDocument/2006/relationships/image" Target="../media/image3.png"/><Relationship Id="rId2" Type="http://schemas.openxmlformats.org/officeDocument/2006/relationships/image" Target="../media/image2.png"/><Relationship Id="rId1" Type="http://schemas.openxmlformats.org/officeDocument/2006/relationships/image" Target="../media/image1.png"/><Relationship Id="rId5" Type="http://schemas.openxmlformats.org/officeDocument/2006/relationships/image" Target="../media/image5.svg"/><Relationship Id="rId4" Type="http://schemas.openxmlformats.org/officeDocument/2006/relationships/image" Target="../media/image4.png"/></Relationships>
</file>

<file path=xl/drawings/drawing1.xml><?xml version="1.0" encoding="utf-8"?>
<xdr:wsDr xmlns:xdr="http://schemas.openxmlformats.org/drawingml/2006/spreadsheetDrawing" xmlns:a="http://schemas.openxmlformats.org/drawingml/2006/main">
  <xdr:twoCellAnchor>
    <xdr:from>
      <xdr:col>0</xdr:col>
      <xdr:colOff>0</xdr:colOff>
      <xdr:row>0</xdr:row>
      <xdr:rowOff>0</xdr:rowOff>
    </xdr:from>
    <xdr:to>
      <xdr:col>21</xdr:col>
      <xdr:colOff>780143</xdr:colOff>
      <xdr:row>8</xdr:row>
      <xdr:rowOff>381000</xdr:rowOff>
    </xdr:to>
    <xdr:sp macro="" textlink="">
      <xdr:nvSpPr>
        <xdr:cNvPr id="3" name="Rectangle 2">
          <a:extLst>
            <a:ext uri="{FF2B5EF4-FFF2-40B4-BE49-F238E27FC236}">
              <a16:creationId xmlns:a16="http://schemas.microsoft.com/office/drawing/2014/main" id="{2F4DEAAE-DE6E-4AED-A107-507167655ECA}"/>
            </a:ext>
          </a:extLst>
        </xdr:cNvPr>
        <xdr:cNvSpPr/>
      </xdr:nvSpPr>
      <xdr:spPr>
        <a:xfrm>
          <a:off x="0" y="0"/>
          <a:ext cx="25157793" cy="977900"/>
        </a:xfrm>
        <a:prstGeom prst="rect">
          <a:avLst/>
        </a:prstGeom>
        <a:solidFill>
          <a:schemeClr val="accent5">
            <a:lumMod val="60000"/>
            <a:lumOff val="40000"/>
          </a:schemeClr>
        </a:solidFill>
        <a:scene3d>
          <a:camera prst="orthographicFront"/>
          <a:lightRig rig="threePt" dir="t"/>
        </a:scene3d>
        <a:sp3d>
          <a:bevel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fPrintsWithSheet="0"/>
  </xdr:twoCellAnchor>
  <xdr:twoCellAnchor editAs="oneCell">
    <xdr:from>
      <xdr:col>10</xdr:col>
      <xdr:colOff>0</xdr:colOff>
      <xdr:row>10</xdr:row>
      <xdr:rowOff>228600</xdr:rowOff>
    </xdr:from>
    <xdr:to>
      <xdr:col>10</xdr:col>
      <xdr:colOff>0</xdr:colOff>
      <xdr:row>11</xdr:row>
      <xdr:rowOff>141081</xdr:rowOff>
    </xdr:to>
    <xdr:pic>
      <xdr:nvPicPr>
        <xdr:cNvPr id="7" name="Image 1">
          <a:extLst>
            <a:ext uri="{FF2B5EF4-FFF2-40B4-BE49-F238E27FC236}">
              <a16:creationId xmlns:a16="http://schemas.microsoft.com/office/drawing/2014/main" id="{3B225540-B20C-4577-A3EA-EF6ABA00B0B0}"/>
            </a:ext>
          </a:extLst>
        </xdr:cNvPr>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7700" y="1346200"/>
          <a:ext cx="0" cy="141081"/>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pic>
    <xdr:clientData/>
  </xdr:twoCellAnchor>
  <xdr:twoCellAnchor editAs="oneCell">
    <xdr:from>
      <xdr:col>72</xdr:col>
      <xdr:colOff>0</xdr:colOff>
      <xdr:row>11</xdr:row>
      <xdr:rowOff>0</xdr:rowOff>
    </xdr:from>
    <xdr:to>
      <xdr:col>72</xdr:col>
      <xdr:colOff>304800</xdr:colOff>
      <xdr:row>12</xdr:row>
      <xdr:rowOff>120650</xdr:rowOff>
    </xdr:to>
    <xdr:sp macro="" textlink="">
      <xdr:nvSpPr>
        <xdr:cNvPr id="30" name="Forme automatique 4" descr="https://partenaire.apicil.com/image/layout_set_logo?img_id=4977008&amp;t=1513061649570">
          <a:extLst>
            <a:ext uri="{FF2B5EF4-FFF2-40B4-BE49-F238E27FC236}">
              <a16:creationId xmlns:a16="http://schemas.microsoft.com/office/drawing/2014/main" id="{55746A8E-481D-4665-8416-C6EA51FF75A9}"/>
            </a:ext>
          </a:extLst>
        </xdr:cNvPr>
        <xdr:cNvSpPr>
          <a:spLocks noChangeAspect="1" noChangeArrowheads="1"/>
        </xdr:cNvSpPr>
      </xdr:nvSpPr>
      <xdr:spPr bwMode="auto">
        <a:xfrm>
          <a:off x="81337150" y="145415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oneCellAnchor>
    <xdr:from>
      <xdr:col>29</xdr:col>
      <xdr:colOff>317500</xdr:colOff>
      <xdr:row>112</xdr:row>
      <xdr:rowOff>228600</xdr:rowOff>
    </xdr:from>
    <xdr:ext cx="0" cy="137906"/>
    <xdr:pic>
      <xdr:nvPicPr>
        <xdr:cNvPr id="45" name="Image 1">
          <a:extLst>
            <a:ext uri="{FF2B5EF4-FFF2-40B4-BE49-F238E27FC236}">
              <a16:creationId xmlns:a16="http://schemas.microsoft.com/office/drawing/2014/main" id="{1431B796-9372-4D2E-BB7D-E98B87ACE3B2}"/>
            </a:ext>
          </a:extLst>
        </xdr:cNvPr>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635950" y="22904450"/>
          <a:ext cx="0" cy="137906"/>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pic>
    <xdr:clientData/>
  </xdr:oneCellAnchor>
  <xdr:twoCellAnchor>
    <xdr:from>
      <xdr:col>25</xdr:col>
      <xdr:colOff>281609</xdr:colOff>
      <xdr:row>112</xdr:row>
      <xdr:rowOff>231914</xdr:rowOff>
    </xdr:from>
    <xdr:to>
      <xdr:col>25</xdr:col>
      <xdr:colOff>878509</xdr:colOff>
      <xdr:row>113</xdr:row>
      <xdr:rowOff>295414</xdr:rowOff>
    </xdr:to>
    <xdr:pic>
      <xdr:nvPicPr>
        <xdr:cNvPr id="52" name="Image 1">
          <a:extLst>
            <a:ext uri="{FF2B5EF4-FFF2-40B4-BE49-F238E27FC236}">
              <a16:creationId xmlns:a16="http://schemas.microsoft.com/office/drawing/2014/main" id="{90B04C4E-F1A0-4B9A-B983-561EF80FD8D1}"/>
            </a:ext>
          </a:extLst>
        </xdr:cNvPr>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29659" y="22904450"/>
          <a:ext cx="596900" cy="295414"/>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pic>
    <xdr:clientData/>
  </xdr:twoCellAnchor>
  <xdr:twoCellAnchor>
    <xdr:from>
      <xdr:col>23</xdr:col>
      <xdr:colOff>242957</xdr:colOff>
      <xdr:row>112</xdr:row>
      <xdr:rowOff>237436</xdr:rowOff>
    </xdr:from>
    <xdr:to>
      <xdr:col>23</xdr:col>
      <xdr:colOff>839857</xdr:colOff>
      <xdr:row>113</xdr:row>
      <xdr:rowOff>300936</xdr:rowOff>
    </xdr:to>
    <xdr:pic>
      <xdr:nvPicPr>
        <xdr:cNvPr id="53" name="Image 1">
          <a:extLst>
            <a:ext uri="{FF2B5EF4-FFF2-40B4-BE49-F238E27FC236}">
              <a16:creationId xmlns:a16="http://schemas.microsoft.com/office/drawing/2014/main" id="{28BE9FD7-8293-49F3-A410-2DF400E0B171}"/>
            </a:ext>
          </a:extLst>
        </xdr:cNvPr>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855807" y="22904450"/>
          <a:ext cx="596900" cy="300936"/>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pic>
    <xdr:clientData/>
  </xdr:twoCellAnchor>
  <xdr:twoCellAnchor>
    <xdr:from>
      <xdr:col>21</xdr:col>
      <xdr:colOff>235227</xdr:colOff>
      <xdr:row>112</xdr:row>
      <xdr:rowOff>240749</xdr:rowOff>
    </xdr:from>
    <xdr:to>
      <xdr:col>21</xdr:col>
      <xdr:colOff>832127</xdr:colOff>
      <xdr:row>113</xdr:row>
      <xdr:rowOff>304249</xdr:rowOff>
    </xdr:to>
    <xdr:pic>
      <xdr:nvPicPr>
        <xdr:cNvPr id="54" name="Image 1">
          <a:extLst>
            <a:ext uri="{FF2B5EF4-FFF2-40B4-BE49-F238E27FC236}">
              <a16:creationId xmlns:a16="http://schemas.microsoft.com/office/drawing/2014/main" id="{0D614320-2615-4BBF-884D-179BCBB0EA9E}"/>
            </a:ext>
          </a:extLst>
        </xdr:cNvPr>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612877" y="22904450"/>
          <a:ext cx="596900" cy="304249"/>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pic>
    <xdr:clientData/>
  </xdr:twoCellAnchor>
  <xdr:twoCellAnchor>
    <xdr:from>
      <xdr:col>17</xdr:col>
      <xdr:colOff>113863</xdr:colOff>
      <xdr:row>113</xdr:row>
      <xdr:rowOff>30655</xdr:rowOff>
    </xdr:from>
    <xdr:to>
      <xdr:col>17</xdr:col>
      <xdr:colOff>1011489</xdr:colOff>
      <xdr:row>113</xdr:row>
      <xdr:rowOff>284656</xdr:rowOff>
    </xdr:to>
    <xdr:pic>
      <xdr:nvPicPr>
        <xdr:cNvPr id="55" name="Image 54" descr="https://www.pavillon-prevoyance.fr/sites/pp/themes/pp/images/pp/logo_pavillon_prevoyance.png">
          <a:extLst>
            <a:ext uri="{FF2B5EF4-FFF2-40B4-BE49-F238E27FC236}">
              <a16:creationId xmlns:a16="http://schemas.microsoft.com/office/drawing/2014/main" id="{640D5F6D-2767-4ADA-8976-438F22C2AFD7}"/>
            </a:ext>
          </a:extLst>
        </xdr:cNvPr>
        <xdr:cNvPicPr>
          <a:picLocks noChangeAspect="1" noChangeArrowheads="1"/>
        </xdr:cNvPicPr>
      </xdr:nvPicPr>
      <xdr:blipFill rotWithShape="1">
        <a:blip xmlns:r="http://schemas.openxmlformats.org/officeDocument/2006/relationships" r:embed="rId2" cstate="print">
          <a:extLst>
            <a:ext uri="{28A0092B-C50C-407E-A947-70E740481C1C}">
              <a14:useLocalDpi xmlns:a14="http://schemas.microsoft.com/office/drawing/2010/main" val="0"/>
            </a:ext>
          </a:extLst>
        </a:blip>
        <a:srcRect b="20193"/>
        <a:stretch/>
      </xdr:blipFill>
      <xdr:spPr bwMode="auto">
        <a:xfrm>
          <a:off x="20021113" y="22935105"/>
          <a:ext cx="897626" cy="254001"/>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18</xdr:col>
      <xdr:colOff>91966</xdr:colOff>
      <xdr:row>113</xdr:row>
      <xdr:rowOff>30655</xdr:rowOff>
    </xdr:from>
    <xdr:to>
      <xdr:col>18</xdr:col>
      <xdr:colOff>989592</xdr:colOff>
      <xdr:row>113</xdr:row>
      <xdr:rowOff>284656</xdr:rowOff>
    </xdr:to>
    <xdr:pic>
      <xdr:nvPicPr>
        <xdr:cNvPr id="56" name="Image 55" descr="https://www.pavillon-prevoyance.fr/sites/pp/themes/pp/images/pp/logo_pavillon_prevoyance.png">
          <a:extLst>
            <a:ext uri="{FF2B5EF4-FFF2-40B4-BE49-F238E27FC236}">
              <a16:creationId xmlns:a16="http://schemas.microsoft.com/office/drawing/2014/main" id="{42D093A2-0AA4-4504-AA12-B8BEC49CFEFF}"/>
            </a:ext>
          </a:extLst>
        </xdr:cNvPr>
        <xdr:cNvPicPr>
          <a:picLocks noChangeAspect="1" noChangeArrowheads="1"/>
        </xdr:cNvPicPr>
      </xdr:nvPicPr>
      <xdr:blipFill rotWithShape="1">
        <a:blip xmlns:r="http://schemas.openxmlformats.org/officeDocument/2006/relationships" r:embed="rId2" cstate="print">
          <a:extLst>
            <a:ext uri="{28A0092B-C50C-407E-A947-70E740481C1C}">
              <a14:useLocalDpi xmlns:a14="http://schemas.microsoft.com/office/drawing/2010/main" val="0"/>
            </a:ext>
          </a:extLst>
        </a:blip>
        <a:srcRect b="20193"/>
        <a:stretch/>
      </xdr:blipFill>
      <xdr:spPr bwMode="auto">
        <a:xfrm>
          <a:off x="21116816" y="22935105"/>
          <a:ext cx="897626" cy="254001"/>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19</xdr:col>
      <xdr:colOff>118241</xdr:colOff>
      <xdr:row>113</xdr:row>
      <xdr:rowOff>13138</xdr:rowOff>
    </xdr:from>
    <xdr:to>
      <xdr:col>19</xdr:col>
      <xdr:colOff>1015867</xdr:colOff>
      <xdr:row>113</xdr:row>
      <xdr:rowOff>267139</xdr:rowOff>
    </xdr:to>
    <xdr:pic>
      <xdr:nvPicPr>
        <xdr:cNvPr id="57" name="Image 56" descr="https://www.pavillon-prevoyance.fr/sites/pp/themes/pp/images/pp/logo_pavillon_prevoyance.png">
          <a:extLst>
            <a:ext uri="{FF2B5EF4-FFF2-40B4-BE49-F238E27FC236}">
              <a16:creationId xmlns:a16="http://schemas.microsoft.com/office/drawing/2014/main" id="{17CC65E8-6DBC-4545-AD21-B06DB5A56CCC}"/>
            </a:ext>
          </a:extLst>
        </xdr:cNvPr>
        <xdr:cNvPicPr>
          <a:picLocks noChangeAspect="1" noChangeArrowheads="1"/>
        </xdr:cNvPicPr>
      </xdr:nvPicPr>
      <xdr:blipFill rotWithShape="1">
        <a:blip xmlns:r="http://schemas.openxmlformats.org/officeDocument/2006/relationships" r:embed="rId2" cstate="print">
          <a:extLst>
            <a:ext uri="{28A0092B-C50C-407E-A947-70E740481C1C}">
              <a14:useLocalDpi xmlns:a14="http://schemas.microsoft.com/office/drawing/2010/main" val="0"/>
            </a:ext>
          </a:extLst>
        </a:blip>
        <a:srcRect b="20193"/>
        <a:stretch/>
      </xdr:blipFill>
      <xdr:spPr bwMode="auto">
        <a:xfrm>
          <a:off x="22260691" y="22917588"/>
          <a:ext cx="897626" cy="254001"/>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20</xdr:col>
      <xdr:colOff>83207</xdr:colOff>
      <xdr:row>113</xdr:row>
      <xdr:rowOff>21896</xdr:rowOff>
    </xdr:from>
    <xdr:to>
      <xdr:col>20</xdr:col>
      <xdr:colOff>980833</xdr:colOff>
      <xdr:row>113</xdr:row>
      <xdr:rowOff>275897</xdr:rowOff>
    </xdr:to>
    <xdr:pic>
      <xdr:nvPicPr>
        <xdr:cNvPr id="58" name="Image 57" descr="https://www.pavillon-prevoyance.fr/sites/pp/themes/pp/images/pp/logo_pavillon_prevoyance.png">
          <a:extLst>
            <a:ext uri="{FF2B5EF4-FFF2-40B4-BE49-F238E27FC236}">
              <a16:creationId xmlns:a16="http://schemas.microsoft.com/office/drawing/2014/main" id="{2C377DD5-6D9C-46E1-8808-3914FC71769F}"/>
            </a:ext>
          </a:extLst>
        </xdr:cNvPr>
        <xdr:cNvPicPr>
          <a:picLocks noChangeAspect="1" noChangeArrowheads="1"/>
        </xdr:cNvPicPr>
      </xdr:nvPicPr>
      <xdr:blipFill rotWithShape="1">
        <a:blip xmlns:r="http://schemas.openxmlformats.org/officeDocument/2006/relationships" r:embed="rId2" cstate="print">
          <a:extLst>
            <a:ext uri="{28A0092B-C50C-407E-A947-70E740481C1C}">
              <a14:useLocalDpi xmlns:a14="http://schemas.microsoft.com/office/drawing/2010/main" val="0"/>
            </a:ext>
          </a:extLst>
        </a:blip>
        <a:srcRect b="20193"/>
        <a:stretch/>
      </xdr:blipFill>
      <xdr:spPr bwMode="auto">
        <a:xfrm>
          <a:off x="23343257" y="22926346"/>
          <a:ext cx="897626" cy="254001"/>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16</xdr:col>
      <xdr:colOff>152400</xdr:colOff>
      <xdr:row>113</xdr:row>
      <xdr:rowOff>32657</xdr:rowOff>
    </xdr:from>
    <xdr:to>
      <xdr:col>16</xdr:col>
      <xdr:colOff>936440</xdr:colOff>
      <xdr:row>113</xdr:row>
      <xdr:rowOff>255360</xdr:rowOff>
    </xdr:to>
    <xdr:pic>
      <xdr:nvPicPr>
        <xdr:cNvPr id="65" name="Image 64" descr="Logo REPAM">
          <a:extLst>
            <a:ext uri="{FF2B5EF4-FFF2-40B4-BE49-F238E27FC236}">
              <a16:creationId xmlns:a16="http://schemas.microsoft.com/office/drawing/2014/main" id="{2E89E27C-AE31-4DDD-A1A0-C3E8A52BAFC1}"/>
            </a:ext>
          </a:extLst>
        </xdr:cNvPr>
        <xdr:cNvPicPr>
          <a:picLocks noChangeAspect="1" noChangeArrowheads="1"/>
        </xdr:cNvPicPr>
      </xdr:nvPicPr>
      <xdr:blipFill>
        <a:blip xmlns:r="http://schemas.openxmlformats.org/officeDocument/2006/relationships" r:embed="rId3" cstate="print">
          <a:extLst>
            <a:ext uri="{28A0092B-C50C-407E-A947-70E740481C1C}">
              <a14:useLocalDpi xmlns:a14="http://schemas.microsoft.com/office/drawing/2010/main" val="0"/>
            </a:ext>
          </a:extLst>
        </a:blip>
        <a:srcRect/>
        <a:stretch>
          <a:fillRect/>
        </a:stretch>
      </xdr:blipFill>
      <xdr:spPr bwMode="auto">
        <a:xfrm>
          <a:off x="18942050" y="22937107"/>
          <a:ext cx="784040" cy="22270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72</xdr:col>
      <xdr:colOff>0</xdr:colOff>
      <xdr:row>113</xdr:row>
      <xdr:rowOff>0</xdr:rowOff>
    </xdr:from>
    <xdr:ext cx="304800" cy="304800"/>
    <xdr:sp macro="" textlink="">
      <xdr:nvSpPr>
        <xdr:cNvPr id="66" name="Forme automatique 4" descr="https://partenaire.apicil.com/image/layout_set_logo?img_id=4977008&amp;t=1513061649570">
          <a:extLst>
            <a:ext uri="{FF2B5EF4-FFF2-40B4-BE49-F238E27FC236}">
              <a16:creationId xmlns:a16="http://schemas.microsoft.com/office/drawing/2014/main" id="{24DF356A-B521-40E1-8222-E9D187DB0226}"/>
            </a:ext>
          </a:extLst>
        </xdr:cNvPr>
        <xdr:cNvSpPr>
          <a:spLocks noChangeAspect="1" noChangeArrowheads="1"/>
        </xdr:cNvSpPr>
      </xdr:nvSpPr>
      <xdr:spPr bwMode="auto">
        <a:xfrm>
          <a:off x="81337150" y="2290445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4</xdr:col>
      <xdr:colOff>2745</xdr:colOff>
      <xdr:row>8</xdr:row>
      <xdr:rowOff>662214</xdr:rowOff>
    </xdr:from>
    <xdr:ext cx="1133233" cy="417286"/>
    <xdr:sp macro="[1]!Effacer_données_contrat_client" textlink="">
      <xdr:nvSpPr>
        <xdr:cNvPr id="128" name="Rectangle : coins arrondis 127" descr="Effacer données contrat client" title="Effacer données contrat client">
          <a:extLst>
            <a:ext uri="{FF2B5EF4-FFF2-40B4-BE49-F238E27FC236}">
              <a16:creationId xmlns:a16="http://schemas.microsoft.com/office/drawing/2014/main" id="{AC2BB04E-E2E6-407D-9712-9C93090E967E}"/>
            </a:ext>
          </a:extLst>
        </xdr:cNvPr>
        <xdr:cNvSpPr/>
      </xdr:nvSpPr>
      <xdr:spPr>
        <a:xfrm>
          <a:off x="6365445" y="979714"/>
          <a:ext cx="1133233" cy="417286"/>
        </a:xfrm>
        <a:prstGeom prst="roundRect">
          <a:avLst/>
        </a:prstGeom>
        <a:solidFill>
          <a:srgbClr val="FFFF00"/>
        </a:solidFill>
        <a:scene3d>
          <a:camera prst="orthographicFront"/>
          <a:lightRig rig="threePt" dir="t"/>
        </a:scene3d>
        <a:sp3d>
          <a:bevelT prst="relaxedInset"/>
        </a:sp3d>
      </xdr:spPr>
      <xdr:style>
        <a:lnRef idx="2">
          <a:schemeClr val="accent1">
            <a:shade val="50000"/>
          </a:schemeClr>
        </a:lnRef>
        <a:fillRef idx="1">
          <a:schemeClr val="accent1"/>
        </a:fillRef>
        <a:effectRef idx="0">
          <a:schemeClr val="accent1"/>
        </a:effectRef>
        <a:fontRef idx="minor">
          <a:schemeClr val="lt1"/>
        </a:fontRef>
      </xdr:style>
      <xdr:txBody>
        <a:bodyPr vertOverflow="overflow" horzOverflow="overflow" tIns="91440" bIns="91440" rtlCol="0" anchor="ctr">
          <a:noAutofit/>
        </a:bodyPr>
        <a:lstStyle/>
        <a:p>
          <a:pPr algn="ctr"/>
          <a:r>
            <a:rPr lang="fr-FR" sz="700" b="1" cap="none" spc="0">
              <a:ln w="0"/>
              <a:solidFill>
                <a:schemeClr val="tx1"/>
              </a:solidFill>
              <a:effectLst>
                <a:outerShdw blurRad="38100" dist="19050" dir="2700000" algn="tl" rotWithShape="0">
                  <a:schemeClr val="dk1">
                    <a:alpha val="40000"/>
                  </a:schemeClr>
                </a:outerShdw>
              </a:effectLst>
            </a:rPr>
            <a:t>Effacer données contrat client</a:t>
          </a:r>
        </a:p>
      </xdr:txBody>
    </xdr:sp>
    <xdr:clientData fPrintsWithSheet="0"/>
  </xdr:oneCellAnchor>
  <xdr:twoCellAnchor>
    <xdr:from>
      <xdr:col>6</xdr:col>
      <xdr:colOff>141204</xdr:colOff>
      <xdr:row>6</xdr:row>
      <xdr:rowOff>160351</xdr:rowOff>
    </xdr:from>
    <xdr:to>
      <xdr:col>15</xdr:col>
      <xdr:colOff>435429</xdr:colOff>
      <xdr:row>8</xdr:row>
      <xdr:rowOff>182581</xdr:rowOff>
    </xdr:to>
    <xdr:grpSp>
      <xdr:nvGrpSpPr>
        <xdr:cNvPr id="129" name="Groupe 128">
          <a:extLst>
            <a:ext uri="{FF2B5EF4-FFF2-40B4-BE49-F238E27FC236}">
              <a16:creationId xmlns:a16="http://schemas.microsoft.com/office/drawing/2014/main" id="{3246DF8C-7436-4C57-BCB4-1C5F8808731B}"/>
            </a:ext>
          </a:extLst>
        </xdr:cNvPr>
        <xdr:cNvGrpSpPr/>
      </xdr:nvGrpSpPr>
      <xdr:grpSpPr>
        <a:xfrm>
          <a:off x="7748504" y="160351"/>
          <a:ext cx="10663775" cy="644530"/>
          <a:chOff x="10522853" y="-1425718"/>
          <a:chExt cx="10345360" cy="1181906"/>
        </a:xfrm>
      </xdr:grpSpPr>
      <xdr:sp macro="[1]!Trier_hospi" textlink="">
        <xdr:nvSpPr>
          <xdr:cNvPr id="130" name="Rectangle : coins arrondis 129">
            <a:extLst>
              <a:ext uri="{FF2B5EF4-FFF2-40B4-BE49-F238E27FC236}">
                <a16:creationId xmlns:a16="http://schemas.microsoft.com/office/drawing/2014/main" id="{A92A78E8-B1B7-44B8-A6D2-8E138F0FF55C}"/>
              </a:ext>
            </a:extLst>
          </xdr:cNvPr>
          <xdr:cNvSpPr/>
        </xdr:nvSpPr>
        <xdr:spPr>
          <a:xfrm>
            <a:off x="17417130" y="-1425718"/>
            <a:ext cx="3451083" cy="538451"/>
          </a:xfrm>
          <a:prstGeom prst="roundRect">
            <a:avLst/>
          </a:prstGeom>
          <a:solidFill>
            <a:schemeClr val="accent6">
              <a:lumMod val="20000"/>
              <a:lumOff val="80000"/>
            </a:schemeClr>
          </a:solidFill>
          <a:scene3d>
            <a:camera prst="orthographicFront"/>
            <a:lightRig rig="threePt" dir="t"/>
          </a:scene3d>
          <a:sp3d>
            <a:bevelT prst="relaxedInse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0" rtlCol="0" anchor="ctr"/>
          <a:lstStyle/>
          <a:p>
            <a:pPr algn="ctr"/>
            <a:r>
              <a:rPr lang="fr-FR" sz="2000">
                <a:solidFill>
                  <a:sysClr val="windowText" lastClr="000000"/>
                </a:solidFill>
                <a:effectLst>
                  <a:outerShdw blurRad="50800" dist="38100" dir="2700000" algn="tl" rotWithShape="0">
                    <a:prstClr val="black">
                      <a:alpha val="40000"/>
                    </a:prstClr>
                  </a:outerShdw>
                </a:effectLst>
              </a:rPr>
              <a:t>Honoraires</a:t>
            </a:r>
            <a:r>
              <a:rPr lang="fr-FR" sz="2000" baseline="0">
                <a:solidFill>
                  <a:sysClr val="windowText" lastClr="000000"/>
                </a:solidFill>
                <a:effectLst>
                  <a:outerShdw blurRad="50800" dist="38100" dir="2700000" algn="tl" rotWithShape="0">
                    <a:prstClr val="black">
                      <a:alpha val="40000"/>
                    </a:prstClr>
                  </a:outerShdw>
                </a:effectLst>
              </a:rPr>
              <a:t> Hospitalisation</a:t>
            </a:r>
            <a:endParaRPr lang="fr-FR" sz="2000">
              <a:solidFill>
                <a:sysClr val="windowText" lastClr="000000"/>
              </a:solidFill>
              <a:effectLst>
                <a:outerShdw blurRad="50800" dist="38100" dir="2700000" algn="tl" rotWithShape="0">
                  <a:prstClr val="black">
                    <a:alpha val="40000"/>
                  </a:prstClr>
                </a:outerShdw>
              </a:effectLst>
            </a:endParaRPr>
          </a:p>
        </xdr:txBody>
      </xdr:sp>
      <xdr:sp macro="[1]!Trier_Monture_verres_complexes" textlink="">
        <xdr:nvSpPr>
          <xdr:cNvPr id="131" name="Rectangle : coins arrondis 130">
            <a:extLst>
              <a:ext uri="{FF2B5EF4-FFF2-40B4-BE49-F238E27FC236}">
                <a16:creationId xmlns:a16="http://schemas.microsoft.com/office/drawing/2014/main" id="{449B7F27-F899-4C05-BA3B-30EE7310B5D4}"/>
              </a:ext>
            </a:extLst>
          </xdr:cNvPr>
          <xdr:cNvSpPr/>
        </xdr:nvSpPr>
        <xdr:spPr>
          <a:xfrm>
            <a:off x="10522853" y="-800402"/>
            <a:ext cx="3329214" cy="556590"/>
          </a:xfrm>
          <a:prstGeom prst="roundRect">
            <a:avLst/>
          </a:prstGeom>
          <a:solidFill>
            <a:srgbClr val="CCFFFF"/>
          </a:solidFill>
          <a:scene3d>
            <a:camera prst="orthographicFront"/>
            <a:lightRig rig="threePt" dir="t"/>
          </a:scene3d>
          <a:sp3d>
            <a:bevelT prst="relaxedInse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0" rtlCol="0" anchor="ctr"/>
          <a:lstStyle/>
          <a:p>
            <a:pPr algn="ctr"/>
            <a:r>
              <a:rPr lang="fr-FR" sz="2000">
                <a:solidFill>
                  <a:sysClr val="windowText" lastClr="000000"/>
                </a:solidFill>
                <a:effectLst>
                  <a:outerShdw blurRad="50800" dist="38100" dir="2700000" algn="tl" rotWithShape="0">
                    <a:prstClr val="black">
                      <a:alpha val="40000"/>
                    </a:prstClr>
                  </a:outerShdw>
                </a:effectLst>
              </a:rPr>
              <a:t>Monture + verres complexes</a:t>
            </a:r>
          </a:p>
        </xdr:txBody>
      </xdr:sp>
      <xdr:sp macro="[1]!Tri_croissant_tarif" textlink="">
        <xdr:nvSpPr>
          <xdr:cNvPr id="132" name="Rectangle : coins arrondis 131">
            <a:extLst>
              <a:ext uri="{FF2B5EF4-FFF2-40B4-BE49-F238E27FC236}">
                <a16:creationId xmlns:a16="http://schemas.microsoft.com/office/drawing/2014/main" id="{CF17E1A5-DB74-4C72-AF6C-79CD6F78A665}"/>
              </a:ext>
            </a:extLst>
          </xdr:cNvPr>
          <xdr:cNvSpPr/>
        </xdr:nvSpPr>
        <xdr:spPr>
          <a:xfrm>
            <a:off x="13960921" y="-1407520"/>
            <a:ext cx="3329214" cy="520253"/>
          </a:xfrm>
          <a:prstGeom prst="roundRect">
            <a:avLst/>
          </a:prstGeom>
          <a:solidFill>
            <a:schemeClr val="bg2">
              <a:lumMod val="90000"/>
            </a:schemeClr>
          </a:solidFill>
          <a:scene3d>
            <a:camera prst="orthographicFront"/>
            <a:lightRig rig="threePt" dir="t"/>
          </a:scene3d>
          <a:sp3d>
            <a:bevelT prst="relaxedInse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0" rtlCol="0" anchor="ctr"/>
          <a:lstStyle/>
          <a:p>
            <a:pPr algn="ctr"/>
            <a:r>
              <a:rPr lang="fr-FR" sz="2000">
                <a:solidFill>
                  <a:sysClr val="windowText" lastClr="000000"/>
                </a:solidFill>
                <a:effectLst>
                  <a:outerShdw blurRad="50800" dist="38100" dir="2700000" algn="tl" rotWithShape="0">
                    <a:prstClr val="black">
                      <a:alpha val="40000"/>
                    </a:prstClr>
                  </a:outerShdw>
                </a:effectLst>
              </a:rPr>
              <a:t>Tarif</a:t>
            </a:r>
            <a:r>
              <a:rPr lang="fr-FR" sz="2000" baseline="0">
                <a:solidFill>
                  <a:sysClr val="windowText" lastClr="000000"/>
                </a:solidFill>
                <a:effectLst>
                  <a:outerShdw blurRad="50800" dist="38100" dir="2700000" algn="tl" rotWithShape="0">
                    <a:prstClr val="black">
                      <a:alpha val="40000"/>
                    </a:prstClr>
                  </a:outerShdw>
                </a:effectLst>
              </a:rPr>
              <a:t> mensuel</a:t>
            </a:r>
            <a:endParaRPr lang="fr-FR" sz="2000">
              <a:solidFill>
                <a:sysClr val="windowText" lastClr="000000"/>
              </a:solidFill>
              <a:effectLst>
                <a:outerShdw blurRad="50800" dist="38100" dir="2700000" algn="tl" rotWithShape="0">
                  <a:prstClr val="black">
                    <a:alpha val="40000"/>
                  </a:prstClr>
                </a:outerShdw>
              </a:effectLst>
            </a:endParaRPr>
          </a:p>
        </xdr:txBody>
      </xdr:sp>
      <xdr:sp macro="[1]!Tri_origine" textlink="">
        <xdr:nvSpPr>
          <xdr:cNvPr id="133" name="Rectangle : coins arrondis 132">
            <a:extLst>
              <a:ext uri="{FF2B5EF4-FFF2-40B4-BE49-F238E27FC236}">
                <a16:creationId xmlns:a16="http://schemas.microsoft.com/office/drawing/2014/main" id="{9323D9CF-2D52-461E-959C-67426226FDC4}"/>
              </a:ext>
            </a:extLst>
          </xdr:cNvPr>
          <xdr:cNvSpPr/>
        </xdr:nvSpPr>
        <xdr:spPr>
          <a:xfrm>
            <a:off x="10530106" y="-1395293"/>
            <a:ext cx="3329214" cy="508027"/>
          </a:xfrm>
          <a:prstGeom prst="roundRect">
            <a:avLst/>
          </a:prstGeom>
          <a:solidFill>
            <a:schemeClr val="bg2">
              <a:lumMod val="90000"/>
            </a:schemeClr>
          </a:solidFill>
          <a:scene3d>
            <a:camera prst="orthographicFront"/>
            <a:lightRig rig="threePt" dir="t"/>
          </a:scene3d>
          <a:sp3d>
            <a:bevelT prst="relaxedInse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0" rtlCol="0" anchor="b"/>
          <a:lstStyle/>
          <a:p>
            <a:pPr algn="ctr"/>
            <a:r>
              <a:rPr lang="fr-FR" sz="2000">
                <a:solidFill>
                  <a:sysClr val="windowText" lastClr="000000"/>
                </a:solidFill>
                <a:effectLst>
                  <a:outerShdw blurRad="50800" dist="38100" dir="2700000" algn="tl" rotWithShape="0">
                    <a:prstClr val="black">
                      <a:alpha val="40000"/>
                    </a:prstClr>
                  </a:outerShdw>
                </a:effectLst>
              </a:rPr>
              <a:t>Compagnies (Par défaut</a:t>
            </a:r>
            <a:r>
              <a:rPr lang="fr-FR" sz="2400">
                <a:solidFill>
                  <a:sysClr val="windowText" lastClr="000000"/>
                </a:solidFill>
                <a:effectLst>
                  <a:outerShdw blurRad="50800" dist="38100" dir="2700000" algn="tl" rotWithShape="0">
                    <a:prstClr val="black">
                      <a:alpha val="40000"/>
                    </a:prstClr>
                  </a:outerShdw>
                </a:effectLst>
              </a:rPr>
              <a:t>)</a:t>
            </a:r>
          </a:p>
        </xdr:txBody>
      </xdr:sp>
      <xdr:sp macro="[1]!Trier_par_spécialiste" textlink="">
        <xdr:nvSpPr>
          <xdr:cNvPr id="134" name="Rectangle : coins arrondis 133">
            <a:extLst>
              <a:ext uri="{FF2B5EF4-FFF2-40B4-BE49-F238E27FC236}">
                <a16:creationId xmlns:a16="http://schemas.microsoft.com/office/drawing/2014/main" id="{B12DE02A-5212-4387-9B20-9E9FB3BF4E28}"/>
              </a:ext>
            </a:extLst>
          </xdr:cNvPr>
          <xdr:cNvSpPr/>
        </xdr:nvSpPr>
        <xdr:spPr>
          <a:xfrm>
            <a:off x="13953664" y="-818378"/>
            <a:ext cx="3329214" cy="557346"/>
          </a:xfrm>
          <a:prstGeom prst="roundRect">
            <a:avLst/>
          </a:prstGeom>
          <a:solidFill>
            <a:schemeClr val="accent4">
              <a:lumMod val="20000"/>
              <a:lumOff val="80000"/>
            </a:schemeClr>
          </a:solidFill>
          <a:scene3d>
            <a:camera prst="orthographicFront"/>
            <a:lightRig rig="threePt" dir="t"/>
          </a:scene3d>
          <a:sp3d>
            <a:bevelT prst="relaxedInse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0" rtlCol="0" anchor="ctr"/>
          <a:lstStyle/>
          <a:p>
            <a:pPr algn="ctr"/>
            <a:r>
              <a:rPr lang="fr-FR" sz="2000">
                <a:solidFill>
                  <a:sysClr val="windowText" lastClr="000000"/>
                </a:solidFill>
                <a:effectLst>
                  <a:outerShdw blurRad="50800" dist="38100" dir="2700000" algn="tl" rotWithShape="0">
                    <a:prstClr val="black">
                      <a:alpha val="40000"/>
                    </a:prstClr>
                  </a:outerShdw>
                </a:effectLst>
              </a:rPr>
              <a:t>Honoraires spécialistes</a:t>
            </a:r>
          </a:p>
        </xdr:txBody>
      </xdr:sp>
      <xdr:sp macro="[1]!Trier_protheses_dentaire" textlink="">
        <xdr:nvSpPr>
          <xdr:cNvPr id="135" name="Rectangle : coins arrondis 134">
            <a:extLst>
              <a:ext uri="{FF2B5EF4-FFF2-40B4-BE49-F238E27FC236}">
                <a16:creationId xmlns:a16="http://schemas.microsoft.com/office/drawing/2014/main" id="{6AD6F67C-0B2E-4D8A-ABFF-17DD745F9153}"/>
              </a:ext>
            </a:extLst>
          </xdr:cNvPr>
          <xdr:cNvSpPr/>
        </xdr:nvSpPr>
        <xdr:spPr>
          <a:xfrm>
            <a:off x="17420354" y="-801157"/>
            <a:ext cx="3447859" cy="504377"/>
          </a:xfrm>
          <a:prstGeom prst="roundRect">
            <a:avLst/>
          </a:prstGeom>
          <a:solidFill>
            <a:schemeClr val="bg1"/>
          </a:solidFill>
          <a:scene3d>
            <a:camera prst="orthographicFront"/>
            <a:lightRig rig="threePt" dir="t"/>
          </a:scene3d>
          <a:sp3d>
            <a:bevelT prst="relaxedInse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0" rtlCol="0" anchor="ctr"/>
          <a:lstStyle/>
          <a:p>
            <a:pPr algn="ctr"/>
            <a:r>
              <a:rPr lang="fr-FR" sz="2000">
                <a:solidFill>
                  <a:sysClr val="windowText" lastClr="000000"/>
                </a:solidFill>
                <a:effectLst>
                  <a:outerShdw blurRad="50800" dist="38100" dir="2700000" algn="tl" rotWithShape="0">
                    <a:prstClr val="black">
                      <a:alpha val="40000"/>
                    </a:prstClr>
                  </a:outerShdw>
                </a:effectLst>
              </a:rPr>
              <a:t>Prothèses dentaires</a:t>
            </a:r>
          </a:p>
        </xdr:txBody>
      </xdr:sp>
    </xdr:grpSp>
    <xdr:clientData fPrintsWithSheet="0"/>
  </xdr:twoCellAnchor>
  <xdr:twoCellAnchor>
    <xdr:from>
      <xdr:col>3</xdr:col>
      <xdr:colOff>3653117</xdr:colOff>
      <xdr:row>115</xdr:row>
      <xdr:rowOff>29639</xdr:rowOff>
    </xdr:from>
    <xdr:to>
      <xdr:col>4</xdr:col>
      <xdr:colOff>1137721</xdr:colOff>
      <xdr:row>116</xdr:row>
      <xdr:rowOff>7471</xdr:rowOff>
    </xdr:to>
    <xdr:sp macro="[1]!Effacer_toutes_les_selections" textlink="">
      <xdr:nvSpPr>
        <xdr:cNvPr id="136" name="Rectangle : coins arrondis 135">
          <a:extLst>
            <a:ext uri="{FF2B5EF4-FFF2-40B4-BE49-F238E27FC236}">
              <a16:creationId xmlns:a16="http://schemas.microsoft.com/office/drawing/2014/main" id="{C45399AE-4C4F-4127-8ADA-3838201D30C1}"/>
            </a:ext>
          </a:extLst>
        </xdr:cNvPr>
        <xdr:cNvSpPr/>
      </xdr:nvSpPr>
      <xdr:spPr>
        <a:xfrm>
          <a:off x="6110567" y="23486539"/>
          <a:ext cx="1389854" cy="454082"/>
        </a:xfrm>
        <a:prstGeom prst="roundRect">
          <a:avLst/>
        </a:prstGeom>
        <a:solidFill>
          <a:srgbClr val="00B0F0"/>
        </a:solidFill>
        <a:scene3d>
          <a:camera prst="orthographicFront"/>
          <a:lightRig rig="threePt" dir="t"/>
        </a:scene3d>
        <a:sp3d>
          <a:bevelT prst="relaxedInse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0" rtlCol="0" anchor="ctr"/>
        <a:lstStyle/>
        <a:p>
          <a:pPr algn="ctr"/>
          <a:r>
            <a:rPr lang="fr-FR" sz="1200">
              <a:solidFill>
                <a:sysClr val="windowText" lastClr="000000"/>
              </a:solidFill>
            </a:rPr>
            <a:t>Effacer toutes les sélections</a:t>
          </a:r>
        </a:p>
      </xdr:txBody>
    </xdr:sp>
    <xdr:clientData fPrintsWithSheet="0"/>
  </xdr:twoCellAnchor>
  <xdr:twoCellAnchor>
    <xdr:from>
      <xdr:col>4</xdr:col>
      <xdr:colOff>122450</xdr:colOff>
      <xdr:row>6</xdr:row>
      <xdr:rowOff>253999</xdr:rowOff>
    </xdr:from>
    <xdr:to>
      <xdr:col>5</xdr:col>
      <xdr:colOff>27214</xdr:colOff>
      <xdr:row>8</xdr:row>
      <xdr:rowOff>308428</xdr:rowOff>
    </xdr:to>
    <xdr:sp macro="" textlink="">
      <xdr:nvSpPr>
        <xdr:cNvPr id="137" name="Rectangle : coins arrondis 136">
          <a:extLst>
            <a:ext uri="{FF2B5EF4-FFF2-40B4-BE49-F238E27FC236}">
              <a16:creationId xmlns:a16="http://schemas.microsoft.com/office/drawing/2014/main" id="{E5E535B7-894B-498B-AD6D-0458D3156D4B}"/>
            </a:ext>
          </a:extLst>
        </xdr:cNvPr>
        <xdr:cNvSpPr/>
      </xdr:nvSpPr>
      <xdr:spPr>
        <a:xfrm>
          <a:off x="6485150" y="253999"/>
          <a:ext cx="1054114" cy="676729"/>
        </a:xfrm>
        <a:prstGeom prst="roundRect">
          <a:avLst/>
        </a:prstGeom>
        <a:solidFill>
          <a:srgbClr val="00B0F0"/>
        </a:solidFill>
        <a:ln>
          <a:noFill/>
        </a:ln>
        <a:scene3d>
          <a:camera prst="orthographicFront"/>
          <a:lightRig rig="threePt" dir="t"/>
        </a:scene3d>
        <a:sp3d>
          <a:bevelT prst="relaxedInse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0" rtlCol="0" anchor="ctr"/>
        <a:lstStyle/>
        <a:p>
          <a:pPr algn="ctr"/>
          <a:r>
            <a:rPr lang="fr-FR" sz="2000" b="0" cap="none" spc="0">
              <a:ln w="0"/>
              <a:solidFill>
                <a:schemeClr val="tx1"/>
              </a:solidFill>
              <a:effectLst>
                <a:outerShdw blurRad="50800" dist="38100" dir="2700000" algn="tl" rotWithShape="0">
                  <a:prstClr val="black">
                    <a:alpha val="40000"/>
                  </a:prstClr>
                </a:outerShdw>
              </a:effectLst>
            </a:rPr>
            <a:t>Trier</a:t>
          </a:r>
          <a:r>
            <a:rPr lang="fr-FR" sz="1800" b="0" cap="none" spc="0">
              <a:ln w="0"/>
              <a:solidFill>
                <a:schemeClr val="tx1"/>
              </a:solidFill>
              <a:effectLst>
                <a:outerShdw blurRad="50800" dist="38100" dir="2700000" algn="tl" rotWithShape="0">
                  <a:prstClr val="black">
                    <a:alpha val="40000"/>
                  </a:prstClr>
                </a:outerShdw>
              </a:effectLst>
            </a:rPr>
            <a:t> par : </a:t>
          </a:r>
        </a:p>
      </xdr:txBody>
    </xdr:sp>
    <xdr:clientData fPrintsWithSheet="0"/>
  </xdr:twoCellAnchor>
  <xdr:twoCellAnchor>
    <xdr:from>
      <xdr:col>0</xdr:col>
      <xdr:colOff>199578</xdr:colOff>
      <xdr:row>6</xdr:row>
      <xdr:rowOff>272141</xdr:rowOff>
    </xdr:from>
    <xdr:to>
      <xdr:col>4</xdr:col>
      <xdr:colOff>90721</xdr:colOff>
      <xdr:row>8</xdr:row>
      <xdr:rowOff>281213</xdr:rowOff>
    </xdr:to>
    <xdr:sp macro="[1]!Imprime_PDF" textlink="">
      <xdr:nvSpPr>
        <xdr:cNvPr id="138" name="Rectangle : coins arrondis 137">
          <a:extLst>
            <a:ext uri="{FF2B5EF4-FFF2-40B4-BE49-F238E27FC236}">
              <a16:creationId xmlns:a16="http://schemas.microsoft.com/office/drawing/2014/main" id="{0A09ABEF-28C7-4D07-ADF7-EB6CC17368A7}"/>
            </a:ext>
          </a:extLst>
        </xdr:cNvPr>
        <xdr:cNvSpPr/>
      </xdr:nvSpPr>
      <xdr:spPr>
        <a:xfrm>
          <a:off x="199578" y="272141"/>
          <a:ext cx="6253843" cy="631372"/>
        </a:xfrm>
        <a:prstGeom prst="roundRect">
          <a:avLst/>
        </a:prstGeom>
        <a:solidFill>
          <a:srgbClr val="00B0F0"/>
        </a:solidFill>
        <a:scene3d>
          <a:camera prst="orthographicFront"/>
          <a:lightRig rig="threePt" dir="t"/>
        </a:scene3d>
        <a:sp3d>
          <a:bevelT prst="relaxedInse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0" rtlCol="0" anchor="ctr"/>
        <a:lstStyle/>
        <a:p>
          <a:pPr algn="ctr"/>
          <a:r>
            <a:rPr lang="fr-FR" sz="3200">
              <a:solidFill>
                <a:sysClr val="windowText" lastClr="000000"/>
              </a:solidFill>
              <a:effectLst>
                <a:outerShdw blurRad="50800" dist="38100" dir="2700000" algn="tl" rotWithShape="0">
                  <a:prstClr val="black">
                    <a:alpha val="40000"/>
                  </a:prstClr>
                </a:outerShdw>
              </a:effectLst>
            </a:rPr>
            <a:t>Aperçu</a:t>
          </a:r>
          <a:r>
            <a:rPr lang="fr-FR" sz="3200" baseline="0">
              <a:solidFill>
                <a:sysClr val="windowText" lastClr="000000"/>
              </a:solidFill>
              <a:effectLst>
                <a:outerShdw blurRad="50800" dist="38100" dir="2700000" algn="tl" rotWithShape="0">
                  <a:prstClr val="black">
                    <a:alpha val="40000"/>
                  </a:prstClr>
                </a:outerShdw>
              </a:effectLst>
            </a:rPr>
            <a:t> avant impression </a:t>
          </a:r>
          <a:endParaRPr lang="fr-FR" sz="3200">
            <a:solidFill>
              <a:sysClr val="windowText" lastClr="000000"/>
            </a:solidFill>
            <a:effectLst>
              <a:outerShdw blurRad="50800" dist="38100" dir="2700000" algn="tl" rotWithShape="0">
                <a:prstClr val="black">
                  <a:alpha val="40000"/>
                </a:prstClr>
              </a:outerShdw>
            </a:effectLst>
          </a:endParaRPr>
        </a:p>
      </xdr:txBody>
    </xdr:sp>
    <xdr:clientData fPrintsWithSheet="0"/>
  </xdr:twoCellAnchor>
  <xdr:twoCellAnchor editAs="oneCell">
    <xdr:from>
      <xdr:col>3</xdr:col>
      <xdr:colOff>3332625</xdr:colOff>
      <xdr:row>6</xdr:row>
      <xdr:rowOff>398423</xdr:rowOff>
    </xdr:from>
    <xdr:to>
      <xdr:col>3</xdr:col>
      <xdr:colOff>3687891</xdr:colOff>
      <xdr:row>8</xdr:row>
      <xdr:rowOff>109913</xdr:rowOff>
    </xdr:to>
    <xdr:pic macro="[1]!Imprime_PDF">
      <xdr:nvPicPr>
        <xdr:cNvPr id="139" name="Graphique 138" descr="Document">
          <a:extLst>
            <a:ext uri="{FF2B5EF4-FFF2-40B4-BE49-F238E27FC236}">
              <a16:creationId xmlns:a16="http://schemas.microsoft.com/office/drawing/2014/main" id="{DF5BCABF-2423-4716-BC87-A4D42222A823}"/>
            </a:ext>
          </a:extLst>
        </xdr:cNvPr>
        <xdr:cNvPicPr>
          <a:picLocks noChangeAspect="1"/>
        </xdr:cNvPicPr>
      </xdr:nvPicPr>
      <xdr:blipFill>
        <a:blip xmlns:r="http://schemas.openxmlformats.org/officeDocument/2006/relationships" r:embed="rId4">
          <a:extLst>
            <a:ext uri="{96DAC541-7B7A-43D3-8B79-37D633B846F1}">
              <asvg:svgBlip xmlns:asvg="http://schemas.microsoft.com/office/drawing/2016/SVG/main" r:embed="rId5"/>
            </a:ext>
          </a:extLst>
        </a:blip>
        <a:stretch>
          <a:fillRect/>
        </a:stretch>
      </xdr:blipFill>
      <xdr:spPr>
        <a:xfrm>
          <a:off x="5790075" y="398423"/>
          <a:ext cx="355266" cy="295690"/>
        </a:xfrm>
        <a:prstGeom prst="rect">
          <a:avLst/>
        </a:prstGeom>
      </xdr:spPr>
    </xdr:pic>
    <xdr:clientData fPrintsWithSheet="0"/>
  </xdr:twoCellAnchor>
  <mc:AlternateContent xmlns:mc="http://schemas.openxmlformats.org/markup-compatibility/2006">
    <mc:Choice xmlns:a14="http://schemas.microsoft.com/office/drawing/2010/main" Requires="a14">
      <xdr:twoCellAnchor>
        <xdr:from>
          <xdr:col>2</xdr:col>
          <xdr:colOff>1460500</xdr:colOff>
          <xdr:row>115</xdr:row>
          <xdr:rowOff>25400</xdr:rowOff>
        </xdr:from>
        <xdr:to>
          <xdr:col>3</xdr:col>
          <xdr:colOff>3625850</xdr:colOff>
          <xdr:row>116</xdr:row>
          <xdr:rowOff>63500</xdr:rowOff>
        </xdr:to>
        <xdr:sp macro="" textlink="">
          <xdr:nvSpPr>
            <xdr:cNvPr id="1025" name="Button 1" hidden="1">
              <a:extLst>
                <a:ext uri="{63B3BB69-23CF-44E3-9099-C40C66FF867C}">
                  <a14:compatExt spid="_x0000_s1025"/>
                </a:ext>
                <a:ext uri="{FF2B5EF4-FFF2-40B4-BE49-F238E27FC236}">
                  <a16:creationId xmlns:a16="http://schemas.microsoft.com/office/drawing/2014/main" id="{D7421C13-2C29-4960-98B1-33699EB1D31F}"/>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100" b="0" i="0" u="none" strike="noStrike" baseline="0">
                  <a:solidFill>
                    <a:srgbClr val="000000"/>
                  </a:solidFill>
                  <a:latin typeface="Calibri"/>
                  <a:cs typeface="Calibri"/>
                </a:rPr>
                <a:t>Afficher / Masquer sélection</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Copie%20de%20Mask%20Etude%20FM%20ACC4%20mac%20Rectif&#233;%20RO%204%20bis%20(version3).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Données Cabinet"/>
      <sheetName val="Données Client"/>
      <sheetName val="Comparatif TNS-Salarié cadre"/>
      <sheetName val="Listes D"/>
      <sheetName val="Cotisation Perso"/>
      <sheetName val="Paie"/>
      <sheetName val="Cotisations RO"/>
      <sheetName val="Les prestation des RO"/>
      <sheetName val="Page Etude FM"/>
      <sheetName val="Panorama FM"/>
      <sheetName val="Data pour graphiques"/>
      <sheetName val="Formules santé éxistantes"/>
      <sheetName val="Panorama Prev RO"/>
      <sheetName val="Panorama Prev TNS"/>
      <sheetName val="Solutions prev"/>
      <sheetName val="Tarif Pavillon"/>
      <sheetName val="Tarif Créasio 2018"/>
      <sheetName val="(Créasio 2018 RG)"/>
      <sheetName val="Tarif REPAM"/>
      <sheetName val="Tarif Axelliance TC 15"/>
      <sheetName val="Tarif Axelliance TC 20"/>
      <sheetName val="Non utilisé"/>
      <sheetName val="Tarif CIPRèS"/>
      <sheetName val="Tarif CIPRES Loréa"/>
      <sheetName val="Tarif ACPS "/>
      <sheetName val="Tarif SPVie"/>
    </sheetNames>
    <definedNames>
      <definedName name="Bouton23_Cliquer"/>
      <definedName name="Effacer_données_contrat_client"/>
      <definedName name="Effacer_toutes_les_selections"/>
      <definedName name="Imprime_PDF"/>
      <definedName name="Tri_croissant_tarif"/>
      <definedName name="Tri_origine"/>
      <definedName name="Trier_hospi"/>
      <definedName name="Trier_Monture_verres_complexes"/>
      <definedName name="Trier_par_spécialiste"/>
      <definedName name="Trier_protheses_dentaire"/>
    </definedNames>
    <sheetDataSet>
      <sheetData sheetId="0"/>
      <sheetData sheetId="1">
        <row r="2">
          <cell r="C2">
            <v>43182</v>
          </cell>
        </row>
        <row r="3">
          <cell r="C3">
            <v>43191</v>
          </cell>
        </row>
      </sheetData>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trlProp" Target="../ctrlProps/ctrlProp1.xml"/><Relationship Id="rId2" Type="http://schemas.openxmlformats.org/officeDocument/2006/relationships/vmlDrawing" Target="../drawings/vmlDrawing1.vml"/><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480C864-4AEB-4BD0-A295-488D89592B8B}">
  <sheetPr codeName="Feuil2"/>
  <dimension ref="A1:WB129"/>
  <sheetViews>
    <sheetView tabSelected="1" topLeftCell="A7" workbookViewId="0">
      <selection activeCell="E109" sqref="E109"/>
    </sheetView>
  </sheetViews>
  <sheetFormatPr baseColWidth="10" defaultColWidth="10.90625" defaultRowHeight="14.5" x14ac:dyDescent="0.35"/>
  <cols>
    <col min="1" max="1" width="3.26953125" style="229" customWidth="1"/>
    <col min="2" max="2" width="7.08984375" style="229" customWidth="1"/>
    <col min="3" max="3" width="24.81640625" style="229" customWidth="1"/>
    <col min="4" max="4" width="55.90625" style="229" customWidth="1"/>
    <col min="5" max="5" width="16.453125" style="484" customWidth="1"/>
    <col min="6" max="6" width="1.36328125" style="448" customWidth="1"/>
    <col min="7" max="7" width="16" style="232" customWidth="1"/>
    <col min="8" max="8" width="20.36328125" style="232" customWidth="1"/>
    <col min="9" max="13" width="16" style="232" customWidth="1"/>
    <col min="14" max="14" width="16.08984375" style="232" customWidth="1"/>
    <col min="15" max="33" width="16" style="232" customWidth="1"/>
    <col min="34" max="37" width="14.36328125" style="232" customWidth="1"/>
    <col min="38" max="50" width="16" style="232" customWidth="1"/>
    <col min="51" max="72" width="16.26953125" style="232" customWidth="1"/>
    <col min="73" max="76" width="16" style="232" customWidth="1"/>
    <col min="77" max="600" width="10.90625" style="232"/>
    <col min="601" max="16384" width="10.90625" style="229"/>
  </cols>
  <sheetData>
    <row r="1" spans="1:600" s="218" customFormat="1" ht="23.5" hidden="1" customHeight="1" x14ac:dyDescent="0.35">
      <c r="A1" s="215"/>
      <c r="B1" s="215"/>
      <c r="C1" s="215"/>
      <c r="D1" s="215"/>
      <c r="E1" s="215"/>
      <c r="F1" s="216"/>
      <c r="G1" s="215"/>
      <c r="H1" s="215"/>
      <c r="I1" s="215"/>
      <c r="J1" s="215"/>
      <c r="K1" s="217"/>
      <c r="L1" s="217"/>
      <c r="M1" s="217"/>
      <c r="N1" s="217"/>
      <c r="O1" s="217"/>
      <c r="P1" s="217"/>
      <c r="Q1" s="217"/>
      <c r="R1" s="217"/>
      <c r="S1" s="217"/>
      <c r="T1" s="217"/>
      <c r="U1" s="217"/>
      <c r="V1" s="217"/>
      <c r="W1" s="217"/>
      <c r="X1" s="217"/>
      <c r="Y1" s="217"/>
      <c r="Z1" s="217"/>
      <c r="AA1" s="217"/>
      <c r="AB1" s="217"/>
      <c r="AC1" s="217"/>
      <c r="AD1" s="217"/>
      <c r="AE1" s="217"/>
      <c r="AF1" s="215"/>
      <c r="AG1" s="215"/>
      <c r="AH1" s="215"/>
      <c r="AI1" s="215"/>
      <c r="AJ1" s="215"/>
      <c r="AK1" s="215"/>
      <c r="AL1" s="215"/>
      <c r="AM1" s="215"/>
      <c r="AN1" s="215"/>
      <c r="AO1" s="215"/>
      <c r="AP1" s="215"/>
      <c r="AQ1" s="215"/>
      <c r="AR1" s="215"/>
      <c r="AS1" s="217"/>
      <c r="AT1" s="217"/>
      <c r="AU1" s="217"/>
      <c r="AV1" s="217"/>
      <c r="AW1" s="217"/>
      <c r="AX1" s="217"/>
      <c r="AY1" s="217"/>
      <c r="AZ1" s="217"/>
      <c r="BA1" s="217"/>
      <c r="BB1" s="217"/>
      <c r="BC1" s="217"/>
      <c r="BD1" s="217"/>
      <c r="BE1" s="217"/>
      <c r="BF1" s="217"/>
      <c r="BG1" s="217"/>
      <c r="BH1" s="217"/>
      <c r="BI1" s="217"/>
      <c r="BJ1" s="217"/>
      <c r="BK1" s="217"/>
      <c r="BL1" s="217"/>
      <c r="BM1" s="217"/>
      <c r="BN1" s="217"/>
      <c r="BO1" s="217"/>
      <c r="BP1" s="217"/>
      <c r="BQ1" s="217"/>
      <c r="BR1" s="217"/>
      <c r="BS1" s="217"/>
      <c r="BT1" s="217"/>
      <c r="BU1" s="217"/>
      <c r="BV1" s="217"/>
      <c r="BW1" s="217"/>
      <c r="BX1" s="217"/>
      <c r="BY1" s="215"/>
      <c r="BZ1" s="215"/>
      <c r="CA1" s="215"/>
      <c r="CB1" s="215"/>
      <c r="CC1" s="215"/>
      <c r="CD1" s="215"/>
      <c r="CE1" s="215"/>
      <c r="CF1" s="215"/>
      <c r="CG1" s="215"/>
      <c r="CH1" s="215"/>
      <c r="CI1" s="215"/>
      <c r="CJ1" s="215"/>
      <c r="CK1" s="215"/>
      <c r="CL1" s="215"/>
      <c r="CM1" s="215"/>
      <c r="CN1" s="215"/>
      <c r="CO1" s="215"/>
      <c r="CP1" s="215"/>
      <c r="CQ1" s="215"/>
      <c r="CR1" s="215"/>
      <c r="CS1" s="215"/>
      <c r="CT1" s="215"/>
      <c r="CU1" s="215"/>
      <c r="CV1" s="215"/>
      <c r="CW1" s="215"/>
      <c r="CX1" s="215"/>
      <c r="CY1" s="215"/>
      <c r="CZ1" s="215"/>
      <c r="DA1" s="215"/>
      <c r="DB1" s="215"/>
      <c r="DC1" s="215"/>
      <c r="DD1" s="215"/>
      <c r="DE1" s="215"/>
      <c r="DF1" s="215"/>
      <c r="DG1" s="215"/>
      <c r="DH1" s="215"/>
      <c r="DI1" s="215"/>
      <c r="DJ1" s="215"/>
      <c r="DK1" s="215"/>
      <c r="DL1" s="215"/>
      <c r="DM1" s="215"/>
      <c r="DN1" s="215"/>
      <c r="DO1" s="215"/>
      <c r="DP1" s="215"/>
      <c r="DQ1" s="215"/>
      <c r="DR1" s="215"/>
      <c r="DS1" s="215"/>
      <c r="DT1" s="215"/>
      <c r="DU1" s="215"/>
      <c r="DV1" s="215"/>
      <c r="DW1" s="215"/>
      <c r="DX1" s="215"/>
      <c r="DY1" s="215"/>
      <c r="DZ1" s="215"/>
      <c r="EA1" s="215"/>
      <c r="EB1" s="215"/>
      <c r="EC1" s="215"/>
      <c r="ED1" s="215"/>
      <c r="EE1" s="215"/>
      <c r="EF1" s="215"/>
      <c r="EG1" s="215"/>
      <c r="EH1" s="215"/>
      <c r="EI1" s="215"/>
      <c r="EJ1" s="215"/>
      <c r="EK1" s="215"/>
      <c r="EL1" s="215"/>
      <c r="EM1" s="215"/>
      <c r="EN1" s="215"/>
      <c r="EO1" s="215"/>
      <c r="EP1" s="215"/>
      <c r="EQ1" s="215"/>
      <c r="ER1" s="215"/>
      <c r="ES1" s="215"/>
      <c r="ET1" s="215"/>
      <c r="EU1" s="215"/>
      <c r="EV1" s="215"/>
      <c r="EW1" s="215"/>
      <c r="EX1" s="215"/>
      <c r="EY1" s="215"/>
      <c r="EZ1" s="215"/>
      <c r="FA1" s="215"/>
      <c r="FB1" s="215"/>
      <c r="FC1" s="215"/>
      <c r="FD1" s="215"/>
      <c r="FE1" s="215"/>
      <c r="FF1" s="215"/>
      <c r="FG1" s="215"/>
      <c r="FH1" s="215"/>
      <c r="FI1" s="215"/>
      <c r="FJ1" s="215"/>
      <c r="FK1" s="215"/>
      <c r="FL1" s="215"/>
      <c r="FM1" s="215"/>
      <c r="FN1" s="215"/>
      <c r="FO1" s="215"/>
      <c r="FP1" s="215"/>
      <c r="FQ1" s="215"/>
      <c r="FR1" s="215"/>
      <c r="FS1" s="215"/>
      <c r="FT1" s="215"/>
      <c r="FU1" s="215"/>
      <c r="FV1" s="215"/>
      <c r="FW1" s="215"/>
      <c r="FX1" s="215"/>
      <c r="FY1" s="215"/>
      <c r="FZ1" s="215"/>
      <c r="GA1" s="215"/>
      <c r="GB1" s="215"/>
      <c r="GC1" s="215"/>
      <c r="GD1" s="215"/>
      <c r="GE1" s="215"/>
      <c r="GF1" s="215"/>
      <c r="GG1" s="215"/>
      <c r="GH1" s="215"/>
      <c r="GI1" s="215"/>
      <c r="GJ1" s="215"/>
      <c r="GK1" s="215"/>
      <c r="GL1" s="215"/>
      <c r="GM1" s="215"/>
      <c r="GN1" s="215"/>
      <c r="GO1" s="215"/>
      <c r="GP1" s="215"/>
      <c r="GQ1" s="215"/>
      <c r="GR1" s="215"/>
      <c r="GS1" s="215"/>
      <c r="GT1" s="215"/>
      <c r="GU1" s="215"/>
      <c r="GV1" s="215"/>
      <c r="GW1" s="215"/>
      <c r="GX1" s="215"/>
      <c r="GY1" s="215"/>
      <c r="GZ1" s="215"/>
      <c r="HA1" s="215"/>
      <c r="HB1" s="215"/>
      <c r="HC1" s="215"/>
      <c r="HD1" s="215"/>
      <c r="HE1" s="215"/>
      <c r="HF1" s="215"/>
      <c r="HG1" s="215"/>
      <c r="HH1" s="215"/>
      <c r="HI1" s="215"/>
      <c r="HJ1" s="215"/>
      <c r="HK1" s="215"/>
      <c r="HL1" s="215"/>
      <c r="HM1" s="215"/>
      <c r="HN1" s="215"/>
      <c r="HO1" s="215"/>
      <c r="HP1" s="215"/>
      <c r="HQ1" s="215"/>
      <c r="HR1" s="215"/>
      <c r="HS1" s="215"/>
      <c r="HT1" s="215"/>
      <c r="HU1" s="215"/>
      <c r="HV1" s="215"/>
      <c r="HW1" s="215"/>
      <c r="HX1" s="215"/>
      <c r="HY1" s="215"/>
      <c r="HZ1" s="215"/>
      <c r="IA1" s="215"/>
      <c r="IB1" s="215"/>
      <c r="IC1" s="215"/>
      <c r="ID1" s="215"/>
      <c r="IE1" s="215"/>
      <c r="IF1" s="215"/>
      <c r="IG1" s="215"/>
      <c r="IH1" s="215"/>
      <c r="II1" s="215"/>
      <c r="IJ1" s="215"/>
      <c r="IK1" s="215"/>
      <c r="IL1" s="215"/>
      <c r="IM1" s="215"/>
      <c r="IN1" s="215"/>
      <c r="IO1" s="215"/>
      <c r="IP1" s="215"/>
      <c r="IQ1" s="215"/>
      <c r="IR1" s="215"/>
      <c r="IS1" s="215"/>
      <c r="IT1" s="215"/>
      <c r="IU1" s="215"/>
      <c r="IV1" s="215"/>
      <c r="IW1" s="215"/>
      <c r="IX1" s="215"/>
      <c r="IY1" s="215"/>
      <c r="IZ1" s="215"/>
      <c r="JA1" s="215"/>
      <c r="JB1" s="215"/>
      <c r="JC1" s="215"/>
      <c r="JD1" s="215"/>
      <c r="JE1" s="215"/>
      <c r="JF1" s="215"/>
      <c r="JG1" s="215"/>
      <c r="JH1" s="215"/>
      <c r="JI1" s="215"/>
      <c r="JJ1" s="215"/>
      <c r="JK1" s="215"/>
      <c r="JL1" s="215"/>
      <c r="JM1" s="215"/>
      <c r="JN1" s="215"/>
      <c r="JO1" s="215"/>
      <c r="JP1" s="215"/>
      <c r="JQ1" s="215"/>
      <c r="JR1" s="215"/>
      <c r="JS1" s="215"/>
      <c r="JT1" s="215"/>
      <c r="JU1" s="215"/>
      <c r="JV1" s="215"/>
      <c r="JW1" s="215"/>
      <c r="JX1" s="215"/>
      <c r="JY1" s="215"/>
      <c r="JZ1" s="215"/>
      <c r="KA1" s="215"/>
      <c r="KB1" s="215"/>
      <c r="KC1" s="215"/>
      <c r="KD1" s="215"/>
      <c r="KE1" s="215"/>
      <c r="KF1" s="215"/>
      <c r="KG1" s="215"/>
      <c r="KH1" s="215"/>
      <c r="KI1" s="215"/>
      <c r="KJ1" s="215"/>
      <c r="KK1" s="215"/>
      <c r="KL1" s="215"/>
      <c r="KM1" s="215"/>
      <c r="KN1" s="215"/>
      <c r="KO1" s="215"/>
      <c r="KP1" s="215"/>
      <c r="KQ1" s="215"/>
      <c r="KR1" s="215"/>
      <c r="KS1" s="215"/>
      <c r="KT1" s="215"/>
      <c r="KU1" s="215"/>
      <c r="KV1" s="215"/>
      <c r="KW1" s="215"/>
      <c r="KX1" s="215"/>
      <c r="KY1" s="215"/>
      <c r="KZ1" s="215"/>
      <c r="LA1" s="215"/>
      <c r="LB1" s="215"/>
      <c r="LC1" s="215"/>
      <c r="LD1" s="215"/>
      <c r="LE1" s="215"/>
      <c r="LF1" s="215"/>
      <c r="LG1" s="215"/>
      <c r="LH1" s="215"/>
      <c r="LI1" s="215"/>
      <c r="LJ1" s="215"/>
      <c r="LK1" s="215"/>
      <c r="LL1" s="215"/>
      <c r="LM1" s="215"/>
      <c r="LN1" s="215"/>
      <c r="LO1" s="215"/>
      <c r="LP1" s="215"/>
      <c r="LQ1" s="215"/>
      <c r="LR1" s="215"/>
      <c r="LS1" s="215"/>
      <c r="LT1" s="215"/>
      <c r="LU1" s="215"/>
      <c r="LV1" s="215"/>
      <c r="LW1" s="215"/>
      <c r="LX1" s="215"/>
      <c r="LY1" s="215"/>
      <c r="LZ1" s="215"/>
      <c r="MA1" s="215"/>
      <c r="MB1" s="215"/>
      <c r="MC1" s="215"/>
      <c r="MD1" s="215"/>
      <c r="ME1" s="215"/>
      <c r="MF1" s="215"/>
      <c r="MG1" s="215"/>
      <c r="MH1" s="215"/>
      <c r="MI1" s="215"/>
      <c r="MJ1" s="215"/>
      <c r="MK1" s="215"/>
      <c r="ML1" s="215"/>
      <c r="MM1" s="215"/>
      <c r="MN1" s="215"/>
      <c r="MO1" s="215"/>
      <c r="MP1" s="215"/>
      <c r="MQ1" s="215"/>
      <c r="MR1" s="215"/>
      <c r="MS1" s="215"/>
      <c r="MT1" s="215"/>
      <c r="MU1" s="215"/>
      <c r="MV1" s="215"/>
      <c r="MW1" s="215"/>
      <c r="MX1" s="215"/>
      <c r="MY1" s="215"/>
      <c r="MZ1" s="215"/>
      <c r="NA1" s="215"/>
      <c r="NB1" s="215"/>
      <c r="NC1" s="215"/>
      <c r="ND1" s="215"/>
      <c r="NE1" s="215"/>
      <c r="NF1" s="215"/>
      <c r="NG1" s="215"/>
      <c r="NH1" s="215"/>
      <c r="NI1" s="215"/>
      <c r="NJ1" s="215"/>
      <c r="NK1" s="215"/>
      <c r="NL1" s="215"/>
      <c r="NM1" s="215"/>
      <c r="NN1" s="215"/>
      <c r="NO1" s="215"/>
      <c r="NP1" s="215"/>
      <c r="NQ1" s="215"/>
      <c r="NR1" s="215"/>
      <c r="NS1" s="215"/>
      <c r="NT1" s="215"/>
      <c r="NU1" s="215"/>
      <c r="NV1" s="215"/>
      <c r="NW1" s="215"/>
      <c r="NX1" s="215"/>
      <c r="NY1" s="215"/>
      <c r="NZ1" s="215"/>
      <c r="OA1" s="215"/>
      <c r="OB1" s="215"/>
      <c r="OC1" s="215"/>
      <c r="OD1" s="215"/>
      <c r="OE1" s="215"/>
      <c r="OF1" s="215"/>
      <c r="OG1" s="215"/>
      <c r="OH1" s="215"/>
      <c r="OI1" s="215"/>
      <c r="OJ1" s="215"/>
      <c r="OK1" s="215"/>
      <c r="OL1" s="215"/>
      <c r="OM1" s="215"/>
      <c r="ON1" s="215"/>
      <c r="OO1" s="215"/>
      <c r="OP1" s="215"/>
      <c r="OQ1" s="215"/>
      <c r="OR1" s="215"/>
      <c r="OS1" s="215"/>
      <c r="OT1" s="215"/>
      <c r="OU1" s="215"/>
      <c r="OV1" s="215"/>
      <c r="OW1" s="215"/>
      <c r="OX1" s="215"/>
      <c r="OY1" s="215"/>
      <c r="OZ1" s="215"/>
      <c r="PA1" s="215"/>
      <c r="PB1" s="215"/>
      <c r="PC1" s="215"/>
      <c r="PD1" s="215"/>
      <c r="PE1" s="215"/>
      <c r="PF1" s="215"/>
      <c r="PG1" s="215"/>
      <c r="PH1" s="215"/>
      <c r="PI1" s="215"/>
      <c r="PJ1" s="215"/>
      <c r="PK1" s="215"/>
      <c r="PL1" s="215"/>
      <c r="PM1" s="215"/>
      <c r="PN1" s="215"/>
      <c r="PO1" s="215"/>
      <c r="PP1" s="215"/>
      <c r="PQ1" s="215"/>
      <c r="PR1" s="215"/>
      <c r="PS1" s="215"/>
      <c r="PT1" s="215"/>
      <c r="PU1" s="215"/>
      <c r="PV1" s="215"/>
      <c r="PW1" s="215"/>
      <c r="PX1" s="215"/>
      <c r="PY1" s="215"/>
      <c r="PZ1" s="215"/>
      <c r="QA1" s="215"/>
      <c r="QB1" s="215"/>
      <c r="QC1" s="215"/>
      <c r="QD1" s="215"/>
      <c r="QE1" s="215"/>
      <c r="QF1" s="215"/>
      <c r="QG1" s="215"/>
      <c r="QH1" s="215"/>
      <c r="QI1" s="215"/>
      <c r="QJ1" s="215"/>
      <c r="QK1" s="215"/>
      <c r="QL1" s="215"/>
      <c r="QM1" s="215"/>
      <c r="QN1" s="215"/>
      <c r="QO1" s="215"/>
      <c r="QP1" s="215"/>
      <c r="QQ1" s="215"/>
      <c r="QR1" s="215"/>
      <c r="QS1" s="215"/>
      <c r="QT1" s="215"/>
      <c r="QU1" s="215"/>
      <c r="QV1" s="215"/>
      <c r="QW1" s="215"/>
      <c r="QX1" s="215"/>
      <c r="QY1" s="215"/>
      <c r="QZ1" s="215"/>
      <c r="RA1" s="215"/>
      <c r="RB1" s="215"/>
      <c r="RC1" s="215"/>
      <c r="RD1" s="215"/>
      <c r="RE1" s="215"/>
      <c r="RF1" s="215"/>
      <c r="RG1" s="215"/>
      <c r="RH1" s="215"/>
      <c r="RI1" s="215"/>
      <c r="RJ1" s="215"/>
      <c r="RK1" s="215"/>
      <c r="RL1" s="215"/>
      <c r="RM1" s="215"/>
      <c r="RN1" s="215"/>
      <c r="RO1" s="215"/>
      <c r="RP1" s="215"/>
      <c r="RQ1" s="215"/>
      <c r="RR1" s="215"/>
      <c r="RS1" s="215"/>
      <c r="RT1" s="215"/>
      <c r="RU1" s="215"/>
      <c r="RV1" s="215"/>
      <c r="RW1" s="215"/>
      <c r="RX1" s="215"/>
      <c r="RY1" s="215"/>
      <c r="RZ1" s="215"/>
      <c r="SA1" s="215"/>
      <c r="SB1" s="215"/>
      <c r="SC1" s="215"/>
      <c r="SD1" s="215"/>
      <c r="SE1" s="215"/>
      <c r="SF1" s="215"/>
      <c r="SG1" s="215"/>
      <c r="SH1" s="215"/>
      <c r="SI1" s="215"/>
      <c r="SJ1" s="215"/>
      <c r="SK1" s="215"/>
      <c r="SL1" s="215"/>
      <c r="SM1" s="215"/>
      <c r="SN1" s="215"/>
      <c r="SO1" s="215"/>
      <c r="SP1" s="215"/>
      <c r="SQ1" s="215"/>
      <c r="SR1" s="215"/>
      <c r="SS1" s="215"/>
      <c r="ST1" s="215"/>
      <c r="SU1" s="215"/>
      <c r="SV1" s="215"/>
      <c r="SW1" s="215"/>
      <c r="SX1" s="215"/>
      <c r="SY1" s="215"/>
      <c r="SZ1" s="215"/>
      <c r="TA1" s="215"/>
      <c r="TB1" s="215"/>
      <c r="TC1" s="215"/>
      <c r="TD1" s="215"/>
      <c r="TE1" s="215"/>
      <c r="TF1" s="215"/>
      <c r="TG1" s="215"/>
      <c r="TH1" s="215"/>
      <c r="TI1" s="215"/>
      <c r="TJ1" s="215"/>
      <c r="TK1" s="215"/>
      <c r="TL1" s="215"/>
      <c r="TM1" s="215"/>
      <c r="TN1" s="215"/>
      <c r="TO1" s="215"/>
      <c r="TP1" s="215"/>
      <c r="TQ1" s="215"/>
      <c r="TR1" s="215"/>
      <c r="TS1" s="215"/>
      <c r="TT1" s="215"/>
      <c r="TU1" s="215"/>
      <c r="TV1" s="215"/>
      <c r="TW1" s="215"/>
      <c r="TX1" s="215"/>
      <c r="TY1" s="215"/>
      <c r="TZ1" s="215"/>
      <c r="UA1" s="215"/>
      <c r="UB1" s="215"/>
      <c r="UC1" s="215"/>
      <c r="UD1" s="215"/>
      <c r="UE1" s="215"/>
      <c r="UF1" s="215"/>
      <c r="UG1" s="215"/>
      <c r="UH1" s="215"/>
      <c r="UI1" s="215"/>
      <c r="UJ1" s="215"/>
      <c r="UK1" s="215"/>
      <c r="UL1" s="215"/>
      <c r="UM1" s="215"/>
      <c r="UN1" s="215"/>
      <c r="UO1" s="215"/>
      <c r="UP1" s="215"/>
      <c r="UQ1" s="215"/>
      <c r="UR1" s="215"/>
      <c r="US1" s="215"/>
      <c r="UT1" s="215"/>
      <c r="UU1" s="215"/>
      <c r="UV1" s="215"/>
      <c r="UW1" s="215"/>
      <c r="UX1" s="215"/>
      <c r="UY1" s="215"/>
      <c r="UZ1" s="215"/>
      <c r="VA1" s="215"/>
      <c r="VB1" s="215"/>
      <c r="VC1" s="215"/>
      <c r="VD1" s="215"/>
      <c r="VE1" s="215"/>
      <c r="VF1" s="215"/>
      <c r="VG1" s="215"/>
      <c r="VH1" s="215"/>
      <c r="VI1" s="215"/>
      <c r="VJ1" s="215"/>
      <c r="VK1" s="215"/>
      <c r="VL1" s="215"/>
      <c r="VM1" s="215"/>
      <c r="VN1" s="215"/>
      <c r="VO1" s="215"/>
      <c r="VP1" s="215"/>
      <c r="VQ1" s="215"/>
      <c r="VR1" s="215"/>
      <c r="VS1" s="215"/>
      <c r="VT1" s="215"/>
      <c r="VU1" s="215"/>
      <c r="VV1" s="215"/>
      <c r="VW1" s="215"/>
      <c r="VX1" s="215"/>
      <c r="VY1" s="215"/>
      <c r="VZ1" s="215"/>
      <c r="WA1" s="215"/>
      <c r="WB1" s="215"/>
    </row>
    <row r="2" spans="1:600" s="218" customFormat="1" ht="23.5" hidden="1" customHeight="1" x14ac:dyDescent="0.35">
      <c r="A2" s="215"/>
      <c r="B2" s="215"/>
      <c r="C2" s="215"/>
      <c r="D2" s="215"/>
      <c r="E2" s="215"/>
      <c r="F2" s="216"/>
      <c r="G2" s="215"/>
      <c r="H2" s="215"/>
      <c r="I2" s="215"/>
      <c r="J2" s="215"/>
      <c r="K2" s="217"/>
      <c r="L2" s="217"/>
      <c r="M2" s="217"/>
      <c r="N2" s="217"/>
      <c r="O2" s="217"/>
      <c r="P2" s="217"/>
      <c r="Q2" s="217"/>
      <c r="R2" s="217"/>
      <c r="S2" s="217"/>
      <c r="T2" s="217"/>
      <c r="U2" s="217"/>
      <c r="V2" s="217"/>
      <c r="W2" s="217"/>
      <c r="X2" s="217"/>
      <c r="Y2" s="217"/>
      <c r="Z2" s="217"/>
      <c r="AA2" s="217"/>
      <c r="AB2" s="217"/>
      <c r="AC2" s="217"/>
      <c r="AD2" s="217"/>
      <c r="AE2" s="217"/>
      <c r="AF2" s="215"/>
      <c r="AG2" s="215"/>
      <c r="AH2" s="215"/>
      <c r="AI2" s="215"/>
      <c r="AJ2" s="215"/>
      <c r="AK2" s="215"/>
      <c r="AL2" s="215"/>
      <c r="AM2" s="215"/>
      <c r="AN2" s="215"/>
      <c r="AO2" s="215"/>
      <c r="AP2" s="215"/>
      <c r="AQ2" s="215"/>
      <c r="AR2" s="215"/>
      <c r="AS2" s="217"/>
      <c r="AT2" s="217"/>
      <c r="AU2" s="217"/>
      <c r="AV2" s="217"/>
      <c r="AW2" s="217"/>
      <c r="AX2" s="217"/>
      <c r="AY2" s="217"/>
      <c r="AZ2" s="217"/>
      <c r="BA2" s="217"/>
      <c r="BB2" s="217"/>
      <c r="BC2" s="217"/>
      <c r="BD2" s="217"/>
      <c r="BE2" s="217"/>
      <c r="BF2" s="217"/>
      <c r="BG2" s="217"/>
      <c r="BH2" s="217"/>
      <c r="BI2" s="217"/>
      <c r="BJ2" s="217"/>
      <c r="BK2" s="217"/>
      <c r="BL2" s="217"/>
      <c r="BM2" s="217"/>
      <c r="BN2" s="217"/>
      <c r="BO2" s="217"/>
      <c r="BP2" s="217"/>
      <c r="BQ2" s="217"/>
      <c r="BR2" s="217"/>
      <c r="BS2" s="217"/>
      <c r="BT2" s="217"/>
      <c r="BU2" s="217"/>
      <c r="BV2" s="217"/>
      <c r="BW2" s="217"/>
      <c r="BX2" s="217"/>
      <c r="BY2" s="215"/>
      <c r="BZ2" s="215"/>
      <c r="CA2" s="215"/>
      <c r="CB2" s="215"/>
      <c r="CC2" s="215"/>
      <c r="CD2" s="215"/>
      <c r="CE2" s="215"/>
      <c r="CF2" s="215"/>
      <c r="CG2" s="215"/>
      <c r="CH2" s="215"/>
      <c r="CI2" s="215"/>
      <c r="CJ2" s="215"/>
      <c r="CK2" s="215"/>
      <c r="CL2" s="215"/>
      <c r="CM2" s="215"/>
      <c r="CN2" s="215"/>
      <c r="CO2" s="215"/>
      <c r="CP2" s="215"/>
      <c r="CQ2" s="215"/>
      <c r="CR2" s="215"/>
      <c r="CS2" s="215"/>
      <c r="CT2" s="215"/>
      <c r="CU2" s="215"/>
      <c r="CV2" s="215"/>
      <c r="CW2" s="215"/>
      <c r="CX2" s="215"/>
      <c r="CY2" s="215"/>
      <c r="CZ2" s="215"/>
      <c r="DA2" s="215"/>
      <c r="DB2" s="215"/>
      <c r="DC2" s="215"/>
      <c r="DD2" s="215"/>
      <c r="DE2" s="215"/>
      <c r="DF2" s="215"/>
      <c r="DG2" s="215"/>
      <c r="DH2" s="215"/>
      <c r="DI2" s="215"/>
      <c r="DJ2" s="215"/>
      <c r="DK2" s="215"/>
      <c r="DL2" s="215"/>
      <c r="DM2" s="215"/>
      <c r="DN2" s="215"/>
      <c r="DO2" s="215"/>
      <c r="DP2" s="215"/>
      <c r="DQ2" s="215"/>
      <c r="DR2" s="215"/>
      <c r="DS2" s="215"/>
      <c r="DT2" s="215"/>
      <c r="DU2" s="215"/>
      <c r="DV2" s="215"/>
      <c r="DW2" s="215"/>
      <c r="DX2" s="215"/>
      <c r="DY2" s="215"/>
      <c r="DZ2" s="215"/>
      <c r="EA2" s="215"/>
      <c r="EB2" s="215"/>
      <c r="EC2" s="215"/>
      <c r="ED2" s="215"/>
      <c r="EE2" s="215"/>
      <c r="EF2" s="215"/>
      <c r="EG2" s="215"/>
      <c r="EH2" s="215"/>
      <c r="EI2" s="215"/>
      <c r="EJ2" s="215"/>
      <c r="EK2" s="215"/>
      <c r="EL2" s="215"/>
      <c r="EM2" s="215"/>
      <c r="EN2" s="215"/>
      <c r="EO2" s="215"/>
      <c r="EP2" s="215"/>
      <c r="EQ2" s="215"/>
      <c r="ER2" s="215"/>
      <c r="ES2" s="215"/>
      <c r="ET2" s="215"/>
      <c r="EU2" s="215"/>
      <c r="EV2" s="215"/>
      <c r="EW2" s="215"/>
      <c r="EX2" s="215"/>
      <c r="EY2" s="215"/>
      <c r="EZ2" s="215"/>
      <c r="FA2" s="215"/>
      <c r="FB2" s="215"/>
      <c r="FC2" s="215"/>
      <c r="FD2" s="215"/>
      <c r="FE2" s="215"/>
      <c r="FF2" s="215"/>
      <c r="FG2" s="215"/>
      <c r="FH2" s="215"/>
      <c r="FI2" s="215"/>
      <c r="FJ2" s="215"/>
      <c r="FK2" s="215"/>
      <c r="FL2" s="215"/>
      <c r="FM2" s="215"/>
      <c r="FN2" s="215"/>
      <c r="FO2" s="215"/>
      <c r="FP2" s="215"/>
      <c r="FQ2" s="215"/>
      <c r="FR2" s="215"/>
      <c r="FS2" s="215"/>
      <c r="FT2" s="215"/>
      <c r="FU2" s="215"/>
      <c r="FV2" s="215"/>
      <c r="FW2" s="215"/>
      <c r="FX2" s="215"/>
      <c r="FY2" s="215"/>
      <c r="FZ2" s="215"/>
      <c r="GA2" s="215"/>
      <c r="GB2" s="215"/>
      <c r="GC2" s="215"/>
      <c r="GD2" s="215"/>
      <c r="GE2" s="215"/>
      <c r="GF2" s="215"/>
      <c r="GG2" s="215"/>
      <c r="GH2" s="215"/>
      <c r="GI2" s="215"/>
      <c r="GJ2" s="215"/>
      <c r="GK2" s="215"/>
      <c r="GL2" s="215"/>
      <c r="GM2" s="215"/>
      <c r="GN2" s="215"/>
      <c r="GO2" s="215"/>
      <c r="GP2" s="215"/>
      <c r="GQ2" s="215"/>
      <c r="GR2" s="215"/>
      <c r="GS2" s="215"/>
      <c r="GT2" s="215"/>
      <c r="GU2" s="215"/>
      <c r="GV2" s="215"/>
      <c r="GW2" s="215"/>
      <c r="GX2" s="215"/>
      <c r="GY2" s="215"/>
      <c r="GZ2" s="215"/>
      <c r="HA2" s="215"/>
      <c r="HB2" s="215"/>
      <c r="HC2" s="215"/>
      <c r="HD2" s="215"/>
      <c r="HE2" s="215"/>
      <c r="HF2" s="215"/>
      <c r="HG2" s="215"/>
      <c r="HH2" s="215"/>
      <c r="HI2" s="215"/>
      <c r="HJ2" s="215"/>
      <c r="HK2" s="215"/>
      <c r="HL2" s="215"/>
      <c r="HM2" s="215"/>
      <c r="HN2" s="215"/>
      <c r="HO2" s="215"/>
      <c r="HP2" s="215"/>
      <c r="HQ2" s="215"/>
      <c r="HR2" s="215"/>
      <c r="HS2" s="215"/>
      <c r="HT2" s="215"/>
      <c r="HU2" s="215"/>
      <c r="HV2" s="215"/>
      <c r="HW2" s="215"/>
      <c r="HX2" s="215"/>
      <c r="HY2" s="215"/>
      <c r="HZ2" s="215"/>
      <c r="IA2" s="215"/>
      <c r="IB2" s="215"/>
      <c r="IC2" s="215"/>
      <c r="ID2" s="215"/>
      <c r="IE2" s="215"/>
      <c r="IF2" s="215"/>
      <c r="IG2" s="215"/>
      <c r="IH2" s="215"/>
      <c r="II2" s="215"/>
      <c r="IJ2" s="215"/>
      <c r="IK2" s="215"/>
      <c r="IL2" s="215"/>
      <c r="IM2" s="215"/>
      <c r="IN2" s="215"/>
      <c r="IO2" s="215"/>
      <c r="IP2" s="215"/>
      <c r="IQ2" s="215"/>
      <c r="IR2" s="215"/>
      <c r="IS2" s="215"/>
      <c r="IT2" s="215"/>
      <c r="IU2" s="215"/>
      <c r="IV2" s="215"/>
      <c r="IW2" s="215"/>
      <c r="IX2" s="215"/>
      <c r="IY2" s="215"/>
      <c r="IZ2" s="215"/>
      <c r="JA2" s="215"/>
      <c r="JB2" s="215"/>
      <c r="JC2" s="215"/>
      <c r="JD2" s="215"/>
      <c r="JE2" s="215"/>
      <c r="JF2" s="215"/>
      <c r="JG2" s="215"/>
      <c r="JH2" s="215"/>
      <c r="JI2" s="215"/>
      <c r="JJ2" s="215"/>
      <c r="JK2" s="215"/>
      <c r="JL2" s="215"/>
      <c r="JM2" s="215"/>
      <c r="JN2" s="215"/>
      <c r="JO2" s="215"/>
      <c r="JP2" s="215"/>
      <c r="JQ2" s="215"/>
      <c r="JR2" s="215"/>
      <c r="JS2" s="215"/>
      <c r="JT2" s="215"/>
      <c r="JU2" s="215"/>
      <c r="JV2" s="215"/>
      <c r="JW2" s="215"/>
      <c r="JX2" s="215"/>
      <c r="JY2" s="215"/>
      <c r="JZ2" s="215"/>
      <c r="KA2" s="215"/>
      <c r="KB2" s="215"/>
      <c r="KC2" s="215"/>
      <c r="KD2" s="215"/>
      <c r="KE2" s="215"/>
      <c r="KF2" s="215"/>
      <c r="KG2" s="215"/>
      <c r="KH2" s="215"/>
      <c r="KI2" s="215"/>
      <c r="KJ2" s="215"/>
      <c r="KK2" s="215"/>
      <c r="KL2" s="215"/>
      <c r="KM2" s="215"/>
      <c r="KN2" s="215"/>
      <c r="KO2" s="215"/>
      <c r="KP2" s="215"/>
      <c r="KQ2" s="215"/>
      <c r="KR2" s="215"/>
      <c r="KS2" s="215"/>
      <c r="KT2" s="215"/>
      <c r="KU2" s="215"/>
      <c r="KV2" s="215"/>
      <c r="KW2" s="215"/>
      <c r="KX2" s="215"/>
      <c r="KY2" s="215"/>
      <c r="KZ2" s="215"/>
      <c r="LA2" s="215"/>
      <c r="LB2" s="215"/>
      <c r="LC2" s="215"/>
      <c r="LD2" s="215"/>
      <c r="LE2" s="215"/>
      <c r="LF2" s="215"/>
      <c r="LG2" s="215"/>
      <c r="LH2" s="215"/>
      <c r="LI2" s="215"/>
      <c r="LJ2" s="215"/>
      <c r="LK2" s="215"/>
      <c r="LL2" s="215"/>
      <c r="LM2" s="215"/>
      <c r="LN2" s="215"/>
      <c r="LO2" s="215"/>
      <c r="LP2" s="215"/>
      <c r="LQ2" s="215"/>
      <c r="LR2" s="215"/>
      <c r="LS2" s="215"/>
      <c r="LT2" s="215"/>
      <c r="LU2" s="215"/>
      <c r="LV2" s="215"/>
      <c r="LW2" s="215"/>
      <c r="LX2" s="215"/>
      <c r="LY2" s="215"/>
      <c r="LZ2" s="215"/>
      <c r="MA2" s="215"/>
      <c r="MB2" s="215"/>
      <c r="MC2" s="215"/>
      <c r="MD2" s="215"/>
      <c r="ME2" s="215"/>
      <c r="MF2" s="215"/>
      <c r="MG2" s="215"/>
      <c r="MH2" s="215"/>
      <c r="MI2" s="215"/>
      <c r="MJ2" s="215"/>
      <c r="MK2" s="215"/>
      <c r="ML2" s="215"/>
      <c r="MM2" s="215"/>
      <c r="MN2" s="215"/>
      <c r="MO2" s="215"/>
      <c r="MP2" s="215"/>
      <c r="MQ2" s="215"/>
      <c r="MR2" s="215"/>
      <c r="MS2" s="215"/>
      <c r="MT2" s="215"/>
      <c r="MU2" s="215"/>
      <c r="MV2" s="215"/>
      <c r="MW2" s="215"/>
      <c r="MX2" s="215"/>
      <c r="MY2" s="215"/>
      <c r="MZ2" s="215"/>
      <c r="NA2" s="215"/>
      <c r="NB2" s="215"/>
      <c r="NC2" s="215"/>
      <c r="ND2" s="215"/>
      <c r="NE2" s="215"/>
      <c r="NF2" s="215"/>
      <c r="NG2" s="215"/>
      <c r="NH2" s="215"/>
      <c r="NI2" s="215"/>
      <c r="NJ2" s="215"/>
      <c r="NK2" s="215"/>
      <c r="NL2" s="215"/>
      <c r="NM2" s="215"/>
      <c r="NN2" s="215"/>
      <c r="NO2" s="215"/>
      <c r="NP2" s="215"/>
      <c r="NQ2" s="215"/>
      <c r="NR2" s="215"/>
      <c r="NS2" s="215"/>
      <c r="NT2" s="215"/>
      <c r="NU2" s="215"/>
      <c r="NV2" s="215"/>
      <c r="NW2" s="215"/>
      <c r="NX2" s="215"/>
      <c r="NY2" s="215"/>
      <c r="NZ2" s="215"/>
      <c r="OA2" s="215"/>
      <c r="OB2" s="215"/>
      <c r="OC2" s="215"/>
      <c r="OD2" s="215"/>
      <c r="OE2" s="215"/>
      <c r="OF2" s="215"/>
      <c r="OG2" s="215"/>
      <c r="OH2" s="215"/>
      <c r="OI2" s="215"/>
      <c r="OJ2" s="215"/>
      <c r="OK2" s="215"/>
      <c r="OL2" s="215"/>
      <c r="OM2" s="215"/>
      <c r="ON2" s="215"/>
      <c r="OO2" s="215"/>
      <c r="OP2" s="215"/>
      <c r="OQ2" s="215"/>
      <c r="OR2" s="215"/>
      <c r="OS2" s="215"/>
      <c r="OT2" s="215"/>
      <c r="OU2" s="215"/>
      <c r="OV2" s="215"/>
      <c r="OW2" s="215"/>
      <c r="OX2" s="215"/>
      <c r="OY2" s="215"/>
      <c r="OZ2" s="215"/>
      <c r="PA2" s="215"/>
      <c r="PB2" s="215"/>
      <c r="PC2" s="215"/>
      <c r="PD2" s="215"/>
      <c r="PE2" s="215"/>
      <c r="PF2" s="215"/>
      <c r="PG2" s="215"/>
      <c r="PH2" s="215"/>
      <c r="PI2" s="215"/>
      <c r="PJ2" s="215"/>
      <c r="PK2" s="215"/>
      <c r="PL2" s="215"/>
      <c r="PM2" s="215"/>
      <c r="PN2" s="215"/>
      <c r="PO2" s="215"/>
      <c r="PP2" s="215"/>
      <c r="PQ2" s="215"/>
      <c r="PR2" s="215"/>
      <c r="PS2" s="215"/>
      <c r="PT2" s="215"/>
      <c r="PU2" s="215"/>
      <c r="PV2" s="215"/>
      <c r="PW2" s="215"/>
      <c r="PX2" s="215"/>
      <c r="PY2" s="215"/>
      <c r="PZ2" s="215"/>
      <c r="QA2" s="215"/>
      <c r="QB2" s="215"/>
      <c r="QC2" s="215"/>
      <c r="QD2" s="215"/>
      <c r="QE2" s="215"/>
      <c r="QF2" s="215"/>
      <c r="QG2" s="215"/>
      <c r="QH2" s="215"/>
      <c r="QI2" s="215"/>
      <c r="QJ2" s="215"/>
      <c r="QK2" s="215"/>
      <c r="QL2" s="215"/>
      <c r="QM2" s="215"/>
      <c r="QN2" s="215"/>
      <c r="QO2" s="215"/>
      <c r="QP2" s="215"/>
      <c r="QQ2" s="215"/>
      <c r="QR2" s="215"/>
      <c r="QS2" s="215"/>
      <c r="QT2" s="215"/>
      <c r="QU2" s="215"/>
      <c r="QV2" s="215"/>
      <c r="QW2" s="215"/>
      <c r="QX2" s="215"/>
      <c r="QY2" s="215"/>
      <c r="QZ2" s="215"/>
      <c r="RA2" s="215"/>
      <c r="RB2" s="215"/>
      <c r="RC2" s="215"/>
      <c r="RD2" s="215"/>
      <c r="RE2" s="215"/>
      <c r="RF2" s="215"/>
      <c r="RG2" s="215"/>
      <c r="RH2" s="215"/>
      <c r="RI2" s="215"/>
      <c r="RJ2" s="215"/>
      <c r="RK2" s="215"/>
      <c r="RL2" s="215"/>
      <c r="RM2" s="215"/>
      <c r="RN2" s="215"/>
      <c r="RO2" s="215"/>
      <c r="RP2" s="215"/>
      <c r="RQ2" s="215"/>
      <c r="RR2" s="215"/>
      <c r="RS2" s="215"/>
      <c r="RT2" s="215"/>
      <c r="RU2" s="215"/>
      <c r="RV2" s="215"/>
      <c r="RW2" s="215"/>
      <c r="RX2" s="215"/>
      <c r="RY2" s="215"/>
      <c r="RZ2" s="215"/>
      <c r="SA2" s="215"/>
      <c r="SB2" s="215"/>
      <c r="SC2" s="215"/>
      <c r="SD2" s="215"/>
      <c r="SE2" s="215"/>
      <c r="SF2" s="215"/>
      <c r="SG2" s="215"/>
      <c r="SH2" s="215"/>
      <c r="SI2" s="215"/>
      <c r="SJ2" s="215"/>
      <c r="SK2" s="215"/>
      <c r="SL2" s="215"/>
      <c r="SM2" s="215"/>
      <c r="SN2" s="215"/>
      <c r="SO2" s="215"/>
      <c r="SP2" s="215"/>
      <c r="SQ2" s="215"/>
      <c r="SR2" s="215"/>
      <c r="SS2" s="215"/>
      <c r="ST2" s="215"/>
      <c r="SU2" s="215"/>
      <c r="SV2" s="215"/>
      <c r="SW2" s="215"/>
      <c r="SX2" s="215"/>
      <c r="SY2" s="215"/>
      <c r="SZ2" s="215"/>
      <c r="TA2" s="215"/>
      <c r="TB2" s="215"/>
      <c r="TC2" s="215"/>
      <c r="TD2" s="215"/>
      <c r="TE2" s="215"/>
      <c r="TF2" s="215"/>
      <c r="TG2" s="215"/>
      <c r="TH2" s="215"/>
      <c r="TI2" s="215"/>
      <c r="TJ2" s="215"/>
      <c r="TK2" s="215"/>
      <c r="TL2" s="215"/>
      <c r="TM2" s="215"/>
      <c r="TN2" s="215"/>
      <c r="TO2" s="215"/>
      <c r="TP2" s="215"/>
      <c r="TQ2" s="215"/>
      <c r="TR2" s="215"/>
      <c r="TS2" s="215"/>
      <c r="TT2" s="215"/>
      <c r="TU2" s="215"/>
      <c r="TV2" s="215"/>
      <c r="TW2" s="215"/>
      <c r="TX2" s="215"/>
      <c r="TY2" s="215"/>
      <c r="TZ2" s="215"/>
      <c r="UA2" s="215"/>
      <c r="UB2" s="215"/>
      <c r="UC2" s="215"/>
      <c r="UD2" s="215"/>
      <c r="UE2" s="215"/>
      <c r="UF2" s="215"/>
      <c r="UG2" s="215"/>
      <c r="UH2" s="215"/>
      <c r="UI2" s="215"/>
      <c r="UJ2" s="215"/>
      <c r="UK2" s="215"/>
      <c r="UL2" s="215"/>
      <c r="UM2" s="215"/>
      <c r="UN2" s="215"/>
      <c r="UO2" s="215"/>
      <c r="UP2" s="215"/>
      <c r="UQ2" s="215"/>
      <c r="UR2" s="215"/>
      <c r="US2" s="215"/>
      <c r="UT2" s="215"/>
      <c r="UU2" s="215"/>
      <c r="UV2" s="215"/>
      <c r="UW2" s="215"/>
      <c r="UX2" s="215"/>
      <c r="UY2" s="215"/>
      <c r="UZ2" s="215"/>
      <c r="VA2" s="215"/>
      <c r="VB2" s="215"/>
      <c r="VC2" s="215"/>
      <c r="VD2" s="215"/>
      <c r="VE2" s="215"/>
      <c r="VF2" s="215"/>
      <c r="VG2" s="215"/>
      <c r="VH2" s="215"/>
      <c r="VI2" s="215"/>
      <c r="VJ2" s="215"/>
      <c r="VK2" s="215"/>
      <c r="VL2" s="215"/>
      <c r="VM2" s="215"/>
      <c r="VN2" s="215"/>
      <c r="VO2" s="215"/>
      <c r="VP2" s="215"/>
      <c r="VQ2" s="215"/>
      <c r="VR2" s="215"/>
      <c r="VS2" s="215"/>
      <c r="VT2" s="215"/>
      <c r="VU2" s="215"/>
      <c r="VV2" s="215"/>
      <c r="VW2" s="215"/>
      <c r="VX2" s="215"/>
      <c r="VY2" s="215"/>
      <c r="VZ2" s="215"/>
      <c r="WA2" s="215"/>
      <c r="WB2" s="215"/>
    </row>
    <row r="3" spans="1:600" s="218" customFormat="1" ht="23.5" hidden="1" customHeight="1" x14ac:dyDescent="0.35">
      <c r="A3" s="215"/>
      <c r="B3" s="215"/>
      <c r="C3" s="215"/>
      <c r="D3" s="215"/>
      <c r="E3" s="215"/>
      <c r="F3" s="216"/>
      <c r="G3" s="215"/>
      <c r="H3" s="215"/>
      <c r="I3" s="215"/>
      <c r="J3" s="215"/>
      <c r="K3" s="217"/>
      <c r="L3" s="217"/>
      <c r="M3" s="217"/>
      <c r="N3" s="217"/>
      <c r="O3" s="217"/>
      <c r="P3" s="217"/>
      <c r="Q3" s="217"/>
      <c r="R3" s="217"/>
      <c r="S3" s="217"/>
      <c r="T3" s="217"/>
      <c r="U3" s="217"/>
      <c r="V3" s="217"/>
      <c r="W3" s="217"/>
      <c r="X3" s="217"/>
      <c r="Y3" s="217"/>
      <c r="Z3" s="217"/>
      <c r="AA3" s="217"/>
      <c r="AB3" s="217"/>
      <c r="AC3" s="217"/>
      <c r="AD3" s="217"/>
      <c r="AE3" s="217"/>
      <c r="AF3" s="215"/>
      <c r="AG3" s="215"/>
      <c r="AH3" s="215"/>
      <c r="AI3" s="215"/>
      <c r="AJ3" s="215"/>
      <c r="AK3" s="215"/>
      <c r="AL3" s="215"/>
      <c r="AM3" s="215"/>
      <c r="AN3" s="215"/>
      <c r="AO3" s="215"/>
      <c r="AP3" s="215"/>
      <c r="AQ3" s="215"/>
      <c r="AR3" s="215"/>
      <c r="AS3" s="217"/>
      <c r="AT3" s="217"/>
      <c r="AU3" s="217"/>
      <c r="AV3" s="217"/>
      <c r="AW3" s="217"/>
      <c r="AX3" s="217"/>
      <c r="AY3" s="217"/>
      <c r="AZ3" s="217"/>
      <c r="BA3" s="217"/>
      <c r="BB3" s="217"/>
      <c r="BC3" s="217"/>
      <c r="BD3" s="217"/>
      <c r="BE3" s="217"/>
      <c r="BF3" s="217"/>
      <c r="BG3" s="217"/>
      <c r="BH3" s="217"/>
      <c r="BI3" s="217"/>
      <c r="BJ3" s="217"/>
      <c r="BK3" s="217"/>
      <c r="BL3" s="217"/>
      <c r="BM3" s="217"/>
      <c r="BN3" s="217"/>
      <c r="BO3" s="217"/>
      <c r="BP3" s="217"/>
      <c r="BQ3" s="217"/>
      <c r="BR3" s="217"/>
      <c r="BS3" s="217"/>
      <c r="BT3" s="217"/>
      <c r="BU3" s="217"/>
      <c r="BV3" s="217"/>
      <c r="BW3" s="217"/>
      <c r="BX3" s="217"/>
      <c r="BY3" s="215"/>
      <c r="BZ3" s="215"/>
      <c r="CA3" s="215"/>
      <c r="CB3" s="215"/>
      <c r="CC3" s="215"/>
      <c r="CD3" s="215"/>
      <c r="CE3" s="215"/>
      <c r="CF3" s="215"/>
      <c r="CG3" s="215"/>
      <c r="CH3" s="215"/>
      <c r="CI3" s="215"/>
      <c r="CJ3" s="215"/>
      <c r="CK3" s="215"/>
      <c r="CL3" s="215"/>
      <c r="CM3" s="215"/>
      <c r="CN3" s="215"/>
      <c r="CO3" s="215"/>
      <c r="CP3" s="215"/>
      <c r="CQ3" s="215"/>
      <c r="CR3" s="215"/>
      <c r="CS3" s="215"/>
      <c r="CT3" s="215"/>
      <c r="CU3" s="215"/>
      <c r="CV3" s="215"/>
      <c r="CW3" s="215"/>
      <c r="CX3" s="215"/>
      <c r="CY3" s="215"/>
      <c r="CZ3" s="215"/>
      <c r="DA3" s="215"/>
      <c r="DB3" s="215"/>
      <c r="DC3" s="215"/>
      <c r="DD3" s="215"/>
      <c r="DE3" s="215"/>
      <c r="DF3" s="215"/>
      <c r="DG3" s="215"/>
      <c r="DH3" s="215"/>
      <c r="DI3" s="215"/>
      <c r="DJ3" s="215"/>
      <c r="DK3" s="215"/>
      <c r="DL3" s="215"/>
      <c r="DM3" s="215"/>
      <c r="DN3" s="215"/>
      <c r="DO3" s="215"/>
      <c r="DP3" s="215"/>
      <c r="DQ3" s="215"/>
      <c r="DR3" s="215"/>
      <c r="DS3" s="215"/>
      <c r="DT3" s="215"/>
      <c r="DU3" s="215"/>
      <c r="DV3" s="215"/>
      <c r="DW3" s="215"/>
      <c r="DX3" s="215"/>
      <c r="DY3" s="215"/>
      <c r="DZ3" s="215"/>
      <c r="EA3" s="215"/>
      <c r="EB3" s="215"/>
      <c r="EC3" s="215"/>
      <c r="ED3" s="215"/>
      <c r="EE3" s="215"/>
      <c r="EF3" s="215"/>
      <c r="EG3" s="215"/>
      <c r="EH3" s="215"/>
      <c r="EI3" s="215"/>
      <c r="EJ3" s="215"/>
      <c r="EK3" s="215"/>
      <c r="EL3" s="215"/>
      <c r="EM3" s="215"/>
      <c r="EN3" s="215"/>
      <c r="EO3" s="215"/>
      <c r="EP3" s="215"/>
      <c r="EQ3" s="215"/>
      <c r="ER3" s="215"/>
      <c r="ES3" s="215"/>
      <c r="ET3" s="215"/>
      <c r="EU3" s="215"/>
      <c r="EV3" s="215"/>
      <c r="EW3" s="215"/>
      <c r="EX3" s="215"/>
      <c r="EY3" s="215"/>
      <c r="EZ3" s="215"/>
      <c r="FA3" s="215"/>
      <c r="FB3" s="215"/>
      <c r="FC3" s="215"/>
      <c r="FD3" s="215"/>
      <c r="FE3" s="215"/>
      <c r="FF3" s="215"/>
      <c r="FG3" s="215"/>
      <c r="FH3" s="215"/>
      <c r="FI3" s="215"/>
      <c r="FJ3" s="215"/>
      <c r="FK3" s="215"/>
      <c r="FL3" s="215"/>
      <c r="FM3" s="215"/>
      <c r="FN3" s="215"/>
      <c r="FO3" s="215"/>
      <c r="FP3" s="215"/>
      <c r="FQ3" s="215"/>
      <c r="FR3" s="215"/>
      <c r="FS3" s="215"/>
      <c r="FT3" s="215"/>
      <c r="FU3" s="215"/>
      <c r="FV3" s="215"/>
      <c r="FW3" s="215"/>
      <c r="FX3" s="215"/>
      <c r="FY3" s="215"/>
      <c r="FZ3" s="215"/>
      <c r="GA3" s="215"/>
      <c r="GB3" s="215"/>
      <c r="GC3" s="215"/>
      <c r="GD3" s="215"/>
      <c r="GE3" s="215"/>
      <c r="GF3" s="215"/>
      <c r="GG3" s="215"/>
      <c r="GH3" s="215"/>
      <c r="GI3" s="215"/>
      <c r="GJ3" s="215"/>
      <c r="GK3" s="215"/>
      <c r="GL3" s="215"/>
      <c r="GM3" s="215"/>
      <c r="GN3" s="215"/>
      <c r="GO3" s="215"/>
      <c r="GP3" s="215"/>
      <c r="GQ3" s="215"/>
      <c r="GR3" s="215"/>
      <c r="GS3" s="215"/>
      <c r="GT3" s="215"/>
      <c r="GU3" s="215"/>
      <c r="GV3" s="215"/>
      <c r="GW3" s="215"/>
      <c r="GX3" s="215"/>
      <c r="GY3" s="215"/>
      <c r="GZ3" s="215"/>
      <c r="HA3" s="215"/>
      <c r="HB3" s="215"/>
      <c r="HC3" s="215"/>
      <c r="HD3" s="215"/>
      <c r="HE3" s="215"/>
      <c r="HF3" s="215"/>
      <c r="HG3" s="215"/>
      <c r="HH3" s="215"/>
      <c r="HI3" s="215"/>
      <c r="HJ3" s="215"/>
      <c r="HK3" s="215"/>
      <c r="HL3" s="215"/>
      <c r="HM3" s="215"/>
      <c r="HN3" s="215"/>
      <c r="HO3" s="215"/>
      <c r="HP3" s="215"/>
      <c r="HQ3" s="215"/>
      <c r="HR3" s="215"/>
      <c r="HS3" s="215"/>
      <c r="HT3" s="215"/>
      <c r="HU3" s="215"/>
      <c r="HV3" s="215"/>
      <c r="HW3" s="215"/>
      <c r="HX3" s="215"/>
      <c r="HY3" s="215"/>
      <c r="HZ3" s="215"/>
      <c r="IA3" s="215"/>
      <c r="IB3" s="215"/>
      <c r="IC3" s="215"/>
      <c r="ID3" s="215"/>
      <c r="IE3" s="215"/>
      <c r="IF3" s="215"/>
      <c r="IG3" s="215"/>
      <c r="IH3" s="215"/>
      <c r="II3" s="215"/>
      <c r="IJ3" s="215"/>
      <c r="IK3" s="215"/>
      <c r="IL3" s="215"/>
      <c r="IM3" s="215"/>
      <c r="IN3" s="215"/>
      <c r="IO3" s="215"/>
      <c r="IP3" s="215"/>
      <c r="IQ3" s="215"/>
      <c r="IR3" s="215"/>
      <c r="IS3" s="215"/>
      <c r="IT3" s="215"/>
      <c r="IU3" s="215"/>
      <c r="IV3" s="215"/>
      <c r="IW3" s="215"/>
      <c r="IX3" s="215"/>
      <c r="IY3" s="215"/>
      <c r="IZ3" s="215"/>
      <c r="JA3" s="215"/>
      <c r="JB3" s="215"/>
      <c r="JC3" s="215"/>
      <c r="JD3" s="215"/>
      <c r="JE3" s="215"/>
      <c r="JF3" s="215"/>
      <c r="JG3" s="215"/>
      <c r="JH3" s="215"/>
      <c r="JI3" s="215"/>
      <c r="JJ3" s="215"/>
      <c r="JK3" s="215"/>
      <c r="JL3" s="215"/>
      <c r="JM3" s="215"/>
      <c r="JN3" s="215"/>
      <c r="JO3" s="215"/>
      <c r="JP3" s="215"/>
      <c r="JQ3" s="215"/>
      <c r="JR3" s="215"/>
      <c r="JS3" s="215"/>
      <c r="JT3" s="215"/>
      <c r="JU3" s="215"/>
      <c r="JV3" s="215"/>
      <c r="JW3" s="215"/>
      <c r="JX3" s="215"/>
      <c r="JY3" s="215"/>
      <c r="JZ3" s="215"/>
      <c r="KA3" s="215"/>
      <c r="KB3" s="215"/>
      <c r="KC3" s="215"/>
      <c r="KD3" s="215"/>
      <c r="KE3" s="215"/>
      <c r="KF3" s="215"/>
      <c r="KG3" s="215"/>
      <c r="KH3" s="215"/>
      <c r="KI3" s="215"/>
      <c r="KJ3" s="215"/>
      <c r="KK3" s="215"/>
      <c r="KL3" s="215"/>
      <c r="KM3" s="215"/>
      <c r="KN3" s="215"/>
      <c r="KO3" s="215"/>
      <c r="KP3" s="215"/>
      <c r="KQ3" s="215"/>
      <c r="KR3" s="215"/>
      <c r="KS3" s="215"/>
      <c r="KT3" s="215"/>
      <c r="KU3" s="215"/>
      <c r="KV3" s="215"/>
      <c r="KW3" s="215"/>
      <c r="KX3" s="215"/>
      <c r="KY3" s="215"/>
      <c r="KZ3" s="215"/>
      <c r="LA3" s="215"/>
      <c r="LB3" s="215"/>
      <c r="LC3" s="215"/>
      <c r="LD3" s="215"/>
      <c r="LE3" s="215"/>
      <c r="LF3" s="215"/>
      <c r="LG3" s="215"/>
      <c r="LH3" s="215"/>
      <c r="LI3" s="215"/>
      <c r="LJ3" s="215"/>
      <c r="LK3" s="215"/>
      <c r="LL3" s="215"/>
      <c r="LM3" s="215"/>
      <c r="LN3" s="215"/>
      <c r="LO3" s="215"/>
      <c r="LP3" s="215"/>
      <c r="LQ3" s="215"/>
      <c r="LR3" s="215"/>
      <c r="LS3" s="215"/>
      <c r="LT3" s="215"/>
      <c r="LU3" s="215"/>
      <c r="LV3" s="215"/>
      <c r="LW3" s="215"/>
      <c r="LX3" s="215"/>
      <c r="LY3" s="215"/>
      <c r="LZ3" s="215"/>
      <c r="MA3" s="215"/>
      <c r="MB3" s="215"/>
      <c r="MC3" s="215"/>
      <c r="MD3" s="215"/>
      <c r="ME3" s="215"/>
      <c r="MF3" s="215"/>
      <c r="MG3" s="215"/>
      <c r="MH3" s="215"/>
      <c r="MI3" s="215"/>
      <c r="MJ3" s="215"/>
      <c r="MK3" s="215"/>
      <c r="ML3" s="215"/>
      <c r="MM3" s="215"/>
      <c r="MN3" s="215"/>
      <c r="MO3" s="215"/>
      <c r="MP3" s="215"/>
      <c r="MQ3" s="215"/>
      <c r="MR3" s="215"/>
      <c r="MS3" s="215"/>
      <c r="MT3" s="215"/>
      <c r="MU3" s="215"/>
      <c r="MV3" s="215"/>
      <c r="MW3" s="215"/>
      <c r="MX3" s="215"/>
      <c r="MY3" s="215"/>
      <c r="MZ3" s="215"/>
      <c r="NA3" s="215"/>
      <c r="NB3" s="215"/>
      <c r="NC3" s="215"/>
      <c r="ND3" s="215"/>
      <c r="NE3" s="215"/>
      <c r="NF3" s="215"/>
      <c r="NG3" s="215"/>
      <c r="NH3" s="215"/>
      <c r="NI3" s="215"/>
      <c r="NJ3" s="215"/>
      <c r="NK3" s="215"/>
      <c r="NL3" s="215"/>
      <c r="NM3" s="215"/>
      <c r="NN3" s="215"/>
      <c r="NO3" s="215"/>
      <c r="NP3" s="215"/>
      <c r="NQ3" s="215"/>
      <c r="NR3" s="215"/>
      <c r="NS3" s="215"/>
      <c r="NT3" s="215"/>
      <c r="NU3" s="215"/>
      <c r="NV3" s="215"/>
      <c r="NW3" s="215"/>
      <c r="NX3" s="215"/>
      <c r="NY3" s="215"/>
      <c r="NZ3" s="215"/>
      <c r="OA3" s="215"/>
      <c r="OB3" s="215"/>
      <c r="OC3" s="215"/>
      <c r="OD3" s="215"/>
      <c r="OE3" s="215"/>
      <c r="OF3" s="215"/>
      <c r="OG3" s="215"/>
      <c r="OH3" s="215"/>
      <c r="OI3" s="215"/>
      <c r="OJ3" s="215"/>
      <c r="OK3" s="215"/>
      <c r="OL3" s="215"/>
      <c r="OM3" s="215"/>
      <c r="ON3" s="215"/>
      <c r="OO3" s="215"/>
      <c r="OP3" s="215"/>
      <c r="OQ3" s="215"/>
      <c r="OR3" s="215"/>
      <c r="OS3" s="215"/>
      <c r="OT3" s="215"/>
      <c r="OU3" s="215"/>
      <c r="OV3" s="215"/>
      <c r="OW3" s="215"/>
      <c r="OX3" s="215"/>
      <c r="OY3" s="215"/>
      <c r="OZ3" s="215"/>
      <c r="PA3" s="215"/>
      <c r="PB3" s="215"/>
      <c r="PC3" s="215"/>
      <c r="PD3" s="215"/>
      <c r="PE3" s="215"/>
      <c r="PF3" s="215"/>
      <c r="PG3" s="215"/>
      <c r="PH3" s="215"/>
      <c r="PI3" s="215"/>
      <c r="PJ3" s="215"/>
      <c r="PK3" s="215"/>
      <c r="PL3" s="215"/>
      <c r="PM3" s="215"/>
      <c r="PN3" s="215"/>
      <c r="PO3" s="215"/>
      <c r="PP3" s="215"/>
      <c r="PQ3" s="215"/>
      <c r="PR3" s="215"/>
      <c r="PS3" s="215"/>
      <c r="PT3" s="215"/>
      <c r="PU3" s="215"/>
      <c r="PV3" s="215"/>
      <c r="PW3" s="215"/>
      <c r="PX3" s="215"/>
      <c r="PY3" s="215"/>
      <c r="PZ3" s="215"/>
      <c r="QA3" s="215"/>
      <c r="QB3" s="215"/>
      <c r="QC3" s="215"/>
      <c r="QD3" s="215"/>
      <c r="QE3" s="215"/>
      <c r="QF3" s="215"/>
      <c r="QG3" s="215"/>
      <c r="QH3" s="215"/>
      <c r="QI3" s="215"/>
      <c r="QJ3" s="215"/>
      <c r="QK3" s="215"/>
      <c r="QL3" s="215"/>
      <c r="QM3" s="215"/>
      <c r="QN3" s="215"/>
      <c r="QO3" s="215"/>
      <c r="QP3" s="215"/>
      <c r="QQ3" s="215"/>
      <c r="QR3" s="215"/>
      <c r="QS3" s="215"/>
      <c r="QT3" s="215"/>
      <c r="QU3" s="215"/>
      <c r="QV3" s="215"/>
      <c r="QW3" s="215"/>
      <c r="QX3" s="215"/>
      <c r="QY3" s="215"/>
      <c r="QZ3" s="215"/>
      <c r="RA3" s="215"/>
      <c r="RB3" s="215"/>
      <c r="RC3" s="215"/>
      <c r="RD3" s="215"/>
      <c r="RE3" s="215"/>
      <c r="RF3" s="215"/>
      <c r="RG3" s="215"/>
      <c r="RH3" s="215"/>
      <c r="RI3" s="215"/>
      <c r="RJ3" s="215"/>
      <c r="RK3" s="215"/>
      <c r="RL3" s="215"/>
      <c r="RM3" s="215"/>
      <c r="RN3" s="215"/>
      <c r="RO3" s="215"/>
      <c r="RP3" s="215"/>
      <c r="RQ3" s="215"/>
      <c r="RR3" s="215"/>
      <c r="RS3" s="215"/>
      <c r="RT3" s="215"/>
      <c r="RU3" s="215"/>
      <c r="RV3" s="215"/>
      <c r="RW3" s="215"/>
      <c r="RX3" s="215"/>
      <c r="RY3" s="215"/>
      <c r="RZ3" s="215"/>
      <c r="SA3" s="215"/>
      <c r="SB3" s="215"/>
      <c r="SC3" s="215"/>
      <c r="SD3" s="215"/>
      <c r="SE3" s="215"/>
      <c r="SF3" s="215"/>
      <c r="SG3" s="215"/>
      <c r="SH3" s="215"/>
      <c r="SI3" s="215"/>
      <c r="SJ3" s="215"/>
      <c r="SK3" s="215"/>
      <c r="SL3" s="215"/>
      <c r="SM3" s="215"/>
      <c r="SN3" s="215"/>
      <c r="SO3" s="215"/>
      <c r="SP3" s="215"/>
      <c r="SQ3" s="215"/>
      <c r="SR3" s="215"/>
      <c r="SS3" s="215"/>
      <c r="ST3" s="215"/>
      <c r="SU3" s="215"/>
      <c r="SV3" s="215"/>
      <c r="SW3" s="215"/>
      <c r="SX3" s="215"/>
      <c r="SY3" s="215"/>
      <c r="SZ3" s="215"/>
      <c r="TA3" s="215"/>
      <c r="TB3" s="215"/>
      <c r="TC3" s="215"/>
      <c r="TD3" s="215"/>
      <c r="TE3" s="215"/>
      <c r="TF3" s="215"/>
      <c r="TG3" s="215"/>
      <c r="TH3" s="215"/>
      <c r="TI3" s="215"/>
      <c r="TJ3" s="215"/>
      <c r="TK3" s="215"/>
      <c r="TL3" s="215"/>
      <c r="TM3" s="215"/>
      <c r="TN3" s="215"/>
      <c r="TO3" s="215"/>
      <c r="TP3" s="215"/>
      <c r="TQ3" s="215"/>
      <c r="TR3" s="215"/>
      <c r="TS3" s="215"/>
      <c r="TT3" s="215"/>
      <c r="TU3" s="215"/>
      <c r="TV3" s="215"/>
      <c r="TW3" s="215"/>
      <c r="TX3" s="215"/>
      <c r="TY3" s="215"/>
      <c r="TZ3" s="215"/>
      <c r="UA3" s="215"/>
      <c r="UB3" s="215"/>
      <c r="UC3" s="215"/>
      <c r="UD3" s="215"/>
      <c r="UE3" s="215"/>
      <c r="UF3" s="215"/>
      <c r="UG3" s="215"/>
      <c r="UH3" s="215"/>
      <c r="UI3" s="215"/>
      <c r="UJ3" s="215"/>
      <c r="UK3" s="215"/>
      <c r="UL3" s="215"/>
      <c r="UM3" s="215"/>
      <c r="UN3" s="215"/>
      <c r="UO3" s="215"/>
      <c r="UP3" s="215"/>
      <c r="UQ3" s="215"/>
      <c r="UR3" s="215"/>
      <c r="US3" s="215"/>
      <c r="UT3" s="215"/>
      <c r="UU3" s="215"/>
      <c r="UV3" s="215"/>
      <c r="UW3" s="215"/>
      <c r="UX3" s="215"/>
      <c r="UY3" s="215"/>
      <c r="UZ3" s="215"/>
      <c r="VA3" s="215"/>
      <c r="VB3" s="215"/>
      <c r="VC3" s="215"/>
      <c r="VD3" s="215"/>
      <c r="VE3" s="215"/>
      <c r="VF3" s="215"/>
      <c r="VG3" s="215"/>
      <c r="VH3" s="215"/>
      <c r="VI3" s="215"/>
      <c r="VJ3" s="215"/>
      <c r="VK3" s="215"/>
      <c r="VL3" s="215"/>
      <c r="VM3" s="215"/>
      <c r="VN3" s="215"/>
      <c r="VO3" s="215"/>
      <c r="VP3" s="215"/>
      <c r="VQ3" s="215"/>
      <c r="VR3" s="215"/>
      <c r="VS3" s="215"/>
      <c r="VT3" s="215"/>
      <c r="VU3" s="215"/>
      <c r="VV3" s="215"/>
      <c r="VW3" s="215"/>
      <c r="VX3" s="215"/>
      <c r="VY3" s="215"/>
      <c r="VZ3" s="215"/>
      <c r="WA3" s="215"/>
      <c r="WB3" s="215"/>
    </row>
    <row r="4" spans="1:600" s="218" customFormat="1" ht="23.5" hidden="1" customHeight="1" x14ac:dyDescent="0.35">
      <c r="A4" s="215"/>
      <c r="B4" s="215"/>
      <c r="C4" s="219"/>
      <c r="D4" s="219"/>
      <c r="E4" s="219"/>
      <c r="F4" s="220"/>
      <c r="G4" s="215"/>
      <c r="H4" s="215"/>
      <c r="I4" s="215"/>
      <c r="J4" s="215"/>
      <c r="K4" s="221"/>
      <c r="L4" s="221"/>
      <c r="M4" s="221"/>
      <c r="N4" s="221"/>
      <c r="O4" s="221"/>
      <c r="P4" s="221"/>
      <c r="Q4" s="221"/>
      <c r="R4" s="221"/>
      <c r="S4" s="221"/>
      <c r="T4" s="221"/>
      <c r="U4" s="221"/>
      <c r="V4" s="221"/>
      <c r="W4" s="221"/>
      <c r="X4" s="221"/>
      <c r="Y4" s="221"/>
      <c r="Z4" s="221"/>
      <c r="AA4" s="221"/>
      <c r="AB4" s="221"/>
      <c r="AC4" s="221"/>
      <c r="AD4" s="221"/>
      <c r="AE4" s="221"/>
      <c r="AF4" s="222"/>
      <c r="AG4" s="215"/>
      <c r="AH4" s="215"/>
      <c r="AI4" s="215"/>
      <c r="AJ4" s="215"/>
      <c r="AK4" s="215"/>
      <c r="AL4" s="215"/>
      <c r="AM4" s="215"/>
      <c r="AN4" s="215"/>
      <c r="AO4" s="215"/>
      <c r="AP4" s="215"/>
      <c r="AQ4" s="215"/>
      <c r="AR4" s="215"/>
      <c r="AS4" s="221"/>
      <c r="AT4" s="221"/>
      <c r="AU4" s="221"/>
      <c r="AV4" s="221"/>
      <c r="AW4" s="221"/>
      <c r="AX4" s="221"/>
      <c r="AY4" s="221"/>
      <c r="AZ4" s="221"/>
      <c r="BA4" s="221"/>
      <c r="BB4" s="221"/>
      <c r="BC4" s="221"/>
      <c r="BD4" s="221"/>
      <c r="BE4" s="221"/>
      <c r="BF4" s="221"/>
      <c r="BG4" s="221"/>
      <c r="BH4" s="221"/>
      <c r="BI4" s="221"/>
      <c r="BJ4" s="221"/>
      <c r="BK4" s="221"/>
      <c r="BL4" s="221"/>
      <c r="BM4" s="221"/>
      <c r="BN4" s="221"/>
      <c r="BO4" s="221"/>
      <c r="BP4" s="221"/>
      <c r="BQ4" s="221"/>
      <c r="BR4" s="221"/>
      <c r="BS4" s="221"/>
      <c r="BT4" s="221"/>
      <c r="BU4" s="221"/>
      <c r="BV4" s="221"/>
      <c r="BW4" s="221"/>
      <c r="BX4" s="221"/>
      <c r="BY4" s="215"/>
      <c r="BZ4" s="215"/>
      <c r="CA4" s="215"/>
      <c r="CB4" s="215"/>
      <c r="CC4" s="215"/>
      <c r="CD4" s="215"/>
      <c r="CE4" s="215"/>
      <c r="CF4" s="215"/>
      <c r="CG4" s="215"/>
      <c r="CH4" s="215"/>
      <c r="CI4" s="215"/>
      <c r="CJ4" s="215"/>
      <c r="CK4" s="215"/>
      <c r="CL4" s="215"/>
      <c r="CM4" s="215"/>
      <c r="CN4" s="215"/>
      <c r="CO4" s="215"/>
      <c r="CP4" s="215"/>
      <c r="CQ4" s="215"/>
      <c r="CR4" s="215"/>
      <c r="CS4" s="215"/>
      <c r="CT4" s="215"/>
      <c r="CU4" s="215"/>
      <c r="CV4" s="215"/>
      <c r="CW4" s="215"/>
      <c r="CX4" s="215"/>
      <c r="CY4" s="215"/>
      <c r="CZ4" s="215"/>
      <c r="DA4" s="215"/>
      <c r="DB4" s="215"/>
      <c r="DC4" s="215"/>
      <c r="DD4" s="215"/>
      <c r="DE4" s="215"/>
      <c r="DF4" s="215"/>
      <c r="DG4" s="215"/>
      <c r="DH4" s="215"/>
      <c r="DI4" s="215"/>
      <c r="DJ4" s="215"/>
      <c r="DK4" s="215"/>
      <c r="DL4" s="215"/>
      <c r="DM4" s="215"/>
      <c r="DN4" s="215"/>
      <c r="DO4" s="215"/>
      <c r="DP4" s="215"/>
      <c r="DQ4" s="215"/>
      <c r="DR4" s="215"/>
      <c r="DS4" s="215"/>
      <c r="DT4" s="215"/>
      <c r="DU4" s="215"/>
      <c r="DV4" s="215"/>
      <c r="DW4" s="215"/>
      <c r="DX4" s="215"/>
      <c r="DY4" s="215"/>
      <c r="DZ4" s="215"/>
      <c r="EA4" s="215"/>
      <c r="EB4" s="215"/>
      <c r="EC4" s="215"/>
      <c r="ED4" s="215"/>
      <c r="EE4" s="215"/>
      <c r="EF4" s="215"/>
      <c r="EG4" s="215"/>
      <c r="EH4" s="215"/>
      <c r="EI4" s="215"/>
      <c r="EJ4" s="215"/>
      <c r="EK4" s="215"/>
      <c r="EL4" s="215"/>
      <c r="EM4" s="215"/>
      <c r="EN4" s="215"/>
      <c r="EO4" s="215"/>
      <c r="EP4" s="215"/>
      <c r="EQ4" s="215"/>
      <c r="ER4" s="215"/>
      <c r="ES4" s="215"/>
      <c r="ET4" s="215"/>
      <c r="EU4" s="215"/>
      <c r="EV4" s="215"/>
      <c r="EW4" s="215"/>
      <c r="EX4" s="215"/>
      <c r="EY4" s="215"/>
      <c r="EZ4" s="215"/>
      <c r="FA4" s="215"/>
      <c r="FB4" s="215"/>
      <c r="FC4" s="215"/>
      <c r="FD4" s="215"/>
      <c r="FE4" s="215"/>
      <c r="FF4" s="215"/>
      <c r="FG4" s="215"/>
      <c r="FH4" s="215"/>
      <c r="FI4" s="215"/>
      <c r="FJ4" s="215"/>
      <c r="FK4" s="215"/>
      <c r="FL4" s="215"/>
      <c r="FM4" s="215"/>
      <c r="FN4" s="215"/>
      <c r="FO4" s="215"/>
      <c r="FP4" s="215"/>
      <c r="FQ4" s="215"/>
      <c r="FR4" s="215"/>
      <c r="FS4" s="215"/>
      <c r="FT4" s="215"/>
      <c r="FU4" s="215"/>
      <c r="FV4" s="215"/>
      <c r="FW4" s="215"/>
      <c r="FX4" s="215"/>
      <c r="FY4" s="215"/>
      <c r="FZ4" s="215"/>
      <c r="GA4" s="215"/>
      <c r="GB4" s="215"/>
      <c r="GC4" s="215"/>
      <c r="GD4" s="215"/>
      <c r="GE4" s="215"/>
      <c r="GF4" s="215"/>
      <c r="GG4" s="215"/>
      <c r="GH4" s="215"/>
      <c r="GI4" s="215"/>
      <c r="GJ4" s="215"/>
      <c r="GK4" s="215"/>
      <c r="GL4" s="215"/>
      <c r="GM4" s="215"/>
      <c r="GN4" s="215"/>
      <c r="GO4" s="215"/>
      <c r="GP4" s="215"/>
      <c r="GQ4" s="215"/>
      <c r="GR4" s="215"/>
      <c r="GS4" s="215"/>
      <c r="GT4" s="215"/>
      <c r="GU4" s="215"/>
      <c r="GV4" s="215"/>
      <c r="GW4" s="215"/>
      <c r="GX4" s="215"/>
      <c r="GY4" s="215"/>
      <c r="GZ4" s="215"/>
      <c r="HA4" s="215"/>
      <c r="HB4" s="215"/>
      <c r="HC4" s="215"/>
      <c r="HD4" s="215"/>
      <c r="HE4" s="215"/>
      <c r="HF4" s="215"/>
      <c r="HG4" s="215"/>
      <c r="HH4" s="215"/>
      <c r="HI4" s="215"/>
      <c r="HJ4" s="215"/>
      <c r="HK4" s="215"/>
      <c r="HL4" s="215"/>
      <c r="HM4" s="215"/>
      <c r="HN4" s="215"/>
      <c r="HO4" s="215"/>
      <c r="HP4" s="215"/>
      <c r="HQ4" s="215"/>
      <c r="HR4" s="215"/>
      <c r="HS4" s="215"/>
      <c r="HT4" s="215"/>
      <c r="HU4" s="215"/>
      <c r="HV4" s="215"/>
      <c r="HW4" s="215"/>
      <c r="HX4" s="215"/>
      <c r="HY4" s="215"/>
      <c r="HZ4" s="215"/>
      <c r="IA4" s="215"/>
      <c r="IB4" s="215"/>
      <c r="IC4" s="215"/>
      <c r="ID4" s="215"/>
      <c r="IE4" s="215"/>
      <c r="IF4" s="215"/>
      <c r="IG4" s="215"/>
      <c r="IH4" s="215"/>
      <c r="II4" s="215"/>
      <c r="IJ4" s="215"/>
      <c r="IK4" s="215"/>
      <c r="IL4" s="215"/>
      <c r="IM4" s="215"/>
      <c r="IN4" s="215"/>
      <c r="IO4" s="215"/>
      <c r="IP4" s="215"/>
      <c r="IQ4" s="215"/>
      <c r="IR4" s="215"/>
      <c r="IS4" s="215"/>
      <c r="IT4" s="215"/>
      <c r="IU4" s="215"/>
      <c r="IV4" s="215"/>
      <c r="IW4" s="215"/>
      <c r="IX4" s="215"/>
      <c r="IY4" s="215"/>
      <c r="IZ4" s="215"/>
      <c r="JA4" s="215"/>
      <c r="JB4" s="215"/>
      <c r="JC4" s="215"/>
      <c r="JD4" s="215"/>
      <c r="JE4" s="215"/>
      <c r="JF4" s="215"/>
      <c r="JG4" s="215"/>
      <c r="JH4" s="215"/>
      <c r="JI4" s="215"/>
      <c r="JJ4" s="215"/>
      <c r="JK4" s="215"/>
      <c r="JL4" s="215"/>
      <c r="JM4" s="215"/>
      <c r="JN4" s="215"/>
      <c r="JO4" s="215"/>
      <c r="JP4" s="215"/>
      <c r="JQ4" s="215"/>
      <c r="JR4" s="215"/>
      <c r="JS4" s="215"/>
      <c r="JT4" s="215"/>
      <c r="JU4" s="215"/>
      <c r="JV4" s="215"/>
      <c r="JW4" s="215"/>
      <c r="JX4" s="215"/>
      <c r="JY4" s="215"/>
      <c r="JZ4" s="215"/>
      <c r="KA4" s="215"/>
      <c r="KB4" s="215"/>
      <c r="KC4" s="215"/>
      <c r="KD4" s="215"/>
      <c r="KE4" s="215"/>
      <c r="KF4" s="215"/>
      <c r="KG4" s="215"/>
      <c r="KH4" s="215"/>
      <c r="KI4" s="215"/>
      <c r="KJ4" s="215"/>
      <c r="KK4" s="215"/>
      <c r="KL4" s="215"/>
      <c r="KM4" s="215"/>
      <c r="KN4" s="215"/>
      <c r="KO4" s="215"/>
      <c r="KP4" s="215"/>
      <c r="KQ4" s="215"/>
      <c r="KR4" s="215"/>
      <c r="KS4" s="215"/>
      <c r="KT4" s="215"/>
      <c r="KU4" s="215"/>
      <c r="KV4" s="215"/>
      <c r="KW4" s="215"/>
      <c r="KX4" s="215"/>
      <c r="KY4" s="215"/>
      <c r="KZ4" s="215"/>
      <c r="LA4" s="215"/>
      <c r="LB4" s="215"/>
      <c r="LC4" s="215"/>
      <c r="LD4" s="215"/>
      <c r="LE4" s="215"/>
      <c r="LF4" s="215"/>
      <c r="LG4" s="215"/>
      <c r="LH4" s="215"/>
      <c r="LI4" s="215"/>
      <c r="LJ4" s="215"/>
      <c r="LK4" s="215"/>
      <c r="LL4" s="215"/>
      <c r="LM4" s="215"/>
      <c r="LN4" s="215"/>
      <c r="LO4" s="215"/>
      <c r="LP4" s="215"/>
      <c r="LQ4" s="215"/>
      <c r="LR4" s="215"/>
      <c r="LS4" s="215"/>
      <c r="LT4" s="215"/>
      <c r="LU4" s="215"/>
      <c r="LV4" s="215"/>
      <c r="LW4" s="215"/>
      <c r="LX4" s="215"/>
      <c r="LY4" s="215"/>
      <c r="LZ4" s="215"/>
      <c r="MA4" s="215"/>
      <c r="MB4" s="215"/>
      <c r="MC4" s="215"/>
      <c r="MD4" s="215"/>
      <c r="ME4" s="215"/>
      <c r="MF4" s="215"/>
      <c r="MG4" s="215"/>
      <c r="MH4" s="215"/>
      <c r="MI4" s="215"/>
      <c r="MJ4" s="215"/>
      <c r="MK4" s="215"/>
      <c r="ML4" s="215"/>
      <c r="MM4" s="215"/>
      <c r="MN4" s="215"/>
      <c r="MO4" s="215"/>
      <c r="MP4" s="215"/>
      <c r="MQ4" s="215"/>
      <c r="MR4" s="215"/>
      <c r="MS4" s="215"/>
      <c r="MT4" s="215"/>
      <c r="MU4" s="215"/>
      <c r="MV4" s="215"/>
      <c r="MW4" s="215"/>
      <c r="MX4" s="215"/>
      <c r="MY4" s="215"/>
      <c r="MZ4" s="215"/>
      <c r="NA4" s="215"/>
      <c r="NB4" s="215"/>
      <c r="NC4" s="215"/>
      <c r="ND4" s="215"/>
      <c r="NE4" s="215"/>
      <c r="NF4" s="215"/>
      <c r="NG4" s="215"/>
      <c r="NH4" s="215"/>
      <c r="NI4" s="215"/>
      <c r="NJ4" s="215"/>
      <c r="NK4" s="215"/>
      <c r="NL4" s="215"/>
      <c r="NM4" s="215"/>
      <c r="NN4" s="215"/>
      <c r="NO4" s="215"/>
      <c r="NP4" s="215"/>
      <c r="NQ4" s="215"/>
      <c r="NR4" s="215"/>
      <c r="NS4" s="215"/>
      <c r="NT4" s="215"/>
      <c r="NU4" s="215"/>
      <c r="NV4" s="215"/>
      <c r="NW4" s="215"/>
      <c r="NX4" s="215"/>
      <c r="NY4" s="215"/>
      <c r="NZ4" s="215"/>
      <c r="OA4" s="215"/>
      <c r="OB4" s="215"/>
      <c r="OC4" s="215"/>
      <c r="OD4" s="215"/>
      <c r="OE4" s="215"/>
      <c r="OF4" s="215"/>
      <c r="OG4" s="215"/>
      <c r="OH4" s="215"/>
      <c r="OI4" s="215"/>
      <c r="OJ4" s="215"/>
      <c r="OK4" s="215"/>
      <c r="OL4" s="215"/>
      <c r="OM4" s="215"/>
      <c r="ON4" s="215"/>
      <c r="OO4" s="215"/>
      <c r="OP4" s="215"/>
      <c r="OQ4" s="215"/>
      <c r="OR4" s="215"/>
      <c r="OS4" s="215"/>
      <c r="OT4" s="215"/>
      <c r="OU4" s="215"/>
      <c r="OV4" s="215"/>
      <c r="OW4" s="215"/>
      <c r="OX4" s="215"/>
      <c r="OY4" s="215"/>
      <c r="OZ4" s="215"/>
      <c r="PA4" s="215"/>
      <c r="PB4" s="215"/>
      <c r="PC4" s="215"/>
      <c r="PD4" s="215"/>
      <c r="PE4" s="215"/>
      <c r="PF4" s="215"/>
      <c r="PG4" s="215"/>
      <c r="PH4" s="215"/>
      <c r="PI4" s="215"/>
      <c r="PJ4" s="215"/>
      <c r="PK4" s="215"/>
      <c r="PL4" s="215"/>
      <c r="PM4" s="215"/>
      <c r="PN4" s="215"/>
      <c r="PO4" s="215"/>
      <c r="PP4" s="215"/>
      <c r="PQ4" s="215"/>
      <c r="PR4" s="215"/>
      <c r="PS4" s="215"/>
      <c r="PT4" s="215"/>
      <c r="PU4" s="215"/>
      <c r="PV4" s="215"/>
      <c r="PW4" s="215"/>
      <c r="PX4" s="215"/>
      <c r="PY4" s="215"/>
      <c r="PZ4" s="215"/>
      <c r="QA4" s="215"/>
      <c r="QB4" s="215"/>
      <c r="QC4" s="215"/>
      <c r="QD4" s="215"/>
      <c r="QE4" s="215"/>
      <c r="QF4" s="215"/>
      <c r="QG4" s="215"/>
      <c r="QH4" s="215"/>
      <c r="QI4" s="215"/>
      <c r="QJ4" s="215"/>
      <c r="QK4" s="215"/>
      <c r="QL4" s="215"/>
      <c r="QM4" s="215"/>
      <c r="QN4" s="215"/>
      <c r="QO4" s="215"/>
      <c r="QP4" s="215"/>
      <c r="QQ4" s="215"/>
      <c r="QR4" s="215"/>
      <c r="QS4" s="215"/>
      <c r="QT4" s="215"/>
      <c r="QU4" s="215"/>
      <c r="QV4" s="215"/>
      <c r="QW4" s="215"/>
      <c r="QX4" s="215"/>
      <c r="QY4" s="215"/>
      <c r="QZ4" s="215"/>
      <c r="RA4" s="215"/>
      <c r="RB4" s="215"/>
      <c r="RC4" s="215"/>
      <c r="RD4" s="215"/>
      <c r="RE4" s="215"/>
      <c r="RF4" s="215"/>
      <c r="RG4" s="215"/>
      <c r="RH4" s="215"/>
      <c r="RI4" s="215"/>
      <c r="RJ4" s="215"/>
      <c r="RK4" s="215"/>
      <c r="RL4" s="215"/>
      <c r="RM4" s="215"/>
      <c r="RN4" s="215"/>
      <c r="RO4" s="215"/>
      <c r="RP4" s="215"/>
      <c r="RQ4" s="215"/>
      <c r="RR4" s="215"/>
      <c r="RS4" s="215"/>
      <c r="RT4" s="215"/>
      <c r="RU4" s="215"/>
      <c r="RV4" s="215"/>
      <c r="RW4" s="215"/>
      <c r="RX4" s="215"/>
      <c r="RY4" s="215"/>
      <c r="RZ4" s="215"/>
      <c r="SA4" s="215"/>
      <c r="SB4" s="215"/>
      <c r="SC4" s="215"/>
      <c r="SD4" s="215"/>
      <c r="SE4" s="215"/>
      <c r="SF4" s="215"/>
      <c r="SG4" s="215"/>
      <c r="SH4" s="215"/>
      <c r="SI4" s="215"/>
      <c r="SJ4" s="215"/>
      <c r="SK4" s="215"/>
      <c r="SL4" s="215"/>
      <c r="SM4" s="215"/>
      <c r="SN4" s="215"/>
      <c r="SO4" s="215"/>
      <c r="SP4" s="215"/>
      <c r="SQ4" s="215"/>
      <c r="SR4" s="215"/>
      <c r="SS4" s="215"/>
      <c r="ST4" s="215"/>
      <c r="SU4" s="215"/>
      <c r="SV4" s="215"/>
      <c r="SW4" s="215"/>
      <c r="SX4" s="215"/>
      <c r="SY4" s="215"/>
      <c r="SZ4" s="215"/>
      <c r="TA4" s="215"/>
      <c r="TB4" s="215"/>
      <c r="TC4" s="215"/>
      <c r="TD4" s="215"/>
      <c r="TE4" s="215"/>
      <c r="TF4" s="215"/>
      <c r="TG4" s="215"/>
      <c r="TH4" s="215"/>
      <c r="TI4" s="215"/>
      <c r="TJ4" s="215"/>
      <c r="TK4" s="215"/>
      <c r="TL4" s="215"/>
      <c r="TM4" s="215"/>
      <c r="TN4" s="215"/>
      <c r="TO4" s="215"/>
      <c r="TP4" s="215"/>
      <c r="TQ4" s="215"/>
      <c r="TR4" s="215"/>
      <c r="TS4" s="215"/>
      <c r="TT4" s="215"/>
      <c r="TU4" s="215"/>
      <c r="TV4" s="215"/>
      <c r="TW4" s="215"/>
      <c r="TX4" s="215"/>
      <c r="TY4" s="215"/>
      <c r="TZ4" s="215"/>
      <c r="UA4" s="215"/>
      <c r="UB4" s="215"/>
      <c r="UC4" s="215"/>
      <c r="UD4" s="215"/>
      <c r="UE4" s="215"/>
      <c r="UF4" s="215"/>
      <c r="UG4" s="215"/>
      <c r="UH4" s="215"/>
      <c r="UI4" s="215"/>
      <c r="UJ4" s="215"/>
      <c r="UK4" s="215"/>
      <c r="UL4" s="215"/>
      <c r="UM4" s="215"/>
      <c r="UN4" s="215"/>
      <c r="UO4" s="215"/>
      <c r="UP4" s="215"/>
      <c r="UQ4" s="215"/>
      <c r="UR4" s="215"/>
      <c r="US4" s="215"/>
      <c r="UT4" s="215"/>
      <c r="UU4" s="215"/>
      <c r="UV4" s="215"/>
      <c r="UW4" s="215"/>
      <c r="UX4" s="215"/>
      <c r="UY4" s="215"/>
      <c r="UZ4" s="215"/>
      <c r="VA4" s="215"/>
      <c r="VB4" s="215"/>
      <c r="VC4" s="215"/>
      <c r="VD4" s="215"/>
      <c r="VE4" s="215"/>
      <c r="VF4" s="215"/>
      <c r="VG4" s="215"/>
      <c r="VH4" s="215"/>
      <c r="VI4" s="215"/>
      <c r="VJ4" s="215"/>
      <c r="VK4" s="215"/>
      <c r="VL4" s="215"/>
      <c r="VM4" s="215"/>
      <c r="VN4" s="215"/>
      <c r="VO4" s="215"/>
      <c r="VP4" s="215"/>
      <c r="VQ4" s="215"/>
      <c r="VR4" s="215"/>
      <c r="VS4" s="215"/>
      <c r="VT4" s="215"/>
      <c r="VU4" s="215"/>
      <c r="VV4" s="215"/>
      <c r="VW4" s="215"/>
      <c r="VX4" s="215"/>
      <c r="VY4" s="215"/>
      <c r="VZ4" s="215"/>
      <c r="WA4" s="215"/>
      <c r="WB4" s="215"/>
    </row>
    <row r="5" spans="1:600" s="218" customFormat="1" ht="23.5" hidden="1" customHeight="1" x14ac:dyDescent="0.35">
      <c r="A5" s="215"/>
      <c r="B5" s="215"/>
      <c r="C5" s="219"/>
      <c r="D5" s="219"/>
      <c r="E5" s="219"/>
      <c r="F5" s="220"/>
      <c r="G5" s="215"/>
      <c r="H5" s="215"/>
      <c r="I5" s="215"/>
      <c r="J5" s="215"/>
      <c r="K5" s="223"/>
      <c r="L5" s="223"/>
      <c r="M5" s="223"/>
      <c r="N5" s="223"/>
      <c r="O5" s="223"/>
      <c r="P5" s="223"/>
      <c r="Q5" s="223"/>
      <c r="R5" s="223"/>
      <c r="S5" s="223"/>
      <c r="T5" s="223"/>
      <c r="U5" s="223"/>
      <c r="V5" s="223"/>
      <c r="W5" s="223"/>
      <c r="X5" s="223"/>
      <c r="Y5" s="223"/>
      <c r="Z5" s="223"/>
      <c r="AA5" s="223"/>
      <c r="AB5" s="223"/>
      <c r="AC5" s="223"/>
      <c r="AD5" s="223"/>
      <c r="AE5" s="223"/>
      <c r="AF5" s="222"/>
      <c r="AG5" s="215"/>
      <c r="AH5" s="215"/>
      <c r="AI5" s="215"/>
      <c r="AJ5" s="215"/>
      <c r="AK5" s="215"/>
      <c r="AL5" s="215"/>
      <c r="AM5" s="215"/>
      <c r="AN5" s="215"/>
      <c r="AO5" s="215"/>
      <c r="AP5" s="215"/>
      <c r="AQ5" s="215"/>
      <c r="AR5" s="215"/>
      <c r="AS5" s="223"/>
      <c r="AT5" s="223"/>
      <c r="AU5" s="223"/>
      <c r="AV5" s="223"/>
      <c r="AW5" s="223"/>
      <c r="AX5" s="223"/>
      <c r="AY5" s="223"/>
      <c r="AZ5" s="223"/>
      <c r="BA5" s="223"/>
      <c r="BB5" s="223"/>
      <c r="BC5" s="223"/>
      <c r="BD5" s="223"/>
      <c r="BE5" s="223"/>
      <c r="BF5" s="223"/>
      <c r="BG5" s="223"/>
      <c r="BH5" s="223"/>
      <c r="BI5" s="223"/>
      <c r="BJ5" s="223"/>
      <c r="BK5" s="223"/>
      <c r="BL5" s="223"/>
      <c r="BM5" s="223"/>
      <c r="BN5" s="223"/>
      <c r="BO5" s="223"/>
      <c r="BP5" s="223"/>
      <c r="BQ5" s="223"/>
      <c r="BR5" s="223"/>
      <c r="BS5" s="223"/>
      <c r="BT5" s="223"/>
      <c r="BU5" s="223"/>
      <c r="BV5" s="223"/>
      <c r="BW5" s="223"/>
      <c r="BX5" s="223"/>
      <c r="BY5" s="215"/>
      <c r="BZ5" s="215"/>
      <c r="CA5" s="215"/>
      <c r="CB5" s="215"/>
      <c r="CC5" s="215"/>
      <c r="CD5" s="215"/>
      <c r="CE5" s="215"/>
      <c r="CF5" s="215"/>
      <c r="CG5" s="215"/>
      <c r="CH5" s="215"/>
      <c r="CI5" s="215"/>
      <c r="CJ5" s="215"/>
      <c r="CK5" s="215"/>
      <c r="CL5" s="215"/>
      <c r="CM5" s="215"/>
      <c r="CN5" s="215"/>
      <c r="CO5" s="215"/>
      <c r="CP5" s="215"/>
      <c r="CQ5" s="215"/>
      <c r="CR5" s="215"/>
      <c r="CS5" s="215"/>
      <c r="CT5" s="215"/>
      <c r="CU5" s="215"/>
      <c r="CV5" s="215"/>
      <c r="CW5" s="215"/>
      <c r="CX5" s="215"/>
      <c r="CY5" s="215"/>
      <c r="CZ5" s="215"/>
      <c r="DA5" s="215"/>
      <c r="DB5" s="215"/>
      <c r="DC5" s="215"/>
      <c r="DD5" s="215"/>
      <c r="DE5" s="215"/>
      <c r="DF5" s="215"/>
      <c r="DG5" s="215"/>
      <c r="DH5" s="215"/>
      <c r="DI5" s="215"/>
      <c r="DJ5" s="215"/>
      <c r="DK5" s="215"/>
      <c r="DL5" s="215"/>
      <c r="DM5" s="215"/>
      <c r="DN5" s="215"/>
      <c r="DO5" s="215"/>
      <c r="DP5" s="215"/>
      <c r="DQ5" s="215"/>
      <c r="DR5" s="215"/>
      <c r="DS5" s="215"/>
      <c r="DT5" s="215"/>
      <c r="DU5" s="215"/>
      <c r="DV5" s="215"/>
      <c r="DW5" s="215"/>
      <c r="DX5" s="215"/>
      <c r="DY5" s="215"/>
      <c r="DZ5" s="215"/>
      <c r="EA5" s="215"/>
      <c r="EB5" s="215"/>
      <c r="EC5" s="215"/>
      <c r="ED5" s="215"/>
      <c r="EE5" s="215"/>
      <c r="EF5" s="215"/>
      <c r="EG5" s="215"/>
      <c r="EH5" s="215"/>
      <c r="EI5" s="215"/>
      <c r="EJ5" s="215"/>
      <c r="EK5" s="215"/>
      <c r="EL5" s="215"/>
      <c r="EM5" s="215"/>
      <c r="EN5" s="215"/>
      <c r="EO5" s="215"/>
      <c r="EP5" s="215"/>
      <c r="EQ5" s="215"/>
      <c r="ER5" s="215"/>
      <c r="ES5" s="215"/>
      <c r="ET5" s="215"/>
      <c r="EU5" s="215"/>
      <c r="EV5" s="215"/>
      <c r="EW5" s="215"/>
      <c r="EX5" s="215"/>
      <c r="EY5" s="215"/>
      <c r="EZ5" s="215"/>
      <c r="FA5" s="215"/>
      <c r="FB5" s="215"/>
      <c r="FC5" s="215"/>
      <c r="FD5" s="215"/>
      <c r="FE5" s="215"/>
      <c r="FF5" s="215"/>
      <c r="FG5" s="215"/>
      <c r="FH5" s="215"/>
      <c r="FI5" s="215"/>
      <c r="FJ5" s="215"/>
      <c r="FK5" s="215"/>
      <c r="FL5" s="215"/>
      <c r="FM5" s="215"/>
      <c r="FN5" s="215"/>
      <c r="FO5" s="215"/>
      <c r="FP5" s="215"/>
      <c r="FQ5" s="215"/>
      <c r="FR5" s="215"/>
      <c r="FS5" s="215"/>
      <c r="FT5" s="215"/>
      <c r="FU5" s="215"/>
      <c r="FV5" s="215"/>
      <c r="FW5" s="215"/>
      <c r="FX5" s="215"/>
      <c r="FY5" s="215"/>
      <c r="FZ5" s="215"/>
      <c r="GA5" s="215"/>
      <c r="GB5" s="215"/>
      <c r="GC5" s="215"/>
      <c r="GD5" s="215"/>
      <c r="GE5" s="215"/>
      <c r="GF5" s="215"/>
      <c r="GG5" s="215"/>
      <c r="GH5" s="215"/>
      <c r="GI5" s="215"/>
      <c r="GJ5" s="215"/>
      <c r="GK5" s="215"/>
      <c r="GL5" s="215"/>
      <c r="GM5" s="215"/>
      <c r="GN5" s="215"/>
      <c r="GO5" s="215"/>
      <c r="GP5" s="215"/>
      <c r="GQ5" s="215"/>
      <c r="GR5" s="215"/>
      <c r="GS5" s="215"/>
      <c r="GT5" s="215"/>
      <c r="GU5" s="215"/>
      <c r="GV5" s="215"/>
      <c r="GW5" s="215"/>
      <c r="GX5" s="215"/>
      <c r="GY5" s="215"/>
      <c r="GZ5" s="215"/>
      <c r="HA5" s="215"/>
      <c r="HB5" s="215"/>
      <c r="HC5" s="215"/>
      <c r="HD5" s="215"/>
      <c r="HE5" s="215"/>
      <c r="HF5" s="215"/>
      <c r="HG5" s="215"/>
      <c r="HH5" s="215"/>
      <c r="HI5" s="215"/>
      <c r="HJ5" s="215"/>
      <c r="HK5" s="215"/>
      <c r="HL5" s="215"/>
      <c r="HM5" s="215"/>
      <c r="HN5" s="215"/>
      <c r="HO5" s="215"/>
      <c r="HP5" s="215"/>
      <c r="HQ5" s="215"/>
      <c r="HR5" s="215"/>
      <c r="HS5" s="215"/>
      <c r="HT5" s="215"/>
      <c r="HU5" s="215"/>
      <c r="HV5" s="215"/>
      <c r="HW5" s="215"/>
      <c r="HX5" s="215"/>
      <c r="HY5" s="215"/>
      <c r="HZ5" s="215"/>
      <c r="IA5" s="215"/>
      <c r="IB5" s="215"/>
      <c r="IC5" s="215"/>
      <c r="ID5" s="215"/>
      <c r="IE5" s="215"/>
      <c r="IF5" s="215"/>
      <c r="IG5" s="215"/>
      <c r="IH5" s="215"/>
      <c r="II5" s="215"/>
      <c r="IJ5" s="215"/>
      <c r="IK5" s="215"/>
      <c r="IL5" s="215"/>
      <c r="IM5" s="215"/>
      <c r="IN5" s="215"/>
      <c r="IO5" s="215"/>
      <c r="IP5" s="215"/>
      <c r="IQ5" s="215"/>
      <c r="IR5" s="215"/>
      <c r="IS5" s="215"/>
      <c r="IT5" s="215"/>
      <c r="IU5" s="215"/>
      <c r="IV5" s="215"/>
      <c r="IW5" s="215"/>
      <c r="IX5" s="215"/>
      <c r="IY5" s="215"/>
      <c r="IZ5" s="215"/>
      <c r="JA5" s="215"/>
      <c r="JB5" s="215"/>
      <c r="JC5" s="215"/>
      <c r="JD5" s="215"/>
      <c r="JE5" s="215"/>
      <c r="JF5" s="215"/>
      <c r="JG5" s="215"/>
      <c r="JH5" s="215"/>
      <c r="JI5" s="215"/>
      <c r="JJ5" s="215"/>
      <c r="JK5" s="215"/>
      <c r="JL5" s="215"/>
      <c r="JM5" s="215"/>
      <c r="JN5" s="215"/>
      <c r="JO5" s="215"/>
      <c r="JP5" s="215"/>
      <c r="JQ5" s="215"/>
      <c r="JR5" s="215"/>
      <c r="JS5" s="215"/>
      <c r="JT5" s="215"/>
      <c r="JU5" s="215"/>
      <c r="JV5" s="215"/>
      <c r="JW5" s="215"/>
      <c r="JX5" s="215"/>
      <c r="JY5" s="215"/>
      <c r="JZ5" s="215"/>
      <c r="KA5" s="215"/>
      <c r="KB5" s="215"/>
      <c r="KC5" s="215"/>
      <c r="KD5" s="215"/>
      <c r="KE5" s="215"/>
      <c r="KF5" s="215"/>
      <c r="KG5" s="215"/>
      <c r="KH5" s="215"/>
      <c r="KI5" s="215"/>
      <c r="KJ5" s="215"/>
      <c r="KK5" s="215"/>
      <c r="KL5" s="215"/>
      <c r="KM5" s="215"/>
      <c r="KN5" s="215"/>
      <c r="KO5" s="215"/>
      <c r="KP5" s="215"/>
      <c r="KQ5" s="215"/>
      <c r="KR5" s="215"/>
      <c r="KS5" s="215"/>
      <c r="KT5" s="215"/>
      <c r="KU5" s="215"/>
      <c r="KV5" s="215"/>
      <c r="KW5" s="215"/>
      <c r="KX5" s="215"/>
      <c r="KY5" s="215"/>
      <c r="KZ5" s="215"/>
      <c r="LA5" s="215"/>
      <c r="LB5" s="215"/>
      <c r="LC5" s="215"/>
      <c r="LD5" s="215"/>
      <c r="LE5" s="215"/>
      <c r="LF5" s="215"/>
      <c r="LG5" s="215"/>
      <c r="LH5" s="215"/>
      <c r="LI5" s="215"/>
      <c r="LJ5" s="215"/>
      <c r="LK5" s="215"/>
      <c r="LL5" s="215"/>
      <c r="LM5" s="215"/>
      <c r="LN5" s="215"/>
      <c r="LO5" s="215"/>
      <c r="LP5" s="215"/>
      <c r="LQ5" s="215"/>
      <c r="LR5" s="215"/>
      <c r="LS5" s="215"/>
      <c r="LT5" s="215"/>
      <c r="LU5" s="215"/>
      <c r="LV5" s="215"/>
      <c r="LW5" s="215"/>
      <c r="LX5" s="215"/>
      <c r="LY5" s="215"/>
      <c r="LZ5" s="215"/>
      <c r="MA5" s="215"/>
      <c r="MB5" s="215"/>
      <c r="MC5" s="215"/>
      <c r="MD5" s="215"/>
      <c r="ME5" s="215"/>
      <c r="MF5" s="215"/>
      <c r="MG5" s="215"/>
      <c r="MH5" s="215"/>
      <c r="MI5" s="215"/>
      <c r="MJ5" s="215"/>
      <c r="MK5" s="215"/>
      <c r="ML5" s="215"/>
      <c r="MM5" s="215"/>
      <c r="MN5" s="215"/>
      <c r="MO5" s="215"/>
      <c r="MP5" s="215"/>
      <c r="MQ5" s="215"/>
      <c r="MR5" s="215"/>
      <c r="MS5" s="215"/>
      <c r="MT5" s="215"/>
      <c r="MU5" s="215"/>
      <c r="MV5" s="215"/>
      <c r="MW5" s="215"/>
      <c r="MX5" s="215"/>
      <c r="MY5" s="215"/>
      <c r="MZ5" s="215"/>
      <c r="NA5" s="215"/>
      <c r="NB5" s="215"/>
      <c r="NC5" s="215"/>
      <c r="ND5" s="215"/>
      <c r="NE5" s="215"/>
      <c r="NF5" s="215"/>
      <c r="NG5" s="215"/>
      <c r="NH5" s="215"/>
      <c r="NI5" s="215"/>
      <c r="NJ5" s="215"/>
      <c r="NK5" s="215"/>
      <c r="NL5" s="215"/>
      <c r="NM5" s="215"/>
      <c r="NN5" s="215"/>
      <c r="NO5" s="215"/>
      <c r="NP5" s="215"/>
      <c r="NQ5" s="215"/>
      <c r="NR5" s="215"/>
      <c r="NS5" s="215"/>
      <c r="NT5" s="215"/>
      <c r="NU5" s="215"/>
      <c r="NV5" s="215"/>
      <c r="NW5" s="215"/>
      <c r="NX5" s="215"/>
      <c r="NY5" s="215"/>
      <c r="NZ5" s="215"/>
      <c r="OA5" s="215"/>
      <c r="OB5" s="215"/>
      <c r="OC5" s="215"/>
      <c r="OD5" s="215"/>
      <c r="OE5" s="215"/>
      <c r="OF5" s="215"/>
      <c r="OG5" s="215"/>
      <c r="OH5" s="215"/>
      <c r="OI5" s="215"/>
      <c r="OJ5" s="215"/>
      <c r="OK5" s="215"/>
      <c r="OL5" s="215"/>
      <c r="OM5" s="215"/>
      <c r="ON5" s="215"/>
      <c r="OO5" s="215"/>
      <c r="OP5" s="215"/>
      <c r="OQ5" s="215"/>
      <c r="OR5" s="215"/>
      <c r="OS5" s="215"/>
      <c r="OT5" s="215"/>
      <c r="OU5" s="215"/>
      <c r="OV5" s="215"/>
      <c r="OW5" s="215"/>
      <c r="OX5" s="215"/>
      <c r="OY5" s="215"/>
      <c r="OZ5" s="215"/>
      <c r="PA5" s="215"/>
      <c r="PB5" s="215"/>
      <c r="PC5" s="215"/>
      <c r="PD5" s="215"/>
      <c r="PE5" s="215"/>
      <c r="PF5" s="215"/>
      <c r="PG5" s="215"/>
      <c r="PH5" s="215"/>
      <c r="PI5" s="215"/>
      <c r="PJ5" s="215"/>
      <c r="PK5" s="215"/>
      <c r="PL5" s="215"/>
      <c r="PM5" s="215"/>
      <c r="PN5" s="215"/>
      <c r="PO5" s="215"/>
      <c r="PP5" s="215"/>
      <c r="PQ5" s="215"/>
      <c r="PR5" s="215"/>
      <c r="PS5" s="215"/>
      <c r="PT5" s="215"/>
      <c r="PU5" s="215"/>
      <c r="PV5" s="215"/>
      <c r="PW5" s="215"/>
      <c r="PX5" s="215"/>
      <c r="PY5" s="215"/>
      <c r="PZ5" s="215"/>
      <c r="QA5" s="215"/>
      <c r="QB5" s="215"/>
      <c r="QC5" s="215"/>
      <c r="QD5" s="215"/>
      <c r="QE5" s="215"/>
      <c r="QF5" s="215"/>
      <c r="QG5" s="215"/>
      <c r="QH5" s="215"/>
      <c r="QI5" s="215"/>
      <c r="QJ5" s="215"/>
      <c r="QK5" s="215"/>
      <c r="QL5" s="215"/>
      <c r="QM5" s="215"/>
      <c r="QN5" s="215"/>
      <c r="QO5" s="215"/>
      <c r="QP5" s="215"/>
      <c r="QQ5" s="215"/>
      <c r="QR5" s="215"/>
      <c r="QS5" s="215"/>
      <c r="QT5" s="215"/>
      <c r="QU5" s="215"/>
      <c r="QV5" s="215"/>
      <c r="QW5" s="215"/>
      <c r="QX5" s="215"/>
      <c r="QY5" s="215"/>
      <c r="QZ5" s="215"/>
      <c r="RA5" s="215"/>
      <c r="RB5" s="215"/>
      <c r="RC5" s="215"/>
      <c r="RD5" s="215"/>
      <c r="RE5" s="215"/>
      <c r="RF5" s="215"/>
      <c r="RG5" s="215"/>
      <c r="RH5" s="215"/>
      <c r="RI5" s="215"/>
      <c r="RJ5" s="215"/>
      <c r="RK5" s="215"/>
      <c r="RL5" s="215"/>
      <c r="RM5" s="215"/>
      <c r="RN5" s="215"/>
      <c r="RO5" s="215"/>
      <c r="RP5" s="215"/>
      <c r="RQ5" s="215"/>
      <c r="RR5" s="215"/>
      <c r="RS5" s="215"/>
      <c r="RT5" s="215"/>
      <c r="RU5" s="215"/>
      <c r="RV5" s="215"/>
      <c r="RW5" s="215"/>
      <c r="RX5" s="215"/>
      <c r="RY5" s="215"/>
      <c r="RZ5" s="215"/>
      <c r="SA5" s="215"/>
      <c r="SB5" s="215"/>
      <c r="SC5" s="215"/>
      <c r="SD5" s="215"/>
      <c r="SE5" s="215"/>
      <c r="SF5" s="215"/>
      <c r="SG5" s="215"/>
      <c r="SH5" s="215"/>
      <c r="SI5" s="215"/>
      <c r="SJ5" s="215"/>
      <c r="SK5" s="215"/>
      <c r="SL5" s="215"/>
      <c r="SM5" s="215"/>
      <c r="SN5" s="215"/>
      <c r="SO5" s="215"/>
      <c r="SP5" s="215"/>
      <c r="SQ5" s="215"/>
      <c r="SR5" s="215"/>
      <c r="SS5" s="215"/>
      <c r="ST5" s="215"/>
      <c r="SU5" s="215"/>
      <c r="SV5" s="215"/>
      <c r="SW5" s="215"/>
      <c r="SX5" s="215"/>
      <c r="SY5" s="215"/>
      <c r="SZ5" s="215"/>
      <c r="TA5" s="215"/>
      <c r="TB5" s="215"/>
      <c r="TC5" s="215"/>
      <c r="TD5" s="215"/>
      <c r="TE5" s="215"/>
      <c r="TF5" s="215"/>
      <c r="TG5" s="215"/>
      <c r="TH5" s="215"/>
      <c r="TI5" s="215"/>
      <c r="TJ5" s="215"/>
      <c r="TK5" s="215"/>
      <c r="TL5" s="215"/>
      <c r="TM5" s="215"/>
      <c r="TN5" s="215"/>
      <c r="TO5" s="215"/>
      <c r="TP5" s="215"/>
      <c r="TQ5" s="215"/>
      <c r="TR5" s="215"/>
      <c r="TS5" s="215"/>
      <c r="TT5" s="215"/>
      <c r="TU5" s="215"/>
      <c r="TV5" s="215"/>
      <c r="TW5" s="215"/>
      <c r="TX5" s="215"/>
      <c r="TY5" s="215"/>
      <c r="TZ5" s="215"/>
      <c r="UA5" s="215"/>
      <c r="UB5" s="215"/>
      <c r="UC5" s="215"/>
      <c r="UD5" s="215"/>
      <c r="UE5" s="215"/>
      <c r="UF5" s="215"/>
      <c r="UG5" s="215"/>
      <c r="UH5" s="215"/>
      <c r="UI5" s="215"/>
      <c r="UJ5" s="215"/>
      <c r="UK5" s="215"/>
      <c r="UL5" s="215"/>
      <c r="UM5" s="215"/>
      <c r="UN5" s="215"/>
      <c r="UO5" s="215"/>
      <c r="UP5" s="215"/>
      <c r="UQ5" s="215"/>
      <c r="UR5" s="215"/>
      <c r="US5" s="215"/>
      <c r="UT5" s="215"/>
      <c r="UU5" s="215"/>
      <c r="UV5" s="215"/>
      <c r="UW5" s="215"/>
      <c r="UX5" s="215"/>
      <c r="UY5" s="215"/>
      <c r="UZ5" s="215"/>
      <c r="VA5" s="215"/>
      <c r="VB5" s="215"/>
      <c r="VC5" s="215"/>
      <c r="VD5" s="215"/>
      <c r="VE5" s="215"/>
      <c r="VF5" s="215"/>
      <c r="VG5" s="215"/>
      <c r="VH5" s="215"/>
      <c r="VI5" s="215"/>
      <c r="VJ5" s="215"/>
      <c r="VK5" s="215"/>
      <c r="VL5" s="215"/>
      <c r="VM5" s="215"/>
      <c r="VN5" s="215"/>
      <c r="VO5" s="215"/>
      <c r="VP5" s="215"/>
      <c r="VQ5" s="215"/>
      <c r="VR5" s="215"/>
      <c r="VS5" s="215"/>
      <c r="VT5" s="215"/>
      <c r="VU5" s="215"/>
      <c r="VV5" s="215"/>
      <c r="VW5" s="215"/>
      <c r="VX5" s="215"/>
      <c r="VY5" s="215"/>
      <c r="VZ5" s="215"/>
      <c r="WA5" s="215"/>
      <c r="WB5" s="215"/>
    </row>
    <row r="6" spans="1:600" s="218" customFormat="1" ht="23.5" hidden="1" customHeight="1" x14ac:dyDescent="0.35">
      <c r="A6" s="215"/>
      <c r="B6" s="215"/>
      <c r="C6" s="219"/>
      <c r="D6" s="219"/>
      <c r="E6" s="219"/>
      <c r="F6" s="220"/>
      <c r="G6" s="215"/>
      <c r="H6" s="215"/>
      <c r="I6" s="215"/>
      <c r="J6" s="215"/>
      <c r="K6" s="223"/>
      <c r="L6" s="223"/>
      <c r="M6" s="223"/>
      <c r="N6" s="223"/>
      <c r="O6" s="223"/>
      <c r="P6" s="223"/>
      <c r="Q6" s="223"/>
      <c r="R6" s="223"/>
      <c r="S6" s="223"/>
      <c r="T6" s="223"/>
      <c r="U6" s="223"/>
      <c r="V6" s="223"/>
      <c r="W6" s="223"/>
      <c r="X6" s="223"/>
      <c r="Y6" s="223"/>
      <c r="Z6" s="223"/>
      <c r="AA6" s="223"/>
      <c r="AB6" s="223"/>
      <c r="AC6" s="223"/>
      <c r="AD6" s="223"/>
      <c r="AE6" s="223"/>
      <c r="AF6" s="223"/>
      <c r="AG6" s="215"/>
      <c r="AH6" s="215"/>
      <c r="AI6" s="215"/>
      <c r="AJ6" s="215"/>
      <c r="AK6" s="215"/>
      <c r="AL6" s="215"/>
      <c r="AM6" s="215"/>
      <c r="AN6" s="215"/>
      <c r="AO6" s="215"/>
      <c r="AP6" s="215"/>
      <c r="AQ6" s="215"/>
      <c r="AR6" s="215"/>
      <c r="AS6" s="223"/>
      <c r="AT6" s="223"/>
      <c r="AU6" s="223"/>
      <c r="AV6" s="223"/>
      <c r="AW6" s="223"/>
      <c r="AX6" s="223"/>
      <c r="AY6" s="223"/>
      <c r="AZ6" s="223"/>
      <c r="BA6" s="223"/>
      <c r="BB6" s="223"/>
      <c r="BC6" s="223"/>
      <c r="BD6" s="223"/>
      <c r="BE6" s="223"/>
      <c r="BF6" s="223"/>
      <c r="BG6" s="223"/>
      <c r="BH6" s="223"/>
      <c r="BI6" s="223"/>
      <c r="BJ6" s="223"/>
      <c r="BK6" s="223"/>
      <c r="BL6" s="223"/>
      <c r="BM6" s="223"/>
      <c r="BN6" s="223"/>
      <c r="BO6" s="223"/>
      <c r="BP6" s="223"/>
      <c r="BQ6" s="223"/>
      <c r="BR6" s="223"/>
      <c r="BS6" s="223"/>
      <c r="BT6" s="223"/>
      <c r="BU6" s="223"/>
      <c r="BV6" s="223"/>
      <c r="BW6" s="223"/>
      <c r="BX6" s="223"/>
      <c r="BY6" s="215"/>
      <c r="BZ6" s="215"/>
      <c r="CA6" s="215"/>
      <c r="CB6" s="215"/>
      <c r="CC6" s="215"/>
      <c r="CD6" s="215"/>
      <c r="CE6" s="215"/>
      <c r="CF6" s="215"/>
      <c r="CG6" s="215"/>
      <c r="CH6" s="215"/>
      <c r="CI6" s="215"/>
      <c r="CJ6" s="215"/>
      <c r="CK6" s="215"/>
      <c r="CL6" s="215"/>
      <c r="CM6" s="215"/>
      <c r="CN6" s="215"/>
      <c r="CO6" s="215"/>
      <c r="CP6" s="215"/>
      <c r="CQ6" s="215"/>
      <c r="CR6" s="215"/>
      <c r="CS6" s="215"/>
      <c r="CT6" s="215"/>
      <c r="CU6" s="215"/>
      <c r="CV6" s="215"/>
      <c r="CW6" s="215"/>
      <c r="CX6" s="215"/>
      <c r="CY6" s="215"/>
      <c r="CZ6" s="215"/>
      <c r="DA6" s="215"/>
      <c r="DB6" s="215"/>
      <c r="DC6" s="215"/>
      <c r="DD6" s="215"/>
      <c r="DE6" s="215"/>
      <c r="DF6" s="215"/>
      <c r="DG6" s="215"/>
      <c r="DH6" s="215"/>
      <c r="DI6" s="215"/>
      <c r="DJ6" s="215"/>
      <c r="DK6" s="215"/>
      <c r="DL6" s="215"/>
      <c r="DM6" s="215"/>
      <c r="DN6" s="215"/>
      <c r="DO6" s="215"/>
      <c r="DP6" s="215"/>
      <c r="DQ6" s="215"/>
      <c r="DR6" s="215"/>
      <c r="DS6" s="215"/>
      <c r="DT6" s="215"/>
      <c r="DU6" s="215"/>
      <c r="DV6" s="215"/>
      <c r="DW6" s="215"/>
      <c r="DX6" s="215"/>
      <c r="DY6" s="215"/>
      <c r="DZ6" s="215"/>
      <c r="EA6" s="215"/>
      <c r="EB6" s="215"/>
      <c r="EC6" s="215"/>
      <c r="ED6" s="215"/>
      <c r="EE6" s="215"/>
      <c r="EF6" s="215"/>
      <c r="EG6" s="215"/>
      <c r="EH6" s="215"/>
      <c r="EI6" s="215"/>
      <c r="EJ6" s="215"/>
      <c r="EK6" s="215"/>
      <c r="EL6" s="215"/>
      <c r="EM6" s="215"/>
      <c r="EN6" s="215"/>
      <c r="EO6" s="215"/>
      <c r="EP6" s="215"/>
      <c r="EQ6" s="215"/>
      <c r="ER6" s="215"/>
      <c r="ES6" s="215"/>
      <c r="ET6" s="215"/>
      <c r="EU6" s="215"/>
      <c r="EV6" s="215"/>
      <c r="EW6" s="215"/>
      <c r="EX6" s="215"/>
      <c r="EY6" s="215"/>
      <c r="EZ6" s="215"/>
      <c r="FA6" s="215"/>
      <c r="FB6" s="215"/>
      <c r="FC6" s="215"/>
      <c r="FD6" s="215"/>
      <c r="FE6" s="215"/>
      <c r="FF6" s="215"/>
      <c r="FG6" s="215"/>
      <c r="FH6" s="215"/>
      <c r="FI6" s="215"/>
      <c r="FJ6" s="215"/>
      <c r="FK6" s="215"/>
      <c r="FL6" s="215"/>
      <c r="FM6" s="215"/>
      <c r="FN6" s="215"/>
      <c r="FO6" s="215"/>
      <c r="FP6" s="215"/>
      <c r="FQ6" s="215"/>
      <c r="FR6" s="215"/>
      <c r="FS6" s="215"/>
      <c r="FT6" s="215"/>
      <c r="FU6" s="215"/>
      <c r="FV6" s="215"/>
      <c r="FW6" s="215"/>
      <c r="FX6" s="215"/>
      <c r="FY6" s="215"/>
      <c r="FZ6" s="215"/>
      <c r="GA6" s="215"/>
      <c r="GB6" s="215"/>
      <c r="GC6" s="215"/>
      <c r="GD6" s="215"/>
      <c r="GE6" s="215"/>
      <c r="GF6" s="215"/>
      <c r="GG6" s="215"/>
      <c r="GH6" s="215"/>
      <c r="GI6" s="215"/>
      <c r="GJ6" s="215"/>
      <c r="GK6" s="215"/>
      <c r="GL6" s="215"/>
      <c r="GM6" s="215"/>
      <c r="GN6" s="215"/>
      <c r="GO6" s="215"/>
      <c r="GP6" s="215"/>
      <c r="GQ6" s="215"/>
      <c r="GR6" s="215"/>
      <c r="GS6" s="215"/>
      <c r="GT6" s="215"/>
      <c r="GU6" s="215"/>
      <c r="GV6" s="215"/>
      <c r="GW6" s="215"/>
      <c r="GX6" s="215"/>
      <c r="GY6" s="215"/>
      <c r="GZ6" s="215"/>
      <c r="HA6" s="215"/>
      <c r="HB6" s="215"/>
      <c r="HC6" s="215"/>
      <c r="HD6" s="215"/>
      <c r="HE6" s="215"/>
      <c r="HF6" s="215"/>
      <c r="HG6" s="215"/>
      <c r="HH6" s="215"/>
      <c r="HI6" s="215"/>
      <c r="HJ6" s="215"/>
      <c r="HK6" s="215"/>
      <c r="HL6" s="215"/>
      <c r="HM6" s="215"/>
      <c r="HN6" s="215"/>
      <c r="HO6" s="215"/>
      <c r="HP6" s="215"/>
      <c r="HQ6" s="215"/>
      <c r="HR6" s="215"/>
      <c r="HS6" s="215"/>
      <c r="HT6" s="215"/>
      <c r="HU6" s="215"/>
      <c r="HV6" s="215"/>
      <c r="HW6" s="215"/>
      <c r="HX6" s="215"/>
      <c r="HY6" s="215"/>
      <c r="HZ6" s="215"/>
      <c r="IA6" s="215"/>
      <c r="IB6" s="215"/>
      <c r="IC6" s="215"/>
      <c r="ID6" s="215"/>
      <c r="IE6" s="215"/>
      <c r="IF6" s="215"/>
      <c r="IG6" s="215"/>
      <c r="IH6" s="215"/>
      <c r="II6" s="215"/>
      <c r="IJ6" s="215"/>
      <c r="IK6" s="215"/>
      <c r="IL6" s="215"/>
      <c r="IM6" s="215"/>
      <c r="IN6" s="215"/>
      <c r="IO6" s="215"/>
      <c r="IP6" s="215"/>
      <c r="IQ6" s="215"/>
      <c r="IR6" s="215"/>
      <c r="IS6" s="215"/>
      <c r="IT6" s="215"/>
      <c r="IU6" s="215"/>
      <c r="IV6" s="215"/>
      <c r="IW6" s="215"/>
      <c r="IX6" s="215"/>
      <c r="IY6" s="215"/>
      <c r="IZ6" s="215"/>
      <c r="JA6" s="215"/>
      <c r="JB6" s="215"/>
      <c r="JC6" s="215"/>
      <c r="JD6" s="215"/>
      <c r="JE6" s="215"/>
      <c r="JF6" s="215"/>
      <c r="JG6" s="215"/>
      <c r="JH6" s="215"/>
      <c r="JI6" s="215"/>
      <c r="JJ6" s="215"/>
      <c r="JK6" s="215"/>
      <c r="JL6" s="215"/>
      <c r="JM6" s="215"/>
      <c r="JN6" s="215"/>
      <c r="JO6" s="215"/>
      <c r="JP6" s="215"/>
      <c r="JQ6" s="215"/>
      <c r="JR6" s="215"/>
      <c r="JS6" s="215"/>
      <c r="JT6" s="215"/>
      <c r="JU6" s="215"/>
      <c r="JV6" s="215"/>
      <c r="JW6" s="215"/>
      <c r="JX6" s="215"/>
      <c r="JY6" s="215"/>
      <c r="JZ6" s="215"/>
      <c r="KA6" s="215"/>
      <c r="KB6" s="215"/>
      <c r="KC6" s="215"/>
      <c r="KD6" s="215"/>
      <c r="KE6" s="215"/>
      <c r="KF6" s="215"/>
      <c r="KG6" s="215"/>
      <c r="KH6" s="215"/>
      <c r="KI6" s="215"/>
      <c r="KJ6" s="215"/>
      <c r="KK6" s="215"/>
      <c r="KL6" s="215"/>
      <c r="KM6" s="215"/>
      <c r="KN6" s="215"/>
      <c r="KO6" s="215"/>
      <c r="KP6" s="215"/>
      <c r="KQ6" s="215"/>
      <c r="KR6" s="215"/>
      <c r="KS6" s="215"/>
      <c r="KT6" s="215"/>
      <c r="KU6" s="215"/>
      <c r="KV6" s="215"/>
      <c r="KW6" s="215"/>
      <c r="KX6" s="215"/>
      <c r="KY6" s="215"/>
      <c r="KZ6" s="215"/>
      <c r="LA6" s="215"/>
      <c r="LB6" s="215"/>
      <c r="LC6" s="215"/>
      <c r="LD6" s="215"/>
      <c r="LE6" s="215"/>
      <c r="LF6" s="215"/>
      <c r="LG6" s="215"/>
      <c r="LH6" s="215"/>
      <c r="LI6" s="215"/>
      <c r="LJ6" s="215"/>
      <c r="LK6" s="215"/>
      <c r="LL6" s="215"/>
      <c r="LM6" s="215"/>
      <c r="LN6" s="215"/>
      <c r="LO6" s="215"/>
      <c r="LP6" s="215"/>
      <c r="LQ6" s="215"/>
      <c r="LR6" s="215"/>
      <c r="LS6" s="215"/>
      <c r="LT6" s="215"/>
      <c r="LU6" s="215"/>
      <c r="LV6" s="215"/>
      <c r="LW6" s="215"/>
      <c r="LX6" s="215"/>
      <c r="LY6" s="215"/>
      <c r="LZ6" s="215"/>
      <c r="MA6" s="215"/>
      <c r="MB6" s="215"/>
      <c r="MC6" s="215"/>
      <c r="MD6" s="215"/>
      <c r="ME6" s="215"/>
      <c r="MF6" s="215"/>
      <c r="MG6" s="215"/>
      <c r="MH6" s="215"/>
      <c r="MI6" s="215"/>
      <c r="MJ6" s="215"/>
      <c r="MK6" s="215"/>
      <c r="ML6" s="215"/>
      <c r="MM6" s="215"/>
      <c r="MN6" s="215"/>
      <c r="MO6" s="215"/>
      <c r="MP6" s="215"/>
      <c r="MQ6" s="215"/>
      <c r="MR6" s="215"/>
      <c r="MS6" s="215"/>
      <c r="MT6" s="215"/>
      <c r="MU6" s="215"/>
      <c r="MV6" s="215"/>
      <c r="MW6" s="215"/>
      <c r="MX6" s="215"/>
      <c r="MY6" s="215"/>
      <c r="MZ6" s="215"/>
      <c r="NA6" s="215"/>
      <c r="NB6" s="215"/>
      <c r="NC6" s="215"/>
      <c r="ND6" s="215"/>
      <c r="NE6" s="215"/>
      <c r="NF6" s="215"/>
      <c r="NG6" s="215"/>
      <c r="NH6" s="215"/>
      <c r="NI6" s="215"/>
      <c r="NJ6" s="215"/>
      <c r="NK6" s="215"/>
      <c r="NL6" s="215"/>
      <c r="NM6" s="215"/>
      <c r="NN6" s="215"/>
      <c r="NO6" s="215"/>
      <c r="NP6" s="215"/>
      <c r="NQ6" s="215"/>
      <c r="NR6" s="215"/>
      <c r="NS6" s="215"/>
      <c r="NT6" s="215"/>
      <c r="NU6" s="215"/>
      <c r="NV6" s="215"/>
      <c r="NW6" s="215"/>
      <c r="NX6" s="215"/>
      <c r="NY6" s="215"/>
      <c r="NZ6" s="215"/>
      <c r="OA6" s="215"/>
      <c r="OB6" s="215"/>
      <c r="OC6" s="215"/>
      <c r="OD6" s="215"/>
      <c r="OE6" s="215"/>
      <c r="OF6" s="215"/>
      <c r="OG6" s="215"/>
      <c r="OH6" s="215"/>
      <c r="OI6" s="215"/>
      <c r="OJ6" s="215"/>
      <c r="OK6" s="215"/>
      <c r="OL6" s="215"/>
      <c r="OM6" s="215"/>
      <c r="ON6" s="215"/>
      <c r="OO6" s="215"/>
      <c r="OP6" s="215"/>
      <c r="OQ6" s="215"/>
      <c r="OR6" s="215"/>
      <c r="OS6" s="215"/>
      <c r="OT6" s="215"/>
      <c r="OU6" s="215"/>
      <c r="OV6" s="215"/>
      <c r="OW6" s="215"/>
      <c r="OX6" s="215"/>
      <c r="OY6" s="215"/>
      <c r="OZ6" s="215"/>
      <c r="PA6" s="215"/>
      <c r="PB6" s="215"/>
      <c r="PC6" s="215"/>
      <c r="PD6" s="215"/>
      <c r="PE6" s="215"/>
      <c r="PF6" s="215"/>
      <c r="PG6" s="215"/>
      <c r="PH6" s="215"/>
      <c r="PI6" s="215"/>
      <c r="PJ6" s="215"/>
      <c r="PK6" s="215"/>
      <c r="PL6" s="215"/>
      <c r="PM6" s="215"/>
      <c r="PN6" s="215"/>
      <c r="PO6" s="215"/>
      <c r="PP6" s="215"/>
      <c r="PQ6" s="215"/>
      <c r="PR6" s="215"/>
      <c r="PS6" s="215"/>
      <c r="PT6" s="215"/>
      <c r="PU6" s="215"/>
      <c r="PV6" s="215"/>
      <c r="PW6" s="215"/>
      <c r="PX6" s="215"/>
      <c r="PY6" s="215"/>
      <c r="PZ6" s="215"/>
      <c r="QA6" s="215"/>
      <c r="QB6" s="215"/>
      <c r="QC6" s="215"/>
      <c r="QD6" s="215"/>
      <c r="QE6" s="215"/>
      <c r="QF6" s="215"/>
      <c r="QG6" s="215"/>
      <c r="QH6" s="215"/>
      <c r="QI6" s="215"/>
      <c r="QJ6" s="215"/>
      <c r="QK6" s="215"/>
      <c r="QL6" s="215"/>
      <c r="QM6" s="215"/>
      <c r="QN6" s="215"/>
      <c r="QO6" s="215"/>
      <c r="QP6" s="215"/>
      <c r="QQ6" s="215"/>
      <c r="QR6" s="215"/>
      <c r="QS6" s="215"/>
      <c r="QT6" s="215"/>
      <c r="QU6" s="215"/>
      <c r="QV6" s="215"/>
      <c r="QW6" s="215"/>
      <c r="QX6" s="215"/>
      <c r="QY6" s="215"/>
      <c r="QZ6" s="215"/>
      <c r="RA6" s="215"/>
      <c r="RB6" s="215"/>
      <c r="RC6" s="215"/>
      <c r="RD6" s="215"/>
      <c r="RE6" s="215"/>
      <c r="RF6" s="215"/>
      <c r="RG6" s="215"/>
      <c r="RH6" s="215"/>
      <c r="RI6" s="215"/>
      <c r="RJ6" s="215"/>
      <c r="RK6" s="215"/>
      <c r="RL6" s="215"/>
      <c r="RM6" s="215"/>
      <c r="RN6" s="215"/>
      <c r="RO6" s="215"/>
      <c r="RP6" s="215"/>
      <c r="RQ6" s="215"/>
      <c r="RR6" s="215"/>
      <c r="RS6" s="215"/>
      <c r="RT6" s="215"/>
      <c r="RU6" s="215"/>
      <c r="RV6" s="215"/>
      <c r="RW6" s="215"/>
      <c r="RX6" s="215"/>
      <c r="RY6" s="215"/>
      <c r="RZ6" s="215"/>
      <c r="SA6" s="215"/>
      <c r="SB6" s="215"/>
      <c r="SC6" s="215"/>
      <c r="SD6" s="215"/>
      <c r="SE6" s="215"/>
      <c r="SF6" s="215"/>
      <c r="SG6" s="215"/>
      <c r="SH6" s="215"/>
      <c r="SI6" s="215"/>
      <c r="SJ6" s="215"/>
      <c r="SK6" s="215"/>
      <c r="SL6" s="215"/>
      <c r="SM6" s="215"/>
      <c r="SN6" s="215"/>
      <c r="SO6" s="215"/>
      <c r="SP6" s="215"/>
      <c r="SQ6" s="215"/>
      <c r="SR6" s="215"/>
      <c r="SS6" s="215"/>
      <c r="ST6" s="215"/>
      <c r="SU6" s="215"/>
      <c r="SV6" s="215"/>
      <c r="SW6" s="215"/>
      <c r="SX6" s="215"/>
      <c r="SY6" s="215"/>
      <c r="SZ6" s="215"/>
      <c r="TA6" s="215"/>
      <c r="TB6" s="215"/>
      <c r="TC6" s="215"/>
      <c r="TD6" s="215"/>
      <c r="TE6" s="215"/>
      <c r="TF6" s="215"/>
      <c r="TG6" s="215"/>
      <c r="TH6" s="215"/>
      <c r="TI6" s="215"/>
      <c r="TJ6" s="215"/>
      <c r="TK6" s="215"/>
      <c r="TL6" s="215"/>
      <c r="TM6" s="215"/>
      <c r="TN6" s="215"/>
      <c r="TO6" s="215"/>
      <c r="TP6" s="215"/>
      <c r="TQ6" s="215"/>
      <c r="TR6" s="215"/>
      <c r="TS6" s="215"/>
      <c r="TT6" s="215"/>
      <c r="TU6" s="215"/>
      <c r="TV6" s="215"/>
      <c r="TW6" s="215"/>
      <c r="TX6" s="215"/>
      <c r="TY6" s="215"/>
      <c r="TZ6" s="215"/>
      <c r="UA6" s="215"/>
      <c r="UB6" s="215"/>
      <c r="UC6" s="215"/>
      <c r="UD6" s="215"/>
      <c r="UE6" s="215"/>
      <c r="UF6" s="215"/>
      <c r="UG6" s="215"/>
      <c r="UH6" s="215"/>
      <c r="UI6" s="215"/>
      <c r="UJ6" s="215"/>
      <c r="UK6" s="215"/>
      <c r="UL6" s="215"/>
      <c r="UM6" s="215"/>
      <c r="UN6" s="215"/>
      <c r="UO6" s="215"/>
      <c r="UP6" s="215"/>
      <c r="UQ6" s="215"/>
      <c r="UR6" s="215"/>
      <c r="US6" s="215"/>
      <c r="UT6" s="215"/>
      <c r="UU6" s="215"/>
      <c r="UV6" s="215"/>
      <c r="UW6" s="215"/>
      <c r="UX6" s="215"/>
      <c r="UY6" s="215"/>
      <c r="UZ6" s="215"/>
      <c r="VA6" s="215"/>
      <c r="VB6" s="215"/>
      <c r="VC6" s="215"/>
      <c r="VD6" s="215"/>
      <c r="VE6" s="215"/>
      <c r="VF6" s="215"/>
      <c r="VG6" s="215"/>
      <c r="VH6" s="215"/>
      <c r="VI6" s="215"/>
      <c r="VJ6" s="215"/>
      <c r="VK6" s="215"/>
      <c r="VL6" s="215"/>
      <c r="VM6" s="215"/>
      <c r="VN6" s="215"/>
      <c r="VO6" s="215"/>
      <c r="VP6" s="215"/>
      <c r="VQ6" s="215"/>
      <c r="VR6" s="215"/>
      <c r="VS6" s="215"/>
      <c r="VT6" s="215"/>
      <c r="VU6" s="215"/>
      <c r="VV6" s="215"/>
      <c r="VW6" s="215"/>
      <c r="VX6" s="215"/>
      <c r="VY6" s="215"/>
      <c r="VZ6" s="215"/>
      <c r="WA6" s="215"/>
      <c r="WB6" s="215"/>
    </row>
    <row r="7" spans="1:600" s="218" customFormat="1" ht="36" customHeight="1" x14ac:dyDescent="0.35">
      <c r="A7" s="215"/>
      <c r="B7" s="215"/>
      <c r="C7" s="219"/>
      <c r="D7" s="219"/>
      <c r="E7" s="219"/>
      <c r="F7" s="220"/>
      <c r="G7" s="215"/>
      <c r="H7" s="215"/>
      <c r="I7" s="215"/>
      <c r="J7" s="215"/>
      <c r="K7" s="223"/>
      <c r="L7" s="223"/>
      <c r="M7" s="223"/>
      <c r="N7" s="223"/>
      <c r="O7" s="223"/>
      <c r="P7" s="223"/>
      <c r="Q7" s="223"/>
      <c r="R7" s="223"/>
      <c r="S7" s="223"/>
      <c r="T7" s="223"/>
      <c r="U7" s="223"/>
      <c r="V7" s="223"/>
      <c r="W7" s="223"/>
      <c r="X7" s="223"/>
      <c r="Y7" s="223"/>
      <c r="Z7" s="223"/>
      <c r="AA7" s="223"/>
      <c r="AB7" s="223"/>
      <c r="AC7" s="223"/>
      <c r="AD7" s="223"/>
      <c r="AE7" s="223"/>
      <c r="AF7" s="223"/>
      <c r="AG7" s="215"/>
      <c r="AH7" s="215"/>
      <c r="AI7" s="215"/>
      <c r="AJ7" s="215"/>
      <c r="AK7" s="215"/>
      <c r="AL7" s="215"/>
      <c r="AM7" s="215"/>
      <c r="AN7" s="215"/>
      <c r="AO7" s="215"/>
      <c r="AP7" s="215"/>
      <c r="AQ7" s="215"/>
      <c r="AR7" s="215"/>
      <c r="AS7" s="223"/>
      <c r="AT7" s="223"/>
      <c r="AU7" s="223"/>
      <c r="AV7" s="223"/>
      <c r="AW7" s="223"/>
      <c r="AX7" s="223"/>
      <c r="AY7" s="223"/>
      <c r="AZ7" s="223"/>
      <c r="BA7" s="223"/>
      <c r="BB7" s="223"/>
      <c r="BC7" s="223"/>
      <c r="BD7" s="223"/>
      <c r="BE7" s="223"/>
      <c r="BF7" s="223"/>
      <c r="BG7" s="223"/>
      <c r="BH7" s="223"/>
      <c r="BI7" s="223"/>
      <c r="BJ7" s="223"/>
      <c r="BK7" s="223"/>
      <c r="BL7" s="223"/>
      <c r="BM7" s="223"/>
      <c r="BN7" s="223"/>
      <c r="BO7" s="223"/>
      <c r="BP7" s="223"/>
      <c r="BQ7" s="223"/>
      <c r="BR7" s="223"/>
      <c r="BS7" s="223"/>
      <c r="BT7" s="223"/>
      <c r="BU7" s="223"/>
      <c r="BV7" s="223"/>
      <c r="BW7" s="223"/>
      <c r="BX7" s="223"/>
      <c r="BY7" s="215"/>
      <c r="BZ7" s="215"/>
      <c r="CA7" s="215"/>
      <c r="CB7" s="215"/>
      <c r="CC7" s="215"/>
      <c r="CD7" s="215"/>
      <c r="CE7" s="215"/>
      <c r="CF7" s="215"/>
      <c r="CG7" s="215"/>
      <c r="CH7" s="215"/>
      <c r="CI7" s="215"/>
      <c r="CJ7" s="215"/>
      <c r="CK7" s="215"/>
      <c r="CL7" s="215"/>
      <c r="CM7" s="215"/>
      <c r="CN7" s="215"/>
      <c r="CO7" s="215"/>
      <c r="CP7" s="215"/>
      <c r="CQ7" s="215"/>
      <c r="CR7" s="215"/>
      <c r="CS7" s="215"/>
      <c r="CT7" s="215"/>
      <c r="CU7" s="215"/>
      <c r="CV7" s="215"/>
      <c r="CW7" s="215"/>
      <c r="CX7" s="215"/>
      <c r="CY7" s="215"/>
      <c r="CZ7" s="215"/>
      <c r="DA7" s="215"/>
      <c r="DB7" s="215"/>
      <c r="DC7" s="215"/>
      <c r="DD7" s="215"/>
      <c r="DE7" s="215"/>
      <c r="DF7" s="215"/>
      <c r="DG7" s="215"/>
      <c r="DH7" s="215"/>
      <c r="DI7" s="215"/>
      <c r="DJ7" s="215"/>
      <c r="DK7" s="215"/>
      <c r="DL7" s="215"/>
      <c r="DM7" s="215"/>
      <c r="DN7" s="215"/>
      <c r="DO7" s="215"/>
      <c r="DP7" s="215"/>
      <c r="DQ7" s="215"/>
      <c r="DR7" s="215"/>
      <c r="DS7" s="215"/>
      <c r="DT7" s="215"/>
      <c r="DU7" s="215"/>
      <c r="DV7" s="215"/>
      <c r="DW7" s="215"/>
      <c r="DX7" s="215"/>
      <c r="DY7" s="215"/>
      <c r="DZ7" s="215"/>
      <c r="EA7" s="215"/>
      <c r="EB7" s="215"/>
      <c r="EC7" s="215"/>
      <c r="ED7" s="215"/>
      <c r="EE7" s="215"/>
      <c r="EF7" s="215"/>
      <c r="EG7" s="215"/>
      <c r="EH7" s="215"/>
      <c r="EI7" s="215"/>
      <c r="EJ7" s="215"/>
      <c r="EK7" s="215"/>
      <c r="EL7" s="215"/>
      <c r="EM7" s="215"/>
      <c r="EN7" s="215"/>
      <c r="EO7" s="215"/>
      <c r="EP7" s="215"/>
      <c r="EQ7" s="215"/>
      <c r="ER7" s="215"/>
      <c r="ES7" s="215"/>
      <c r="ET7" s="215"/>
      <c r="EU7" s="215"/>
      <c r="EV7" s="215"/>
      <c r="EW7" s="215"/>
      <c r="EX7" s="215"/>
      <c r="EY7" s="215"/>
      <c r="EZ7" s="215"/>
      <c r="FA7" s="215"/>
      <c r="FB7" s="215"/>
      <c r="FC7" s="215"/>
      <c r="FD7" s="215"/>
      <c r="FE7" s="215"/>
      <c r="FF7" s="215"/>
      <c r="FG7" s="215"/>
      <c r="FH7" s="215"/>
      <c r="FI7" s="215"/>
      <c r="FJ7" s="215"/>
      <c r="FK7" s="215"/>
      <c r="FL7" s="215"/>
      <c r="FM7" s="215"/>
      <c r="FN7" s="215"/>
      <c r="FO7" s="215"/>
      <c r="FP7" s="215"/>
      <c r="FQ7" s="215"/>
      <c r="FR7" s="215"/>
      <c r="FS7" s="215"/>
      <c r="FT7" s="215"/>
      <c r="FU7" s="215"/>
      <c r="FV7" s="215"/>
      <c r="FW7" s="215"/>
      <c r="FX7" s="215"/>
      <c r="FY7" s="215"/>
      <c r="FZ7" s="215"/>
      <c r="GA7" s="215"/>
      <c r="GB7" s="215"/>
      <c r="GC7" s="215"/>
      <c r="GD7" s="215"/>
      <c r="GE7" s="215"/>
      <c r="GF7" s="215"/>
      <c r="GG7" s="215"/>
      <c r="GH7" s="215"/>
      <c r="GI7" s="215"/>
      <c r="GJ7" s="215"/>
      <c r="GK7" s="215"/>
      <c r="GL7" s="215"/>
      <c r="GM7" s="215"/>
      <c r="GN7" s="215"/>
      <c r="GO7" s="215"/>
      <c r="GP7" s="215"/>
      <c r="GQ7" s="215"/>
      <c r="GR7" s="215"/>
      <c r="GS7" s="215"/>
      <c r="GT7" s="215"/>
      <c r="GU7" s="215"/>
      <c r="GV7" s="215"/>
      <c r="GW7" s="215"/>
      <c r="GX7" s="215"/>
      <c r="GY7" s="215"/>
      <c r="GZ7" s="215"/>
      <c r="HA7" s="215"/>
      <c r="HB7" s="215"/>
      <c r="HC7" s="215"/>
      <c r="HD7" s="215"/>
      <c r="HE7" s="215"/>
      <c r="HF7" s="215"/>
      <c r="HG7" s="215"/>
      <c r="HH7" s="215"/>
      <c r="HI7" s="215"/>
      <c r="HJ7" s="215"/>
      <c r="HK7" s="215"/>
      <c r="HL7" s="215"/>
      <c r="HM7" s="215"/>
      <c r="HN7" s="215"/>
      <c r="HO7" s="215"/>
      <c r="HP7" s="215"/>
      <c r="HQ7" s="215"/>
      <c r="HR7" s="215"/>
      <c r="HS7" s="215"/>
      <c r="HT7" s="215"/>
      <c r="HU7" s="215"/>
      <c r="HV7" s="215"/>
      <c r="HW7" s="215"/>
      <c r="HX7" s="215"/>
      <c r="HY7" s="215"/>
      <c r="HZ7" s="215"/>
      <c r="IA7" s="215"/>
      <c r="IB7" s="215"/>
      <c r="IC7" s="215"/>
      <c r="ID7" s="215"/>
      <c r="IE7" s="215"/>
      <c r="IF7" s="215"/>
      <c r="IG7" s="215"/>
      <c r="IH7" s="215"/>
      <c r="II7" s="215"/>
      <c r="IJ7" s="215"/>
      <c r="IK7" s="215"/>
      <c r="IL7" s="215"/>
      <c r="IM7" s="215"/>
      <c r="IN7" s="215"/>
      <c r="IO7" s="215"/>
      <c r="IP7" s="215"/>
      <c r="IQ7" s="215"/>
      <c r="IR7" s="215"/>
      <c r="IS7" s="215"/>
      <c r="IT7" s="215"/>
      <c r="IU7" s="215"/>
      <c r="IV7" s="215"/>
      <c r="IW7" s="215"/>
      <c r="IX7" s="215"/>
      <c r="IY7" s="215"/>
      <c r="IZ7" s="215"/>
      <c r="JA7" s="215"/>
      <c r="JB7" s="215"/>
      <c r="JC7" s="215"/>
      <c r="JD7" s="215"/>
      <c r="JE7" s="215"/>
      <c r="JF7" s="215"/>
      <c r="JG7" s="215"/>
      <c r="JH7" s="215"/>
      <c r="JI7" s="215"/>
      <c r="JJ7" s="215"/>
      <c r="JK7" s="215"/>
      <c r="JL7" s="215"/>
      <c r="JM7" s="215"/>
      <c r="JN7" s="215"/>
      <c r="JO7" s="215"/>
      <c r="JP7" s="215"/>
      <c r="JQ7" s="215"/>
      <c r="JR7" s="215"/>
      <c r="JS7" s="215"/>
      <c r="JT7" s="215"/>
      <c r="JU7" s="215"/>
      <c r="JV7" s="215"/>
      <c r="JW7" s="215"/>
      <c r="JX7" s="215"/>
      <c r="JY7" s="215"/>
      <c r="JZ7" s="215"/>
      <c r="KA7" s="215"/>
      <c r="KB7" s="215"/>
      <c r="KC7" s="215"/>
      <c r="KD7" s="215"/>
      <c r="KE7" s="215"/>
      <c r="KF7" s="215"/>
      <c r="KG7" s="215"/>
      <c r="KH7" s="215"/>
      <c r="KI7" s="215"/>
      <c r="KJ7" s="215"/>
      <c r="KK7" s="215"/>
      <c r="KL7" s="215"/>
      <c r="KM7" s="215"/>
      <c r="KN7" s="215"/>
      <c r="KO7" s="215"/>
      <c r="KP7" s="215"/>
      <c r="KQ7" s="215"/>
      <c r="KR7" s="215"/>
      <c r="KS7" s="215"/>
      <c r="KT7" s="215"/>
      <c r="KU7" s="215"/>
      <c r="KV7" s="215"/>
      <c r="KW7" s="215"/>
      <c r="KX7" s="215"/>
      <c r="KY7" s="215"/>
      <c r="KZ7" s="215"/>
      <c r="LA7" s="215"/>
      <c r="LB7" s="215"/>
      <c r="LC7" s="215"/>
      <c r="LD7" s="215"/>
      <c r="LE7" s="215"/>
      <c r="LF7" s="215"/>
      <c r="LG7" s="215"/>
      <c r="LH7" s="215"/>
      <c r="LI7" s="215"/>
      <c r="LJ7" s="215"/>
      <c r="LK7" s="215"/>
      <c r="LL7" s="215"/>
      <c r="LM7" s="215"/>
      <c r="LN7" s="215"/>
      <c r="LO7" s="215"/>
      <c r="LP7" s="215"/>
      <c r="LQ7" s="215"/>
      <c r="LR7" s="215"/>
      <c r="LS7" s="215"/>
      <c r="LT7" s="215"/>
      <c r="LU7" s="215"/>
      <c r="LV7" s="215"/>
      <c r="LW7" s="215"/>
      <c r="LX7" s="215"/>
      <c r="LY7" s="215"/>
      <c r="LZ7" s="215"/>
      <c r="MA7" s="215"/>
      <c r="MB7" s="215"/>
      <c r="MC7" s="215"/>
      <c r="MD7" s="215"/>
      <c r="ME7" s="215"/>
      <c r="MF7" s="215"/>
      <c r="MG7" s="215"/>
      <c r="MH7" s="215"/>
      <c r="MI7" s="215"/>
      <c r="MJ7" s="215"/>
      <c r="MK7" s="215"/>
      <c r="ML7" s="215"/>
      <c r="MM7" s="215"/>
      <c r="MN7" s="215"/>
      <c r="MO7" s="215"/>
      <c r="MP7" s="215"/>
      <c r="MQ7" s="215"/>
      <c r="MR7" s="215"/>
      <c r="MS7" s="215"/>
      <c r="MT7" s="215"/>
      <c r="MU7" s="215"/>
      <c r="MV7" s="215"/>
      <c r="MW7" s="215"/>
      <c r="MX7" s="215"/>
      <c r="MY7" s="215"/>
      <c r="MZ7" s="215"/>
      <c r="NA7" s="215"/>
      <c r="NB7" s="215"/>
      <c r="NC7" s="215"/>
      <c r="ND7" s="215"/>
      <c r="NE7" s="215"/>
      <c r="NF7" s="215"/>
      <c r="NG7" s="215"/>
      <c r="NH7" s="215"/>
      <c r="NI7" s="215"/>
      <c r="NJ7" s="215"/>
      <c r="NK7" s="215"/>
      <c r="NL7" s="215"/>
      <c r="NM7" s="215"/>
      <c r="NN7" s="215"/>
      <c r="NO7" s="215"/>
      <c r="NP7" s="215"/>
      <c r="NQ7" s="215"/>
      <c r="NR7" s="215"/>
      <c r="NS7" s="215"/>
      <c r="NT7" s="215"/>
      <c r="NU7" s="215"/>
      <c r="NV7" s="215"/>
      <c r="NW7" s="215"/>
      <c r="NX7" s="215"/>
      <c r="NY7" s="215"/>
      <c r="NZ7" s="215"/>
      <c r="OA7" s="215"/>
      <c r="OB7" s="215"/>
      <c r="OC7" s="215"/>
      <c r="OD7" s="215"/>
      <c r="OE7" s="215"/>
      <c r="OF7" s="215"/>
      <c r="OG7" s="215"/>
      <c r="OH7" s="215"/>
      <c r="OI7" s="215"/>
      <c r="OJ7" s="215"/>
      <c r="OK7" s="215"/>
      <c r="OL7" s="215"/>
      <c r="OM7" s="215"/>
      <c r="ON7" s="215"/>
      <c r="OO7" s="215"/>
      <c r="OP7" s="215"/>
      <c r="OQ7" s="215"/>
      <c r="OR7" s="215"/>
      <c r="OS7" s="215"/>
      <c r="OT7" s="215"/>
      <c r="OU7" s="215"/>
      <c r="OV7" s="215"/>
      <c r="OW7" s="215"/>
      <c r="OX7" s="215"/>
      <c r="OY7" s="215"/>
      <c r="OZ7" s="215"/>
      <c r="PA7" s="215"/>
      <c r="PB7" s="215"/>
      <c r="PC7" s="215"/>
      <c r="PD7" s="215"/>
      <c r="PE7" s="215"/>
      <c r="PF7" s="215"/>
      <c r="PG7" s="215"/>
      <c r="PH7" s="215"/>
      <c r="PI7" s="215"/>
      <c r="PJ7" s="215"/>
      <c r="PK7" s="215"/>
      <c r="PL7" s="215"/>
      <c r="PM7" s="215"/>
      <c r="PN7" s="215"/>
      <c r="PO7" s="215"/>
      <c r="PP7" s="215"/>
      <c r="PQ7" s="215"/>
      <c r="PR7" s="215"/>
      <c r="PS7" s="215"/>
      <c r="PT7" s="215"/>
      <c r="PU7" s="215"/>
      <c r="PV7" s="215"/>
      <c r="PW7" s="215"/>
      <c r="PX7" s="215"/>
      <c r="PY7" s="215"/>
      <c r="PZ7" s="215"/>
      <c r="QA7" s="215"/>
      <c r="QB7" s="215"/>
      <c r="QC7" s="215"/>
      <c r="QD7" s="215"/>
      <c r="QE7" s="215"/>
      <c r="QF7" s="215"/>
      <c r="QG7" s="215"/>
      <c r="QH7" s="215"/>
      <c r="QI7" s="215"/>
      <c r="QJ7" s="215"/>
      <c r="QK7" s="215"/>
      <c r="QL7" s="215"/>
      <c r="QM7" s="215"/>
      <c r="QN7" s="215"/>
      <c r="QO7" s="215"/>
      <c r="QP7" s="215"/>
      <c r="QQ7" s="215"/>
      <c r="QR7" s="215"/>
      <c r="QS7" s="215"/>
      <c r="QT7" s="215"/>
      <c r="QU7" s="215"/>
      <c r="QV7" s="215"/>
      <c r="QW7" s="215"/>
      <c r="QX7" s="215"/>
      <c r="QY7" s="215"/>
      <c r="QZ7" s="215"/>
      <c r="RA7" s="215"/>
      <c r="RB7" s="215"/>
      <c r="RC7" s="215"/>
      <c r="RD7" s="215"/>
      <c r="RE7" s="215"/>
      <c r="RF7" s="215"/>
      <c r="RG7" s="215"/>
      <c r="RH7" s="215"/>
      <c r="RI7" s="215"/>
      <c r="RJ7" s="215"/>
      <c r="RK7" s="215"/>
      <c r="RL7" s="215"/>
      <c r="RM7" s="215"/>
      <c r="RN7" s="215"/>
      <c r="RO7" s="215"/>
      <c r="RP7" s="215"/>
      <c r="RQ7" s="215"/>
      <c r="RR7" s="215"/>
      <c r="RS7" s="215"/>
      <c r="RT7" s="215"/>
      <c r="RU7" s="215"/>
      <c r="RV7" s="215"/>
      <c r="RW7" s="215"/>
      <c r="RX7" s="215"/>
      <c r="RY7" s="215"/>
      <c r="RZ7" s="215"/>
      <c r="SA7" s="215"/>
      <c r="SB7" s="215"/>
      <c r="SC7" s="215"/>
      <c r="SD7" s="215"/>
      <c r="SE7" s="215"/>
      <c r="SF7" s="215"/>
      <c r="SG7" s="215"/>
      <c r="SH7" s="215"/>
      <c r="SI7" s="215"/>
      <c r="SJ7" s="215"/>
      <c r="SK7" s="215"/>
      <c r="SL7" s="215"/>
      <c r="SM7" s="215"/>
      <c r="SN7" s="215"/>
      <c r="SO7" s="215"/>
      <c r="SP7" s="215"/>
      <c r="SQ7" s="215"/>
      <c r="SR7" s="215"/>
      <c r="SS7" s="215"/>
      <c r="ST7" s="215"/>
      <c r="SU7" s="215"/>
      <c r="SV7" s="215"/>
      <c r="SW7" s="215"/>
      <c r="SX7" s="215"/>
      <c r="SY7" s="215"/>
      <c r="SZ7" s="215"/>
      <c r="TA7" s="215"/>
      <c r="TB7" s="215"/>
      <c r="TC7" s="215"/>
      <c r="TD7" s="215"/>
      <c r="TE7" s="215"/>
      <c r="TF7" s="215"/>
      <c r="TG7" s="215"/>
      <c r="TH7" s="215"/>
      <c r="TI7" s="215"/>
      <c r="TJ7" s="215"/>
      <c r="TK7" s="215"/>
      <c r="TL7" s="215"/>
      <c r="TM7" s="215"/>
      <c r="TN7" s="215"/>
      <c r="TO7" s="215"/>
      <c r="TP7" s="215"/>
      <c r="TQ7" s="215"/>
      <c r="TR7" s="215"/>
      <c r="TS7" s="215"/>
      <c r="TT7" s="215"/>
      <c r="TU7" s="215"/>
      <c r="TV7" s="215"/>
      <c r="TW7" s="215"/>
      <c r="TX7" s="215"/>
      <c r="TY7" s="215"/>
      <c r="TZ7" s="215"/>
      <c r="UA7" s="215"/>
      <c r="UB7" s="215"/>
      <c r="UC7" s="215"/>
      <c r="UD7" s="215"/>
      <c r="UE7" s="215"/>
      <c r="UF7" s="215"/>
      <c r="UG7" s="215"/>
      <c r="UH7" s="215"/>
      <c r="UI7" s="215"/>
      <c r="UJ7" s="215"/>
      <c r="UK7" s="215"/>
      <c r="UL7" s="215"/>
      <c r="UM7" s="215"/>
      <c r="UN7" s="215"/>
      <c r="UO7" s="215"/>
      <c r="UP7" s="215"/>
      <c r="UQ7" s="215"/>
      <c r="UR7" s="215"/>
      <c r="US7" s="215"/>
      <c r="UT7" s="215"/>
      <c r="UU7" s="215"/>
      <c r="UV7" s="215"/>
      <c r="UW7" s="215"/>
      <c r="UX7" s="215"/>
      <c r="UY7" s="215"/>
      <c r="UZ7" s="215"/>
      <c r="VA7" s="215"/>
      <c r="VB7" s="215"/>
      <c r="VC7" s="215"/>
      <c r="VD7" s="215"/>
      <c r="VE7" s="215"/>
      <c r="VF7" s="215"/>
      <c r="VG7" s="215"/>
      <c r="VH7" s="215"/>
      <c r="VI7" s="215"/>
      <c r="VJ7" s="215"/>
      <c r="VK7" s="215"/>
      <c r="VL7" s="215"/>
      <c r="VM7" s="215"/>
      <c r="VN7" s="215"/>
      <c r="VO7" s="215"/>
      <c r="VP7" s="215"/>
      <c r="VQ7" s="215"/>
      <c r="VR7" s="215"/>
      <c r="VS7" s="215"/>
      <c r="VT7" s="215"/>
      <c r="VU7" s="215"/>
      <c r="VV7" s="215"/>
      <c r="VW7" s="215"/>
      <c r="VX7" s="215"/>
      <c r="VY7" s="215"/>
      <c r="VZ7" s="215"/>
      <c r="WA7" s="215"/>
      <c r="WB7" s="215"/>
    </row>
    <row r="8" spans="1:600" s="218" customFormat="1" ht="13" customHeight="1" x14ac:dyDescent="0.35">
      <c r="A8" s="215"/>
      <c r="B8" s="215"/>
      <c r="C8" s="219"/>
      <c r="D8" s="219"/>
      <c r="E8" s="219"/>
      <c r="F8" s="220"/>
      <c r="G8" s="215"/>
      <c r="H8" s="215"/>
      <c r="I8" s="215"/>
      <c r="J8" s="215"/>
      <c r="K8" s="223"/>
      <c r="L8" s="223"/>
      <c r="M8" s="223"/>
      <c r="N8" s="223"/>
      <c r="O8" s="223"/>
      <c r="P8" s="223"/>
      <c r="Q8" s="223"/>
      <c r="R8" s="223"/>
      <c r="S8" s="223"/>
      <c r="T8" s="223"/>
      <c r="U8" s="223"/>
      <c r="V8" s="223"/>
      <c r="W8" s="223"/>
      <c r="X8" s="223"/>
      <c r="Y8" s="223"/>
      <c r="Z8" s="223"/>
      <c r="AA8" s="223"/>
      <c r="AB8" s="223"/>
      <c r="AC8" s="223"/>
      <c r="AD8" s="223"/>
      <c r="AE8" s="223"/>
      <c r="AF8" s="223"/>
      <c r="AG8" s="215"/>
      <c r="AH8" s="215"/>
      <c r="AI8" s="215"/>
      <c r="AJ8" s="215"/>
      <c r="AK8" s="215"/>
      <c r="AL8" s="215"/>
      <c r="AM8" s="215"/>
      <c r="AN8" s="215"/>
      <c r="AO8" s="215"/>
      <c r="AP8" s="215"/>
      <c r="AQ8" s="215"/>
      <c r="AR8" s="215"/>
      <c r="AS8" s="223"/>
      <c r="AT8" s="223"/>
      <c r="AU8" s="223"/>
      <c r="AV8" s="223"/>
      <c r="AW8" s="223"/>
      <c r="AX8" s="223"/>
      <c r="AY8" s="223"/>
      <c r="AZ8" s="223"/>
      <c r="BA8" s="223"/>
      <c r="BB8" s="223"/>
      <c r="BC8" s="223"/>
      <c r="BD8" s="223"/>
      <c r="BE8" s="223"/>
      <c r="BF8" s="223"/>
      <c r="BG8" s="223"/>
      <c r="BH8" s="223"/>
      <c r="BI8" s="223"/>
      <c r="BJ8" s="223"/>
      <c r="BK8" s="223"/>
      <c r="BL8" s="223"/>
      <c r="BM8" s="223"/>
      <c r="BN8" s="223"/>
      <c r="BO8" s="223"/>
      <c r="BP8" s="223"/>
      <c r="BQ8" s="223"/>
      <c r="BR8" s="223"/>
      <c r="BS8" s="223"/>
      <c r="BT8" s="223"/>
      <c r="BU8" s="223"/>
      <c r="BV8" s="223"/>
      <c r="BW8" s="223"/>
      <c r="BX8" s="223"/>
      <c r="BY8" s="215"/>
      <c r="BZ8" s="215"/>
      <c r="CA8" s="215"/>
      <c r="CB8" s="215"/>
      <c r="CC8" s="215"/>
      <c r="CD8" s="215"/>
      <c r="CE8" s="215"/>
      <c r="CF8" s="215"/>
      <c r="CG8" s="215"/>
      <c r="CH8" s="215"/>
      <c r="CI8" s="215"/>
      <c r="CJ8" s="215"/>
      <c r="CK8" s="215"/>
      <c r="CL8" s="215"/>
      <c r="CM8" s="215"/>
      <c r="CN8" s="215"/>
      <c r="CO8" s="215"/>
      <c r="CP8" s="215"/>
      <c r="CQ8" s="215"/>
      <c r="CR8" s="215"/>
      <c r="CS8" s="215"/>
      <c r="CT8" s="215"/>
      <c r="CU8" s="215"/>
      <c r="CV8" s="215"/>
      <c r="CW8" s="215"/>
      <c r="CX8" s="215"/>
      <c r="CY8" s="215"/>
      <c r="CZ8" s="215"/>
      <c r="DA8" s="215"/>
      <c r="DB8" s="215"/>
      <c r="DC8" s="215"/>
      <c r="DD8" s="215"/>
      <c r="DE8" s="215"/>
      <c r="DF8" s="215"/>
      <c r="DG8" s="215"/>
      <c r="DH8" s="215"/>
      <c r="DI8" s="215"/>
      <c r="DJ8" s="215"/>
      <c r="DK8" s="215"/>
      <c r="DL8" s="215"/>
      <c r="DM8" s="215"/>
      <c r="DN8" s="215"/>
      <c r="DO8" s="215"/>
      <c r="DP8" s="215"/>
      <c r="DQ8" s="215"/>
      <c r="DR8" s="215"/>
      <c r="DS8" s="215"/>
      <c r="DT8" s="215"/>
      <c r="DU8" s="215"/>
      <c r="DV8" s="215"/>
      <c r="DW8" s="215"/>
      <c r="DX8" s="215"/>
      <c r="DY8" s="215"/>
      <c r="DZ8" s="215"/>
      <c r="EA8" s="215"/>
      <c r="EB8" s="215"/>
      <c r="EC8" s="215"/>
      <c r="ED8" s="215"/>
      <c r="EE8" s="215"/>
      <c r="EF8" s="215"/>
      <c r="EG8" s="215"/>
      <c r="EH8" s="215"/>
      <c r="EI8" s="215"/>
      <c r="EJ8" s="215"/>
      <c r="EK8" s="215"/>
      <c r="EL8" s="215"/>
      <c r="EM8" s="215"/>
      <c r="EN8" s="215"/>
      <c r="EO8" s="215"/>
      <c r="EP8" s="215"/>
      <c r="EQ8" s="215"/>
      <c r="ER8" s="215"/>
      <c r="ES8" s="215"/>
      <c r="ET8" s="215"/>
      <c r="EU8" s="215"/>
      <c r="EV8" s="215"/>
      <c r="EW8" s="215"/>
      <c r="EX8" s="215"/>
      <c r="EY8" s="215"/>
      <c r="EZ8" s="215"/>
      <c r="FA8" s="215"/>
      <c r="FB8" s="215"/>
      <c r="FC8" s="215"/>
      <c r="FD8" s="215"/>
      <c r="FE8" s="215"/>
      <c r="FF8" s="215"/>
      <c r="FG8" s="215"/>
      <c r="FH8" s="215"/>
      <c r="FI8" s="215"/>
      <c r="FJ8" s="215"/>
      <c r="FK8" s="215"/>
      <c r="FL8" s="215"/>
      <c r="FM8" s="215"/>
      <c r="FN8" s="215"/>
      <c r="FO8" s="215"/>
      <c r="FP8" s="215"/>
      <c r="FQ8" s="215"/>
      <c r="FR8" s="215"/>
      <c r="FS8" s="215"/>
      <c r="FT8" s="215"/>
      <c r="FU8" s="215"/>
      <c r="FV8" s="215"/>
      <c r="FW8" s="215"/>
      <c r="FX8" s="215"/>
      <c r="FY8" s="215"/>
      <c r="FZ8" s="215"/>
      <c r="GA8" s="215"/>
      <c r="GB8" s="215"/>
      <c r="GC8" s="215"/>
      <c r="GD8" s="215"/>
      <c r="GE8" s="215"/>
      <c r="GF8" s="215"/>
      <c r="GG8" s="215"/>
      <c r="GH8" s="215"/>
      <c r="GI8" s="215"/>
      <c r="GJ8" s="215"/>
      <c r="GK8" s="215"/>
      <c r="GL8" s="215"/>
      <c r="GM8" s="215"/>
      <c r="GN8" s="215"/>
      <c r="GO8" s="215"/>
      <c r="GP8" s="215"/>
      <c r="GQ8" s="215"/>
      <c r="GR8" s="215"/>
      <c r="GS8" s="215"/>
      <c r="GT8" s="215"/>
      <c r="GU8" s="215"/>
      <c r="GV8" s="215"/>
      <c r="GW8" s="215"/>
      <c r="GX8" s="215"/>
      <c r="GY8" s="215"/>
      <c r="GZ8" s="215"/>
      <c r="HA8" s="215"/>
      <c r="HB8" s="215"/>
      <c r="HC8" s="215"/>
      <c r="HD8" s="215"/>
      <c r="HE8" s="215"/>
      <c r="HF8" s="215"/>
      <c r="HG8" s="215"/>
      <c r="HH8" s="215"/>
      <c r="HI8" s="215"/>
      <c r="HJ8" s="215"/>
      <c r="HK8" s="215"/>
      <c r="HL8" s="215"/>
      <c r="HM8" s="215"/>
      <c r="HN8" s="215"/>
      <c r="HO8" s="215"/>
      <c r="HP8" s="215"/>
      <c r="HQ8" s="215"/>
      <c r="HR8" s="215"/>
      <c r="HS8" s="215"/>
      <c r="HT8" s="215"/>
      <c r="HU8" s="215"/>
      <c r="HV8" s="215"/>
      <c r="HW8" s="215"/>
      <c r="HX8" s="215"/>
      <c r="HY8" s="215"/>
      <c r="HZ8" s="215"/>
      <c r="IA8" s="215"/>
      <c r="IB8" s="215"/>
      <c r="IC8" s="215"/>
      <c r="ID8" s="215"/>
      <c r="IE8" s="215"/>
      <c r="IF8" s="215"/>
      <c r="IG8" s="215"/>
      <c r="IH8" s="215"/>
      <c r="II8" s="215"/>
      <c r="IJ8" s="215"/>
      <c r="IK8" s="215"/>
      <c r="IL8" s="215"/>
      <c r="IM8" s="215"/>
      <c r="IN8" s="215"/>
      <c r="IO8" s="215"/>
      <c r="IP8" s="215"/>
      <c r="IQ8" s="215"/>
      <c r="IR8" s="215"/>
      <c r="IS8" s="215"/>
      <c r="IT8" s="215"/>
      <c r="IU8" s="215"/>
      <c r="IV8" s="215"/>
      <c r="IW8" s="215"/>
      <c r="IX8" s="215"/>
      <c r="IY8" s="215"/>
      <c r="IZ8" s="215"/>
      <c r="JA8" s="215"/>
      <c r="JB8" s="215"/>
      <c r="JC8" s="215"/>
      <c r="JD8" s="215"/>
      <c r="JE8" s="215"/>
      <c r="JF8" s="215"/>
      <c r="JG8" s="215"/>
      <c r="JH8" s="215"/>
      <c r="JI8" s="215"/>
      <c r="JJ8" s="215"/>
      <c r="JK8" s="215"/>
      <c r="JL8" s="215"/>
      <c r="JM8" s="215"/>
      <c r="JN8" s="215"/>
      <c r="JO8" s="215"/>
      <c r="JP8" s="215"/>
      <c r="JQ8" s="215"/>
      <c r="JR8" s="215"/>
      <c r="JS8" s="215"/>
      <c r="JT8" s="215"/>
      <c r="JU8" s="215"/>
      <c r="JV8" s="215"/>
      <c r="JW8" s="215"/>
      <c r="JX8" s="215"/>
      <c r="JY8" s="215"/>
      <c r="JZ8" s="215"/>
      <c r="KA8" s="215"/>
      <c r="KB8" s="215"/>
      <c r="KC8" s="215"/>
      <c r="KD8" s="215"/>
      <c r="KE8" s="215"/>
      <c r="KF8" s="215"/>
      <c r="KG8" s="215"/>
      <c r="KH8" s="215"/>
      <c r="KI8" s="215"/>
      <c r="KJ8" s="215"/>
      <c r="KK8" s="215"/>
      <c r="KL8" s="215"/>
      <c r="KM8" s="215"/>
      <c r="KN8" s="215"/>
      <c r="KO8" s="215"/>
      <c r="KP8" s="215"/>
      <c r="KQ8" s="215"/>
      <c r="KR8" s="215"/>
      <c r="KS8" s="215"/>
      <c r="KT8" s="215"/>
      <c r="KU8" s="215"/>
      <c r="KV8" s="215"/>
      <c r="KW8" s="215"/>
      <c r="KX8" s="215"/>
      <c r="KY8" s="215"/>
      <c r="KZ8" s="215"/>
      <c r="LA8" s="215"/>
      <c r="LB8" s="215"/>
      <c r="LC8" s="215"/>
      <c r="LD8" s="215"/>
      <c r="LE8" s="215"/>
      <c r="LF8" s="215"/>
      <c r="LG8" s="215"/>
      <c r="LH8" s="215"/>
      <c r="LI8" s="215"/>
      <c r="LJ8" s="215"/>
      <c r="LK8" s="215"/>
      <c r="LL8" s="215"/>
      <c r="LM8" s="215"/>
      <c r="LN8" s="215"/>
      <c r="LO8" s="215"/>
      <c r="LP8" s="215"/>
      <c r="LQ8" s="215"/>
      <c r="LR8" s="215"/>
      <c r="LS8" s="215"/>
      <c r="LT8" s="215"/>
      <c r="LU8" s="215"/>
      <c r="LV8" s="215"/>
      <c r="LW8" s="215"/>
      <c r="LX8" s="215"/>
      <c r="LY8" s="215"/>
      <c r="LZ8" s="215"/>
      <c r="MA8" s="215"/>
      <c r="MB8" s="215"/>
      <c r="MC8" s="215"/>
      <c r="MD8" s="215"/>
      <c r="ME8" s="215"/>
      <c r="MF8" s="215"/>
      <c r="MG8" s="215"/>
      <c r="MH8" s="215"/>
      <c r="MI8" s="215"/>
      <c r="MJ8" s="215"/>
      <c r="MK8" s="215"/>
      <c r="ML8" s="215"/>
      <c r="MM8" s="215"/>
      <c r="MN8" s="215"/>
      <c r="MO8" s="215"/>
      <c r="MP8" s="215"/>
      <c r="MQ8" s="215"/>
      <c r="MR8" s="215"/>
      <c r="MS8" s="215"/>
      <c r="MT8" s="215"/>
      <c r="MU8" s="215"/>
      <c r="MV8" s="215"/>
      <c r="MW8" s="215"/>
      <c r="MX8" s="215"/>
      <c r="MY8" s="215"/>
      <c r="MZ8" s="215"/>
      <c r="NA8" s="215"/>
      <c r="NB8" s="215"/>
      <c r="NC8" s="215"/>
      <c r="ND8" s="215"/>
      <c r="NE8" s="215"/>
      <c r="NF8" s="215"/>
      <c r="NG8" s="215"/>
      <c r="NH8" s="215"/>
      <c r="NI8" s="215"/>
      <c r="NJ8" s="215"/>
      <c r="NK8" s="215"/>
      <c r="NL8" s="215"/>
      <c r="NM8" s="215"/>
      <c r="NN8" s="215"/>
      <c r="NO8" s="215"/>
      <c r="NP8" s="215"/>
      <c r="NQ8" s="215"/>
      <c r="NR8" s="215"/>
      <c r="NS8" s="215"/>
      <c r="NT8" s="215"/>
      <c r="NU8" s="215"/>
      <c r="NV8" s="215"/>
      <c r="NW8" s="215"/>
      <c r="NX8" s="215"/>
      <c r="NY8" s="215"/>
      <c r="NZ8" s="215"/>
      <c r="OA8" s="215"/>
      <c r="OB8" s="215"/>
      <c r="OC8" s="215"/>
      <c r="OD8" s="215"/>
      <c r="OE8" s="215"/>
      <c r="OF8" s="215"/>
      <c r="OG8" s="215"/>
      <c r="OH8" s="215"/>
      <c r="OI8" s="215"/>
      <c r="OJ8" s="215"/>
      <c r="OK8" s="215"/>
      <c r="OL8" s="215"/>
      <c r="OM8" s="215"/>
      <c r="ON8" s="215"/>
      <c r="OO8" s="215"/>
      <c r="OP8" s="215"/>
      <c r="OQ8" s="215"/>
      <c r="OR8" s="215"/>
      <c r="OS8" s="215"/>
      <c r="OT8" s="215"/>
      <c r="OU8" s="215"/>
      <c r="OV8" s="215"/>
      <c r="OW8" s="215"/>
      <c r="OX8" s="215"/>
      <c r="OY8" s="215"/>
      <c r="OZ8" s="215"/>
      <c r="PA8" s="215"/>
      <c r="PB8" s="215"/>
      <c r="PC8" s="215"/>
      <c r="PD8" s="215"/>
      <c r="PE8" s="215"/>
      <c r="PF8" s="215"/>
      <c r="PG8" s="215"/>
      <c r="PH8" s="215"/>
      <c r="PI8" s="215"/>
      <c r="PJ8" s="215"/>
      <c r="PK8" s="215"/>
      <c r="PL8" s="215"/>
      <c r="PM8" s="215"/>
      <c r="PN8" s="215"/>
      <c r="PO8" s="215"/>
      <c r="PP8" s="215"/>
      <c r="PQ8" s="215"/>
      <c r="PR8" s="215"/>
      <c r="PS8" s="215"/>
      <c r="PT8" s="215"/>
      <c r="PU8" s="215"/>
      <c r="PV8" s="215"/>
      <c r="PW8" s="215"/>
      <c r="PX8" s="215"/>
      <c r="PY8" s="215"/>
      <c r="PZ8" s="215"/>
      <c r="QA8" s="215"/>
      <c r="QB8" s="215"/>
      <c r="QC8" s="215"/>
      <c r="QD8" s="215"/>
      <c r="QE8" s="215"/>
      <c r="QF8" s="215"/>
      <c r="QG8" s="215"/>
      <c r="QH8" s="215"/>
      <c r="QI8" s="215"/>
      <c r="QJ8" s="215"/>
      <c r="QK8" s="215"/>
      <c r="QL8" s="215"/>
      <c r="QM8" s="215"/>
      <c r="QN8" s="215"/>
      <c r="QO8" s="215"/>
      <c r="QP8" s="215"/>
      <c r="QQ8" s="215"/>
      <c r="QR8" s="215"/>
      <c r="QS8" s="215"/>
      <c r="QT8" s="215"/>
      <c r="QU8" s="215"/>
      <c r="QV8" s="215"/>
      <c r="QW8" s="215"/>
      <c r="QX8" s="215"/>
      <c r="QY8" s="215"/>
      <c r="QZ8" s="215"/>
      <c r="RA8" s="215"/>
      <c r="RB8" s="215"/>
      <c r="RC8" s="215"/>
      <c r="RD8" s="215"/>
      <c r="RE8" s="215"/>
      <c r="RF8" s="215"/>
      <c r="RG8" s="215"/>
      <c r="RH8" s="215"/>
      <c r="RI8" s="215"/>
      <c r="RJ8" s="215"/>
      <c r="RK8" s="215"/>
      <c r="RL8" s="215"/>
      <c r="RM8" s="215"/>
      <c r="RN8" s="215"/>
      <c r="RO8" s="215"/>
      <c r="RP8" s="215"/>
      <c r="RQ8" s="215"/>
      <c r="RR8" s="215"/>
      <c r="RS8" s="215"/>
      <c r="RT8" s="215"/>
      <c r="RU8" s="215"/>
      <c r="RV8" s="215"/>
      <c r="RW8" s="215"/>
      <c r="RX8" s="215"/>
      <c r="RY8" s="215"/>
      <c r="RZ8" s="215"/>
      <c r="SA8" s="215"/>
      <c r="SB8" s="215"/>
      <c r="SC8" s="215"/>
      <c r="SD8" s="215"/>
      <c r="SE8" s="215"/>
      <c r="SF8" s="215"/>
      <c r="SG8" s="215"/>
      <c r="SH8" s="215"/>
      <c r="SI8" s="215"/>
      <c r="SJ8" s="215"/>
      <c r="SK8" s="215"/>
      <c r="SL8" s="215"/>
      <c r="SM8" s="215"/>
      <c r="SN8" s="215"/>
      <c r="SO8" s="215"/>
      <c r="SP8" s="215"/>
      <c r="SQ8" s="215"/>
      <c r="SR8" s="215"/>
      <c r="SS8" s="215"/>
      <c r="ST8" s="215"/>
      <c r="SU8" s="215"/>
      <c r="SV8" s="215"/>
      <c r="SW8" s="215"/>
      <c r="SX8" s="215"/>
      <c r="SY8" s="215"/>
      <c r="SZ8" s="215"/>
      <c r="TA8" s="215"/>
      <c r="TB8" s="215"/>
      <c r="TC8" s="215"/>
      <c r="TD8" s="215"/>
      <c r="TE8" s="215"/>
      <c r="TF8" s="215"/>
      <c r="TG8" s="215"/>
      <c r="TH8" s="215"/>
      <c r="TI8" s="215"/>
      <c r="TJ8" s="215"/>
      <c r="TK8" s="215"/>
      <c r="TL8" s="215"/>
      <c r="TM8" s="215"/>
      <c r="TN8" s="215"/>
      <c r="TO8" s="215"/>
      <c r="TP8" s="215"/>
      <c r="TQ8" s="215"/>
      <c r="TR8" s="215"/>
      <c r="TS8" s="215"/>
      <c r="TT8" s="215"/>
      <c r="TU8" s="215"/>
      <c r="TV8" s="215"/>
      <c r="TW8" s="215"/>
      <c r="TX8" s="215"/>
      <c r="TY8" s="215"/>
      <c r="TZ8" s="215"/>
      <c r="UA8" s="215"/>
      <c r="UB8" s="215"/>
      <c r="UC8" s="215"/>
      <c r="UD8" s="215"/>
      <c r="UE8" s="215"/>
      <c r="UF8" s="215"/>
      <c r="UG8" s="215"/>
      <c r="UH8" s="215"/>
      <c r="UI8" s="215"/>
      <c r="UJ8" s="215"/>
      <c r="UK8" s="215"/>
      <c r="UL8" s="215"/>
      <c r="UM8" s="215"/>
      <c r="UN8" s="215"/>
      <c r="UO8" s="215"/>
      <c r="UP8" s="215"/>
      <c r="UQ8" s="215"/>
      <c r="UR8" s="215"/>
      <c r="US8" s="215"/>
      <c r="UT8" s="215"/>
      <c r="UU8" s="215"/>
      <c r="UV8" s="215"/>
      <c r="UW8" s="215"/>
      <c r="UX8" s="215"/>
      <c r="UY8" s="215"/>
      <c r="UZ8" s="215"/>
      <c r="VA8" s="215"/>
      <c r="VB8" s="215"/>
      <c r="VC8" s="215"/>
      <c r="VD8" s="215"/>
      <c r="VE8" s="215"/>
      <c r="VF8" s="215"/>
      <c r="VG8" s="215"/>
      <c r="VH8" s="215"/>
      <c r="VI8" s="215"/>
      <c r="VJ8" s="215"/>
      <c r="VK8" s="215"/>
      <c r="VL8" s="215"/>
      <c r="VM8" s="215"/>
      <c r="VN8" s="215"/>
      <c r="VO8" s="215"/>
      <c r="VP8" s="215"/>
      <c r="VQ8" s="215"/>
      <c r="VR8" s="215"/>
      <c r="VS8" s="215"/>
      <c r="VT8" s="215"/>
      <c r="VU8" s="215"/>
      <c r="VV8" s="215"/>
      <c r="VW8" s="215"/>
      <c r="VX8" s="215"/>
      <c r="VY8" s="215"/>
      <c r="VZ8" s="215"/>
      <c r="WA8" s="215"/>
      <c r="WB8" s="215"/>
    </row>
    <row r="9" spans="1:600" s="228" customFormat="1" ht="28" customHeight="1" x14ac:dyDescent="0.35">
      <c r="A9" s="224"/>
      <c r="B9" s="224"/>
      <c r="C9" s="225" t="str">
        <f ca="1">"Date de l'étude : " &amp; TEXT(Date_Etude,"jj/mm/aaaa")</f>
        <v>Date de l'étude : 23/03/2018</v>
      </c>
      <c r="D9" s="226" t="str">
        <f>"Date d'effet souhaité : " &amp; TEXT(Effet_Date,"jj/mm/aaaa")</f>
        <v>Date d'effet souhaité : 01/04/2018</v>
      </c>
      <c r="E9" s="226"/>
      <c r="F9" s="227"/>
      <c r="G9" s="224"/>
      <c r="H9" s="224"/>
      <c r="I9" s="224"/>
      <c r="J9" s="224"/>
      <c r="K9" s="224"/>
      <c r="L9" s="224"/>
      <c r="M9" s="224"/>
      <c r="N9" s="224"/>
      <c r="O9" s="224"/>
      <c r="P9" s="224"/>
      <c r="Q9" s="224"/>
      <c r="R9" s="224"/>
      <c r="S9" s="224"/>
      <c r="T9" s="224"/>
      <c r="U9" s="224"/>
      <c r="V9" s="224"/>
      <c r="W9" s="224"/>
      <c r="X9" s="224"/>
      <c r="Y9" s="224"/>
      <c r="Z9" s="224"/>
      <c r="AA9" s="224"/>
      <c r="AB9" s="224"/>
      <c r="AC9" s="224"/>
      <c r="AD9" s="224"/>
      <c r="AE9" s="224"/>
      <c r="AF9" s="224"/>
      <c r="AG9" s="224"/>
      <c r="AH9" s="224"/>
      <c r="AI9" s="224"/>
      <c r="AJ9" s="224"/>
      <c r="AK9" s="224"/>
      <c r="AL9" s="224"/>
      <c r="AM9" s="224"/>
      <c r="AN9" s="224"/>
      <c r="AO9" s="224"/>
      <c r="AP9" s="224"/>
      <c r="AQ9" s="224"/>
      <c r="AR9" s="224"/>
      <c r="AS9" s="224"/>
      <c r="AT9" s="224"/>
      <c r="AU9" s="224"/>
      <c r="AV9" s="224"/>
      <c r="AW9" s="224"/>
      <c r="AX9" s="224"/>
      <c r="AY9" s="224"/>
      <c r="AZ9" s="224"/>
      <c r="BA9" s="224"/>
      <c r="BB9" s="224"/>
      <c r="BC9" s="224"/>
      <c r="BD9" s="224"/>
      <c r="BE9" s="224"/>
      <c r="BF9" s="224"/>
      <c r="BG9" s="224"/>
      <c r="BH9" s="224"/>
      <c r="BI9" s="224"/>
      <c r="BJ9" s="224"/>
      <c r="BK9" s="224"/>
      <c r="BL9" s="224"/>
      <c r="BM9" s="224"/>
      <c r="BN9" s="224"/>
      <c r="BO9" s="224"/>
      <c r="BP9" s="224"/>
      <c r="BQ9" s="224"/>
      <c r="BR9" s="224"/>
      <c r="BS9" s="224"/>
      <c r="BT9" s="224"/>
      <c r="BU9" s="224"/>
      <c r="BV9" s="224"/>
      <c r="BW9" s="224"/>
      <c r="BX9" s="224"/>
      <c r="BY9" s="224"/>
      <c r="BZ9" s="224"/>
      <c r="CA9" s="224"/>
      <c r="CB9" s="224"/>
      <c r="CC9" s="224"/>
      <c r="CD9" s="224"/>
      <c r="CE9" s="224"/>
      <c r="CF9" s="224"/>
      <c r="CG9" s="224"/>
      <c r="CH9" s="224"/>
      <c r="CI9" s="224"/>
      <c r="CJ9" s="224"/>
      <c r="CK9" s="224"/>
      <c r="CL9" s="224"/>
      <c r="CM9" s="224"/>
      <c r="CN9" s="224"/>
      <c r="CO9" s="224"/>
      <c r="CP9" s="224"/>
      <c r="CQ9" s="224"/>
      <c r="CR9" s="224"/>
      <c r="CS9" s="224"/>
      <c r="CT9" s="224"/>
      <c r="CU9" s="224"/>
      <c r="CV9" s="224"/>
      <c r="CW9" s="224"/>
      <c r="CX9" s="224"/>
      <c r="CY9" s="224"/>
      <c r="CZ9" s="224"/>
      <c r="DA9" s="224"/>
      <c r="DB9" s="224"/>
      <c r="DC9" s="224"/>
      <c r="DD9" s="224"/>
      <c r="DE9" s="224"/>
      <c r="DF9" s="224"/>
      <c r="DG9" s="224"/>
      <c r="DH9" s="224"/>
      <c r="DI9" s="224"/>
      <c r="DJ9" s="224"/>
      <c r="DK9" s="224"/>
      <c r="DL9" s="224"/>
      <c r="DM9" s="224"/>
      <c r="DN9" s="224"/>
      <c r="DO9" s="224"/>
      <c r="DP9" s="224"/>
      <c r="DQ9" s="224"/>
      <c r="DR9" s="224"/>
      <c r="DS9" s="224"/>
      <c r="DT9" s="224"/>
      <c r="DU9" s="224"/>
      <c r="DV9" s="224"/>
      <c r="DW9" s="224"/>
      <c r="DX9" s="224"/>
      <c r="DY9" s="224"/>
      <c r="DZ9" s="224"/>
      <c r="EA9" s="224"/>
      <c r="EB9" s="224"/>
      <c r="EC9" s="224"/>
      <c r="ED9" s="224"/>
      <c r="EE9" s="224"/>
      <c r="EF9" s="224"/>
      <c r="EG9" s="224"/>
      <c r="EH9" s="224"/>
      <c r="EI9" s="224"/>
      <c r="EJ9" s="224"/>
      <c r="EK9" s="224"/>
      <c r="EL9" s="224"/>
      <c r="EM9" s="224"/>
      <c r="EN9" s="224"/>
      <c r="EO9" s="224"/>
      <c r="EP9" s="224"/>
      <c r="EQ9" s="224"/>
      <c r="ER9" s="224"/>
      <c r="ES9" s="224"/>
      <c r="ET9" s="224"/>
      <c r="EU9" s="224"/>
      <c r="EV9" s="224"/>
      <c r="EW9" s="224"/>
      <c r="EX9" s="224"/>
      <c r="EY9" s="224"/>
      <c r="EZ9" s="224"/>
      <c r="FA9" s="224"/>
      <c r="FB9" s="224"/>
      <c r="FC9" s="224"/>
      <c r="FD9" s="224"/>
      <c r="FE9" s="224"/>
      <c r="FF9" s="224"/>
      <c r="FG9" s="224"/>
      <c r="FH9" s="224"/>
      <c r="FI9" s="224"/>
      <c r="FJ9" s="224"/>
      <c r="FK9" s="224"/>
      <c r="FL9" s="224"/>
      <c r="FM9" s="224"/>
      <c r="FN9" s="224"/>
      <c r="FO9" s="224"/>
      <c r="FP9" s="224"/>
      <c r="FQ9" s="224"/>
      <c r="FR9" s="224"/>
      <c r="FS9" s="224"/>
      <c r="FT9" s="224"/>
      <c r="FU9" s="224"/>
      <c r="FV9" s="224"/>
      <c r="FW9" s="224"/>
      <c r="FX9" s="224"/>
      <c r="FY9" s="224"/>
      <c r="FZ9" s="224"/>
      <c r="GA9" s="224"/>
      <c r="GB9" s="224"/>
      <c r="GC9" s="224"/>
      <c r="GD9" s="224"/>
      <c r="GE9" s="224"/>
      <c r="GF9" s="224"/>
      <c r="GG9" s="224"/>
      <c r="GH9" s="224"/>
      <c r="GI9" s="224"/>
      <c r="GJ9" s="224"/>
      <c r="GK9" s="224"/>
      <c r="GL9" s="224"/>
      <c r="GM9" s="224"/>
      <c r="GN9" s="224"/>
      <c r="GO9" s="224"/>
      <c r="GP9" s="224"/>
      <c r="GQ9" s="224"/>
      <c r="GR9" s="224"/>
      <c r="GS9" s="224"/>
      <c r="GT9" s="224"/>
      <c r="GU9" s="224"/>
      <c r="GV9" s="224"/>
      <c r="GW9" s="224"/>
      <c r="GX9" s="224"/>
      <c r="GY9" s="224"/>
      <c r="GZ9" s="224"/>
      <c r="HA9" s="224"/>
      <c r="HB9" s="224"/>
      <c r="HC9" s="224"/>
      <c r="HD9" s="224"/>
      <c r="HE9" s="224"/>
      <c r="HF9" s="224"/>
      <c r="HG9" s="224"/>
      <c r="HH9" s="224"/>
      <c r="HI9" s="224"/>
      <c r="HJ9" s="224"/>
      <c r="HK9" s="224"/>
      <c r="HL9" s="224"/>
      <c r="HM9" s="224"/>
      <c r="HN9" s="224"/>
      <c r="HO9" s="224"/>
      <c r="HP9" s="224"/>
      <c r="HQ9" s="224"/>
      <c r="HR9" s="224"/>
      <c r="HS9" s="224"/>
      <c r="HT9" s="224"/>
      <c r="HU9" s="224"/>
      <c r="HV9" s="224"/>
      <c r="HW9" s="224"/>
      <c r="HX9" s="224"/>
      <c r="HY9" s="224"/>
      <c r="HZ9" s="224"/>
      <c r="IA9" s="224"/>
      <c r="IB9" s="224"/>
      <c r="IC9" s="224"/>
      <c r="ID9" s="224"/>
      <c r="IE9" s="224"/>
      <c r="IF9" s="224"/>
      <c r="IG9" s="224"/>
      <c r="IH9" s="224"/>
      <c r="II9" s="224"/>
      <c r="IJ9" s="224"/>
      <c r="IK9" s="224"/>
      <c r="IL9" s="224"/>
      <c r="IM9" s="224"/>
      <c r="IN9" s="224"/>
      <c r="IO9" s="224"/>
      <c r="IP9" s="224"/>
      <c r="IQ9" s="224"/>
      <c r="IR9" s="224"/>
      <c r="IS9" s="224"/>
      <c r="IT9" s="224"/>
      <c r="IU9" s="224"/>
      <c r="IV9" s="224"/>
      <c r="IW9" s="224"/>
      <c r="IX9" s="224"/>
      <c r="IY9" s="224"/>
      <c r="IZ9" s="224"/>
      <c r="JA9" s="224"/>
      <c r="JB9" s="224"/>
      <c r="JC9" s="224"/>
      <c r="JD9" s="224"/>
      <c r="JE9" s="224"/>
      <c r="JF9" s="224"/>
      <c r="JG9" s="224"/>
      <c r="JH9" s="224"/>
      <c r="JI9" s="224"/>
      <c r="JJ9" s="224"/>
      <c r="JK9" s="224"/>
      <c r="JL9" s="224"/>
      <c r="JM9" s="224"/>
      <c r="JN9" s="224"/>
      <c r="JO9" s="224"/>
      <c r="JP9" s="224"/>
      <c r="JQ9" s="224"/>
      <c r="JR9" s="224"/>
      <c r="JS9" s="224"/>
      <c r="JT9" s="224"/>
      <c r="JU9" s="224"/>
      <c r="JV9" s="224"/>
      <c r="JW9" s="224"/>
      <c r="JX9" s="224"/>
      <c r="JY9" s="224"/>
      <c r="JZ9" s="224"/>
      <c r="KA9" s="224"/>
      <c r="KB9" s="224"/>
      <c r="KC9" s="224"/>
      <c r="KD9" s="224"/>
      <c r="KE9" s="224"/>
      <c r="KF9" s="224"/>
      <c r="KG9" s="224"/>
      <c r="KH9" s="224"/>
      <c r="KI9" s="224"/>
      <c r="KJ9" s="224"/>
      <c r="KK9" s="224"/>
      <c r="KL9" s="224"/>
      <c r="KM9" s="224"/>
      <c r="KN9" s="224"/>
      <c r="KO9" s="224"/>
      <c r="KP9" s="224"/>
      <c r="KQ9" s="224"/>
      <c r="KR9" s="224"/>
      <c r="KS9" s="224"/>
      <c r="KT9" s="224"/>
      <c r="KU9" s="224"/>
      <c r="KV9" s="224"/>
      <c r="KW9" s="224"/>
      <c r="KX9" s="224"/>
      <c r="KY9" s="224"/>
      <c r="KZ9" s="224"/>
      <c r="LA9" s="224"/>
      <c r="LB9" s="224"/>
      <c r="LC9" s="224"/>
      <c r="LD9" s="224"/>
      <c r="LE9" s="224"/>
      <c r="LF9" s="224"/>
      <c r="LG9" s="224"/>
      <c r="LH9" s="224"/>
      <c r="LI9" s="224"/>
      <c r="LJ9" s="224"/>
      <c r="LK9" s="224"/>
      <c r="LL9" s="224"/>
      <c r="LM9" s="224"/>
      <c r="LN9" s="224"/>
      <c r="LO9" s="224"/>
      <c r="LP9" s="224"/>
      <c r="LQ9" s="224"/>
      <c r="LR9" s="224"/>
      <c r="LS9" s="224"/>
      <c r="LT9" s="224"/>
      <c r="LU9" s="224"/>
      <c r="LV9" s="224"/>
      <c r="LW9" s="224"/>
      <c r="LX9" s="224"/>
      <c r="LY9" s="224"/>
      <c r="LZ9" s="224"/>
      <c r="MA9" s="224"/>
      <c r="MB9" s="224"/>
      <c r="MC9" s="224"/>
      <c r="MD9" s="224"/>
      <c r="ME9" s="224"/>
      <c r="MF9" s="224"/>
      <c r="MG9" s="224"/>
      <c r="MH9" s="224"/>
      <c r="MI9" s="224"/>
      <c r="MJ9" s="224"/>
      <c r="MK9" s="224"/>
      <c r="ML9" s="224"/>
      <c r="MM9" s="224"/>
      <c r="MN9" s="224"/>
      <c r="MO9" s="224"/>
      <c r="MP9" s="224"/>
      <c r="MQ9" s="224"/>
      <c r="MR9" s="224"/>
      <c r="MS9" s="224"/>
      <c r="MT9" s="224"/>
      <c r="MU9" s="224"/>
      <c r="MV9" s="224"/>
      <c r="MW9" s="224"/>
      <c r="MX9" s="224"/>
      <c r="MY9" s="224"/>
      <c r="MZ9" s="224"/>
      <c r="NA9" s="224"/>
      <c r="NB9" s="224"/>
      <c r="NC9" s="224"/>
      <c r="ND9" s="224"/>
      <c r="NE9" s="224"/>
      <c r="NF9" s="224"/>
      <c r="NG9" s="224"/>
      <c r="NH9" s="224"/>
      <c r="NI9" s="224"/>
      <c r="NJ9" s="224"/>
      <c r="NK9" s="224"/>
      <c r="NL9" s="224"/>
      <c r="NM9" s="224"/>
      <c r="NN9" s="224"/>
      <c r="NO9" s="224"/>
      <c r="NP9" s="224"/>
      <c r="NQ9" s="224"/>
      <c r="NR9" s="224"/>
      <c r="NS9" s="224"/>
      <c r="NT9" s="224"/>
      <c r="NU9" s="224"/>
      <c r="NV9" s="224"/>
      <c r="NW9" s="224"/>
      <c r="NX9" s="224"/>
      <c r="NY9" s="224"/>
      <c r="NZ9" s="224"/>
      <c r="OA9" s="224"/>
      <c r="OB9" s="224"/>
      <c r="OC9" s="224"/>
      <c r="OD9" s="224"/>
      <c r="OE9" s="224"/>
      <c r="OF9" s="224"/>
      <c r="OG9" s="224"/>
      <c r="OH9" s="224"/>
      <c r="OI9" s="224"/>
      <c r="OJ9" s="224"/>
      <c r="OK9" s="224"/>
      <c r="OL9" s="224"/>
      <c r="OM9" s="224"/>
      <c r="ON9" s="224"/>
      <c r="OO9" s="224"/>
      <c r="OP9" s="224"/>
      <c r="OQ9" s="224"/>
      <c r="OR9" s="224"/>
      <c r="OS9" s="224"/>
      <c r="OT9" s="224"/>
      <c r="OU9" s="224"/>
      <c r="OV9" s="224"/>
      <c r="OW9" s="224"/>
      <c r="OX9" s="224"/>
      <c r="OY9" s="224"/>
      <c r="OZ9" s="224"/>
      <c r="PA9" s="224"/>
      <c r="PB9" s="224"/>
      <c r="PC9" s="224"/>
      <c r="PD9" s="224"/>
      <c r="PE9" s="224"/>
      <c r="PF9" s="224"/>
      <c r="PG9" s="224"/>
      <c r="PH9" s="224"/>
      <c r="PI9" s="224"/>
      <c r="PJ9" s="224"/>
      <c r="PK9" s="224"/>
      <c r="PL9" s="224"/>
      <c r="PM9" s="224"/>
      <c r="PN9" s="224"/>
      <c r="PO9" s="224"/>
      <c r="PP9" s="224"/>
      <c r="PQ9" s="224"/>
      <c r="PR9" s="224"/>
      <c r="PS9" s="224"/>
      <c r="PT9" s="224"/>
      <c r="PU9" s="224"/>
      <c r="PV9" s="224"/>
      <c r="PW9" s="224"/>
      <c r="PX9" s="224"/>
      <c r="PY9" s="224"/>
      <c r="PZ9" s="224"/>
      <c r="QA9" s="224"/>
      <c r="QB9" s="224"/>
      <c r="QC9" s="224"/>
      <c r="QD9" s="224"/>
      <c r="QE9" s="224"/>
      <c r="QF9" s="224"/>
      <c r="QG9" s="224"/>
      <c r="QH9" s="224"/>
      <c r="QI9" s="224"/>
      <c r="QJ9" s="224"/>
      <c r="QK9" s="224"/>
      <c r="QL9" s="224"/>
      <c r="QM9" s="224"/>
      <c r="QN9" s="224"/>
      <c r="QO9" s="224"/>
      <c r="QP9" s="224"/>
      <c r="QQ9" s="224"/>
      <c r="QR9" s="224"/>
      <c r="QS9" s="224"/>
      <c r="QT9" s="224"/>
      <c r="QU9" s="224"/>
      <c r="QV9" s="224"/>
      <c r="QW9" s="224"/>
      <c r="QX9" s="224"/>
      <c r="QY9" s="224"/>
      <c r="QZ9" s="224"/>
      <c r="RA9" s="224"/>
      <c r="RB9" s="224"/>
      <c r="RC9" s="224"/>
      <c r="RD9" s="224"/>
      <c r="RE9" s="224"/>
      <c r="RF9" s="224"/>
      <c r="RG9" s="224"/>
      <c r="RH9" s="224"/>
      <c r="RI9" s="224"/>
      <c r="RJ9" s="224"/>
      <c r="RK9" s="224"/>
      <c r="RL9" s="224"/>
      <c r="RM9" s="224"/>
      <c r="RN9" s="224"/>
      <c r="RO9" s="224"/>
      <c r="RP9" s="224"/>
      <c r="RQ9" s="224"/>
      <c r="RR9" s="224"/>
      <c r="RS9" s="224"/>
      <c r="RT9" s="224"/>
      <c r="RU9" s="224"/>
      <c r="RV9" s="224"/>
      <c r="RW9" s="224"/>
      <c r="RX9" s="224"/>
      <c r="RY9" s="224"/>
      <c r="RZ9" s="224"/>
      <c r="SA9" s="224"/>
      <c r="SB9" s="224"/>
      <c r="SC9" s="224"/>
      <c r="SD9" s="224"/>
      <c r="SE9" s="224"/>
      <c r="SF9" s="224"/>
      <c r="SG9" s="224"/>
      <c r="SH9" s="224"/>
      <c r="SI9" s="224"/>
      <c r="SJ9" s="224"/>
      <c r="SK9" s="224"/>
      <c r="SL9" s="224"/>
      <c r="SM9" s="224"/>
      <c r="SN9" s="224"/>
      <c r="SO9" s="224"/>
      <c r="SP9" s="224"/>
      <c r="SQ9" s="224"/>
      <c r="SR9" s="224"/>
      <c r="SS9" s="224"/>
      <c r="ST9" s="224"/>
      <c r="SU9" s="224"/>
      <c r="SV9" s="224"/>
      <c r="SW9" s="224"/>
      <c r="SX9" s="224"/>
      <c r="SY9" s="224"/>
      <c r="SZ9" s="224"/>
      <c r="TA9" s="224"/>
      <c r="TB9" s="224"/>
      <c r="TC9" s="224"/>
      <c r="TD9" s="224"/>
      <c r="TE9" s="224"/>
      <c r="TF9" s="224"/>
      <c r="TG9" s="224"/>
      <c r="TH9" s="224"/>
      <c r="TI9" s="224"/>
      <c r="TJ9" s="224"/>
      <c r="TK9" s="224"/>
      <c r="TL9" s="224"/>
      <c r="TM9" s="224"/>
      <c r="TN9" s="224"/>
      <c r="TO9" s="224"/>
      <c r="TP9" s="224"/>
      <c r="TQ9" s="224"/>
      <c r="TR9" s="224"/>
      <c r="TS9" s="224"/>
      <c r="TT9" s="224"/>
      <c r="TU9" s="224"/>
      <c r="TV9" s="224"/>
      <c r="TW9" s="224"/>
      <c r="TX9" s="224"/>
      <c r="TY9" s="224"/>
      <c r="TZ9" s="224"/>
      <c r="UA9" s="224"/>
      <c r="UB9" s="224"/>
      <c r="UC9" s="224"/>
      <c r="UD9" s="224"/>
      <c r="UE9" s="224"/>
      <c r="UF9" s="224"/>
      <c r="UG9" s="224"/>
      <c r="UH9" s="224"/>
      <c r="UI9" s="224"/>
      <c r="UJ9" s="224"/>
      <c r="UK9" s="224"/>
      <c r="UL9" s="224"/>
      <c r="UM9" s="224"/>
      <c r="UN9" s="224"/>
      <c r="UO9" s="224"/>
      <c r="UP9" s="224"/>
      <c r="UQ9" s="224"/>
      <c r="UR9" s="224"/>
      <c r="US9" s="224"/>
      <c r="UT9" s="224"/>
      <c r="UU9" s="224"/>
      <c r="UV9" s="224"/>
      <c r="UW9" s="224"/>
      <c r="UX9" s="224"/>
      <c r="UY9" s="224"/>
      <c r="UZ9" s="224"/>
      <c r="VA9" s="224"/>
      <c r="VB9" s="224"/>
      <c r="VC9" s="224"/>
      <c r="VD9" s="224"/>
      <c r="VE9" s="224"/>
      <c r="VF9" s="224"/>
      <c r="VG9" s="224"/>
      <c r="VH9" s="224"/>
      <c r="VI9" s="224"/>
      <c r="VJ9" s="224"/>
      <c r="VK9" s="224"/>
      <c r="VL9" s="224"/>
      <c r="VM9" s="224"/>
      <c r="VN9" s="224"/>
      <c r="VO9" s="224"/>
      <c r="VP9" s="224"/>
      <c r="VQ9" s="224"/>
      <c r="VR9" s="224"/>
      <c r="VS9" s="224"/>
      <c r="VT9" s="224"/>
      <c r="VU9" s="224"/>
      <c r="VV9" s="224"/>
      <c r="VW9" s="224"/>
      <c r="VX9" s="224"/>
      <c r="VY9" s="224"/>
      <c r="VZ9" s="224"/>
      <c r="WA9" s="224"/>
      <c r="WB9" s="224"/>
    </row>
    <row r="10" spans="1:600" ht="11" customHeight="1" x14ac:dyDescent="0.35">
      <c r="C10" s="230"/>
      <c r="D10" s="230"/>
      <c r="E10" s="231"/>
      <c r="F10" s="227"/>
      <c r="G10" s="232">
        <v>1</v>
      </c>
      <c r="H10" s="232">
        <v>2</v>
      </c>
      <c r="I10" s="232">
        <v>3</v>
      </c>
      <c r="J10" s="232">
        <v>4</v>
      </c>
      <c r="K10" s="232">
        <v>5</v>
      </c>
      <c r="L10" s="232">
        <v>6</v>
      </c>
      <c r="M10" s="232">
        <v>7</v>
      </c>
      <c r="N10" s="232">
        <v>8</v>
      </c>
      <c r="O10" s="232">
        <v>9</v>
      </c>
      <c r="P10" s="232">
        <v>10</v>
      </c>
      <c r="Q10" s="232">
        <v>11</v>
      </c>
      <c r="R10" s="232">
        <v>12</v>
      </c>
      <c r="S10" s="232">
        <v>13</v>
      </c>
      <c r="T10" s="232">
        <v>14</v>
      </c>
      <c r="U10" s="232">
        <v>15</v>
      </c>
      <c r="V10" s="232">
        <v>16</v>
      </c>
      <c r="W10" s="232">
        <v>17</v>
      </c>
      <c r="X10" s="232">
        <v>18</v>
      </c>
      <c r="Y10" s="232">
        <v>19</v>
      </c>
      <c r="Z10" s="232">
        <v>20</v>
      </c>
      <c r="AA10" s="232">
        <v>21</v>
      </c>
      <c r="AB10" s="232">
        <v>22</v>
      </c>
      <c r="AC10" s="232">
        <v>23</v>
      </c>
      <c r="AD10" s="232">
        <v>24</v>
      </c>
      <c r="AE10" s="232">
        <v>25</v>
      </c>
      <c r="AF10" s="232">
        <v>26</v>
      </c>
      <c r="AG10" s="232">
        <v>27</v>
      </c>
      <c r="AH10" s="232">
        <v>28</v>
      </c>
      <c r="AI10" s="232">
        <v>29</v>
      </c>
      <c r="AJ10" s="232">
        <v>30</v>
      </c>
      <c r="AK10" s="232">
        <v>31</v>
      </c>
      <c r="AL10" s="232">
        <v>32</v>
      </c>
      <c r="AM10" s="232">
        <v>33</v>
      </c>
      <c r="AN10" s="232">
        <v>34</v>
      </c>
      <c r="AO10" s="232">
        <v>35</v>
      </c>
      <c r="AP10" s="232">
        <v>36</v>
      </c>
      <c r="AQ10" s="232">
        <v>37</v>
      </c>
      <c r="AR10" s="232">
        <v>38</v>
      </c>
      <c r="AS10" s="232">
        <v>39</v>
      </c>
      <c r="AT10" s="232">
        <v>40</v>
      </c>
      <c r="AU10" s="232">
        <v>41</v>
      </c>
      <c r="AV10" s="232">
        <v>42</v>
      </c>
      <c r="AW10" s="232">
        <v>43</v>
      </c>
      <c r="AX10" s="232">
        <v>44</v>
      </c>
      <c r="AY10" s="232">
        <v>45</v>
      </c>
      <c r="AZ10" s="232">
        <v>46</v>
      </c>
      <c r="BA10" s="232">
        <v>47</v>
      </c>
      <c r="BB10" s="232">
        <v>48</v>
      </c>
      <c r="BC10" s="232">
        <v>49</v>
      </c>
      <c r="BD10" s="232">
        <v>50</v>
      </c>
      <c r="BE10" s="232">
        <v>51</v>
      </c>
      <c r="BF10" s="232">
        <v>52</v>
      </c>
      <c r="BG10" s="232">
        <v>53</v>
      </c>
      <c r="BH10" s="232">
        <v>54</v>
      </c>
      <c r="BI10" s="232">
        <v>55</v>
      </c>
      <c r="BJ10" s="232">
        <v>56</v>
      </c>
      <c r="BK10" s="232">
        <v>57</v>
      </c>
      <c r="BL10" s="232">
        <v>58</v>
      </c>
      <c r="BM10" s="232">
        <v>59</v>
      </c>
      <c r="BN10" s="232">
        <v>60</v>
      </c>
      <c r="BO10" s="232">
        <v>61</v>
      </c>
      <c r="BP10" s="232">
        <v>62</v>
      </c>
      <c r="BQ10" s="232">
        <v>63</v>
      </c>
      <c r="BR10" s="232">
        <v>64</v>
      </c>
      <c r="BS10" s="232">
        <v>65</v>
      </c>
      <c r="BT10" s="232">
        <v>66</v>
      </c>
      <c r="BU10" s="232">
        <v>67</v>
      </c>
      <c r="BV10" s="232">
        <v>68</v>
      </c>
      <c r="BW10" s="232">
        <v>69</v>
      </c>
      <c r="BX10" s="232">
        <v>70</v>
      </c>
    </row>
    <row r="11" spans="1:600" ht="26.5" customHeight="1" x14ac:dyDescent="0.55000000000000004">
      <c r="B11" s="22" t="s">
        <v>196</v>
      </c>
      <c r="C11" s="23" t="str">
        <f>"Panorama Santé "</f>
        <v xml:space="preserve">Panorama Santé </v>
      </c>
      <c r="D11" s="24"/>
      <c r="E11" s="25" t="s">
        <v>197</v>
      </c>
      <c r="F11" s="233"/>
      <c r="G11" s="234">
        <v>1</v>
      </c>
      <c r="H11" s="234">
        <v>2</v>
      </c>
      <c r="I11" s="234">
        <v>3</v>
      </c>
      <c r="J11" s="234">
        <v>4</v>
      </c>
      <c r="K11" s="234">
        <v>5</v>
      </c>
      <c r="L11" s="234">
        <v>6</v>
      </c>
      <c r="M11" s="234">
        <v>7</v>
      </c>
      <c r="N11" s="234">
        <v>8</v>
      </c>
      <c r="O11" s="234">
        <v>9</v>
      </c>
      <c r="P11" s="234">
        <v>10</v>
      </c>
      <c r="Q11" s="234">
        <v>11</v>
      </c>
      <c r="R11" s="234">
        <v>12</v>
      </c>
      <c r="S11" s="234">
        <v>13</v>
      </c>
      <c r="T11" s="234">
        <v>14</v>
      </c>
      <c r="U11" s="234">
        <v>15</v>
      </c>
      <c r="V11" s="234">
        <v>16</v>
      </c>
      <c r="W11" s="234">
        <v>17</v>
      </c>
      <c r="X11" s="234">
        <v>18</v>
      </c>
      <c r="Y11" s="234">
        <v>19</v>
      </c>
      <c r="Z11" s="234">
        <v>20</v>
      </c>
      <c r="AA11" s="234">
        <v>21</v>
      </c>
      <c r="AB11" s="234">
        <v>22</v>
      </c>
      <c r="AC11" s="234">
        <v>23</v>
      </c>
      <c r="AD11" s="234">
        <v>24</v>
      </c>
      <c r="AE11" s="234">
        <v>25</v>
      </c>
      <c r="AF11" s="234">
        <v>26</v>
      </c>
      <c r="AG11" s="234">
        <v>27</v>
      </c>
      <c r="AH11" s="234">
        <v>28</v>
      </c>
      <c r="AI11" s="234">
        <v>29</v>
      </c>
      <c r="AJ11" s="234">
        <v>30</v>
      </c>
      <c r="AK11" s="234">
        <v>31</v>
      </c>
      <c r="AL11" s="234">
        <v>32</v>
      </c>
      <c r="AM11" s="234">
        <v>33</v>
      </c>
      <c r="AN11" s="234">
        <v>34</v>
      </c>
      <c r="AO11" s="234">
        <v>35</v>
      </c>
      <c r="AP11" s="234">
        <v>36</v>
      </c>
      <c r="AQ11" s="234">
        <v>37</v>
      </c>
      <c r="AR11" s="234">
        <v>38</v>
      </c>
      <c r="AS11" s="234">
        <v>39</v>
      </c>
      <c r="AT11" s="234">
        <v>40</v>
      </c>
      <c r="AU11" s="234">
        <v>41</v>
      </c>
      <c r="AV11" s="234">
        <v>42</v>
      </c>
      <c r="AW11" s="234">
        <v>43</v>
      </c>
      <c r="AX11" s="234">
        <v>44</v>
      </c>
      <c r="AY11" s="234">
        <v>45</v>
      </c>
      <c r="AZ11" s="234">
        <v>46</v>
      </c>
      <c r="BA11" s="234">
        <v>47</v>
      </c>
      <c r="BB11" s="234">
        <v>48</v>
      </c>
      <c r="BC11" s="234">
        <v>49</v>
      </c>
      <c r="BD11" s="234">
        <v>50</v>
      </c>
      <c r="BE11" s="234">
        <v>51</v>
      </c>
      <c r="BF11" s="234">
        <v>52</v>
      </c>
      <c r="BG11" s="234">
        <v>53</v>
      </c>
      <c r="BH11" s="234">
        <v>54</v>
      </c>
      <c r="BI11" s="234">
        <v>55</v>
      </c>
      <c r="BJ11" s="234">
        <v>56</v>
      </c>
      <c r="BK11" s="234">
        <v>57</v>
      </c>
      <c r="BL11" s="234">
        <v>58</v>
      </c>
      <c r="BM11" s="234">
        <v>59</v>
      </c>
      <c r="BN11" s="234">
        <v>60</v>
      </c>
      <c r="BO11" s="234">
        <v>61</v>
      </c>
      <c r="BP11" s="234">
        <v>62</v>
      </c>
      <c r="BQ11" s="234">
        <v>63</v>
      </c>
      <c r="BR11" s="234">
        <v>64</v>
      </c>
      <c r="BS11" s="234">
        <v>65</v>
      </c>
      <c r="BT11" s="234">
        <v>66</v>
      </c>
      <c r="BU11" s="234">
        <v>67</v>
      </c>
      <c r="BV11" s="234">
        <v>68</v>
      </c>
      <c r="BW11" s="234">
        <v>69</v>
      </c>
      <c r="BX11" s="234">
        <v>70</v>
      </c>
    </row>
    <row r="12" spans="1:600" ht="30.5" customHeight="1" thickBot="1" x14ac:dyDescent="0.5">
      <c r="B12" s="26"/>
      <c r="C12" s="27" t="s">
        <v>198</v>
      </c>
      <c r="D12" s="28"/>
      <c r="E12" s="29" t="s">
        <v>126</v>
      </c>
      <c r="F12" s="233"/>
      <c r="G12" s="249"/>
      <c r="H12" s="249"/>
      <c r="I12" s="249"/>
      <c r="J12" s="249"/>
      <c r="K12" s="250"/>
      <c r="L12" s="237"/>
      <c r="M12" s="237"/>
      <c r="N12" s="237"/>
      <c r="O12" s="237"/>
      <c r="P12" s="237"/>
      <c r="Q12" s="237"/>
      <c r="R12" s="251"/>
      <c r="S12" s="251"/>
      <c r="T12" s="251"/>
      <c r="U12" s="251"/>
      <c r="V12" s="252"/>
      <c r="W12" s="253"/>
      <c r="X12" s="252"/>
      <c r="Y12" s="253"/>
      <c r="Z12" s="252"/>
      <c r="AA12" s="253"/>
      <c r="AB12" s="252"/>
      <c r="AC12" s="253"/>
      <c r="AD12" s="254"/>
      <c r="AE12" s="254"/>
      <c r="AF12" s="254"/>
      <c r="AG12" s="254"/>
      <c r="AH12" s="255"/>
      <c r="AI12" s="255"/>
      <c r="AJ12" s="255"/>
      <c r="AK12" s="255"/>
      <c r="AL12" s="256"/>
      <c r="AM12" s="256"/>
      <c r="AN12" s="256"/>
      <c r="AO12" s="256"/>
      <c r="AP12" s="256"/>
      <c r="AQ12" s="256"/>
      <c r="AR12" s="256"/>
      <c r="AS12" s="257"/>
      <c r="AT12" s="257"/>
      <c r="AU12" s="257"/>
      <c r="AV12" s="257"/>
      <c r="AW12" s="257"/>
      <c r="AX12" s="257"/>
      <c r="AY12" s="257"/>
      <c r="AZ12" s="258"/>
      <c r="BA12" s="258"/>
      <c r="BB12" s="258"/>
      <c r="BC12" s="258"/>
      <c r="BD12" s="258"/>
      <c r="BE12" s="258"/>
      <c r="BF12" s="258"/>
      <c r="BG12" s="258"/>
      <c r="BH12" s="258"/>
      <c r="BI12" s="259"/>
      <c r="BJ12" s="259"/>
      <c r="BK12" s="259"/>
      <c r="BL12" s="259"/>
      <c r="BM12" s="259"/>
      <c r="BN12" s="259"/>
      <c r="BO12" s="260"/>
      <c r="BP12" s="260"/>
      <c r="BQ12" s="260"/>
      <c r="BR12" s="260"/>
      <c r="BS12" s="260"/>
      <c r="BT12" s="260"/>
      <c r="BU12" s="248"/>
      <c r="BV12" s="248"/>
      <c r="BW12" s="261"/>
      <c r="BX12" s="261"/>
    </row>
    <row r="13" spans="1:600" ht="15" thickBot="1" x14ac:dyDescent="0.4">
      <c r="A13" s="262"/>
      <c r="B13" s="26"/>
      <c r="C13" s="30" t="s">
        <v>199</v>
      </c>
      <c r="D13" s="31"/>
      <c r="E13" s="485"/>
      <c r="F13" s="263"/>
      <c r="G13" s="264" t="s">
        <v>72</v>
      </c>
      <c r="H13" s="264" t="s">
        <v>72</v>
      </c>
      <c r="I13" s="264" t="s">
        <v>72</v>
      </c>
      <c r="J13" s="264" t="s">
        <v>72</v>
      </c>
      <c r="K13" s="264"/>
      <c r="L13" s="264"/>
      <c r="M13" s="264"/>
      <c r="N13" s="264"/>
      <c r="O13" s="264"/>
      <c r="P13" s="264"/>
      <c r="Q13" s="264"/>
      <c r="R13" s="264"/>
      <c r="S13" s="264"/>
      <c r="T13" s="264"/>
      <c r="U13" s="264"/>
      <c r="V13" s="264" t="s">
        <v>72</v>
      </c>
      <c r="W13" s="264" t="s">
        <v>72</v>
      </c>
      <c r="X13" s="264" t="s">
        <v>72</v>
      </c>
      <c r="Y13" s="264" t="s">
        <v>72</v>
      </c>
      <c r="Z13" s="264" t="s">
        <v>72</v>
      </c>
      <c r="AA13" s="264" t="s">
        <v>72</v>
      </c>
      <c r="AB13" s="264" t="s">
        <v>72</v>
      </c>
      <c r="AC13" s="264" t="s">
        <v>72</v>
      </c>
      <c r="AD13" s="264" t="s">
        <v>72</v>
      </c>
      <c r="AE13" s="264" t="s">
        <v>72</v>
      </c>
      <c r="AF13" s="264" t="s">
        <v>72</v>
      </c>
      <c r="AG13" s="264" t="s">
        <v>72</v>
      </c>
      <c r="AH13" s="264"/>
      <c r="AI13" s="264"/>
      <c r="AJ13" s="264"/>
      <c r="AK13" s="264"/>
      <c r="AL13" s="264"/>
      <c r="AM13" s="264"/>
      <c r="AN13" s="264"/>
      <c r="AO13" s="264"/>
      <c r="AP13" s="264"/>
      <c r="AQ13" s="264"/>
      <c r="AR13" s="264"/>
      <c r="AS13" s="264"/>
      <c r="AT13" s="264"/>
      <c r="AU13" s="264"/>
      <c r="AV13" s="264"/>
      <c r="AW13" s="264"/>
      <c r="AX13" s="264"/>
      <c r="AY13" s="264"/>
      <c r="AZ13" s="264"/>
      <c r="BA13" s="264"/>
      <c r="BB13" s="264"/>
      <c r="BC13" s="264"/>
      <c r="BD13" s="264"/>
      <c r="BE13" s="264"/>
      <c r="BF13" s="264"/>
      <c r="BG13" s="264"/>
      <c r="BH13" s="264"/>
      <c r="BI13" s="264"/>
      <c r="BJ13" s="264"/>
      <c r="BK13" s="264"/>
      <c r="BL13" s="264"/>
      <c r="BM13" s="264"/>
      <c r="BN13" s="264"/>
      <c r="BO13" s="264"/>
      <c r="BP13" s="264"/>
      <c r="BQ13" s="264"/>
      <c r="BR13" s="264"/>
      <c r="BS13" s="264"/>
      <c r="BT13" s="264"/>
      <c r="BU13" s="264"/>
      <c r="BV13" s="264"/>
      <c r="BW13" s="264"/>
      <c r="BX13" s="264"/>
    </row>
    <row r="14" spans="1:600" ht="7" customHeight="1" thickBot="1" x14ac:dyDescent="0.4">
      <c r="B14" s="26"/>
      <c r="C14" s="32" t="s">
        <v>200</v>
      </c>
      <c r="D14" s="33"/>
      <c r="E14" s="34"/>
      <c r="F14" s="263"/>
      <c r="G14" s="265"/>
      <c r="H14" s="265"/>
      <c r="I14" s="265"/>
      <c r="J14" s="265"/>
      <c r="K14" s="266"/>
      <c r="L14" s="266"/>
      <c r="M14" s="266"/>
      <c r="N14" s="266"/>
      <c r="O14" s="266"/>
      <c r="P14" s="266"/>
      <c r="Q14" s="266"/>
      <c r="R14" s="266"/>
      <c r="S14" s="266"/>
      <c r="T14" s="266"/>
      <c r="U14" s="266"/>
      <c r="V14" s="266"/>
      <c r="W14" s="266"/>
      <c r="X14" s="266"/>
      <c r="Y14" s="266"/>
      <c r="Z14" s="266"/>
      <c r="AA14" s="266"/>
      <c r="AB14" s="266"/>
      <c r="AC14" s="266"/>
      <c r="AD14" s="265"/>
      <c r="AE14" s="265"/>
      <c r="AF14" s="265"/>
      <c r="AG14" s="265"/>
      <c r="AH14" s="267"/>
      <c r="AI14" s="267"/>
      <c r="AJ14" s="267"/>
      <c r="AK14" s="267"/>
      <c r="AL14" s="267"/>
      <c r="AM14" s="267"/>
      <c r="AN14" s="267"/>
      <c r="AO14" s="267"/>
      <c r="AP14" s="267"/>
      <c r="AQ14" s="267"/>
      <c r="AR14" s="267"/>
      <c r="AS14" s="266"/>
      <c r="AT14" s="266"/>
      <c r="AU14" s="266"/>
      <c r="AV14" s="266"/>
      <c r="AW14" s="266"/>
      <c r="AX14" s="266"/>
      <c r="AY14" s="266"/>
      <c r="AZ14" s="266"/>
      <c r="BA14" s="266"/>
      <c r="BB14" s="266"/>
      <c r="BC14" s="266"/>
      <c r="BD14" s="266"/>
      <c r="BE14" s="266"/>
      <c r="BF14" s="266"/>
      <c r="BG14" s="266"/>
      <c r="BH14" s="266"/>
      <c r="BI14" s="266"/>
      <c r="BJ14" s="266"/>
      <c r="BK14" s="266"/>
      <c r="BL14" s="266"/>
      <c r="BM14" s="266"/>
      <c r="BN14" s="266"/>
      <c r="BO14" s="266"/>
      <c r="BP14" s="266"/>
      <c r="BQ14" s="266"/>
      <c r="BR14" s="266"/>
      <c r="BS14" s="266"/>
      <c r="BT14" s="266"/>
      <c r="BU14" s="266"/>
      <c r="BV14" s="266"/>
      <c r="BW14" s="266"/>
      <c r="BX14" s="266"/>
    </row>
    <row r="15" spans="1:600" ht="16" customHeight="1" thickBot="1" x14ac:dyDescent="0.4">
      <c r="B15" s="26"/>
      <c r="C15" s="35" t="s">
        <v>201</v>
      </c>
      <c r="D15" s="36"/>
      <c r="E15" s="37"/>
      <c r="F15" s="263"/>
      <c r="G15" s="268"/>
      <c r="H15" s="268"/>
      <c r="I15" s="268"/>
      <c r="J15" s="268"/>
      <c r="K15" s="269"/>
      <c r="L15" s="269"/>
      <c r="M15" s="269"/>
      <c r="N15" s="269"/>
      <c r="O15" s="269"/>
      <c r="P15" s="269"/>
      <c r="Q15" s="269"/>
      <c r="R15" s="269"/>
      <c r="S15" s="269"/>
      <c r="T15" s="269"/>
      <c r="U15" s="269"/>
      <c r="V15" s="269"/>
      <c r="W15" s="269"/>
      <c r="X15" s="269"/>
      <c r="Y15" s="269"/>
      <c r="Z15" s="269"/>
      <c r="AA15" s="269"/>
      <c r="AB15" s="269"/>
      <c r="AC15" s="269"/>
      <c r="AD15" s="268"/>
      <c r="AE15" s="268"/>
      <c r="AF15" s="268"/>
      <c r="AG15" s="268"/>
      <c r="AH15" s="270"/>
      <c r="AI15" s="270"/>
      <c r="AJ15" s="270"/>
      <c r="AK15" s="271"/>
      <c r="AL15" s="272"/>
      <c r="AM15" s="272"/>
      <c r="AN15" s="272"/>
      <c r="AO15" s="272"/>
      <c r="AP15" s="272"/>
      <c r="AQ15" s="272"/>
      <c r="AR15" s="273"/>
      <c r="AS15" s="269"/>
      <c r="AT15" s="269"/>
      <c r="AU15" s="269"/>
      <c r="AV15" s="269"/>
      <c r="AW15" s="269"/>
      <c r="AX15" s="269"/>
      <c r="AY15" s="274"/>
      <c r="AZ15" s="269"/>
      <c r="BA15" s="269"/>
      <c r="BB15" s="269"/>
      <c r="BC15" s="269"/>
      <c r="BD15" s="269"/>
      <c r="BE15" s="269"/>
      <c r="BF15" s="269"/>
      <c r="BG15" s="269"/>
      <c r="BH15" s="269"/>
      <c r="BI15" s="269"/>
      <c r="BJ15" s="269"/>
      <c r="BK15" s="269"/>
      <c r="BL15" s="269"/>
      <c r="BM15" s="269"/>
      <c r="BN15" s="269"/>
      <c r="BO15" s="269"/>
      <c r="BP15" s="269"/>
      <c r="BQ15" s="269"/>
      <c r="BR15" s="269"/>
      <c r="BS15" s="269"/>
      <c r="BT15" s="269"/>
      <c r="BU15" s="269"/>
      <c r="BV15" s="269"/>
      <c r="BW15" s="269"/>
      <c r="BX15" s="269"/>
    </row>
    <row r="16" spans="1:600" ht="16" customHeight="1" thickBot="1" x14ac:dyDescent="0.4">
      <c r="B16" s="26"/>
      <c r="C16" s="38" t="s">
        <v>202</v>
      </c>
      <c r="D16" s="39" t="s">
        <v>203</v>
      </c>
      <c r="E16" s="40"/>
      <c r="F16" s="275"/>
      <c r="G16" s="276" t="s">
        <v>73</v>
      </c>
      <c r="H16" s="276" t="s">
        <v>73</v>
      </c>
      <c r="I16" s="276" t="s">
        <v>73</v>
      </c>
      <c r="J16" s="277" t="s">
        <v>73</v>
      </c>
      <c r="K16" s="278">
        <v>1.25</v>
      </c>
      <c r="L16" s="278">
        <v>2</v>
      </c>
      <c r="M16" s="278">
        <v>3</v>
      </c>
      <c r="N16" s="278">
        <v>4</v>
      </c>
      <c r="O16" s="278">
        <v>5</v>
      </c>
      <c r="P16" s="278">
        <v>6</v>
      </c>
      <c r="Q16" s="278">
        <v>7</v>
      </c>
      <c r="R16" s="278">
        <v>3</v>
      </c>
      <c r="S16" s="278">
        <v>3</v>
      </c>
      <c r="T16" s="278">
        <v>3</v>
      </c>
      <c r="U16" s="278">
        <v>4</v>
      </c>
      <c r="V16" s="278">
        <v>5.8</v>
      </c>
      <c r="W16" s="278">
        <v>5.8</v>
      </c>
      <c r="X16" s="278">
        <v>5.8</v>
      </c>
      <c r="Y16" s="278">
        <v>5.8</v>
      </c>
      <c r="Z16" s="278">
        <v>5.8</v>
      </c>
      <c r="AA16" s="278">
        <f>Z16</f>
        <v>5.8</v>
      </c>
      <c r="AB16" s="278" t="s">
        <v>73</v>
      </c>
      <c r="AC16" s="278" t="s">
        <v>73</v>
      </c>
      <c r="AD16" s="278">
        <v>5.8</v>
      </c>
      <c r="AE16" s="278">
        <v>5.8</v>
      </c>
      <c r="AF16" s="278">
        <v>5.8</v>
      </c>
      <c r="AG16" s="277" t="s">
        <v>73</v>
      </c>
      <c r="AH16" s="279">
        <v>2.5</v>
      </c>
      <c r="AI16" s="279">
        <v>3.5</v>
      </c>
      <c r="AJ16" s="279">
        <v>4.5</v>
      </c>
      <c r="AK16" s="278" t="s">
        <v>73</v>
      </c>
      <c r="AL16" s="279" t="s">
        <v>73</v>
      </c>
      <c r="AM16" s="279">
        <v>1</v>
      </c>
      <c r="AN16" s="279" t="s">
        <v>73</v>
      </c>
      <c r="AO16" s="279" t="s">
        <v>73</v>
      </c>
      <c r="AP16" s="279" t="s">
        <v>73</v>
      </c>
      <c r="AQ16" s="279" t="s">
        <v>73</v>
      </c>
      <c r="AR16" s="280">
        <v>2.5</v>
      </c>
      <c r="AS16" s="278">
        <v>1</v>
      </c>
      <c r="AT16" s="278">
        <v>1.45</v>
      </c>
      <c r="AU16" s="278">
        <v>1.7</v>
      </c>
      <c r="AV16" s="278">
        <v>1.95</v>
      </c>
      <c r="AW16" s="278">
        <v>2.5</v>
      </c>
      <c r="AX16" s="278">
        <v>3.5</v>
      </c>
      <c r="AY16" s="278">
        <v>4.5</v>
      </c>
      <c r="AZ16" s="278"/>
      <c r="BA16" s="278"/>
      <c r="BB16" s="278"/>
      <c r="BC16" s="278"/>
      <c r="BD16" s="278"/>
      <c r="BE16" s="278"/>
      <c r="BF16" s="278"/>
      <c r="BG16" s="278"/>
      <c r="BH16" s="278"/>
      <c r="BI16" s="278"/>
      <c r="BJ16" s="278"/>
      <c r="BK16" s="278"/>
      <c r="BL16" s="278"/>
      <c r="BM16" s="278"/>
      <c r="BN16" s="278"/>
      <c r="BO16" s="278">
        <v>1</v>
      </c>
      <c r="BP16" s="278">
        <v>1.5</v>
      </c>
      <c r="BQ16" s="278">
        <v>2</v>
      </c>
      <c r="BR16" s="278">
        <v>3</v>
      </c>
      <c r="BS16" s="278">
        <v>4</v>
      </c>
      <c r="BT16" s="278" t="s">
        <v>73</v>
      </c>
      <c r="BU16" s="278"/>
      <c r="BV16" s="278"/>
      <c r="BW16" s="278"/>
      <c r="BX16" s="278"/>
    </row>
    <row r="17" spans="1:76" ht="18" customHeight="1" thickBot="1" x14ac:dyDescent="0.4">
      <c r="B17" s="26"/>
      <c r="C17" s="41" t="s">
        <v>204</v>
      </c>
      <c r="D17" s="42" t="s">
        <v>203</v>
      </c>
      <c r="E17" s="40"/>
      <c r="F17" s="281"/>
      <c r="G17" s="282">
        <v>2.5</v>
      </c>
      <c r="H17" s="282">
        <v>2.5</v>
      </c>
      <c r="I17" s="282">
        <v>3</v>
      </c>
      <c r="J17" s="282">
        <v>2.5</v>
      </c>
      <c r="K17" s="278">
        <v>1</v>
      </c>
      <c r="L17" s="278">
        <v>1.5</v>
      </c>
      <c r="M17" s="278">
        <v>2</v>
      </c>
      <c r="N17" s="278">
        <v>2</v>
      </c>
      <c r="O17" s="278">
        <v>2</v>
      </c>
      <c r="P17" s="278">
        <v>2</v>
      </c>
      <c r="Q17" s="278">
        <v>2</v>
      </c>
      <c r="R17" s="278">
        <v>2.25</v>
      </c>
      <c r="S17" s="278">
        <v>2.25</v>
      </c>
      <c r="T17" s="278">
        <v>2.25</v>
      </c>
      <c r="U17" s="278">
        <v>3</v>
      </c>
      <c r="V17" s="278">
        <v>2</v>
      </c>
      <c r="W17" s="278">
        <v>5.8</v>
      </c>
      <c r="X17" s="278">
        <v>2</v>
      </c>
      <c r="Y17" s="278">
        <v>5.8</v>
      </c>
      <c r="Z17" s="278">
        <v>2</v>
      </c>
      <c r="AA17" s="278">
        <v>5.8</v>
      </c>
      <c r="AB17" s="278">
        <v>2</v>
      </c>
      <c r="AC17" s="278">
        <v>6.8</v>
      </c>
      <c r="AD17" s="278">
        <v>5</v>
      </c>
      <c r="AE17" s="278">
        <v>5.8</v>
      </c>
      <c r="AF17" s="278">
        <v>5.8</v>
      </c>
      <c r="AG17" s="278" t="str">
        <f>AG16</f>
        <v>Frais Réels</v>
      </c>
      <c r="AH17" s="278">
        <v>2.5</v>
      </c>
      <c r="AI17" s="278">
        <v>3.5</v>
      </c>
      <c r="AJ17" s="278">
        <v>4.5</v>
      </c>
      <c r="AK17" s="278" t="s">
        <v>73</v>
      </c>
      <c r="AL17" s="278">
        <v>2</v>
      </c>
      <c r="AM17" s="278">
        <v>1</v>
      </c>
      <c r="AN17" s="278">
        <v>2</v>
      </c>
      <c r="AO17" s="278">
        <v>2</v>
      </c>
      <c r="AP17" s="278">
        <v>2</v>
      </c>
      <c r="AQ17" s="278">
        <v>2</v>
      </c>
      <c r="AR17" s="278" t="s">
        <v>74</v>
      </c>
      <c r="AS17" s="278">
        <v>1</v>
      </c>
      <c r="AT17" s="278">
        <v>1</v>
      </c>
      <c r="AU17" s="278">
        <v>1</v>
      </c>
      <c r="AV17" s="278">
        <v>1</v>
      </c>
      <c r="AW17" s="278">
        <v>1</v>
      </c>
      <c r="AX17" s="278">
        <v>1</v>
      </c>
      <c r="AY17" s="278">
        <v>1</v>
      </c>
      <c r="AZ17" s="278"/>
      <c r="BA17" s="278"/>
      <c r="BB17" s="278"/>
      <c r="BC17" s="278"/>
      <c r="BD17" s="278"/>
      <c r="BE17" s="278"/>
      <c r="BF17" s="278"/>
      <c r="BG17" s="278"/>
      <c r="BH17" s="278"/>
      <c r="BI17" s="278"/>
      <c r="BJ17" s="278"/>
      <c r="BK17" s="278"/>
      <c r="BL17" s="278"/>
      <c r="BM17" s="278"/>
      <c r="BN17" s="278"/>
      <c r="BO17" s="278">
        <v>1</v>
      </c>
      <c r="BP17" s="278">
        <v>1.5</v>
      </c>
      <c r="BQ17" s="278">
        <v>2</v>
      </c>
      <c r="BR17" s="278">
        <v>3</v>
      </c>
      <c r="BS17" s="278">
        <v>4</v>
      </c>
      <c r="BT17" s="283">
        <v>0.9</v>
      </c>
      <c r="BU17" s="278"/>
      <c r="BV17" s="278"/>
      <c r="BW17" s="278"/>
      <c r="BX17" s="278"/>
    </row>
    <row r="18" spans="1:76" ht="18" customHeight="1" thickBot="1" x14ac:dyDescent="0.4">
      <c r="B18" s="26"/>
      <c r="C18" s="43" t="s">
        <v>205</v>
      </c>
      <c r="D18" s="44" t="s">
        <v>206</v>
      </c>
      <c r="E18" s="40"/>
      <c r="F18" s="281"/>
      <c r="G18" s="282">
        <v>2.25</v>
      </c>
      <c r="H18" s="282">
        <v>2.25</v>
      </c>
      <c r="I18" s="282">
        <v>2.25</v>
      </c>
      <c r="J18" s="282">
        <v>2.25</v>
      </c>
      <c r="K18" s="278">
        <v>1</v>
      </c>
      <c r="L18" s="278">
        <v>1.5</v>
      </c>
      <c r="M18" s="278">
        <v>2</v>
      </c>
      <c r="N18" s="278">
        <v>2</v>
      </c>
      <c r="O18" s="278">
        <v>2</v>
      </c>
      <c r="P18" s="278">
        <v>2</v>
      </c>
      <c r="Q18" s="278">
        <v>2</v>
      </c>
      <c r="R18" s="278">
        <v>2</v>
      </c>
      <c r="S18" s="278">
        <v>2</v>
      </c>
      <c r="T18" s="278">
        <v>2</v>
      </c>
      <c r="U18" s="278">
        <v>4</v>
      </c>
      <c r="V18" s="278">
        <v>2</v>
      </c>
      <c r="W18" s="278">
        <v>5.8</v>
      </c>
      <c r="X18" s="278">
        <v>2</v>
      </c>
      <c r="Y18" s="278">
        <v>5.8</v>
      </c>
      <c r="Z18" s="278">
        <v>2</v>
      </c>
      <c r="AA18" s="278">
        <v>5.8</v>
      </c>
      <c r="AB18" s="278">
        <v>2</v>
      </c>
      <c r="AC18" s="278">
        <v>6.8</v>
      </c>
      <c r="AD18" s="278">
        <v>2</v>
      </c>
      <c r="AE18" s="278">
        <v>2</v>
      </c>
      <c r="AF18" s="278">
        <v>2</v>
      </c>
      <c r="AG18" s="278">
        <v>2</v>
      </c>
      <c r="AH18" s="278">
        <v>1.8</v>
      </c>
      <c r="AI18" s="278">
        <v>2</v>
      </c>
      <c r="AJ18" s="278">
        <v>2</v>
      </c>
      <c r="AK18" s="278">
        <v>2</v>
      </c>
      <c r="AL18" s="278">
        <v>2</v>
      </c>
      <c r="AM18" s="278">
        <v>1</v>
      </c>
      <c r="AN18" s="278">
        <v>2</v>
      </c>
      <c r="AO18" s="278">
        <v>2</v>
      </c>
      <c r="AP18" s="278">
        <v>2</v>
      </c>
      <c r="AQ18" s="278">
        <v>2</v>
      </c>
      <c r="AR18" s="278">
        <v>2</v>
      </c>
      <c r="AS18" s="278">
        <v>1</v>
      </c>
      <c r="AT18" s="278">
        <v>1.25</v>
      </c>
      <c r="AU18" s="278">
        <v>1.5</v>
      </c>
      <c r="AV18" s="278">
        <v>1.75</v>
      </c>
      <c r="AW18" s="278">
        <v>2</v>
      </c>
      <c r="AX18" s="278">
        <v>2</v>
      </c>
      <c r="AY18" s="278">
        <v>2</v>
      </c>
      <c r="AZ18" s="278"/>
      <c r="BA18" s="278"/>
      <c r="BB18" s="278"/>
      <c r="BC18" s="278"/>
      <c r="BD18" s="278"/>
      <c r="BE18" s="278"/>
      <c r="BF18" s="278"/>
      <c r="BG18" s="278"/>
      <c r="BH18" s="278"/>
      <c r="BI18" s="278"/>
      <c r="BJ18" s="278"/>
      <c r="BK18" s="278"/>
      <c r="BL18" s="278"/>
      <c r="BM18" s="278"/>
      <c r="BN18" s="278"/>
      <c r="BO18" s="278">
        <v>1</v>
      </c>
      <c r="BP18" s="278">
        <v>1.3</v>
      </c>
      <c r="BQ18" s="278">
        <v>1.8</v>
      </c>
      <c r="BR18" s="278">
        <v>2</v>
      </c>
      <c r="BS18" s="278">
        <v>2</v>
      </c>
      <c r="BT18" s="278">
        <v>2</v>
      </c>
      <c r="BU18" s="278"/>
      <c r="BV18" s="278"/>
      <c r="BW18" s="278"/>
      <c r="BX18" s="278"/>
    </row>
    <row r="19" spans="1:76" ht="18" customHeight="1" thickBot="1" x14ac:dyDescent="0.4">
      <c r="B19" s="26"/>
      <c r="C19" s="45" t="s">
        <v>207</v>
      </c>
      <c r="D19" s="46"/>
      <c r="E19" s="47"/>
      <c r="F19" s="284"/>
      <c r="G19" s="282" t="s">
        <v>75</v>
      </c>
      <c r="H19" s="282" t="s">
        <v>75</v>
      </c>
      <c r="I19" s="282" t="s">
        <v>75</v>
      </c>
      <c r="J19" s="282" t="s">
        <v>75</v>
      </c>
      <c r="K19" s="278" t="s">
        <v>75</v>
      </c>
      <c r="L19" s="278" t="s">
        <v>75</v>
      </c>
      <c r="M19" s="278" t="s">
        <v>75</v>
      </c>
      <c r="N19" s="278" t="s">
        <v>75</v>
      </c>
      <c r="O19" s="278" t="s">
        <v>75</v>
      </c>
      <c r="P19" s="278" t="s">
        <v>75</v>
      </c>
      <c r="Q19" s="278" t="s">
        <v>75</v>
      </c>
      <c r="R19" s="278" t="s">
        <v>75</v>
      </c>
      <c r="S19" s="278" t="s">
        <v>75</v>
      </c>
      <c r="T19" s="278" t="s">
        <v>75</v>
      </c>
      <c r="U19" s="278" t="s">
        <v>75</v>
      </c>
      <c r="V19" s="278" t="s">
        <v>75</v>
      </c>
      <c r="W19" s="278" t="s">
        <v>75</v>
      </c>
      <c r="X19" s="278" t="s">
        <v>75</v>
      </c>
      <c r="Y19" s="278" t="s">
        <v>75</v>
      </c>
      <c r="Z19" s="278" t="s">
        <v>75</v>
      </c>
      <c r="AA19" s="278" t="s">
        <v>75</v>
      </c>
      <c r="AB19" s="278" t="s">
        <v>75</v>
      </c>
      <c r="AC19" s="278" t="s">
        <v>75</v>
      </c>
      <c r="AD19" s="278" t="s">
        <v>75</v>
      </c>
      <c r="AE19" s="278" t="s">
        <v>75</v>
      </c>
      <c r="AF19" s="278" t="s">
        <v>75</v>
      </c>
      <c r="AG19" s="278" t="s">
        <v>75</v>
      </c>
      <c r="AH19" s="278" t="s">
        <v>76</v>
      </c>
      <c r="AI19" s="278" t="s">
        <v>76</v>
      </c>
      <c r="AJ19" s="278" t="s">
        <v>76</v>
      </c>
      <c r="AK19" s="278" t="s">
        <v>76</v>
      </c>
      <c r="AL19" s="278" t="s">
        <v>76</v>
      </c>
      <c r="AM19" s="278" t="s">
        <v>76</v>
      </c>
      <c r="AN19" s="278" t="s">
        <v>76</v>
      </c>
      <c r="AO19" s="278" t="s">
        <v>76</v>
      </c>
      <c r="AP19" s="278" t="s">
        <v>76</v>
      </c>
      <c r="AQ19" s="278" t="s">
        <v>76</v>
      </c>
      <c r="AR19" s="278" t="s">
        <v>74</v>
      </c>
      <c r="AS19" s="278" t="s">
        <v>74</v>
      </c>
      <c r="AT19" s="278" t="s">
        <v>74</v>
      </c>
      <c r="AU19" s="278" t="s">
        <v>74</v>
      </c>
      <c r="AV19" s="278" t="s">
        <v>74</v>
      </c>
      <c r="AW19" s="278" t="s">
        <v>74</v>
      </c>
      <c r="AX19" s="278" t="s">
        <v>74</v>
      </c>
      <c r="AY19" s="278" t="s">
        <v>74</v>
      </c>
      <c r="AZ19" s="278"/>
      <c r="BA19" s="278"/>
      <c r="BB19" s="278"/>
      <c r="BC19" s="278"/>
      <c r="BD19" s="278"/>
      <c r="BE19" s="278"/>
      <c r="BF19" s="278"/>
      <c r="BG19" s="278"/>
      <c r="BH19" s="278"/>
      <c r="BI19" s="278"/>
      <c r="BJ19" s="278"/>
      <c r="BK19" s="278"/>
      <c r="BL19" s="278"/>
      <c r="BM19" s="278"/>
      <c r="BN19" s="278"/>
      <c r="BO19" s="278">
        <v>1</v>
      </c>
      <c r="BP19" s="278">
        <v>1</v>
      </c>
      <c r="BQ19" s="278">
        <v>1</v>
      </c>
      <c r="BR19" s="278">
        <v>1</v>
      </c>
      <c r="BS19" s="278">
        <v>1</v>
      </c>
      <c r="BT19" s="278">
        <v>1</v>
      </c>
      <c r="BU19" s="278"/>
      <c r="BV19" s="278"/>
      <c r="BW19" s="278"/>
      <c r="BX19" s="278"/>
    </row>
    <row r="20" spans="1:76" ht="18" customHeight="1" thickBot="1" x14ac:dyDescent="0.4">
      <c r="B20" s="26"/>
      <c r="C20" s="48" t="s">
        <v>208</v>
      </c>
      <c r="D20" s="49"/>
      <c r="E20" s="47"/>
      <c r="F20" s="284"/>
      <c r="G20" s="282" t="s">
        <v>73</v>
      </c>
      <c r="H20" s="282" t="s">
        <v>73</v>
      </c>
      <c r="I20" s="282" t="s">
        <v>73</v>
      </c>
      <c r="J20" s="282" t="s">
        <v>73</v>
      </c>
      <c r="K20" s="278" t="s">
        <v>73</v>
      </c>
      <c r="L20" s="278" t="s">
        <v>73</v>
      </c>
      <c r="M20" s="278" t="s">
        <v>73</v>
      </c>
      <c r="N20" s="278" t="s">
        <v>73</v>
      </c>
      <c r="O20" s="278" t="s">
        <v>73</v>
      </c>
      <c r="P20" s="278" t="s">
        <v>73</v>
      </c>
      <c r="Q20" s="278" t="s">
        <v>73</v>
      </c>
      <c r="R20" s="278" t="s">
        <v>73</v>
      </c>
      <c r="S20" s="278" t="s">
        <v>73</v>
      </c>
      <c r="T20" s="278" t="s">
        <v>73</v>
      </c>
      <c r="U20" s="278" t="s">
        <v>73</v>
      </c>
      <c r="V20" s="278">
        <v>1</v>
      </c>
      <c r="W20" s="278">
        <v>1</v>
      </c>
      <c r="X20" s="278">
        <v>1</v>
      </c>
      <c r="Y20" s="278">
        <v>1</v>
      </c>
      <c r="Z20" s="278" t="s">
        <v>73</v>
      </c>
      <c r="AA20" s="278" t="s">
        <v>73</v>
      </c>
      <c r="AB20" s="278" t="s">
        <v>73</v>
      </c>
      <c r="AC20" s="278" t="s">
        <v>73</v>
      </c>
      <c r="AD20" s="278" t="s">
        <v>73</v>
      </c>
      <c r="AE20" s="278" t="s">
        <v>73</v>
      </c>
      <c r="AF20" s="278" t="s">
        <v>73</v>
      </c>
      <c r="AG20" s="278" t="s">
        <v>73</v>
      </c>
      <c r="AH20" s="278" t="s">
        <v>73</v>
      </c>
      <c r="AI20" s="278" t="s">
        <v>73</v>
      </c>
      <c r="AJ20" s="278" t="s">
        <v>73</v>
      </c>
      <c r="AK20" s="278" t="s">
        <v>73</v>
      </c>
      <c r="AL20" s="278" t="s">
        <v>73</v>
      </c>
      <c r="AM20" s="278" t="s">
        <v>73</v>
      </c>
      <c r="AN20" s="278" t="s">
        <v>73</v>
      </c>
      <c r="AO20" s="278" t="s">
        <v>73</v>
      </c>
      <c r="AP20" s="278" t="s">
        <v>73</v>
      </c>
      <c r="AQ20" s="278" t="s">
        <v>73</v>
      </c>
      <c r="AR20" s="278" t="s">
        <v>73</v>
      </c>
      <c r="AS20" s="278" t="s">
        <v>77</v>
      </c>
      <c r="AT20" s="278" t="s">
        <v>77</v>
      </c>
      <c r="AU20" s="278" t="s">
        <v>77</v>
      </c>
      <c r="AV20" s="278" t="s">
        <v>77</v>
      </c>
      <c r="AW20" s="278" t="s">
        <v>77</v>
      </c>
      <c r="AX20" s="278" t="s">
        <v>77</v>
      </c>
      <c r="AY20" s="278"/>
      <c r="AZ20" s="278"/>
      <c r="BA20" s="278"/>
      <c r="BB20" s="278"/>
      <c r="BC20" s="278"/>
      <c r="BD20" s="278"/>
      <c r="BE20" s="278"/>
      <c r="BF20" s="278"/>
      <c r="BG20" s="278"/>
      <c r="BH20" s="278"/>
      <c r="BI20" s="278"/>
      <c r="BJ20" s="278"/>
      <c r="BK20" s="278"/>
      <c r="BL20" s="278"/>
      <c r="BM20" s="278"/>
      <c r="BN20" s="278"/>
      <c r="BO20" s="278">
        <v>1</v>
      </c>
      <c r="BP20" s="278">
        <v>1</v>
      </c>
      <c r="BQ20" s="278">
        <v>1</v>
      </c>
      <c r="BR20" s="278">
        <v>1</v>
      </c>
      <c r="BS20" s="278">
        <v>1</v>
      </c>
      <c r="BT20" s="278">
        <v>1</v>
      </c>
      <c r="BU20" s="278"/>
      <c r="BV20" s="278"/>
      <c r="BW20" s="278"/>
      <c r="BX20" s="278"/>
    </row>
    <row r="21" spans="1:76" ht="19" customHeight="1" thickBot="1" x14ac:dyDescent="0.4">
      <c r="B21" s="26"/>
      <c r="C21" s="50" t="s">
        <v>209</v>
      </c>
      <c r="D21" s="51" t="s">
        <v>210</v>
      </c>
      <c r="E21" s="52"/>
      <c r="F21" s="284"/>
      <c r="G21" s="282">
        <v>1.5</v>
      </c>
      <c r="H21" s="282">
        <v>2</v>
      </c>
      <c r="I21" s="282">
        <v>2.5</v>
      </c>
      <c r="J21" s="282" t="s">
        <v>73</v>
      </c>
      <c r="K21" s="282" t="s">
        <v>73</v>
      </c>
      <c r="L21" s="282" t="s">
        <v>73</v>
      </c>
      <c r="M21" s="282" t="s">
        <v>73</v>
      </c>
      <c r="N21" s="282" t="s">
        <v>73</v>
      </c>
      <c r="O21" s="282" t="s">
        <v>73</v>
      </c>
      <c r="P21" s="282" t="s">
        <v>73</v>
      </c>
      <c r="Q21" s="282" t="s">
        <v>73</v>
      </c>
      <c r="R21" s="282">
        <v>1</v>
      </c>
      <c r="S21" s="282">
        <v>1</v>
      </c>
      <c r="T21" s="282">
        <v>1</v>
      </c>
      <c r="U21" s="282">
        <v>4</v>
      </c>
      <c r="V21" s="282" t="s">
        <v>73</v>
      </c>
      <c r="W21" s="282" t="s">
        <v>73</v>
      </c>
      <c r="X21" s="282" t="s">
        <v>73</v>
      </c>
      <c r="Y21" s="282" t="s">
        <v>73</v>
      </c>
      <c r="Z21" s="282" t="s">
        <v>73</v>
      </c>
      <c r="AA21" s="282" t="s">
        <v>77</v>
      </c>
      <c r="AB21" s="282" t="s">
        <v>73</v>
      </c>
      <c r="AC21" s="282" t="s">
        <v>73</v>
      </c>
      <c r="AD21" s="282" t="s">
        <v>73</v>
      </c>
      <c r="AE21" s="282" t="s">
        <v>73</v>
      </c>
      <c r="AF21" s="282" t="s">
        <v>73</v>
      </c>
      <c r="AG21" s="282" t="s">
        <v>73</v>
      </c>
      <c r="AH21" s="282" t="s">
        <v>73</v>
      </c>
      <c r="AI21" s="282" t="s">
        <v>73</v>
      </c>
      <c r="AJ21" s="282" t="s">
        <v>73</v>
      </c>
      <c r="AK21" s="282" t="s">
        <v>73</v>
      </c>
      <c r="AL21" s="282" t="str">
        <f>AL16</f>
        <v>Frais Réels</v>
      </c>
      <c r="AM21" s="282" t="s">
        <v>73</v>
      </c>
      <c r="AN21" s="282" t="str">
        <f>AN16</f>
        <v>Frais Réels</v>
      </c>
      <c r="AO21" s="282" t="str">
        <f>AO16</f>
        <v>Frais Réels</v>
      </c>
      <c r="AP21" s="282" t="s">
        <v>73</v>
      </c>
      <c r="AQ21" s="282" t="s">
        <v>73</v>
      </c>
      <c r="AR21" s="282" t="s">
        <v>73</v>
      </c>
      <c r="AS21" s="282">
        <v>1</v>
      </c>
      <c r="AT21" s="282">
        <v>1.45</v>
      </c>
      <c r="AU21" s="282">
        <v>1.7</v>
      </c>
      <c r="AV21" s="282">
        <v>1.95</v>
      </c>
      <c r="AW21" s="282">
        <v>2.5</v>
      </c>
      <c r="AX21" s="282">
        <v>3.5</v>
      </c>
      <c r="AY21" s="282">
        <v>4.5</v>
      </c>
      <c r="AZ21" s="282"/>
      <c r="BA21" s="282"/>
      <c r="BB21" s="282"/>
      <c r="BC21" s="282"/>
      <c r="BD21" s="282"/>
      <c r="BE21" s="282"/>
      <c r="BF21" s="282"/>
      <c r="BG21" s="282"/>
      <c r="BH21" s="282"/>
      <c r="BI21" s="282"/>
      <c r="BJ21" s="282"/>
      <c r="BK21" s="282"/>
      <c r="BL21" s="282"/>
      <c r="BM21" s="282"/>
      <c r="BN21" s="282"/>
      <c r="BO21" s="282">
        <v>1</v>
      </c>
      <c r="BP21" s="282">
        <v>1.5</v>
      </c>
      <c r="BQ21" s="282">
        <v>2</v>
      </c>
      <c r="BR21" s="282">
        <v>3</v>
      </c>
      <c r="BS21" s="282">
        <v>4</v>
      </c>
      <c r="BT21" s="282" t="s">
        <v>73</v>
      </c>
      <c r="BU21" s="282"/>
      <c r="BV21" s="282"/>
      <c r="BW21" s="282"/>
      <c r="BX21" s="282"/>
    </row>
    <row r="22" spans="1:76" ht="15" customHeight="1" thickBot="1" x14ac:dyDescent="0.4">
      <c r="B22" s="26"/>
      <c r="C22" s="53"/>
      <c r="D22" s="54" t="s">
        <v>211</v>
      </c>
      <c r="E22" s="52"/>
      <c r="F22" s="285"/>
      <c r="G22" s="286">
        <v>0.9</v>
      </c>
      <c r="H22" s="286">
        <v>0.9</v>
      </c>
      <c r="I22" s="286">
        <v>0.9</v>
      </c>
      <c r="J22" s="286">
        <v>0.9</v>
      </c>
      <c r="K22" s="278">
        <v>1</v>
      </c>
      <c r="L22" s="278">
        <v>1.5</v>
      </c>
      <c r="M22" s="278">
        <v>2</v>
      </c>
      <c r="N22" s="278">
        <v>2</v>
      </c>
      <c r="O22" s="278">
        <v>2</v>
      </c>
      <c r="P22" s="278">
        <v>2</v>
      </c>
      <c r="Q22" s="278">
        <v>2</v>
      </c>
      <c r="R22" s="283">
        <v>1</v>
      </c>
      <c r="S22" s="283">
        <v>1</v>
      </c>
      <c r="T22" s="283">
        <v>1</v>
      </c>
      <c r="U22" s="283">
        <v>1</v>
      </c>
      <c r="V22" s="283">
        <v>0.8</v>
      </c>
      <c r="W22" s="283">
        <v>0.8</v>
      </c>
      <c r="X22" s="283">
        <v>0.8</v>
      </c>
      <c r="Y22" s="283">
        <v>0.8</v>
      </c>
      <c r="Z22" s="283">
        <v>0.8</v>
      </c>
      <c r="AA22" s="283">
        <v>0.8</v>
      </c>
      <c r="AB22" s="283">
        <v>0.8</v>
      </c>
      <c r="AC22" s="283">
        <f>AB22</f>
        <v>0.8</v>
      </c>
      <c r="AD22" s="283">
        <v>0.8</v>
      </c>
      <c r="AE22" s="283">
        <v>0.8</v>
      </c>
      <c r="AF22" s="283">
        <v>0.8</v>
      </c>
      <c r="AG22" s="283">
        <v>0.8</v>
      </c>
      <c r="AH22" s="283">
        <v>0.9</v>
      </c>
      <c r="AI22" s="283">
        <v>0.9</v>
      </c>
      <c r="AJ22" s="283">
        <v>0.9</v>
      </c>
      <c r="AK22" s="283">
        <v>0.9</v>
      </c>
      <c r="AL22" s="283">
        <v>0.9</v>
      </c>
      <c r="AM22" s="279">
        <v>1</v>
      </c>
      <c r="AN22" s="279">
        <v>1.5</v>
      </c>
      <c r="AO22" s="283">
        <v>0.7</v>
      </c>
      <c r="AP22" s="283">
        <v>0.7</v>
      </c>
      <c r="AQ22" s="283">
        <v>0.9</v>
      </c>
      <c r="AR22" s="287" t="s">
        <v>78</v>
      </c>
      <c r="AS22" s="278">
        <v>1</v>
      </c>
      <c r="AT22" s="278">
        <v>1</v>
      </c>
      <c r="AU22" s="278">
        <v>1</v>
      </c>
      <c r="AV22" s="278">
        <v>1</v>
      </c>
      <c r="AW22" s="278">
        <v>1</v>
      </c>
      <c r="AX22" s="278">
        <v>1</v>
      </c>
      <c r="AY22" s="278">
        <v>1</v>
      </c>
      <c r="AZ22" s="283"/>
      <c r="BA22" s="283"/>
      <c r="BB22" s="283"/>
      <c r="BC22" s="283"/>
      <c r="BD22" s="283"/>
      <c r="BE22" s="283"/>
      <c r="BF22" s="283"/>
      <c r="BG22" s="283"/>
      <c r="BH22" s="283"/>
      <c r="BI22" s="283"/>
      <c r="BJ22" s="283"/>
      <c r="BK22" s="283"/>
      <c r="BL22" s="283"/>
      <c r="BM22" s="283"/>
      <c r="BN22" s="283"/>
      <c r="BO22" s="278">
        <v>1</v>
      </c>
      <c r="BP22" s="278">
        <v>1.5</v>
      </c>
      <c r="BQ22" s="278">
        <v>2</v>
      </c>
      <c r="BR22" s="278">
        <v>3</v>
      </c>
      <c r="BS22" s="278">
        <v>4</v>
      </c>
      <c r="BT22" s="283">
        <v>0.9</v>
      </c>
      <c r="BU22" s="283"/>
      <c r="BV22" s="283"/>
      <c r="BW22" s="283"/>
      <c r="BX22" s="283"/>
    </row>
    <row r="23" spans="1:76" ht="15" customHeight="1" thickBot="1" x14ac:dyDescent="0.4">
      <c r="B23" s="26"/>
      <c r="C23" s="55"/>
      <c r="D23" s="56" t="s">
        <v>212</v>
      </c>
      <c r="E23" s="52"/>
      <c r="F23" s="288"/>
      <c r="G23" s="289" t="s">
        <v>80</v>
      </c>
      <c r="H23" s="289" t="s">
        <v>80</v>
      </c>
      <c r="I23" s="289" t="s">
        <v>81</v>
      </c>
      <c r="J23" s="289" t="s">
        <v>82</v>
      </c>
      <c r="K23" s="278"/>
      <c r="L23" s="278"/>
      <c r="M23" s="278"/>
      <c r="N23" s="278"/>
      <c r="O23" s="278"/>
      <c r="P23" s="278"/>
      <c r="Q23" s="278"/>
      <c r="R23" s="278"/>
      <c r="S23" s="278"/>
      <c r="T23" s="278"/>
      <c r="U23" s="278"/>
      <c r="V23" s="278">
        <v>2</v>
      </c>
      <c r="W23" s="278">
        <v>2</v>
      </c>
      <c r="X23" s="278">
        <v>2</v>
      </c>
      <c r="Y23" s="278">
        <v>2</v>
      </c>
      <c r="Z23" s="278">
        <v>2</v>
      </c>
      <c r="AA23" s="278">
        <v>2</v>
      </c>
      <c r="AB23" s="278">
        <v>2</v>
      </c>
      <c r="AC23" s="278">
        <f>AB23</f>
        <v>2</v>
      </c>
      <c r="AD23" s="290" t="s">
        <v>83</v>
      </c>
      <c r="AE23" s="290" t="s">
        <v>79</v>
      </c>
      <c r="AF23" s="290" t="s">
        <v>79</v>
      </c>
      <c r="AG23" s="290" t="s">
        <v>79</v>
      </c>
      <c r="AH23" s="279">
        <v>3</v>
      </c>
      <c r="AI23" s="279">
        <v>3</v>
      </c>
      <c r="AJ23" s="279" t="s">
        <v>84</v>
      </c>
      <c r="AK23" s="279">
        <v>3.5</v>
      </c>
      <c r="AL23" s="283"/>
      <c r="AM23" s="279"/>
      <c r="AN23" s="279"/>
      <c r="AO23" s="283"/>
      <c r="AP23" s="283"/>
      <c r="AQ23" s="283"/>
      <c r="AR23" s="287"/>
      <c r="AS23" s="278"/>
      <c r="AT23" s="278"/>
      <c r="AU23" s="278"/>
      <c r="AV23" s="278"/>
      <c r="AW23" s="278"/>
      <c r="AX23" s="278"/>
      <c r="AY23" s="278"/>
      <c r="AZ23" s="278"/>
      <c r="BA23" s="278"/>
      <c r="BB23" s="278"/>
      <c r="BC23" s="278"/>
      <c r="BD23" s="278"/>
      <c r="BE23" s="278"/>
      <c r="BF23" s="278"/>
      <c r="BG23" s="278"/>
      <c r="BH23" s="278"/>
      <c r="BI23" s="278"/>
      <c r="BJ23" s="278"/>
      <c r="BK23" s="278"/>
      <c r="BL23" s="278"/>
      <c r="BM23" s="278"/>
      <c r="BN23" s="278"/>
      <c r="BO23" s="278"/>
      <c r="BP23" s="278"/>
      <c r="BQ23" s="278"/>
      <c r="BR23" s="278"/>
      <c r="BS23" s="278"/>
      <c r="BT23" s="278"/>
      <c r="BU23" s="278"/>
      <c r="BV23" s="278"/>
      <c r="BW23" s="278"/>
      <c r="BX23" s="278"/>
    </row>
    <row r="24" spans="1:76" ht="19" customHeight="1" thickBot="1" x14ac:dyDescent="0.4">
      <c r="B24" s="26"/>
      <c r="C24" s="57" t="s">
        <v>213</v>
      </c>
      <c r="D24" s="58" t="s">
        <v>214</v>
      </c>
      <c r="E24" s="59"/>
      <c r="F24" s="291"/>
      <c r="G24" s="292">
        <f>PMSS*3%</f>
        <v>99.33</v>
      </c>
      <c r="H24" s="292">
        <f>+PMSS*4%</f>
        <v>132.44</v>
      </c>
      <c r="I24" s="292">
        <f>+PMSS*5%</f>
        <v>165.55</v>
      </c>
      <c r="J24" s="292">
        <f>+PMSS*7%</f>
        <v>231.77</v>
      </c>
      <c r="K24" s="292">
        <v>30</v>
      </c>
      <c r="L24" s="292">
        <v>50</v>
      </c>
      <c r="M24" s="292">
        <v>70</v>
      </c>
      <c r="N24" s="292">
        <v>100</v>
      </c>
      <c r="O24" s="292">
        <v>120</v>
      </c>
      <c r="P24" s="292">
        <v>140</v>
      </c>
      <c r="Q24" s="292">
        <v>160</v>
      </c>
      <c r="R24" s="292">
        <f>PMSS*3%</f>
        <v>99.33</v>
      </c>
      <c r="S24" s="292">
        <f>PMSS*4%</f>
        <v>132.44</v>
      </c>
      <c r="T24" s="292">
        <f>PMSS*5%</f>
        <v>165.55</v>
      </c>
      <c r="U24" s="292">
        <f>PMSS*5%</f>
        <v>165.55</v>
      </c>
      <c r="V24" s="292">
        <f>PMSS*2%</f>
        <v>66.22</v>
      </c>
      <c r="W24" s="292">
        <f>PMSS*2%</f>
        <v>66.22</v>
      </c>
      <c r="X24" s="292">
        <f>PMSS*2.5%</f>
        <v>82.775000000000006</v>
      </c>
      <c r="Y24" s="292">
        <f>PMSS*2.5%</f>
        <v>82.775000000000006</v>
      </c>
      <c r="Z24" s="292">
        <f>PMSS*3.5%</f>
        <v>115.88500000000001</v>
      </c>
      <c r="AA24" s="292">
        <f>PMSS*3.5%</f>
        <v>115.88500000000001</v>
      </c>
      <c r="AB24" s="292">
        <f>PMSS*4%</f>
        <v>132.44</v>
      </c>
      <c r="AC24" s="292">
        <f>PMSS*4%</f>
        <v>132.44</v>
      </c>
      <c r="AD24" s="292">
        <f>+PMSS*2%</f>
        <v>66.22</v>
      </c>
      <c r="AE24" s="292">
        <f>+PMSS*2.5%</f>
        <v>82.775000000000006</v>
      </c>
      <c r="AF24" s="292">
        <f>+PMSS*3.5%</f>
        <v>115.88500000000001</v>
      </c>
      <c r="AG24" s="292">
        <f>+PMSS*4%</f>
        <v>132.44</v>
      </c>
      <c r="AH24" s="292">
        <v>75</v>
      </c>
      <c r="AI24" s="292">
        <v>90</v>
      </c>
      <c r="AJ24" s="292">
        <v>115</v>
      </c>
      <c r="AK24" s="292">
        <v>130</v>
      </c>
      <c r="AL24" s="292">
        <f>+PMSS*8%</f>
        <v>264.88</v>
      </c>
      <c r="AM24" s="292">
        <f>+PMSS*1.5%</f>
        <v>49.664999999999999</v>
      </c>
      <c r="AN24" s="292">
        <f>+PMSS*4%</f>
        <v>132.44</v>
      </c>
      <c r="AO24" s="292">
        <f>+PMSS*5%</f>
        <v>165.55</v>
      </c>
      <c r="AP24" s="292">
        <f>+PMSS*5%</f>
        <v>165.55</v>
      </c>
      <c r="AQ24" s="292">
        <f>+PMSS*5%</f>
        <v>165.55</v>
      </c>
      <c r="AR24" s="292">
        <v>70</v>
      </c>
      <c r="AS24" s="292">
        <v>0</v>
      </c>
      <c r="AT24" s="292">
        <v>75</v>
      </c>
      <c r="AU24" s="292">
        <v>90</v>
      </c>
      <c r="AV24" s="292">
        <v>105</v>
      </c>
      <c r="AW24" s="292">
        <v>135</v>
      </c>
      <c r="AX24" s="292">
        <v>155</v>
      </c>
      <c r="AY24" s="292">
        <v>155</v>
      </c>
      <c r="AZ24" s="292"/>
      <c r="BA24" s="292"/>
      <c r="BB24" s="292"/>
      <c r="BC24" s="292"/>
      <c r="BD24" s="292"/>
      <c r="BE24" s="292"/>
      <c r="BF24" s="292"/>
      <c r="BG24" s="292"/>
      <c r="BH24" s="292"/>
      <c r="BI24" s="292"/>
      <c r="BJ24" s="292"/>
      <c r="BK24" s="292"/>
      <c r="BL24" s="292"/>
      <c r="BM24" s="292"/>
      <c r="BN24" s="292"/>
      <c r="BO24" s="292">
        <v>70</v>
      </c>
      <c r="BP24" s="292" t="s">
        <v>73</v>
      </c>
      <c r="BQ24" s="292" t="s">
        <v>73</v>
      </c>
      <c r="BR24" s="292" t="s">
        <v>73</v>
      </c>
      <c r="BS24" s="292" t="s">
        <v>73</v>
      </c>
      <c r="BT24" s="292" t="s">
        <v>73</v>
      </c>
      <c r="BU24" s="292"/>
      <c r="BV24" s="292"/>
      <c r="BW24" s="292"/>
      <c r="BX24" s="292"/>
    </row>
    <row r="25" spans="1:76" ht="22" customHeight="1" thickBot="1" x14ac:dyDescent="0.4">
      <c r="B25" s="26"/>
      <c r="C25" s="60" t="s">
        <v>215</v>
      </c>
      <c r="D25" s="61" t="s">
        <v>216</v>
      </c>
      <c r="E25" s="59"/>
      <c r="F25" s="291"/>
      <c r="G25" s="292">
        <f>G24</f>
        <v>99.33</v>
      </c>
      <c r="H25" s="292">
        <f>H24</f>
        <v>132.44</v>
      </c>
      <c r="I25" s="292">
        <f>I24</f>
        <v>165.55</v>
      </c>
      <c r="J25" s="292">
        <f>J24</f>
        <v>231.77</v>
      </c>
      <c r="K25" s="293">
        <v>0</v>
      </c>
      <c r="L25" s="293">
        <v>0</v>
      </c>
      <c r="M25" s="293">
        <v>0</v>
      </c>
      <c r="N25" s="293">
        <v>30</v>
      </c>
      <c r="O25" s="293">
        <v>40</v>
      </c>
      <c r="P25" s="293">
        <v>50</v>
      </c>
      <c r="Q25" s="293">
        <v>60</v>
      </c>
      <c r="R25" s="293">
        <f>PMSS*3%</f>
        <v>99.33</v>
      </c>
      <c r="S25" s="293">
        <f>PMSS*4%</f>
        <v>132.44</v>
      </c>
      <c r="T25" s="293">
        <f>PMSS*5%</f>
        <v>165.55</v>
      </c>
      <c r="U25" s="292">
        <f>PMSS*5%</f>
        <v>165.55</v>
      </c>
      <c r="V25" s="292">
        <f>PMSS*2%</f>
        <v>66.22</v>
      </c>
      <c r="W25" s="292">
        <f>PMSS*2%</f>
        <v>66.22</v>
      </c>
      <c r="X25" s="292">
        <f>PMSS*2.5%</f>
        <v>82.775000000000006</v>
      </c>
      <c r="Y25" s="292">
        <f>PMSS*2.5%</f>
        <v>82.775000000000006</v>
      </c>
      <c r="Z25" s="293">
        <f>PMSS*3.5%</f>
        <v>115.88500000000001</v>
      </c>
      <c r="AA25" s="292">
        <f>PMSS*3.5%</f>
        <v>115.88500000000001</v>
      </c>
      <c r="AB25" s="292">
        <f>PMSS*4%</f>
        <v>132.44</v>
      </c>
      <c r="AC25" s="292">
        <f>PMSS*4%</f>
        <v>132.44</v>
      </c>
      <c r="AD25" s="292">
        <f>+PMSS*2%</f>
        <v>66.22</v>
      </c>
      <c r="AE25" s="292">
        <f>+PMSS*2.5%</f>
        <v>82.775000000000006</v>
      </c>
      <c r="AF25" s="292">
        <f>+PMSS*3.5%</f>
        <v>115.88500000000001</v>
      </c>
      <c r="AG25" s="292">
        <f>+PMSS*4%</f>
        <v>132.44</v>
      </c>
      <c r="AH25" s="292">
        <v>75</v>
      </c>
      <c r="AI25" s="293">
        <v>90</v>
      </c>
      <c r="AJ25" s="293">
        <v>115</v>
      </c>
      <c r="AK25" s="293">
        <v>130</v>
      </c>
      <c r="AL25" s="293" t="s">
        <v>73</v>
      </c>
      <c r="AM25" s="279">
        <v>1</v>
      </c>
      <c r="AN25" s="279">
        <v>2.5</v>
      </c>
      <c r="AO25" s="294">
        <v>0.9</v>
      </c>
      <c r="AP25" s="294">
        <v>0.9</v>
      </c>
      <c r="AQ25" s="293" t="s">
        <v>73</v>
      </c>
      <c r="AR25" s="293">
        <v>70</v>
      </c>
      <c r="AS25" s="293">
        <v>0</v>
      </c>
      <c r="AT25" s="293">
        <v>75</v>
      </c>
      <c r="AU25" s="293">
        <v>90</v>
      </c>
      <c r="AV25" s="293">
        <v>105</v>
      </c>
      <c r="AW25" s="293">
        <v>130</v>
      </c>
      <c r="AX25" s="293">
        <v>140</v>
      </c>
      <c r="AY25" s="293">
        <v>140</v>
      </c>
      <c r="AZ25" s="293"/>
      <c r="BA25" s="293"/>
      <c r="BB25" s="293"/>
      <c r="BC25" s="293"/>
      <c r="BD25" s="293"/>
      <c r="BE25" s="293"/>
      <c r="BF25" s="293"/>
      <c r="BG25" s="293"/>
      <c r="BH25" s="293"/>
      <c r="BI25" s="293"/>
      <c r="BJ25" s="293"/>
      <c r="BK25" s="293"/>
      <c r="BL25" s="293"/>
      <c r="BM25" s="293"/>
      <c r="BN25" s="293"/>
      <c r="BO25" s="293">
        <v>70</v>
      </c>
      <c r="BP25" s="293" t="s">
        <v>73</v>
      </c>
      <c r="BQ25" s="293" t="s">
        <v>73</v>
      </c>
      <c r="BR25" s="293" t="s">
        <v>73</v>
      </c>
      <c r="BS25" s="293" t="s">
        <v>73</v>
      </c>
      <c r="BT25" s="293" t="s">
        <v>73</v>
      </c>
      <c r="BU25" s="293"/>
      <c r="BV25" s="293"/>
      <c r="BW25" s="293"/>
      <c r="BX25" s="293"/>
    </row>
    <row r="26" spans="1:76" ht="16" customHeight="1" thickBot="1" x14ac:dyDescent="0.4">
      <c r="B26" s="26"/>
      <c r="C26" s="62"/>
      <c r="D26" s="63" t="s">
        <v>217</v>
      </c>
      <c r="E26" s="64"/>
      <c r="F26" s="295"/>
      <c r="G26" s="296">
        <v>45</v>
      </c>
      <c r="H26" s="296">
        <v>45</v>
      </c>
      <c r="I26" s="296">
        <v>60</v>
      </c>
      <c r="J26" s="296">
        <v>90</v>
      </c>
      <c r="K26" s="297"/>
      <c r="L26" s="297"/>
      <c r="M26" s="297"/>
      <c r="N26" s="297">
        <v>30</v>
      </c>
      <c r="O26" s="297">
        <v>45</v>
      </c>
      <c r="P26" s="297">
        <v>60</v>
      </c>
      <c r="Q26" s="297">
        <v>60</v>
      </c>
      <c r="R26" s="297">
        <v>30</v>
      </c>
      <c r="S26" s="297">
        <v>30</v>
      </c>
      <c r="T26" s="297">
        <v>30</v>
      </c>
      <c r="U26" s="297">
        <v>30</v>
      </c>
      <c r="V26" s="297">
        <v>90</v>
      </c>
      <c r="W26" s="297">
        <v>90</v>
      </c>
      <c r="X26" s="297">
        <v>90</v>
      </c>
      <c r="Y26" s="297">
        <v>90</v>
      </c>
      <c r="Z26" s="297">
        <v>90</v>
      </c>
      <c r="AA26" s="297">
        <v>90</v>
      </c>
      <c r="AB26" s="297">
        <v>90</v>
      </c>
      <c r="AC26" s="297">
        <v>90</v>
      </c>
      <c r="AD26" s="297">
        <v>90</v>
      </c>
      <c r="AE26" s="297">
        <v>90</v>
      </c>
      <c r="AF26" s="297">
        <v>90</v>
      </c>
      <c r="AG26" s="297">
        <v>90</v>
      </c>
      <c r="AH26" s="297">
        <v>90</v>
      </c>
      <c r="AI26" s="297">
        <v>90</v>
      </c>
      <c r="AJ26" s="297">
        <v>90</v>
      </c>
      <c r="AK26" s="297">
        <v>90</v>
      </c>
      <c r="AL26" s="297">
        <v>90</v>
      </c>
      <c r="AM26" s="297">
        <v>30</v>
      </c>
      <c r="AN26" s="297">
        <v>30</v>
      </c>
      <c r="AO26" s="297">
        <v>30</v>
      </c>
      <c r="AP26" s="297">
        <v>60</v>
      </c>
      <c r="AQ26" s="297">
        <v>90</v>
      </c>
      <c r="AR26" s="297">
        <v>60</v>
      </c>
      <c r="AS26" s="297"/>
      <c r="AT26" s="297">
        <v>60</v>
      </c>
      <c r="AU26" s="297">
        <v>60</v>
      </c>
      <c r="AV26" s="297">
        <v>60</v>
      </c>
      <c r="AW26" s="297">
        <v>60</v>
      </c>
      <c r="AX26" s="297">
        <v>60</v>
      </c>
      <c r="AY26" s="297">
        <v>60</v>
      </c>
      <c r="AZ26" s="297"/>
      <c r="BA26" s="297"/>
      <c r="BB26" s="297"/>
      <c r="BC26" s="297"/>
      <c r="BD26" s="297"/>
      <c r="BE26" s="297"/>
      <c r="BF26" s="297"/>
      <c r="BG26" s="297"/>
      <c r="BH26" s="297"/>
      <c r="BI26" s="297"/>
      <c r="BJ26" s="297"/>
      <c r="BK26" s="297"/>
      <c r="BL26" s="297"/>
      <c r="BM26" s="297"/>
      <c r="BN26" s="297"/>
      <c r="BO26" s="297">
        <v>30</v>
      </c>
      <c r="BP26" s="297">
        <v>30</v>
      </c>
      <c r="BQ26" s="297">
        <v>30</v>
      </c>
      <c r="BR26" s="297">
        <v>30</v>
      </c>
      <c r="BS26" s="297">
        <v>30</v>
      </c>
      <c r="BT26" s="297">
        <v>30</v>
      </c>
      <c r="BU26" s="297"/>
      <c r="BV26" s="297"/>
      <c r="BW26" s="297"/>
      <c r="BX26" s="297"/>
    </row>
    <row r="27" spans="1:76" ht="18" customHeight="1" thickBot="1" x14ac:dyDescent="0.4">
      <c r="B27" s="26"/>
      <c r="C27" s="65" t="s">
        <v>218</v>
      </c>
      <c r="D27" s="66" t="s">
        <v>219</v>
      </c>
      <c r="E27" s="67"/>
      <c r="F27" s="291"/>
      <c r="G27" s="292">
        <f>PMSS*1%</f>
        <v>33.11</v>
      </c>
      <c r="H27" s="292">
        <f>+PMSS*1.5%</f>
        <v>49.664999999999999</v>
      </c>
      <c r="I27" s="292">
        <f>+PMSS*2%</f>
        <v>66.22</v>
      </c>
      <c r="J27" s="292">
        <f>+PMSS*3%</f>
        <v>99.33</v>
      </c>
      <c r="K27" s="293">
        <v>0</v>
      </c>
      <c r="L27" s="293">
        <v>10</v>
      </c>
      <c r="M27" s="293">
        <v>10</v>
      </c>
      <c r="N27" s="293">
        <v>15</v>
      </c>
      <c r="O27" s="293">
        <v>25</v>
      </c>
      <c r="P27" s="293">
        <v>30</v>
      </c>
      <c r="Q27" s="293">
        <v>40</v>
      </c>
      <c r="R27" s="293">
        <f>PMSS*1%</f>
        <v>33.11</v>
      </c>
      <c r="S27" s="293">
        <f>1.5%*PMSS</f>
        <v>49.664999999999999</v>
      </c>
      <c r="T27" s="293">
        <f>PMSS*2%</f>
        <v>66.22</v>
      </c>
      <c r="U27" s="293">
        <f>PMSS*2%</f>
        <v>66.22</v>
      </c>
      <c r="V27" s="293">
        <f>PMSS*1.5%</f>
        <v>49.664999999999999</v>
      </c>
      <c r="W27" s="293">
        <f>PMSS*1.5%</f>
        <v>49.664999999999999</v>
      </c>
      <c r="X27" s="293">
        <f>PMSS*1.5%</f>
        <v>49.664999999999999</v>
      </c>
      <c r="Y27" s="293">
        <f>PMSS*1.5%</f>
        <v>49.664999999999999</v>
      </c>
      <c r="Z27" s="293">
        <f>PMSS*1.5%</f>
        <v>49.664999999999999</v>
      </c>
      <c r="AA27" s="293">
        <f>PMSS*1.5%</f>
        <v>49.664999999999999</v>
      </c>
      <c r="AB27" s="293">
        <f>PMSS*1.5%</f>
        <v>49.664999999999999</v>
      </c>
      <c r="AC27" s="293">
        <f>PMSS*1.5%</f>
        <v>49.664999999999999</v>
      </c>
      <c r="AD27" s="293">
        <f>+PMSS*1.5%</f>
        <v>49.664999999999999</v>
      </c>
      <c r="AE27" s="293">
        <f>+PMSS*1.5%</f>
        <v>49.664999999999999</v>
      </c>
      <c r="AF27" s="293">
        <f>+PMSS*1.5%</f>
        <v>49.664999999999999</v>
      </c>
      <c r="AG27" s="293">
        <f>+PMSS*1.5%</f>
        <v>49.664999999999999</v>
      </c>
      <c r="AH27" s="293">
        <v>40</v>
      </c>
      <c r="AI27" s="293">
        <v>50</v>
      </c>
      <c r="AJ27" s="293">
        <v>55</v>
      </c>
      <c r="AK27" s="293">
        <v>60</v>
      </c>
      <c r="AL27" s="293">
        <v>60</v>
      </c>
      <c r="AM27" s="293">
        <v>20</v>
      </c>
      <c r="AN27" s="293">
        <v>20</v>
      </c>
      <c r="AO27" s="293">
        <v>30</v>
      </c>
      <c r="AP27" s="293">
        <v>30</v>
      </c>
      <c r="AQ27" s="293">
        <v>50</v>
      </c>
      <c r="AR27" s="293" t="s">
        <v>78</v>
      </c>
      <c r="AS27" s="293">
        <v>0</v>
      </c>
      <c r="AT27" s="293">
        <v>35</v>
      </c>
      <c r="AU27" s="293">
        <v>45</v>
      </c>
      <c r="AV27" s="293">
        <v>55</v>
      </c>
      <c r="AW27" s="293">
        <v>75</v>
      </c>
      <c r="AX27" s="293">
        <v>95</v>
      </c>
      <c r="AY27" s="293">
        <v>115</v>
      </c>
      <c r="AZ27" s="293"/>
      <c r="BA27" s="293"/>
      <c r="BB27" s="293"/>
      <c r="BC27" s="293"/>
      <c r="BD27" s="293"/>
      <c r="BE27" s="293"/>
      <c r="BF27" s="293"/>
      <c r="BG27" s="293"/>
      <c r="BH27" s="293"/>
      <c r="BI27" s="293"/>
      <c r="BJ27" s="293"/>
      <c r="BK27" s="293"/>
      <c r="BL27" s="293"/>
      <c r="BM27" s="293"/>
      <c r="BN27" s="293"/>
      <c r="BO27" s="293">
        <v>16</v>
      </c>
      <c r="BP27" s="293">
        <v>16</v>
      </c>
      <c r="BQ27" s="293">
        <v>16</v>
      </c>
      <c r="BR27" s="293">
        <v>16</v>
      </c>
      <c r="BS27" s="293">
        <v>16</v>
      </c>
      <c r="BT27" s="293">
        <v>16</v>
      </c>
      <c r="BU27" s="293"/>
      <c r="BV27" s="293"/>
      <c r="BW27" s="293"/>
      <c r="BX27" s="293"/>
    </row>
    <row r="28" spans="1:76" ht="18" customHeight="1" thickBot="1" x14ac:dyDescent="0.4">
      <c r="B28" s="26"/>
      <c r="C28" s="68" t="s">
        <v>220</v>
      </c>
      <c r="D28" s="69"/>
      <c r="E28" s="70"/>
      <c r="F28" s="284"/>
      <c r="G28" s="282" t="s">
        <v>86</v>
      </c>
      <c r="H28" s="282" t="s">
        <v>86</v>
      </c>
      <c r="I28" s="282" t="s">
        <v>87</v>
      </c>
      <c r="J28" s="282" t="s">
        <v>88</v>
      </c>
      <c r="K28" s="278">
        <v>1</v>
      </c>
      <c r="L28" s="278">
        <v>1.25</v>
      </c>
      <c r="M28" s="278">
        <v>1.5</v>
      </c>
      <c r="N28" s="278">
        <v>1.75</v>
      </c>
      <c r="O28" s="278">
        <v>2</v>
      </c>
      <c r="P28" s="278">
        <v>2</v>
      </c>
      <c r="Q28" s="278">
        <v>2.5</v>
      </c>
      <c r="R28" s="278">
        <v>2</v>
      </c>
      <c r="S28" s="278">
        <v>2</v>
      </c>
      <c r="T28" s="278">
        <v>2</v>
      </c>
      <c r="U28" s="278">
        <v>3</v>
      </c>
      <c r="V28" s="278">
        <v>1</v>
      </c>
      <c r="W28" s="278">
        <v>1</v>
      </c>
      <c r="X28" s="278">
        <v>1</v>
      </c>
      <c r="Y28" s="278">
        <v>1</v>
      </c>
      <c r="Z28" s="278">
        <v>1</v>
      </c>
      <c r="AA28" s="298">
        <v>1</v>
      </c>
      <c r="AB28" s="278">
        <v>1</v>
      </c>
      <c r="AC28" s="278">
        <v>1</v>
      </c>
      <c r="AD28" s="278" t="s">
        <v>85</v>
      </c>
      <c r="AE28" s="278" t="s">
        <v>85</v>
      </c>
      <c r="AF28" s="278">
        <v>1</v>
      </c>
      <c r="AG28" s="278">
        <v>1</v>
      </c>
      <c r="AH28" s="278" t="s">
        <v>85</v>
      </c>
      <c r="AI28" s="278" t="s">
        <v>85</v>
      </c>
      <c r="AJ28" s="278">
        <v>1</v>
      </c>
      <c r="AK28" s="278">
        <v>1</v>
      </c>
      <c r="AL28" s="278">
        <v>3</v>
      </c>
      <c r="AM28" s="278" t="s">
        <v>85</v>
      </c>
      <c r="AN28" s="278">
        <v>1</v>
      </c>
      <c r="AO28" s="278">
        <v>2</v>
      </c>
      <c r="AP28" s="278">
        <v>2</v>
      </c>
      <c r="AQ28" s="298">
        <v>3</v>
      </c>
      <c r="AR28" s="278" t="s">
        <v>85</v>
      </c>
      <c r="AS28" s="278">
        <v>1</v>
      </c>
      <c r="AT28" s="278">
        <v>1</v>
      </c>
      <c r="AU28" s="278">
        <v>1</v>
      </c>
      <c r="AV28" s="278">
        <v>1</v>
      </c>
      <c r="AW28" s="278">
        <v>1</v>
      </c>
      <c r="AX28" s="278">
        <v>1</v>
      </c>
      <c r="AY28" s="278">
        <v>1</v>
      </c>
      <c r="AZ28" s="278"/>
      <c r="BA28" s="278"/>
      <c r="BB28" s="278"/>
      <c r="BC28" s="278"/>
      <c r="BD28" s="278"/>
      <c r="BE28" s="278"/>
      <c r="BF28" s="278"/>
      <c r="BG28" s="278"/>
      <c r="BH28" s="278"/>
      <c r="BI28" s="278"/>
      <c r="BJ28" s="278"/>
      <c r="BK28" s="278"/>
      <c r="BL28" s="278"/>
      <c r="BM28" s="278"/>
      <c r="BN28" s="278"/>
      <c r="BO28" s="278">
        <v>1</v>
      </c>
      <c r="BP28" s="278">
        <v>1</v>
      </c>
      <c r="BQ28" s="278">
        <v>1</v>
      </c>
      <c r="BR28" s="278">
        <v>1</v>
      </c>
      <c r="BS28" s="278">
        <v>1</v>
      </c>
      <c r="BT28" s="278">
        <v>1</v>
      </c>
      <c r="BU28" s="278"/>
      <c r="BV28" s="278"/>
      <c r="BW28" s="278"/>
      <c r="BX28" s="278"/>
    </row>
    <row r="29" spans="1:76" ht="16" customHeight="1" x14ac:dyDescent="0.35">
      <c r="B29" s="26"/>
      <c r="C29" s="71"/>
      <c r="D29" s="72"/>
      <c r="E29" s="73"/>
      <c r="F29" s="299"/>
      <c r="G29" s="300"/>
      <c r="H29" s="300"/>
      <c r="I29" s="300"/>
      <c r="J29" s="300"/>
      <c r="K29" s="300"/>
      <c r="L29" s="300"/>
      <c r="M29" s="300"/>
      <c r="N29" s="300"/>
      <c r="O29" s="300"/>
      <c r="P29" s="300"/>
      <c r="Q29" s="300"/>
      <c r="R29" s="300"/>
      <c r="S29" s="300"/>
      <c r="T29" s="300"/>
      <c r="U29" s="300"/>
      <c r="V29" s="300"/>
      <c r="W29" s="300"/>
      <c r="X29" s="300"/>
      <c r="Y29" s="300"/>
      <c r="Z29" s="300"/>
      <c r="AA29" s="300"/>
      <c r="AB29" s="300"/>
      <c r="AC29" s="300"/>
      <c r="AD29" s="300"/>
      <c r="AE29" s="300"/>
      <c r="AF29" s="300"/>
      <c r="AG29" s="300"/>
      <c r="AH29" s="300"/>
      <c r="AI29" s="300"/>
      <c r="AJ29" s="300"/>
      <c r="AK29" s="300"/>
      <c r="AL29" s="300"/>
      <c r="AM29" s="300"/>
      <c r="AN29" s="300"/>
      <c r="AO29" s="300"/>
      <c r="AP29" s="300"/>
      <c r="AQ29" s="300"/>
      <c r="AR29" s="301"/>
      <c r="AS29" s="300"/>
      <c r="AT29" s="300"/>
      <c r="AU29" s="300"/>
      <c r="AV29" s="300"/>
      <c r="AW29" s="300"/>
      <c r="AX29" s="300"/>
      <c r="AY29" s="300"/>
      <c r="AZ29" s="300"/>
      <c r="BA29" s="300"/>
      <c r="BB29" s="300"/>
      <c r="BC29" s="300"/>
      <c r="BD29" s="300"/>
      <c r="BE29" s="300"/>
      <c r="BF29" s="300"/>
      <c r="BG29" s="300"/>
      <c r="BH29" s="300"/>
      <c r="BI29" s="300"/>
      <c r="BJ29" s="300"/>
      <c r="BK29" s="300"/>
      <c r="BL29" s="300"/>
      <c r="BM29" s="300"/>
      <c r="BN29" s="300"/>
      <c r="BO29" s="300"/>
      <c r="BP29" s="300"/>
      <c r="BQ29" s="300"/>
      <c r="BR29" s="300"/>
      <c r="BS29" s="300"/>
      <c r="BT29" s="300"/>
      <c r="BU29" s="300"/>
      <c r="BV29" s="300"/>
      <c r="BW29" s="300"/>
      <c r="BX29" s="300"/>
    </row>
    <row r="30" spans="1:76" ht="17" customHeight="1" thickBot="1" x14ac:dyDescent="0.5">
      <c r="A30" s="262"/>
      <c r="B30" s="26"/>
      <c r="C30" s="74" t="s">
        <v>221</v>
      </c>
      <c r="D30" s="75"/>
      <c r="E30" s="76"/>
      <c r="F30" s="299"/>
      <c r="G30" s="302"/>
      <c r="H30" s="302"/>
      <c r="I30" s="302"/>
      <c r="J30" s="302"/>
      <c r="K30" s="237"/>
      <c r="L30" s="237"/>
      <c r="M30" s="237"/>
      <c r="N30" s="237"/>
      <c r="O30" s="237"/>
      <c r="P30" s="237"/>
      <c r="Q30" s="237"/>
      <c r="R30" s="303"/>
      <c r="S30" s="303"/>
      <c r="T30" s="303"/>
      <c r="U30" s="303"/>
      <c r="V30" s="304"/>
      <c r="W30" s="304"/>
      <c r="X30" s="304"/>
      <c r="Y30" s="304"/>
      <c r="Z30" s="304"/>
      <c r="AA30" s="304"/>
      <c r="AB30" s="304"/>
      <c r="AC30" s="304"/>
      <c r="AD30" s="305"/>
      <c r="AE30" s="305"/>
      <c r="AF30" s="305"/>
      <c r="AG30" s="305"/>
      <c r="AH30" s="306"/>
      <c r="AI30" s="306"/>
      <c r="AJ30" s="306"/>
      <c r="AK30" s="306"/>
      <c r="AL30" s="307"/>
      <c r="AM30" s="307"/>
      <c r="AN30" s="307"/>
      <c r="AO30" s="307"/>
      <c r="AP30" s="307"/>
      <c r="AQ30" s="307"/>
      <c r="AR30" s="308"/>
      <c r="AS30" s="309"/>
      <c r="AT30" s="309"/>
      <c r="AU30" s="309"/>
      <c r="AV30" s="309"/>
      <c r="AW30" s="309"/>
      <c r="AX30" s="309"/>
      <c r="AY30" s="309"/>
      <c r="AZ30" s="258"/>
      <c r="BA30" s="258"/>
      <c r="BB30" s="258"/>
      <c r="BC30" s="258"/>
      <c r="BD30" s="258"/>
      <c r="BE30" s="258"/>
      <c r="BF30" s="258"/>
      <c r="BG30" s="258"/>
      <c r="BH30" s="258"/>
      <c r="BI30" s="259"/>
      <c r="BJ30" s="259"/>
      <c r="BK30" s="259"/>
      <c r="BL30" s="259"/>
      <c r="BM30" s="259"/>
      <c r="BN30" s="259"/>
      <c r="BO30" s="247"/>
      <c r="BP30" s="247"/>
      <c r="BQ30" s="247"/>
      <c r="BR30" s="247"/>
      <c r="BS30" s="247"/>
      <c r="BT30" s="247"/>
      <c r="BU30" s="261"/>
      <c r="BV30" s="261"/>
      <c r="BW30" s="261"/>
      <c r="BX30" s="261"/>
    </row>
    <row r="31" spans="1:76" ht="16" customHeight="1" thickTop="1" thickBot="1" x14ac:dyDescent="0.4">
      <c r="A31" s="262"/>
      <c r="B31" s="26"/>
      <c r="C31" s="77" t="s">
        <v>222</v>
      </c>
      <c r="D31" s="78"/>
      <c r="E31" s="67"/>
      <c r="F31" s="291"/>
      <c r="G31" s="310">
        <f>+PMSS*3%</f>
        <v>99.33</v>
      </c>
      <c r="H31" s="310">
        <f>+PMSS*4%</f>
        <v>132.44</v>
      </c>
      <c r="I31" s="310">
        <f>+PMSS*5%</f>
        <v>165.55</v>
      </c>
      <c r="J31" s="310">
        <f>+PMSS*7%</f>
        <v>231.77</v>
      </c>
      <c r="K31" s="293">
        <v>30</v>
      </c>
      <c r="L31" s="293">
        <v>50</v>
      </c>
      <c r="M31" s="293">
        <v>70</v>
      </c>
      <c r="N31" s="293">
        <v>100</v>
      </c>
      <c r="O31" s="293">
        <v>120</v>
      </c>
      <c r="P31" s="293">
        <v>140</v>
      </c>
      <c r="Q31" s="293">
        <v>160</v>
      </c>
      <c r="R31" s="293">
        <f>PMSS*3%</f>
        <v>99.33</v>
      </c>
      <c r="S31" s="293">
        <f>PMSS*4%</f>
        <v>132.44</v>
      </c>
      <c r="T31" s="293">
        <f>PMSS*5%</f>
        <v>165.55</v>
      </c>
      <c r="U31" s="293">
        <f>PMSS*5%</f>
        <v>165.55</v>
      </c>
      <c r="V31" s="293">
        <f>V24</f>
        <v>66.22</v>
      </c>
      <c r="W31" s="293">
        <f>W24</f>
        <v>66.22</v>
      </c>
      <c r="X31" s="293">
        <f>X24</f>
        <v>82.775000000000006</v>
      </c>
      <c r="Y31" s="293">
        <f>X31</f>
        <v>82.775000000000006</v>
      </c>
      <c r="Z31" s="293">
        <f>PMSS*3.5%</f>
        <v>115.88500000000001</v>
      </c>
      <c r="AA31" s="293">
        <f>Z31</f>
        <v>115.88500000000001</v>
      </c>
      <c r="AB31" s="293">
        <f>AB24</f>
        <v>132.44</v>
      </c>
      <c r="AC31" s="293">
        <f>AB31</f>
        <v>132.44</v>
      </c>
      <c r="AD31" s="293">
        <f>AD24</f>
        <v>66.22</v>
      </c>
      <c r="AE31" s="293">
        <f>AE24</f>
        <v>82.775000000000006</v>
      </c>
      <c r="AF31" s="293">
        <f>AF24</f>
        <v>115.88500000000001</v>
      </c>
      <c r="AG31" s="293">
        <f>AG24</f>
        <v>132.44</v>
      </c>
      <c r="AH31" s="292">
        <v>75</v>
      </c>
      <c r="AI31" s="292">
        <v>90</v>
      </c>
      <c r="AJ31" s="292">
        <v>115</v>
      </c>
      <c r="AK31" s="292">
        <v>130</v>
      </c>
      <c r="AL31" s="293">
        <f>AL24</f>
        <v>264.88</v>
      </c>
      <c r="AM31" s="292">
        <f>+PMSS*1.5%</f>
        <v>49.664999999999999</v>
      </c>
      <c r="AN31" s="292">
        <f>+PMSS*4%</f>
        <v>132.44</v>
      </c>
      <c r="AO31" s="292">
        <f>+PMSS*5%</f>
        <v>165.55</v>
      </c>
      <c r="AP31" s="292">
        <f>+PMSS*5%</f>
        <v>165.55</v>
      </c>
      <c r="AQ31" s="292">
        <f>+PMSS*5%</f>
        <v>165.55</v>
      </c>
      <c r="AR31" s="293"/>
      <c r="AS31" s="293">
        <v>0</v>
      </c>
      <c r="AT31" s="293">
        <v>75</v>
      </c>
      <c r="AU31" s="293">
        <v>90</v>
      </c>
      <c r="AV31" s="293">
        <v>105</v>
      </c>
      <c r="AW31" s="293">
        <v>135</v>
      </c>
      <c r="AX31" s="293">
        <v>155</v>
      </c>
      <c r="AY31" s="293">
        <v>155</v>
      </c>
      <c r="AZ31" s="293"/>
      <c r="BA31" s="293"/>
      <c r="BB31" s="293"/>
      <c r="BC31" s="293"/>
      <c r="BD31" s="293"/>
      <c r="BE31" s="293"/>
      <c r="BF31" s="293"/>
      <c r="BG31" s="293"/>
      <c r="BH31" s="293"/>
      <c r="BI31" s="293"/>
      <c r="BJ31" s="293"/>
      <c r="BK31" s="293"/>
      <c r="BL31" s="293"/>
      <c r="BM31" s="293"/>
      <c r="BN31" s="293"/>
      <c r="BO31" s="293">
        <v>70</v>
      </c>
      <c r="BP31" s="293" t="s">
        <v>73</v>
      </c>
      <c r="BQ31" s="293" t="s">
        <v>73</v>
      </c>
      <c r="BR31" s="293" t="s">
        <v>73</v>
      </c>
      <c r="BS31" s="293" t="s">
        <v>73</v>
      </c>
      <c r="BT31" s="293" t="s">
        <v>73</v>
      </c>
      <c r="BU31" s="293"/>
      <c r="BV31" s="293"/>
      <c r="BW31" s="293"/>
      <c r="BX31" s="293"/>
    </row>
    <row r="32" spans="1:76" ht="16" customHeight="1" thickTop="1" thickBot="1" x14ac:dyDescent="0.4">
      <c r="A32" s="262"/>
      <c r="B32" s="26"/>
      <c r="C32" s="79" t="s">
        <v>223</v>
      </c>
      <c r="D32" s="80" t="s">
        <v>224</v>
      </c>
      <c r="E32" s="81"/>
      <c r="F32" s="311"/>
      <c r="G32" s="312">
        <v>50</v>
      </c>
      <c r="H32" s="312">
        <v>50</v>
      </c>
      <c r="I32" s="312">
        <v>60</v>
      </c>
      <c r="J32" s="312">
        <v>80</v>
      </c>
      <c r="K32" s="313"/>
      <c r="L32" s="313"/>
      <c r="M32" s="313"/>
      <c r="N32" s="313"/>
      <c r="O32" s="313"/>
      <c r="P32" s="313"/>
      <c r="Q32" s="313"/>
      <c r="R32" s="313">
        <v>50</v>
      </c>
      <c r="S32" s="313">
        <v>50</v>
      </c>
      <c r="T32" s="313">
        <v>60</v>
      </c>
      <c r="U32" s="313">
        <v>60</v>
      </c>
      <c r="V32" s="313"/>
      <c r="W32" s="313"/>
      <c r="X32" s="313"/>
      <c r="Y32" s="313"/>
      <c r="Z32" s="313"/>
      <c r="AA32" s="313"/>
      <c r="AB32" s="313"/>
      <c r="AC32" s="313"/>
      <c r="AD32" s="313" t="s">
        <v>78</v>
      </c>
      <c r="AE32" s="313" t="s">
        <v>78</v>
      </c>
      <c r="AF32" s="313" t="s">
        <v>78</v>
      </c>
      <c r="AG32" s="313" t="s">
        <v>78</v>
      </c>
      <c r="AH32" s="313" t="s">
        <v>78</v>
      </c>
      <c r="AI32" s="313" t="s">
        <v>78</v>
      </c>
      <c r="AJ32" s="313" t="s">
        <v>78</v>
      </c>
      <c r="AK32" s="313" t="s">
        <v>78</v>
      </c>
      <c r="AL32" s="313" t="s">
        <v>78</v>
      </c>
      <c r="AM32" s="313" t="s">
        <v>78</v>
      </c>
      <c r="AN32" s="313" t="s">
        <v>78</v>
      </c>
      <c r="AO32" s="313" t="s">
        <v>78</v>
      </c>
      <c r="AP32" s="313" t="s">
        <v>78</v>
      </c>
      <c r="AQ32" s="313" t="s">
        <v>78</v>
      </c>
      <c r="AR32" s="313"/>
      <c r="AS32" s="313"/>
      <c r="AT32" s="313"/>
      <c r="AU32" s="313"/>
      <c r="AV32" s="313"/>
      <c r="AW32" s="313"/>
      <c r="AX32" s="313"/>
      <c r="AY32" s="313"/>
      <c r="AZ32" s="313"/>
      <c r="BA32" s="313"/>
      <c r="BB32" s="313"/>
      <c r="BC32" s="313"/>
      <c r="BD32" s="313"/>
      <c r="BE32" s="313"/>
      <c r="BF32" s="313"/>
      <c r="BG32" s="313"/>
      <c r="BH32" s="313"/>
      <c r="BI32" s="313"/>
      <c r="BJ32" s="313"/>
      <c r="BK32" s="313"/>
      <c r="BL32" s="313"/>
      <c r="BM32" s="313"/>
      <c r="BN32" s="313"/>
      <c r="BO32" s="313"/>
      <c r="BP32" s="313"/>
      <c r="BQ32" s="313"/>
      <c r="BR32" s="313"/>
      <c r="BS32" s="313"/>
      <c r="BT32" s="313"/>
      <c r="BU32" s="313"/>
      <c r="BV32" s="313"/>
      <c r="BW32" s="313"/>
      <c r="BX32" s="313"/>
    </row>
    <row r="33" spans="1:76" ht="16" customHeight="1" thickTop="1" thickBot="1" x14ac:dyDescent="0.4">
      <c r="A33" s="262"/>
      <c r="B33" s="26"/>
      <c r="C33" s="79" t="s">
        <v>225</v>
      </c>
      <c r="D33" s="80" t="s">
        <v>224</v>
      </c>
      <c r="E33" s="81"/>
      <c r="F33" s="311"/>
      <c r="G33" s="312">
        <v>150</v>
      </c>
      <c r="H33" s="312">
        <v>150</v>
      </c>
      <c r="I33" s="312">
        <v>200</v>
      </c>
      <c r="J33" s="312">
        <v>250</v>
      </c>
      <c r="K33" s="313"/>
      <c r="L33" s="313"/>
      <c r="M33" s="313"/>
      <c r="N33" s="313"/>
      <c r="O33" s="313"/>
      <c r="P33" s="313"/>
      <c r="Q33" s="313"/>
      <c r="R33" s="313"/>
      <c r="S33" s="313"/>
      <c r="T33" s="313"/>
      <c r="U33" s="313"/>
      <c r="V33" s="313"/>
      <c r="W33" s="313"/>
      <c r="X33" s="313"/>
      <c r="Y33" s="313"/>
      <c r="Z33" s="313"/>
      <c r="AA33" s="313"/>
      <c r="AB33" s="313"/>
      <c r="AC33" s="313"/>
      <c r="AD33" s="313" t="s">
        <v>78</v>
      </c>
      <c r="AE33" s="313" t="s">
        <v>78</v>
      </c>
      <c r="AF33" s="313" t="s">
        <v>78</v>
      </c>
      <c r="AG33" s="313" t="s">
        <v>78</v>
      </c>
      <c r="AH33" s="313" t="s">
        <v>78</v>
      </c>
      <c r="AI33" s="313" t="s">
        <v>78</v>
      </c>
      <c r="AJ33" s="313" t="s">
        <v>78</v>
      </c>
      <c r="AK33" s="313" t="s">
        <v>78</v>
      </c>
      <c r="AL33" s="313" t="s">
        <v>78</v>
      </c>
      <c r="AM33" s="313" t="s">
        <v>78</v>
      </c>
      <c r="AN33" s="313" t="s">
        <v>78</v>
      </c>
      <c r="AO33" s="313" t="s">
        <v>78</v>
      </c>
      <c r="AP33" s="313" t="s">
        <v>78</v>
      </c>
      <c r="AQ33" s="313" t="s">
        <v>78</v>
      </c>
      <c r="AR33" s="313"/>
      <c r="AS33" s="313" t="s">
        <v>89</v>
      </c>
      <c r="AT33" s="313" t="s">
        <v>89</v>
      </c>
      <c r="AU33" s="313" t="s">
        <v>89</v>
      </c>
      <c r="AV33" s="313" t="s">
        <v>89</v>
      </c>
      <c r="AW33" s="313" t="s">
        <v>89</v>
      </c>
      <c r="AX33" s="313" t="s">
        <v>89</v>
      </c>
      <c r="AY33" s="313" t="s">
        <v>89</v>
      </c>
      <c r="AZ33" s="313"/>
      <c r="BA33" s="313"/>
      <c r="BB33" s="313"/>
      <c r="BC33" s="313"/>
      <c r="BD33" s="313"/>
      <c r="BE33" s="313"/>
      <c r="BF33" s="313"/>
      <c r="BG33" s="313"/>
      <c r="BH33" s="313"/>
      <c r="BI33" s="313"/>
      <c r="BJ33" s="313"/>
      <c r="BK33" s="313"/>
      <c r="BL33" s="313"/>
      <c r="BM33" s="313"/>
      <c r="BN33" s="313"/>
      <c r="BO33" s="313"/>
      <c r="BP33" s="313"/>
      <c r="BQ33" s="313"/>
      <c r="BR33" s="313"/>
      <c r="BS33" s="313"/>
      <c r="BT33" s="313"/>
      <c r="BU33" s="313"/>
      <c r="BV33" s="313"/>
      <c r="BW33" s="313"/>
      <c r="BX33" s="313"/>
    </row>
    <row r="34" spans="1:76" ht="16" customHeight="1" thickTop="1" thickBot="1" x14ac:dyDescent="0.4">
      <c r="A34" s="262"/>
      <c r="B34" s="26"/>
      <c r="C34" s="82" t="s">
        <v>226</v>
      </c>
      <c r="D34" s="83" t="s">
        <v>227</v>
      </c>
      <c r="E34" s="40"/>
      <c r="F34" s="284"/>
      <c r="G34" s="314" t="s">
        <v>90</v>
      </c>
      <c r="H34" s="314" t="s">
        <v>86</v>
      </c>
      <c r="I34" s="314" t="s">
        <v>84</v>
      </c>
      <c r="J34" s="314" t="s">
        <v>87</v>
      </c>
      <c r="K34" s="278">
        <v>1.25</v>
      </c>
      <c r="L34" s="278">
        <v>2</v>
      </c>
      <c r="M34" s="278">
        <v>3</v>
      </c>
      <c r="N34" s="278">
        <v>4</v>
      </c>
      <c r="O34" s="278">
        <v>5</v>
      </c>
      <c r="P34" s="278">
        <v>6</v>
      </c>
      <c r="Q34" s="278">
        <v>7</v>
      </c>
      <c r="R34" s="278">
        <v>3</v>
      </c>
      <c r="S34" s="278">
        <v>3</v>
      </c>
      <c r="T34" s="278">
        <v>3</v>
      </c>
      <c r="U34" s="278">
        <v>4</v>
      </c>
      <c r="V34" s="278">
        <v>5.8</v>
      </c>
      <c r="W34" s="278">
        <v>5.8</v>
      </c>
      <c r="X34" s="278">
        <f>X16</f>
        <v>5.8</v>
      </c>
      <c r="Y34" s="278">
        <f>X34</f>
        <v>5.8</v>
      </c>
      <c r="Z34" s="278">
        <v>5.8</v>
      </c>
      <c r="AA34" s="278">
        <f>Z34</f>
        <v>5.8</v>
      </c>
      <c r="AB34" s="278" t="s">
        <v>73</v>
      </c>
      <c r="AC34" s="278" t="str">
        <f>AB34</f>
        <v>Frais Réels</v>
      </c>
      <c r="AD34" s="278">
        <f>AD17</f>
        <v>5</v>
      </c>
      <c r="AE34" s="278">
        <f>AE17</f>
        <v>5.8</v>
      </c>
      <c r="AF34" s="278">
        <f>AF17</f>
        <v>5.8</v>
      </c>
      <c r="AG34" s="278" t="str">
        <f>AG17</f>
        <v>Frais Réels</v>
      </c>
      <c r="AH34" s="279">
        <v>2.5</v>
      </c>
      <c r="AI34" s="279">
        <v>3.5</v>
      </c>
      <c r="AJ34" s="279">
        <v>4.5</v>
      </c>
      <c r="AK34" s="278" t="s">
        <v>73</v>
      </c>
      <c r="AL34" s="278" t="s">
        <v>73</v>
      </c>
      <c r="AM34" s="278">
        <v>1</v>
      </c>
      <c r="AN34" s="278" t="s">
        <v>73</v>
      </c>
      <c r="AO34" s="278" t="s">
        <v>73</v>
      </c>
      <c r="AP34" s="278" t="s">
        <v>73</v>
      </c>
      <c r="AQ34" s="278" t="s">
        <v>73</v>
      </c>
      <c r="AR34" s="315"/>
      <c r="AS34" s="278">
        <v>1</v>
      </c>
      <c r="AT34" s="278">
        <v>1.45</v>
      </c>
      <c r="AU34" s="278">
        <v>1.7</v>
      </c>
      <c r="AV34" s="278">
        <v>1.95</v>
      </c>
      <c r="AW34" s="278">
        <v>2.5</v>
      </c>
      <c r="AX34" s="278">
        <v>3.5</v>
      </c>
      <c r="AY34" s="278">
        <v>4.5</v>
      </c>
      <c r="AZ34" s="278"/>
      <c r="BA34" s="278"/>
      <c r="BB34" s="278"/>
      <c r="BC34" s="278"/>
      <c r="BD34" s="278"/>
      <c r="BE34" s="278"/>
      <c r="BF34" s="278"/>
      <c r="BG34" s="278"/>
      <c r="BH34" s="278"/>
      <c r="BI34" s="278"/>
      <c r="BJ34" s="278"/>
      <c r="BK34" s="278"/>
      <c r="BL34" s="278"/>
      <c r="BM34" s="278"/>
      <c r="BN34" s="278"/>
      <c r="BO34" s="278">
        <v>1</v>
      </c>
      <c r="BP34" s="278">
        <v>1.5</v>
      </c>
      <c r="BQ34" s="278">
        <v>2</v>
      </c>
      <c r="BR34" s="278">
        <v>3</v>
      </c>
      <c r="BS34" s="278">
        <v>4</v>
      </c>
      <c r="BT34" s="278" t="s">
        <v>73</v>
      </c>
      <c r="BU34" s="278"/>
      <c r="BV34" s="278"/>
      <c r="BW34" s="278"/>
      <c r="BX34" s="278"/>
    </row>
    <row r="35" spans="1:76" ht="16" customHeight="1" thickTop="1" thickBot="1" x14ac:dyDescent="0.4">
      <c r="A35" s="262"/>
      <c r="B35" s="26"/>
      <c r="C35" s="84" t="s">
        <v>228</v>
      </c>
      <c r="D35" s="85" t="s">
        <v>229</v>
      </c>
      <c r="E35" s="40"/>
      <c r="F35" s="284"/>
      <c r="G35" s="314" t="s">
        <v>91</v>
      </c>
      <c r="H35" s="314" t="s">
        <v>91</v>
      </c>
      <c r="I35" s="314" t="s">
        <v>91</v>
      </c>
      <c r="J35" s="314" t="s">
        <v>91</v>
      </c>
      <c r="K35" s="278">
        <v>1</v>
      </c>
      <c r="L35" s="278">
        <v>1.5</v>
      </c>
      <c r="M35" s="278">
        <v>2</v>
      </c>
      <c r="N35" s="278">
        <v>2</v>
      </c>
      <c r="O35" s="278">
        <v>2</v>
      </c>
      <c r="P35" s="278">
        <v>2</v>
      </c>
      <c r="Q35" s="278">
        <v>2</v>
      </c>
      <c r="R35" s="278">
        <v>2</v>
      </c>
      <c r="S35" s="278">
        <v>2</v>
      </c>
      <c r="T35" s="278">
        <v>2</v>
      </c>
      <c r="U35" s="278">
        <v>4</v>
      </c>
      <c r="V35" s="278">
        <v>2</v>
      </c>
      <c r="W35" s="278">
        <v>2</v>
      </c>
      <c r="X35" s="278">
        <f>X17</f>
        <v>2</v>
      </c>
      <c r="Y35" s="278">
        <v>5.8</v>
      </c>
      <c r="Z35" s="278">
        <v>2</v>
      </c>
      <c r="AA35" s="278">
        <v>5.8</v>
      </c>
      <c r="AB35" s="278" t="str">
        <f>AB34</f>
        <v>Frais Réels</v>
      </c>
      <c r="AC35" s="278" t="str">
        <f>AB35</f>
        <v>Frais Réels</v>
      </c>
      <c r="AD35" s="278">
        <f>AD18</f>
        <v>2</v>
      </c>
      <c r="AE35" s="278">
        <f>AE18</f>
        <v>2</v>
      </c>
      <c r="AF35" s="278">
        <f>AF18</f>
        <v>2</v>
      </c>
      <c r="AG35" s="278">
        <f>AG18</f>
        <v>2</v>
      </c>
      <c r="AH35" s="278">
        <v>1.8</v>
      </c>
      <c r="AI35" s="278">
        <v>2</v>
      </c>
      <c r="AJ35" s="278">
        <v>2</v>
      </c>
      <c r="AK35" s="278">
        <v>2</v>
      </c>
      <c r="AL35" s="278">
        <v>2</v>
      </c>
      <c r="AM35" s="278">
        <v>1</v>
      </c>
      <c r="AN35" s="278">
        <v>2</v>
      </c>
      <c r="AO35" s="278">
        <v>2</v>
      </c>
      <c r="AP35" s="278">
        <v>2</v>
      </c>
      <c r="AQ35" s="278">
        <v>2</v>
      </c>
      <c r="AR35" s="315"/>
      <c r="AS35" s="278">
        <v>1</v>
      </c>
      <c r="AT35" s="278">
        <v>1</v>
      </c>
      <c r="AU35" s="278">
        <v>1</v>
      </c>
      <c r="AV35" s="278">
        <v>1</v>
      </c>
      <c r="AW35" s="278">
        <v>1</v>
      </c>
      <c r="AX35" s="278">
        <v>1</v>
      </c>
      <c r="AY35" s="278">
        <v>1</v>
      </c>
      <c r="AZ35" s="278"/>
      <c r="BA35" s="278"/>
      <c r="BB35" s="278"/>
      <c r="BC35" s="278"/>
      <c r="BD35" s="278"/>
      <c r="BE35" s="278"/>
      <c r="BF35" s="278"/>
      <c r="BG35" s="278"/>
      <c r="BH35" s="278"/>
      <c r="BI35" s="278"/>
      <c r="BJ35" s="278"/>
      <c r="BK35" s="278"/>
      <c r="BL35" s="278"/>
      <c r="BM35" s="278"/>
      <c r="BN35" s="278"/>
      <c r="BO35" s="278">
        <v>1</v>
      </c>
      <c r="BP35" s="278">
        <v>1.3</v>
      </c>
      <c r="BQ35" s="278">
        <v>1.8</v>
      </c>
      <c r="BR35" s="278">
        <v>2</v>
      </c>
      <c r="BS35" s="278">
        <v>2</v>
      </c>
      <c r="BT35" s="278">
        <v>2</v>
      </c>
      <c r="BU35" s="278"/>
      <c r="BV35" s="278"/>
      <c r="BW35" s="278"/>
      <c r="BX35" s="278"/>
    </row>
    <row r="36" spans="1:76" ht="22" customHeight="1" thickTop="1" thickBot="1" x14ac:dyDescent="0.4">
      <c r="A36" s="262"/>
      <c r="B36" s="26"/>
      <c r="C36" s="86"/>
      <c r="D36" s="87"/>
      <c r="E36" s="88"/>
      <c r="F36" s="316"/>
      <c r="G36" s="317"/>
      <c r="H36" s="317"/>
      <c r="I36" s="317"/>
      <c r="J36" s="317"/>
      <c r="K36" s="318"/>
      <c r="L36" s="318"/>
      <c r="M36" s="318"/>
      <c r="N36" s="318"/>
      <c r="O36" s="318"/>
      <c r="P36" s="318"/>
      <c r="Q36" s="318"/>
      <c r="R36" s="318"/>
      <c r="S36" s="318"/>
      <c r="T36" s="318"/>
      <c r="U36" s="318"/>
      <c r="V36" s="318"/>
      <c r="W36" s="318"/>
      <c r="X36" s="318"/>
      <c r="Y36" s="318"/>
      <c r="Z36" s="318"/>
      <c r="AA36" s="318"/>
      <c r="AB36" s="318"/>
      <c r="AC36" s="318"/>
      <c r="AD36" s="318"/>
      <c r="AE36" s="318"/>
      <c r="AF36" s="318"/>
      <c r="AG36" s="318"/>
      <c r="AH36" s="319"/>
      <c r="AI36" s="319"/>
      <c r="AJ36" s="319"/>
      <c r="AK36" s="319"/>
      <c r="AL36" s="319"/>
      <c r="AM36" s="319"/>
      <c r="AN36" s="319"/>
      <c r="AO36" s="319"/>
      <c r="AP36" s="319"/>
      <c r="AQ36" s="319"/>
      <c r="AR36" s="320"/>
      <c r="AS36" s="318"/>
      <c r="AT36" s="318"/>
      <c r="AU36" s="318"/>
      <c r="AV36" s="318"/>
      <c r="AW36" s="318"/>
      <c r="AX36" s="318"/>
      <c r="AY36" s="318"/>
      <c r="AZ36" s="318"/>
      <c r="BA36" s="318"/>
      <c r="BB36" s="318"/>
      <c r="BC36" s="318"/>
      <c r="BD36" s="318"/>
      <c r="BE36" s="318"/>
      <c r="BF36" s="318"/>
      <c r="BG36" s="318"/>
      <c r="BH36" s="318"/>
      <c r="BI36" s="318"/>
      <c r="BJ36" s="318"/>
      <c r="BK36" s="318"/>
      <c r="BL36" s="318"/>
      <c r="BM36" s="318"/>
      <c r="BN36" s="318"/>
      <c r="BO36" s="318"/>
      <c r="BP36" s="318"/>
      <c r="BQ36" s="318"/>
      <c r="BR36" s="318"/>
      <c r="BS36" s="318"/>
      <c r="BT36" s="318"/>
      <c r="BU36" s="318"/>
      <c r="BV36" s="318"/>
      <c r="BW36" s="318"/>
      <c r="BX36" s="318"/>
    </row>
    <row r="37" spans="1:76" ht="23" customHeight="1" thickTop="1" thickBot="1" x14ac:dyDescent="0.4">
      <c r="A37" s="262"/>
      <c r="B37" s="26"/>
      <c r="C37" s="89" t="s">
        <v>230</v>
      </c>
      <c r="D37" s="90"/>
      <c r="E37" s="91"/>
      <c r="F37" s="316"/>
      <c r="G37" s="321"/>
      <c r="H37" s="321"/>
      <c r="I37" s="321"/>
      <c r="J37" s="321"/>
      <c r="K37" s="322"/>
      <c r="L37" s="322"/>
      <c r="M37" s="322"/>
      <c r="N37" s="322"/>
      <c r="O37" s="322"/>
      <c r="P37" s="322"/>
      <c r="Q37" s="322"/>
      <c r="R37" s="322"/>
      <c r="S37" s="322"/>
      <c r="T37" s="322"/>
      <c r="U37" s="322"/>
      <c r="V37" s="322"/>
      <c r="W37" s="322"/>
      <c r="X37" s="322"/>
      <c r="Y37" s="322"/>
      <c r="Z37" s="322"/>
      <c r="AA37" s="322"/>
      <c r="AB37" s="322"/>
      <c r="AC37" s="322"/>
      <c r="AD37" s="322"/>
      <c r="AE37" s="322"/>
      <c r="AF37" s="322"/>
      <c r="AG37" s="322"/>
      <c r="AH37" s="323"/>
      <c r="AI37" s="323"/>
      <c r="AJ37" s="323"/>
      <c r="AK37" s="323"/>
      <c r="AL37" s="323"/>
      <c r="AM37" s="323"/>
      <c r="AN37" s="323"/>
      <c r="AO37" s="323"/>
      <c r="AP37" s="323"/>
      <c r="AQ37" s="323"/>
      <c r="AR37" s="324"/>
      <c r="AS37" s="322"/>
      <c r="AT37" s="322"/>
      <c r="AU37" s="322"/>
      <c r="AV37" s="322"/>
      <c r="AW37" s="322"/>
      <c r="AX37" s="322"/>
      <c r="AY37" s="322"/>
      <c r="AZ37" s="322"/>
      <c r="BA37" s="322"/>
      <c r="BB37" s="322"/>
      <c r="BC37" s="322"/>
      <c r="BD37" s="322"/>
      <c r="BE37" s="322"/>
      <c r="BF37" s="322"/>
      <c r="BG37" s="322"/>
      <c r="BH37" s="322"/>
      <c r="BI37" s="322"/>
      <c r="BJ37" s="322"/>
      <c r="BK37" s="322"/>
      <c r="BL37" s="322"/>
      <c r="BM37" s="322"/>
      <c r="BN37" s="322"/>
      <c r="BO37" s="322"/>
      <c r="BP37" s="322"/>
      <c r="BQ37" s="322"/>
      <c r="BR37" s="322"/>
      <c r="BS37" s="322"/>
      <c r="BT37" s="322"/>
      <c r="BU37" s="322"/>
      <c r="BV37" s="322"/>
      <c r="BW37" s="322"/>
      <c r="BX37" s="322"/>
    </row>
    <row r="38" spans="1:76" ht="27" customHeight="1" thickTop="1" thickBot="1" x14ac:dyDescent="0.4">
      <c r="A38" s="262"/>
      <c r="B38" s="26"/>
      <c r="C38" s="92" t="s">
        <v>231</v>
      </c>
      <c r="D38" s="93" t="s">
        <v>232</v>
      </c>
      <c r="E38" s="94"/>
      <c r="F38" s="325"/>
      <c r="G38" s="326">
        <f>+PMSS*5%</f>
        <v>165.55</v>
      </c>
      <c r="H38" s="326">
        <f>+PMSS*10%</f>
        <v>331.1</v>
      </c>
      <c r="I38" s="326">
        <f>+PMSS*10%</f>
        <v>331.1</v>
      </c>
      <c r="J38" s="326">
        <f>+PMSS*15%</f>
        <v>496.65</v>
      </c>
      <c r="K38" s="327">
        <v>0</v>
      </c>
      <c r="L38" s="327">
        <v>50</v>
      </c>
      <c r="M38" s="327">
        <v>150</v>
      </c>
      <c r="N38" s="327">
        <v>200</v>
      </c>
      <c r="O38" s="327">
        <v>250</v>
      </c>
      <c r="P38" s="327">
        <v>300</v>
      </c>
      <c r="Q38" s="327">
        <v>350</v>
      </c>
      <c r="R38" s="327" t="s">
        <v>92</v>
      </c>
      <c r="S38" s="327" t="s">
        <v>92</v>
      </c>
      <c r="T38" s="327" t="s">
        <v>93</v>
      </c>
      <c r="U38" s="327" t="s">
        <v>93</v>
      </c>
      <c r="V38" s="327">
        <f>PMSS*6.5%</f>
        <v>215.215</v>
      </c>
      <c r="W38" s="327">
        <f>PMSS*8%</f>
        <v>264.88</v>
      </c>
      <c r="X38" s="327">
        <f>PMSS*8%</f>
        <v>264.88</v>
      </c>
      <c r="Y38" s="327">
        <f>X38</f>
        <v>264.88</v>
      </c>
      <c r="Z38" s="327">
        <f>PMSS*10%</f>
        <v>331.1</v>
      </c>
      <c r="AA38" s="327">
        <f>Z38</f>
        <v>331.1</v>
      </c>
      <c r="AB38" s="327">
        <f>PMSS*11.5%</f>
        <v>380.76500000000004</v>
      </c>
      <c r="AC38" s="327">
        <f>AB38</f>
        <v>380.76500000000004</v>
      </c>
      <c r="AD38" s="327">
        <f>+PMSS*6.5%</f>
        <v>215.215</v>
      </c>
      <c r="AE38" s="327">
        <f>+PMSS*8%</f>
        <v>264.88</v>
      </c>
      <c r="AF38" s="327">
        <f>+PMSS*10%</f>
        <v>331.1</v>
      </c>
      <c r="AG38" s="327">
        <f>+PMSS*11.5%</f>
        <v>380.76500000000004</v>
      </c>
      <c r="AH38" s="327">
        <v>250</v>
      </c>
      <c r="AI38" s="327">
        <v>300</v>
      </c>
      <c r="AJ38" s="327">
        <v>350</v>
      </c>
      <c r="AK38" s="327">
        <v>400</v>
      </c>
      <c r="AL38" s="327" t="s">
        <v>78</v>
      </c>
      <c r="AM38" s="327">
        <f>PMSS*5%</f>
        <v>165.55</v>
      </c>
      <c r="AN38" s="327">
        <f>PMSS*10%</f>
        <v>331.1</v>
      </c>
      <c r="AO38" s="327">
        <f>PMSS*15%</f>
        <v>496.65</v>
      </c>
      <c r="AP38" s="327">
        <f>PMSS*20%</f>
        <v>662.2</v>
      </c>
      <c r="AQ38" s="327">
        <f>PMSS*25%</f>
        <v>827.75</v>
      </c>
      <c r="AR38" s="327"/>
      <c r="AS38" s="327">
        <v>0</v>
      </c>
      <c r="AT38" s="327">
        <v>250</v>
      </c>
      <c r="AU38" s="327">
        <v>250</v>
      </c>
      <c r="AV38" s="327">
        <v>300</v>
      </c>
      <c r="AW38" s="327">
        <v>350</v>
      </c>
      <c r="AX38" s="327">
        <v>400</v>
      </c>
      <c r="AY38" s="327">
        <v>500</v>
      </c>
      <c r="AZ38" s="327"/>
      <c r="BA38" s="327"/>
      <c r="BB38" s="327"/>
      <c r="BC38" s="327"/>
      <c r="BD38" s="327"/>
      <c r="BE38" s="327"/>
      <c r="BF38" s="327"/>
      <c r="BG38" s="327"/>
      <c r="BH38" s="327"/>
      <c r="BI38" s="327"/>
      <c r="BJ38" s="327"/>
      <c r="BK38" s="327"/>
      <c r="BL38" s="327"/>
      <c r="BM38" s="327"/>
      <c r="BN38" s="327"/>
      <c r="BO38" s="327">
        <v>50</v>
      </c>
      <c r="BP38" s="327">
        <v>100</v>
      </c>
      <c r="BQ38" s="327">
        <v>150</v>
      </c>
      <c r="BR38" s="327">
        <v>300</v>
      </c>
      <c r="BS38" s="327">
        <v>300</v>
      </c>
      <c r="BT38" s="327">
        <v>300</v>
      </c>
      <c r="BU38" s="327"/>
      <c r="BV38" s="327"/>
      <c r="BW38" s="327"/>
      <c r="BX38" s="327"/>
    </row>
    <row r="39" spans="1:76" ht="14.5" customHeight="1" thickBot="1" x14ac:dyDescent="0.4">
      <c r="B39" s="26"/>
      <c r="C39" s="95"/>
      <c r="D39" s="96"/>
      <c r="E39" s="97"/>
      <c r="F39" s="299"/>
      <c r="G39" s="328"/>
      <c r="H39" s="328"/>
      <c r="I39" s="328"/>
      <c r="J39" s="328"/>
      <c r="K39" s="328"/>
      <c r="L39" s="328"/>
      <c r="M39" s="328"/>
      <c r="N39" s="328"/>
      <c r="O39" s="328"/>
      <c r="P39" s="328"/>
      <c r="Q39" s="328"/>
      <c r="R39" s="328"/>
      <c r="S39" s="328"/>
      <c r="T39" s="328"/>
      <c r="U39" s="328"/>
      <c r="V39" s="328"/>
      <c r="W39" s="328"/>
      <c r="X39" s="328"/>
      <c r="Y39" s="328"/>
      <c r="Z39" s="328"/>
      <c r="AA39" s="328"/>
      <c r="AB39" s="318"/>
      <c r="AC39" s="328"/>
      <c r="AD39" s="328"/>
      <c r="AE39" s="328"/>
      <c r="AF39" s="328"/>
      <c r="AG39" s="328"/>
      <c r="AH39" s="329"/>
      <c r="AI39" s="329"/>
      <c r="AJ39" s="329"/>
      <c r="AK39" s="329"/>
      <c r="AL39" s="329"/>
      <c r="AM39" s="329"/>
      <c r="AN39" s="329"/>
      <c r="AO39" s="329"/>
      <c r="AP39" s="329"/>
      <c r="AQ39" s="329"/>
      <c r="AR39" s="330"/>
      <c r="AS39" s="328"/>
      <c r="AT39" s="328"/>
      <c r="AU39" s="328"/>
      <c r="AV39" s="328"/>
      <c r="AW39" s="328"/>
      <c r="AX39" s="328"/>
      <c r="AY39" s="328"/>
      <c r="AZ39" s="328"/>
      <c r="BA39" s="328"/>
      <c r="BB39" s="328"/>
      <c r="BC39" s="328"/>
      <c r="BD39" s="328"/>
      <c r="BE39" s="328"/>
      <c r="BF39" s="328"/>
      <c r="BG39" s="328"/>
      <c r="BH39" s="328"/>
      <c r="BI39" s="328"/>
      <c r="BJ39" s="328"/>
      <c r="BK39" s="328"/>
      <c r="BL39" s="328"/>
      <c r="BM39" s="328"/>
      <c r="BN39" s="328"/>
      <c r="BO39" s="328"/>
      <c r="BP39" s="328"/>
      <c r="BQ39" s="328"/>
      <c r="BR39" s="328"/>
      <c r="BS39" s="328"/>
      <c r="BT39" s="328"/>
      <c r="BU39" s="328"/>
      <c r="BV39" s="328"/>
      <c r="BW39" s="328"/>
      <c r="BX39" s="328"/>
    </row>
    <row r="40" spans="1:76" ht="17" customHeight="1" thickBot="1" x14ac:dyDescent="0.5">
      <c r="B40" s="26"/>
      <c r="C40" s="98" t="s">
        <v>233</v>
      </c>
      <c r="D40" s="75"/>
      <c r="E40" s="99"/>
      <c r="F40" s="299"/>
      <c r="G40" s="331"/>
      <c r="H40" s="331"/>
      <c r="I40" s="331"/>
      <c r="J40" s="331"/>
      <c r="K40" s="237"/>
      <c r="L40" s="237"/>
      <c r="M40" s="237"/>
      <c r="N40" s="237"/>
      <c r="O40" s="237"/>
      <c r="P40" s="237"/>
      <c r="Q40" s="237"/>
      <c r="R40" s="332"/>
      <c r="S40" s="332"/>
      <c r="T40" s="332"/>
      <c r="U40" s="332"/>
      <c r="V40" s="333"/>
      <c r="W40" s="333"/>
      <c r="X40" s="333"/>
      <c r="Y40" s="333"/>
      <c r="Z40" s="333"/>
      <c r="AA40" s="333"/>
      <c r="AB40" s="334"/>
      <c r="AC40" s="333"/>
      <c r="AD40" s="335"/>
      <c r="AE40" s="335"/>
      <c r="AF40" s="335"/>
      <c r="AG40" s="335"/>
      <c r="AH40" s="336"/>
      <c r="AI40" s="336"/>
      <c r="AJ40" s="336"/>
      <c r="AK40" s="336"/>
      <c r="AL40" s="337"/>
      <c r="AM40" s="337"/>
      <c r="AN40" s="337"/>
      <c r="AO40" s="337"/>
      <c r="AP40" s="337"/>
      <c r="AQ40" s="337"/>
      <c r="AR40" s="338"/>
      <c r="AS40" s="339"/>
      <c r="AT40" s="339"/>
      <c r="AU40" s="339"/>
      <c r="AV40" s="339"/>
      <c r="AW40" s="339"/>
      <c r="AX40" s="339"/>
      <c r="AY40" s="339"/>
      <c r="AZ40" s="258"/>
      <c r="BA40" s="258"/>
      <c r="BB40" s="258"/>
      <c r="BC40" s="258"/>
      <c r="BD40" s="258"/>
      <c r="BE40" s="258"/>
      <c r="BF40" s="258"/>
      <c r="BG40" s="258"/>
      <c r="BH40" s="258"/>
      <c r="BI40" s="259"/>
      <c r="BJ40" s="259"/>
      <c r="BK40" s="259"/>
      <c r="BL40" s="259"/>
      <c r="BM40" s="259"/>
      <c r="BN40" s="259"/>
      <c r="BO40" s="247"/>
      <c r="BP40" s="247"/>
      <c r="BQ40" s="247"/>
      <c r="BR40" s="247"/>
      <c r="BS40" s="247"/>
      <c r="BT40" s="247"/>
      <c r="BU40" s="340"/>
      <c r="BV40" s="261"/>
      <c r="BW40" s="261"/>
      <c r="BX40" s="261"/>
    </row>
    <row r="41" spans="1:76" ht="16" customHeight="1" thickBot="1" x14ac:dyDescent="0.4">
      <c r="B41" s="26"/>
      <c r="C41" s="100" t="s">
        <v>234</v>
      </c>
      <c r="D41" s="101"/>
      <c r="E41" s="102"/>
      <c r="F41" s="316"/>
      <c r="G41" s="341"/>
      <c r="H41" s="341"/>
      <c r="I41" s="341"/>
      <c r="J41" s="342"/>
      <c r="K41" s="342"/>
      <c r="L41" s="342"/>
      <c r="M41" s="342"/>
      <c r="N41" s="342"/>
      <c r="O41" s="342"/>
      <c r="P41" s="342"/>
      <c r="Q41" s="342"/>
      <c r="R41" s="342"/>
      <c r="S41" s="342"/>
      <c r="T41" s="342"/>
      <c r="U41" s="342"/>
      <c r="V41" s="342"/>
      <c r="W41" s="342"/>
      <c r="X41" s="342"/>
      <c r="Y41" s="342"/>
      <c r="Z41" s="342"/>
      <c r="AA41" s="342"/>
      <c r="AB41" s="342"/>
      <c r="AC41" s="342"/>
      <c r="AD41" s="342"/>
      <c r="AE41" s="342"/>
      <c r="AF41" s="342"/>
      <c r="AG41" s="342"/>
      <c r="AH41" s="343"/>
      <c r="AI41" s="343"/>
      <c r="AJ41" s="343"/>
      <c r="AK41" s="343"/>
      <c r="AL41" s="343"/>
      <c r="AM41" s="343"/>
      <c r="AN41" s="343"/>
      <c r="AO41" s="343"/>
      <c r="AP41" s="343"/>
      <c r="AQ41" s="343"/>
      <c r="AR41" s="344"/>
      <c r="AS41" s="342"/>
      <c r="AT41" s="342"/>
      <c r="AU41" s="342"/>
      <c r="AV41" s="342"/>
      <c r="AW41" s="342"/>
      <c r="AX41" s="342"/>
      <c r="AY41" s="342"/>
      <c r="AZ41" s="342"/>
      <c r="BA41" s="342"/>
      <c r="BB41" s="342"/>
      <c r="BC41" s="342"/>
      <c r="BD41" s="342"/>
      <c r="BE41" s="342"/>
      <c r="BF41" s="342"/>
      <c r="BG41" s="342"/>
      <c r="BH41" s="342"/>
      <c r="BI41" s="342"/>
      <c r="BJ41" s="342"/>
      <c r="BK41" s="342"/>
      <c r="BL41" s="342"/>
      <c r="BM41" s="342"/>
      <c r="BN41" s="342"/>
      <c r="BO41" s="342"/>
      <c r="BP41" s="342"/>
      <c r="BQ41" s="342"/>
      <c r="BR41" s="342"/>
      <c r="BS41" s="342"/>
      <c r="BT41" s="342"/>
      <c r="BU41" s="342"/>
      <c r="BV41" s="342"/>
      <c r="BW41" s="342"/>
      <c r="BX41" s="342"/>
    </row>
    <row r="42" spans="1:76" ht="16" customHeight="1" thickBot="1" x14ac:dyDescent="0.4">
      <c r="B42" s="26"/>
      <c r="C42" s="103" t="s">
        <v>235</v>
      </c>
      <c r="D42" s="104" t="s">
        <v>236</v>
      </c>
      <c r="E42" s="40"/>
      <c r="F42" s="345"/>
      <c r="G42" s="278">
        <v>1.5</v>
      </c>
      <c r="H42" s="278">
        <v>2</v>
      </c>
      <c r="I42" s="278">
        <v>2.5</v>
      </c>
      <c r="J42" s="278">
        <v>8</v>
      </c>
      <c r="K42" s="278">
        <v>1.25</v>
      </c>
      <c r="L42" s="278">
        <v>1.5</v>
      </c>
      <c r="M42" s="278">
        <v>1.75</v>
      </c>
      <c r="N42" s="278">
        <v>2.25</v>
      </c>
      <c r="O42" s="278">
        <v>2.5</v>
      </c>
      <c r="P42" s="278">
        <v>3</v>
      </c>
      <c r="Q42" s="278">
        <v>4</v>
      </c>
      <c r="R42" s="278">
        <v>1.5</v>
      </c>
      <c r="S42" s="278">
        <v>2</v>
      </c>
      <c r="T42" s="278">
        <v>2.5</v>
      </c>
      <c r="U42" s="278">
        <v>3.5</v>
      </c>
      <c r="V42" s="278">
        <v>1.7</v>
      </c>
      <c r="W42" s="278">
        <v>1.7</v>
      </c>
      <c r="X42" s="278">
        <v>2.2000000000000002</v>
      </c>
      <c r="Y42" s="278">
        <f>X42</f>
        <v>2.2000000000000002</v>
      </c>
      <c r="Z42" s="278">
        <v>3.2</v>
      </c>
      <c r="AA42" s="278">
        <f>Z42</f>
        <v>3.2</v>
      </c>
      <c r="AB42" s="278">
        <v>4.2</v>
      </c>
      <c r="AC42" s="278">
        <f>AB42</f>
        <v>4.2</v>
      </c>
      <c r="AD42" s="278">
        <v>1.7</v>
      </c>
      <c r="AE42" s="278">
        <v>2.2000000000000002</v>
      </c>
      <c r="AF42" s="278">
        <v>3.2</v>
      </c>
      <c r="AG42" s="278">
        <v>4.2</v>
      </c>
      <c r="AH42" s="278">
        <v>2</v>
      </c>
      <c r="AI42" s="278">
        <v>3</v>
      </c>
      <c r="AJ42" s="278">
        <v>4</v>
      </c>
      <c r="AK42" s="278">
        <v>4.5</v>
      </c>
      <c r="AL42" s="278">
        <v>1</v>
      </c>
      <c r="AM42" s="278">
        <v>1</v>
      </c>
      <c r="AN42" s="278">
        <v>2</v>
      </c>
      <c r="AO42" s="278">
        <v>2.5</v>
      </c>
      <c r="AP42" s="278">
        <v>3</v>
      </c>
      <c r="AQ42" s="278" t="s">
        <v>73</v>
      </c>
      <c r="AR42" s="278">
        <v>1.5</v>
      </c>
      <c r="AS42" s="278">
        <v>1</v>
      </c>
      <c r="AT42" s="278">
        <v>1.45</v>
      </c>
      <c r="AU42" s="278">
        <v>1.7</v>
      </c>
      <c r="AV42" s="278">
        <v>1.95</v>
      </c>
      <c r="AW42" s="278">
        <v>2.5</v>
      </c>
      <c r="AX42" s="278">
        <v>3.5</v>
      </c>
      <c r="AY42" s="278">
        <v>4.5</v>
      </c>
      <c r="AZ42" s="278"/>
      <c r="BA42" s="278"/>
      <c r="BB42" s="278"/>
      <c r="BC42" s="278"/>
      <c r="BD42" s="278"/>
      <c r="BE42" s="278"/>
      <c r="BF42" s="278"/>
      <c r="BG42" s="278"/>
      <c r="BH42" s="278"/>
      <c r="BI42" s="278"/>
      <c r="BJ42" s="278"/>
      <c r="BK42" s="278"/>
      <c r="BL42" s="278"/>
      <c r="BM42" s="278"/>
      <c r="BN42" s="278"/>
      <c r="BO42" s="278">
        <v>1</v>
      </c>
      <c r="BP42" s="278">
        <v>1.5</v>
      </c>
      <c r="BQ42" s="278">
        <v>2</v>
      </c>
      <c r="BR42" s="278">
        <v>3</v>
      </c>
      <c r="BS42" s="278">
        <v>4</v>
      </c>
      <c r="BT42" s="278">
        <v>4</v>
      </c>
      <c r="BU42" s="278"/>
      <c r="BV42" s="278"/>
      <c r="BW42" s="278"/>
      <c r="BX42" s="278"/>
    </row>
    <row r="43" spans="1:76" ht="16" customHeight="1" thickBot="1" x14ac:dyDescent="0.4">
      <c r="B43" s="26"/>
      <c r="C43" s="103" t="s">
        <v>237</v>
      </c>
      <c r="D43" s="104" t="s">
        <v>236</v>
      </c>
      <c r="E43" s="40"/>
      <c r="F43" s="345"/>
      <c r="G43" s="278">
        <v>1.5</v>
      </c>
      <c r="H43" s="278">
        <v>2</v>
      </c>
      <c r="I43" s="278">
        <v>2.5</v>
      </c>
      <c r="J43" s="278">
        <f>J42</f>
        <v>8</v>
      </c>
      <c r="K43" s="278">
        <v>1.25</v>
      </c>
      <c r="L43" s="278">
        <v>1.5</v>
      </c>
      <c r="M43" s="278">
        <v>1.75</v>
      </c>
      <c r="N43" s="278">
        <v>2.25</v>
      </c>
      <c r="O43" s="278">
        <v>2.5</v>
      </c>
      <c r="P43" s="278">
        <v>3</v>
      </c>
      <c r="Q43" s="278">
        <v>4</v>
      </c>
      <c r="R43" s="278">
        <v>1.5</v>
      </c>
      <c r="S43" s="278">
        <v>2</v>
      </c>
      <c r="T43" s="278">
        <v>2.5</v>
      </c>
      <c r="U43" s="278">
        <v>3.5</v>
      </c>
      <c r="V43" s="278">
        <v>1.7</v>
      </c>
      <c r="W43" s="278">
        <v>1.7</v>
      </c>
      <c r="X43" s="278">
        <v>2.7</v>
      </c>
      <c r="Y43" s="278">
        <f>X43+70%</f>
        <v>3.4000000000000004</v>
      </c>
      <c r="Z43" s="278">
        <v>3.7</v>
      </c>
      <c r="AA43" s="278">
        <f>Z43</f>
        <v>3.7</v>
      </c>
      <c r="AB43" s="278">
        <v>4.7</v>
      </c>
      <c r="AC43" s="278">
        <f>AB43</f>
        <v>4.7</v>
      </c>
      <c r="AD43" s="278">
        <v>1.7</v>
      </c>
      <c r="AE43" s="278">
        <v>2.7</v>
      </c>
      <c r="AF43" s="278">
        <v>3.7</v>
      </c>
      <c r="AG43" s="278">
        <v>4.7</v>
      </c>
      <c r="AH43" s="278">
        <v>2</v>
      </c>
      <c r="AI43" s="278">
        <v>3</v>
      </c>
      <c r="AJ43" s="278">
        <v>4</v>
      </c>
      <c r="AK43" s="278">
        <v>4.5</v>
      </c>
      <c r="AL43" s="278">
        <v>1</v>
      </c>
      <c r="AM43" s="278">
        <v>1</v>
      </c>
      <c r="AN43" s="278">
        <v>2</v>
      </c>
      <c r="AO43" s="278">
        <v>2.5</v>
      </c>
      <c r="AP43" s="278">
        <v>3</v>
      </c>
      <c r="AQ43" s="278" t="s">
        <v>73</v>
      </c>
      <c r="AR43" s="278">
        <v>2</v>
      </c>
      <c r="AS43" s="278">
        <v>1</v>
      </c>
      <c r="AT43" s="278">
        <v>1.45</v>
      </c>
      <c r="AU43" s="278">
        <v>1.7</v>
      </c>
      <c r="AV43" s="278">
        <v>1.95</v>
      </c>
      <c r="AW43" s="278">
        <v>2.5</v>
      </c>
      <c r="AX43" s="278">
        <v>3.5</v>
      </c>
      <c r="AY43" s="278">
        <v>4.5</v>
      </c>
      <c r="AZ43" s="278"/>
      <c r="BA43" s="278"/>
      <c r="BB43" s="278"/>
      <c r="BC43" s="278"/>
      <c r="BD43" s="278"/>
      <c r="BE43" s="278"/>
      <c r="BF43" s="278"/>
      <c r="BG43" s="278"/>
      <c r="BH43" s="278"/>
      <c r="BI43" s="278"/>
      <c r="BJ43" s="278"/>
      <c r="BK43" s="278"/>
      <c r="BL43" s="278"/>
      <c r="BM43" s="278"/>
      <c r="BN43" s="278"/>
      <c r="BO43" s="278">
        <v>1</v>
      </c>
      <c r="BP43" s="278">
        <v>1.5</v>
      </c>
      <c r="BQ43" s="278">
        <v>2</v>
      </c>
      <c r="BR43" s="278">
        <v>3</v>
      </c>
      <c r="BS43" s="278">
        <v>4</v>
      </c>
      <c r="BT43" s="278">
        <v>4</v>
      </c>
      <c r="BU43" s="278"/>
      <c r="BV43" s="278"/>
      <c r="BW43" s="278"/>
      <c r="BX43" s="278"/>
    </row>
    <row r="44" spans="1:76" ht="16" customHeight="1" thickBot="1" x14ac:dyDescent="0.4">
      <c r="B44" s="26"/>
      <c r="C44" s="105" t="s">
        <v>238</v>
      </c>
      <c r="D44" s="106" t="s">
        <v>239</v>
      </c>
      <c r="E44" s="40"/>
      <c r="F44" s="345"/>
      <c r="G44" s="278">
        <v>1.3</v>
      </c>
      <c r="H44" s="278">
        <v>1.8</v>
      </c>
      <c r="I44" s="278">
        <v>2.25</v>
      </c>
      <c r="J44" s="278">
        <v>2.25</v>
      </c>
      <c r="K44" s="278">
        <v>1</v>
      </c>
      <c r="L44" s="278">
        <v>1.25</v>
      </c>
      <c r="M44" s="278">
        <v>1.5</v>
      </c>
      <c r="N44" s="278">
        <v>2</v>
      </c>
      <c r="O44" s="278">
        <v>2</v>
      </c>
      <c r="P44" s="278">
        <v>2</v>
      </c>
      <c r="Q44" s="278">
        <v>2</v>
      </c>
      <c r="R44" s="278">
        <v>1.3</v>
      </c>
      <c r="S44" s="278">
        <v>1.8</v>
      </c>
      <c r="T44" s="278">
        <v>2</v>
      </c>
      <c r="U44" s="278">
        <v>3.5</v>
      </c>
      <c r="V44" s="278">
        <v>0.96</v>
      </c>
      <c r="W44" s="278">
        <v>1.1599999999999999</v>
      </c>
      <c r="X44" s="278">
        <v>1.46</v>
      </c>
      <c r="Y44" s="278">
        <f>X44+20%</f>
        <v>1.66</v>
      </c>
      <c r="Z44" s="278">
        <v>1.46</v>
      </c>
      <c r="AA44" s="278">
        <f>Z44+170%</f>
        <v>3.16</v>
      </c>
      <c r="AB44" s="278">
        <v>1.46</v>
      </c>
      <c r="AC44" s="278">
        <f>AB44+270%</f>
        <v>4.16</v>
      </c>
      <c r="AD44" s="278">
        <v>1.5</v>
      </c>
      <c r="AE44" s="278">
        <f>AE18</f>
        <v>2</v>
      </c>
      <c r="AF44" s="278">
        <f>AF18</f>
        <v>2</v>
      </c>
      <c r="AG44" s="278">
        <f>AG18</f>
        <v>2</v>
      </c>
      <c r="AH44" s="278">
        <v>1.5</v>
      </c>
      <c r="AI44" s="278">
        <v>2</v>
      </c>
      <c r="AJ44" s="278">
        <v>2</v>
      </c>
      <c r="AK44" s="278">
        <v>2</v>
      </c>
      <c r="AL44" s="278">
        <v>1</v>
      </c>
      <c r="AM44" s="278">
        <v>1</v>
      </c>
      <c r="AN44" s="278">
        <v>1.8</v>
      </c>
      <c r="AO44" s="278">
        <v>2</v>
      </c>
      <c r="AP44" s="278">
        <v>2</v>
      </c>
      <c r="AQ44" s="278">
        <v>2</v>
      </c>
      <c r="AR44" s="278" t="s">
        <v>74</v>
      </c>
      <c r="AS44" s="278">
        <v>1</v>
      </c>
      <c r="AT44" s="278">
        <v>1.25</v>
      </c>
      <c r="AU44" s="278">
        <v>1.5</v>
      </c>
      <c r="AV44" s="278">
        <v>1.75</v>
      </c>
      <c r="AW44" s="278">
        <v>2</v>
      </c>
      <c r="AX44" s="278">
        <v>2</v>
      </c>
      <c r="AY44" s="278">
        <v>2</v>
      </c>
      <c r="AZ44" s="278"/>
      <c r="BA44" s="278"/>
      <c r="BB44" s="278"/>
      <c r="BC44" s="278"/>
      <c r="BD44" s="278"/>
      <c r="BE44" s="278"/>
      <c r="BF44" s="278"/>
      <c r="BG44" s="278"/>
      <c r="BH44" s="278"/>
      <c r="BI44" s="278"/>
      <c r="BJ44" s="278"/>
      <c r="BK44" s="278"/>
      <c r="BL44" s="278"/>
      <c r="BM44" s="278"/>
      <c r="BN44" s="278"/>
      <c r="BO44" s="278">
        <v>1</v>
      </c>
      <c r="BP44" s="278">
        <v>1.3</v>
      </c>
      <c r="BQ44" s="278">
        <v>1.8</v>
      </c>
      <c r="BR44" s="278">
        <v>2</v>
      </c>
      <c r="BS44" s="278">
        <v>2</v>
      </c>
      <c r="BT44" s="278">
        <v>2</v>
      </c>
      <c r="BU44" s="278"/>
      <c r="BV44" s="278"/>
      <c r="BW44" s="278"/>
      <c r="BX44" s="278"/>
    </row>
    <row r="45" spans="1:76" ht="18" customHeight="1" thickBot="1" x14ac:dyDescent="0.4">
      <c r="B45" s="26"/>
      <c r="C45" s="107" t="s">
        <v>240</v>
      </c>
      <c r="D45" s="108"/>
      <c r="E45" s="40"/>
      <c r="F45" s="345"/>
      <c r="G45" s="278">
        <f>G42</f>
        <v>1.5</v>
      </c>
      <c r="H45" s="278">
        <f>H42</f>
        <v>2</v>
      </c>
      <c r="I45" s="278">
        <f>I42</f>
        <v>2.5</v>
      </c>
      <c r="J45" s="278">
        <f>J42</f>
        <v>8</v>
      </c>
      <c r="K45" s="278">
        <v>1.25</v>
      </c>
      <c r="L45" s="278">
        <v>1.5</v>
      </c>
      <c r="M45" s="278">
        <v>1.75</v>
      </c>
      <c r="N45" s="278">
        <v>2.25</v>
      </c>
      <c r="O45" s="278">
        <v>2.5</v>
      </c>
      <c r="P45" s="278">
        <v>3</v>
      </c>
      <c r="Q45" s="278">
        <v>4</v>
      </c>
      <c r="R45" s="278">
        <v>2</v>
      </c>
      <c r="S45" s="278">
        <v>2</v>
      </c>
      <c r="T45" s="278">
        <v>2.5</v>
      </c>
      <c r="U45" s="278">
        <v>3</v>
      </c>
      <c r="V45" s="278">
        <v>1.7</v>
      </c>
      <c r="W45" s="278">
        <v>1.9</v>
      </c>
      <c r="X45" s="278">
        <v>2.7</v>
      </c>
      <c r="Y45" s="278">
        <f>X45+70%</f>
        <v>3.4000000000000004</v>
      </c>
      <c r="Z45" s="278">
        <v>3.7</v>
      </c>
      <c r="AA45" s="278">
        <f>Z45</f>
        <v>3.7</v>
      </c>
      <c r="AB45" s="278">
        <v>4.7</v>
      </c>
      <c r="AC45" s="278">
        <f>AB45</f>
        <v>4.7</v>
      </c>
      <c r="AD45" s="278">
        <f>AD42</f>
        <v>1.7</v>
      </c>
      <c r="AE45" s="278">
        <f>AE42</f>
        <v>2.2000000000000002</v>
      </c>
      <c r="AF45" s="278">
        <f>AF42</f>
        <v>3.2</v>
      </c>
      <c r="AG45" s="278">
        <f>AG42</f>
        <v>4.2</v>
      </c>
      <c r="AH45" s="278">
        <v>2</v>
      </c>
      <c r="AI45" s="278">
        <v>3</v>
      </c>
      <c r="AJ45" s="278">
        <v>4</v>
      </c>
      <c r="AK45" s="278">
        <v>4.5</v>
      </c>
      <c r="AL45" s="278">
        <f>AL42</f>
        <v>1</v>
      </c>
      <c r="AM45" s="278">
        <f>AM42</f>
        <v>1</v>
      </c>
      <c r="AN45" s="278">
        <v>1.5</v>
      </c>
      <c r="AO45" s="278">
        <v>2</v>
      </c>
      <c r="AP45" s="278">
        <v>2</v>
      </c>
      <c r="AQ45" s="278">
        <v>4</v>
      </c>
      <c r="AR45" s="278">
        <v>1</v>
      </c>
      <c r="AS45" s="278">
        <v>1</v>
      </c>
      <c r="AT45" s="278">
        <v>1.45</v>
      </c>
      <c r="AU45" s="278">
        <v>1.7</v>
      </c>
      <c r="AV45" s="278">
        <v>1.95</v>
      </c>
      <c r="AW45" s="278">
        <v>2.5</v>
      </c>
      <c r="AX45" s="278">
        <v>3.5</v>
      </c>
      <c r="AY45" s="278">
        <v>4.5</v>
      </c>
      <c r="AZ45" s="278"/>
      <c r="BA45" s="278"/>
      <c r="BB45" s="278"/>
      <c r="BC45" s="278"/>
      <c r="BD45" s="278"/>
      <c r="BE45" s="278"/>
      <c r="BF45" s="278"/>
      <c r="BG45" s="278"/>
      <c r="BH45" s="278"/>
      <c r="BI45" s="278"/>
      <c r="BJ45" s="278"/>
      <c r="BK45" s="278"/>
      <c r="BL45" s="278"/>
      <c r="BM45" s="278"/>
      <c r="BN45" s="278"/>
      <c r="BO45" s="278">
        <v>1</v>
      </c>
      <c r="BP45" s="278">
        <v>1.5</v>
      </c>
      <c r="BQ45" s="278">
        <v>2</v>
      </c>
      <c r="BR45" s="278">
        <v>3</v>
      </c>
      <c r="BS45" s="278">
        <v>4</v>
      </c>
      <c r="BT45" s="278">
        <v>4</v>
      </c>
      <c r="BU45" s="278"/>
      <c r="BV45" s="278"/>
      <c r="BW45" s="278"/>
      <c r="BX45" s="278"/>
    </row>
    <row r="46" spans="1:76" ht="18" customHeight="1" thickBot="1" x14ac:dyDescent="0.4">
      <c r="B46" s="26"/>
      <c r="C46" s="109" t="s">
        <v>241</v>
      </c>
      <c r="D46" s="108" t="s">
        <v>242</v>
      </c>
      <c r="E46" s="40"/>
      <c r="F46" s="345"/>
      <c r="G46" s="278">
        <v>1.5</v>
      </c>
      <c r="H46" s="278">
        <v>1.5</v>
      </c>
      <c r="I46" s="278">
        <v>2</v>
      </c>
      <c r="J46" s="278">
        <v>2.5</v>
      </c>
      <c r="K46" s="278">
        <v>1</v>
      </c>
      <c r="L46" s="278">
        <v>1.25</v>
      </c>
      <c r="M46" s="278">
        <v>1.5</v>
      </c>
      <c r="N46" s="278">
        <v>1.75</v>
      </c>
      <c r="O46" s="278">
        <v>2</v>
      </c>
      <c r="P46" s="278">
        <v>3</v>
      </c>
      <c r="Q46" s="278">
        <v>4</v>
      </c>
      <c r="R46" s="278">
        <v>1.5</v>
      </c>
      <c r="S46" s="278">
        <v>1.5</v>
      </c>
      <c r="T46" s="278">
        <v>2</v>
      </c>
      <c r="U46" s="278">
        <v>2</v>
      </c>
      <c r="V46" s="278">
        <v>1.6</v>
      </c>
      <c r="W46" s="278">
        <v>1.6</v>
      </c>
      <c r="X46" s="278">
        <v>2.6</v>
      </c>
      <c r="Y46" s="278">
        <f>X46</f>
        <v>2.6</v>
      </c>
      <c r="Z46" s="278">
        <v>3.6</v>
      </c>
      <c r="AA46" s="278">
        <f>Z46</f>
        <v>3.6</v>
      </c>
      <c r="AB46" s="278">
        <v>4.5999999999999996</v>
      </c>
      <c r="AC46" s="278">
        <f>AB46</f>
        <v>4.5999999999999996</v>
      </c>
      <c r="AD46" s="278">
        <v>1.6</v>
      </c>
      <c r="AE46" s="278">
        <f>AE43</f>
        <v>2.7</v>
      </c>
      <c r="AF46" s="278">
        <f>AF43</f>
        <v>3.7</v>
      </c>
      <c r="AG46" s="278">
        <f>AG43</f>
        <v>4.7</v>
      </c>
      <c r="AH46" s="278">
        <v>2</v>
      </c>
      <c r="AI46" s="278">
        <v>3</v>
      </c>
      <c r="AJ46" s="278">
        <v>4</v>
      </c>
      <c r="AK46" s="278">
        <v>4.5</v>
      </c>
      <c r="AL46" s="278">
        <f>AL42</f>
        <v>1</v>
      </c>
      <c r="AM46" s="278">
        <f>AM42</f>
        <v>1</v>
      </c>
      <c r="AN46" s="278">
        <v>1.5</v>
      </c>
      <c r="AO46" s="278">
        <v>2</v>
      </c>
      <c r="AP46" s="278">
        <v>2</v>
      </c>
      <c r="AQ46" s="278">
        <v>4</v>
      </c>
      <c r="AR46" s="278">
        <v>1</v>
      </c>
      <c r="AS46" s="278">
        <v>1</v>
      </c>
      <c r="AT46" s="278">
        <v>1</v>
      </c>
      <c r="AU46" s="278">
        <v>1</v>
      </c>
      <c r="AV46" s="278">
        <v>1</v>
      </c>
      <c r="AW46" s="278">
        <v>1</v>
      </c>
      <c r="AX46" s="278">
        <v>1</v>
      </c>
      <c r="AY46" s="278">
        <v>1</v>
      </c>
      <c r="AZ46" s="278"/>
      <c r="BA46" s="278"/>
      <c r="BB46" s="278"/>
      <c r="BC46" s="278"/>
      <c r="BD46" s="278"/>
      <c r="BE46" s="278"/>
      <c r="BF46" s="278"/>
      <c r="BG46" s="278"/>
      <c r="BH46" s="278"/>
      <c r="BI46" s="278"/>
      <c r="BJ46" s="278"/>
      <c r="BK46" s="278"/>
      <c r="BL46" s="278"/>
      <c r="BM46" s="278"/>
      <c r="BN46" s="278"/>
      <c r="BO46" s="278">
        <v>1</v>
      </c>
      <c r="BP46" s="278">
        <v>1.5</v>
      </c>
      <c r="BQ46" s="278">
        <v>2</v>
      </c>
      <c r="BR46" s="278">
        <v>3</v>
      </c>
      <c r="BS46" s="278">
        <v>4</v>
      </c>
      <c r="BT46" s="278">
        <v>4</v>
      </c>
      <c r="BU46" s="278"/>
      <c r="BV46" s="278"/>
      <c r="BW46" s="278"/>
      <c r="BX46" s="278"/>
    </row>
    <row r="47" spans="1:76" ht="18" customHeight="1" thickBot="1" x14ac:dyDescent="0.4">
      <c r="B47" s="26"/>
      <c r="C47" s="110" t="s">
        <v>243</v>
      </c>
      <c r="D47" s="111"/>
      <c r="E47" s="40"/>
      <c r="F47" s="345"/>
      <c r="G47" s="278">
        <v>1.5</v>
      </c>
      <c r="H47" s="278">
        <v>1.5</v>
      </c>
      <c r="I47" s="278">
        <v>2</v>
      </c>
      <c r="J47" s="278">
        <v>3</v>
      </c>
      <c r="K47" s="278">
        <v>1</v>
      </c>
      <c r="L47" s="278">
        <v>1.25</v>
      </c>
      <c r="M47" s="278">
        <v>1.5</v>
      </c>
      <c r="N47" s="278">
        <v>1.75</v>
      </c>
      <c r="O47" s="278">
        <v>2</v>
      </c>
      <c r="P47" s="278">
        <v>3</v>
      </c>
      <c r="Q47" s="278">
        <v>4</v>
      </c>
      <c r="R47" s="278">
        <v>1.5</v>
      </c>
      <c r="S47" s="278">
        <v>1.5</v>
      </c>
      <c r="T47" s="278">
        <v>2</v>
      </c>
      <c r="U47" s="278">
        <v>2</v>
      </c>
      <c r="V47" s="278">
        <v>1.7</v>
      </c>
      <c r="W47" s="278">
        <v>1.7</v>
      </c>
      <c r="X47" s="278">
        <v>2.7</v>
      </c>
      <c r="Y47" s="278">
        <f>X47</f>
        <v>2.7</v>
      </c>
      <c r="Z47" s="278">
        <v>3.7</v>
      </c>
      <c r="AA47" s="278">
        <f>Z47</f>
        <v>3.7</v>
      </c>
      <c r="AB47" s="278">
        <v>4.7</v>
      </c>
      <c r="AC47" s="278">
        <f>AB47</f>
        <v>4.7</v>
      </c>
      <c r="AD47" s="278">
        <v>1.7</v>
      </c>
      <c r="AE47" s="278">
        <f>AE43</f>
        <v>2.7</v>
      </c>
      <c r="AF47" s="278">
        <f>AF43</f>
        <v>3.7</v>
      </c>
      <c r="AG47" s="278">
        <f>AG43</f>
        <v>4.7</v>
      </c>
      <c r="AH47" s="278">
        <v>2</v>
      </c>
      <c r="AI47" s="278">
        <v>3</v>
      </c>
      <c r="AJ47" s="278">
        <v>4</v>
      </c>
      <c r="AK47" s="278">
        <v>4.5</v>
      </c>
      <c r="AL47" s="278">
        <v>1</v>
      </c>
      <c r="AM47" s="278">
        <v>1</v>
      </c>
      <c r="AN47" s="278">
        <v>1.5</v>
      </c>
      <c r="AO47" s="278">
        <v>2</v>
      </c>
      <c r="AP47" s="278">
        <v>2</v>
      </c>
      <c r="AQ47" s="278">
        <v>4</v>
      </c>
      <c r="AR47" s="278">
        <v>1</v>
      </c>
      <c r="AS47" s="278">
        <v>1</v>
      </c>
      <c r="AT47" s="278">
        <v>1</v>
      </c>
      <c r="AU47" s="278">
        <v>1</v>
      </c>
      <c r="AV47" s="278">
        <v>1</v>
      </c>
      <c r="AW47" s="278">
        <v>1</v>
      </c>
      <c r="AX47" s="278">
        <v>1</v>
      </c>
      <c r="AY47" s="278">
        <v>1</v>
      </c>
      <c r="AZ47" s="278"/>
      <c r="BA47" s="278"/>
      <c r="BB47" s="278"/>
      <c r="BC47" s="278"/>
      <c r="BD47" s="278"/>
      <c r="BE47" s="278"/>
      <c r="BF47" s="278"/>
      <c r="BG47" s="278"/>
      <c r="BH47" s="278"/>
      <c r="BI47" s="278"/>
      <c r="BJ47" s="278"/>
      <c r="BK47" s="278"/>
      <c r="BL47" s="278"/>
      <c r="BM47" s="278"/>
      <c r="BN47" s="278"/>
      <c r="BO47" s="278">
        <v>1</v>
      </c>
      <c r="BP47" s="278">
        <v>1.5</v>
      </c>
      <c r="BQ47" s="278">
        <v>2</v>
      </c>
      <c r="BR47" s="278">
        <v>3</v>
      </c>
      <c r="BS47" s="278">
        <v>4</v>
      </c>
      <c r="BT47" s="278">
        <v>4</v>
      </c>
      <c r="BU47" s="278"/>
      <c r="BV47" s="278"/>
      <c r="BW47" s="278"/>
      <c r="BX47" s="278"/>
    </row>
    <row r="48" spans="1:76" ht="18" customHeight="1" thickBot="1" x14ac:dyDescent="0.4">
      <c r="B48" s="26"/>
      <c r="C48" s="112" t="s">
        <v>244</v>
      </c>
      <c r="D48" s="113" t="s">
        <v>245</v>
      </c>
      <c r="E48" s="114"/>
      <c r="F48" s="316"/>
      <c r="G48" s="346" t="s">
        <v>95</v>
      </c>
      <c r="H48" s="346" t="s">
        <v>95</v>
      </c>
      <c r="I48" s="346" t="s">
        <v>96</v>
      </c>
      <c r="J48" s="346" t="s">
        <v>97</v>
      </c>
      <c r="K48" s="347"/>
      <c r="L48" s="347"/>
      <c r="M48" s="347"/>
      <c r="N48" s="347"/>
      <c r="O48" s="347"/>
      <c r="P48" s="347"/>
      <c r="Q48" s="347"/>
      <c r="R48" s="347">
        <v>40</v>
      </c>
      <c r="S48" s="347">
        <v>40</v>
      </c>
      <c r="T48" s="347">
        <v>50</v>
      </c>
      <c r="U48" s="347">
        <v>50</v>
      </c>
      <c r="V48" s="347">
        <v>80</v>
      </c>
      <c r="W48" s="346">
        <v>1</v>
      </c>
      <c r="X48" s="346">
        <v>1</v>
      </c>
      <c r="Y48" s="346">
        <f>X48</f>
        <v>1</v>
      </c>
      <c r="Z48" s="346">
        <v>1</v>
      </c>
      <c r="AA48" s="346">
        <f>Z48</f>
        <v>1</v>
      </c>
      <c r="AB48" s="346">
        <v>1</v>
      </c>
      <c r="AC48" s="346">
        <f>AB48</f>
        <v>1</v>
      </c>
      <c r="AD48" s="290" t="s">
        <v>94</v>
      </c>
      <c r="AE48" s="290" t="s">
        <v>94</v>
      </c>
      <c r="AF48" s="290" t="s">
        <v>94</v>
      </c>
      <c r="AG48" s="290" t="s">
        <v>94</v>
      </c>
      <c r="AH48" s="348" t="s">
        <v>78</v>
      </c>
      <c r="AI48" s="348" t="s">
        <v>78</v>
      </c>
      <c r="AJ48" s="348" t="s">
        <v>78</v>
      </c>
      <c r="AK48" s="348" t="s">
        <v>78</v>
      </c>
      <c r="AL48" s="348" t="s">
        <v>78</v>
      </c>
      <c r="AM48" s="348">
        <v>30</v>
      </c>
      <c r="AN48" s="348">
        <v>60</v>
      </c>
      <c r="AO48" s="348">
        <v>80</v>
      </c>
      <c r="AP48" s="348">
        <v>80</v>
      </c>
      <c r="AQ48" s="348">
        <v>150</v>
      </c>
      <c r="AR48" s="349">
        <v>30</v>
      </c>
      <c r="AS48" s="350"/>
      <c r="AT48" s="350">
        <v>55</v>
      </c>
      <c r="AU48" s="350">
        <v>62.5</v>
      </c>
      <c r="AV48" s="350">
        <v>70</v>
      </c>
      <c r="AW48" s="350">
        <v>85</v>
      </c>
      <c r="AX48" s="350">
        <v>100</v>
      </c>
      <c r="AY48" s="350">
        <v>115</v>
      </c>
      <c r="AZ48" s="347"/>
      <c r="BA48" s="347"/>
      <c r="BB48" s="347"/>
      <c r="BC48" s="347"/>
      <c r="BD48" s="347"/>
      <c r="BE48" s="347"/>
      <c r="BF48" s="347"/>
      <c r="BG48" s="347"/>
      <c r="BH48" s="347"/>
      <c r="BI48" s="347"/>
      <c r="BJ48" s="347"/>
      <c r="BK48" s="347"/>
      <c r="BL48" s="347"/>
      <c r="BM48" s="347"/>
      <c r="BN48" s="347"/>
      <c r="BO48" s="347">
        <v>16</v>
      </c>
      <c r="BP48" s="347">
        <v>16</v>
      </c>
      <c r="BQ48" s="347">
        <v>16</v>
      </c>
      <c r="BR48" s="347">
        <v>16</v>
      </c>
      <c r="BS48" s="347">
        <v>16</v>
      </c>
      <c r="BT48" s="347">
        <v>16</v>
      </c>
      <c r="BU48" s="347"/>
      <c r="BV48" s="347"/>
      <c r="BW48" s="347"/>
      <c r="BX48" s="347"/>
    </row>
    <row r="49" spans="1:76" ht="18" customHeight="1" thickBot="1" x14ac:dyDescent="0.4">
      <c r="B49" s="26"/>
      <c r="C49" s="115" t="s">
        <v>246</v>
      </c>
      <c r="D49" s="116"/>
      <c r="E49" s="70"/>
      <c r="F49" s="345"/>
      <c r="G49" s="278">
        <v>1</v>
      </c>
      <c r="H49" s="278">
        <v>1</v>
      </c>
      <c r="I49" s="278">
        <v>1</v>
      </c>
      <c r="J49" s="278">
        <v>1</v>
      </c>
      <c r="K49" s="278">
        <v>1</v>
      </c>
      <c r="L49" s="278">
        <v>1</v>
      </c>
      <c r="M49" s="278">
        <v>1</v>
      </c>
      <c r="N49" s="278">
        <v>1</v>
      </c>
      <c r="O49" s="278">
        <v>1</v>
      </c>
      <c r="P49" s="278">
        <v>1</v>
      </c>
      <c r="Q49" s="278">
        <v>1</v>
      </c>
      <c r="R49" s="278">
        <v>1</v>
      </c>
      <c r="S49" s="278">
        <v>1</v>
      </c>
      <c r="T49" s="278">
        <v>1</v>
      </c>
      <c r="U49" s="278">
        <v>1</v>
      </c>
      <c r="V49" s="278">
        <v>1</v>
      </c>
      <c r="W49" s="278">
        <v>1</v>
      </c>
      <c r="X49" s="278">
        <v>1</v>
      </c>
      <c r="Y49" s="278">
        <f>X49</f>
        <v>1</v>
      </c>
      <c r="Z49" s="278">
        <v>1</v>
      </c>
      <c r="AA49" s="278">
        <f>Z49</f>
        <v>1</v>
      </c>
      <c r="AB49" s="278">
        <v>1</v>
      </c>
      <c r="AC49" s="278">
        <f>AB49</f>
        <v>1</v>
      </c>
      <c r="AD49" s="278">
        <v>1</v>
      </c>
      <c r="AE49" s="278">
        <v>1</v>
      </c>
      <c r="AF49" s="278">
        <v>1</v>
      </c>
      <c r="AG49" s="278">
        <v>1</v>
      </c>
      <c r="AH49" s="278">
        <v>1</v>
      </c>
      <c r="AI49" s="278">
        <v>1</v>
      </c>
      <c r="AJ49" s="278">
        <v>1</v>
      </c>
      <c r="AK49" s="278">
        <v>1</v>
      </c>
      <c r="AL49" s="278">
        <v>1</v>
      </c>
      <c r="AM49" s="278">
        <v>1</v>
      </c>
      <c r="AN49" s="278">
        <v>1</v>
      </c>
      <c r="AO49" s="278">
        <v>1</v>
      </c>
      <c r="AP49" s="278">
        <v>1</v>
      </c>
      <c r="AQ49" s="278" t="s">
        <v>73</v>
      </c>
      <c r="AR49" s="278">
        <v>1</v>
      </c>
      <c r="AS49" s="278">
        <v>1</v>
      </c>
      <c r="AT49" s="278">
        <v>1</v>
      </c>
      <c r="AU49" s="278">
        <v>1</v>
      </c>
      <c r="AV49" s="278">
        <v>1</v>
      </c>
      <c r="AW49" s="278">
        <v>1</v>
      </c>
      <c r="AX49" s="278">
        <v>1</v>
      </c>
      <c r="AY49" s="278">
        <v>1</v>
      </c>
      <c r="AZ49" s="278"/>
      <c r="BA49" s="278"/>
      <c r="BB49" s="278"/>
      <c r="BC49" s="278"/>
      <c r="BD49" s="278"/>
      <c r="BE49" s="278"/>
      <c r="BF49" s="278"/>
      <c r="BG49" s="278"/>
      <c r="BH49" s="278"/>
      <c r="BI49" s="278"/>
      <c r="BJ49" s="278"/>
      <c r="BK49" s="278"/>
      <c r="BL49" s="278"/>
      <c r="BM49" s="278"/>
      <c r="BN49" s="278"/>
      <c r="BO49" s="278">
        <v>1</v>
      </c>
      <c r="BP49" s="278">
        <v>1</v>
      </c>
      <c r="BQ49" s="278">
        <v>1</v>
      </c>
      <c r="BR49" s="278">
        <v>1</v>
      </c>
      <c r="BS49" s="278">
        <v>1</v>
      </c>
      <c r="BT49" s="278">
        <v>1</v>
      </c>
      <c r="BU49" s="278"/>
      <c r="BV49" s="278"/>
      <c r="BW49" s="278"/>
      <c r="BX49" s="278"/>
    </row>
    <row r="50" spans="1:76" ht="16" customHeight="1" thickBot="1" x14ac:dyDescent="0.4">
      <c r="B50" s="26"/>
      <c r="C50" s="117"/>
      <c r="D50" s="118"/>
      <c r="E50" s="119"/>
      <c r="F50" s="316"/>
      <c r="G50" s="318"/>
      <c r="H50" s="318"/>
      <c r="I50" s="318"/>
      <c r="J50" s="318"/>
      <c r="K50" s="318"/>
      <c r="L50" s="318"/>
      <c r="M50" s="318"/>
      <c r="N50" s="318"/>
      <c r="O50" s="318"/>
      <c r="P50" s="318"/>
      <c r="Q50" s="318"/>
      <c r="R50" s="318"/>
      <c r="S50" s="318"/>
      <c r="T50" s="318"/>
      <c r="U50" s="318"/>
      <c r="V50" s="318"/>
      <c r="W50" s="318"/>
      <c r="X50" s="318"/>
      <c r="Y50" s="318"/>
      <c r="Z50" s="318"/>
      <c r="AA50" s="318"/>
      <c r="AB50" s="318"/>
      <c r="AC50" s="318"/>
      <c r="AD50" s="318"/>
      <c r="AE50" s="318"/>
      <c r="AF50" s="318"/>
      <c r="AG50" s="318"/>
      <c r="AH50" s="319"/>
      <c r="AI50" s="319"/>
      <c r="AJ50" s="319"/>
      <c r="AK50" s="319"/>
      <c r="AL50" s="319"/>
      <c r="AM50" s="319"/>
      <c r="AN50" s="319"/>
      <c r="AO50" s="319"/>
      <c r="AP50" s="319"/>
      <c r="AQ50" s="319"/>
      <c r="AR50" s="320"/>
      <c r="AS50" s="318"/>
      <c r="AT50" s="318"/>
      <c r="AU50" s="318"/>
      <c r="AV50" s="318"/>
      <c r="AW50" s="318"/>
      <c r="AX50" s="318"/>
      <c r="AY50" s="318"/>
      <c r="AZ50" s="318"/>
      <c r="BA50" s="318"/>
      <c r="BB50" s="318"/>
      <c r="BC50" s="318"/>
      <c r="BD50" s="318"/>
      <c r="BE50" s="318"/>
      <c r="BF50" s="318"/>
      <c r="BG50" s="318"/>
      <c r="BH50" s="318"/>
      <c r="BI50" s="318"/>
      <c r="BJ50" s="318"/>
      <c r="BK50" s="318"/>
      <c r="BL50" s="318"/>
      <c r="BM50" s="318"/>
      <c r="BN50" s="318"/>
      <c r="BO50" s="318"/>
      <c r="BP50" s="318"/>
      <c r="BQ50" s="318"/>
      <c r="BR50" s="318"/>
      <c r="BS50" s="318"/>
      <c r="BT50" s="318"/>
      <c r="BU50" s="318"/>
      <c r="BV50" s="318"/>
      <c r="BW50" s="318"/>
      <c r="BX50" s="318"/>
    </row>
    <row r="51" spans="1:76" ht="16" customHeight="1" thickTop="1" thickBot="1" x14ac:dyDescent="0.4">
      <c r="B51" s="26"/>
      <c r="C51" s="117"/>
      <c r="D51" s="118" t="s">
        <v>247</v>
      </c>
      <c r="E51" s="120"/>
      <c r="F51" s="316"/>
      <c r="G51" s="326"/>
      <c r="H51" s="326"/>
      <c r="I51" s="326"/>
      <c r="J51" s="326"/>
      <c r="K51" s="326" t="s">
        <v>98</v>
      </c>
      <c r="L51" s="326" t="s">
        <v>98</v>
      </c>
      <c r="M51" s="326" t="s">
        <v>98</v>
      </c>
      <c r="N51" s="326" t="s">
        <v>98</v>
      </c>
      <c r="O51" s="326" t="s">
        <v>98</v>
      </c>
      <c r="P51" s="326" t="s">
        <v>98</v>
      </c>
      <c r="Q51" s="326" t="s">
        <v>98</v>
      </c>
      <c r="R51" s="326"/>
      <c r="S51" s="326"/>
      <c r="T51" s="326"/>
      <c r="U51" s="326"/>
      <c r="V51" s="326">
        <v>20</v>
      </c>
      <c r="W51" s="326">
        <v>20</v>
      </c>
      <c r="X51" s="326">
        <v>30</v>
      </c>
      <c r="Y51" s="326">
        <f>X51</f>
        <v>30</v>
      </c>
      <c r="Z51" s="326">
        <v>40</v>
      </c>
      <c r="AA51" s="326">
        <f>Z51</f>
        <v>40</v>
      </c>
      <c r="AB51" s="326">
        <v>50</v>
      </c>
      <c r="AC51" s="326">
        <f>AB51</f>
        <v>50</v>
      </c>
      <c r="AD51" s="326">
        <v>20</v>
      </c>
      <c r="AE51" s="326">
        <v>30</v>
      </c>
      <c r="AF51" s="326">
        <v>40</v>
      </c>
      <c r="AG51" s="326">
        <v>50</v>
      </c>
      <c r="AH51" s="326"/>
      <c r="AI51" s="326"/>
      <c r="AJ51" s="326"/>
      <c r="AK51" s="326"/>
      <c r="AL51" s="326"/>
      <c r="AM51" s="326"/>
      <c r="AN51" s="326"/>
      <c r="AO51" s="326"/>
      <c r="AP51" s="326"/>
      <c r="AQ51" s="326"/>
      <c r="AR51" s="326"/>
      <c r="AS51" s="326">
        <v>0</v>
      </c>
      <c r="AT51" s="326">
        <v>20</v>
      </c>
      <c r="AU51" s="326">
        <v>22.2</v>
      </c>
      <c r="AV51" s="326">
        <v>25</v>
      </c>
      <c r="AW51" s="326">
        <v>30</v>
      </c>
      <c r="AX51" s="326">
        <v>35</v>
      </c>
      <c r="AY51" s="326">
        <v>40</v>
      </c>
      <c r="AZ51" s="326"/>
      <c r="BA51" s="326"/>
      <c r="BB51" s="326"/>
      <c r="BC51" s="326"/>
      <c r="BD51" s="326"/>
      <c r="BE51" s="326"/>
      <c r="BF51" s="326"/>
      <c r="BG51" s="326"/>
      <c r="BH51" s="326"/>
      <c r="BI51" s="326"/>
      <c r="BJ51" s="326"/>
      <c r="BK51" s="326"/>
      <c r="BL51" s="326"/>
      <c r="BM51" s="326"/>
      <c r="BN51" s="326"/>
      <c r="BO51" s="326"/>
      <c r="BP51" s="326"/>
      <c r="BQ51" s="326"/>
      <c r="BR51" s="326"/>
      <c r="BS51" s="326"/>
      <c r="BT51" s="326"/>
      <c r="BU51" s="326"/>
      <c r="BV51" s="326"/>
      <c r="BW51" s="326"/>
      <c r="BX51" s="326"/>
    </row>
    <row r="52" spans="1:76" ht="17" customHeight="1" thickBot="1" x14ac:dyDescent="0.5">
      <c r="B52" s="26"/>
      <c r="C52" s="98" t="s">
        <v>248</v>
      </c>
      <c r="D52" s="75"/>
      <c r="E52" s="121"/>
      <c r="F52" s="299"/>
      <c r="G52" s="351"/>
      <c r="H52" s="351"/>
      <c r="I52" s="351"/>
      <c r="J52" s="351"/>
      <c r="K52" s="237"/>
      <c r="L52" s="237"/>
      <c r="M52" s="237"/>
      <c r="N52" s="237"/>
      <c r="O52" s="237"/>
      <c r="P52" s="237"/>
      <c r="Q52" s="237"/>
      <c r="R52" s="352"/>
      <c r="S52" s="352"/>
      <c r="T52" s="352"/>
      <c r="U52" s="352"/>
      <c r="V52" s="353"/>
      <c r="W52" s="353"/>
      <c r="X52" s="353"/>
      <c r="Y52" s="353"/>
      <c r="Z52" s="353"/>
      <c r="AA52" s="353"/>
      <c r="AB52" s="353"/>
      <c r="AC52" s="353"/>
      <c r="AD52" s="353"/>
      <c r="AE52" s="353"/>
      <c r="AF52" s="353"/>
      <c r="AG52" s="353"/>
      <c r="AH52" s="354"/>
      <c r="AI52" s="354"/>
      <c r="AJ52" s="354"/>
      <c r="AK52" s="354"/>
      <c r="AL52" s="355"/>
      <c r="AM52" s="355"/>
      <c r="AN52" s="355"/>
      <c r="AO52" s="355"/>
      <c r="AP52" s="355"/>
      <c r="AQ52" s="355"/>
      <c r="AR52" s="356"/>
      <c r="AS52" s="357"/>
      <c r="AT52" s="357"/>
      <c r="AU52" s="357"/>
      <c r="AV52" s="357"/>
      <c r="AW52" s="357"/>
      <c r="AX52" s="357"/>
      <c r="AY52" s="357"/>
      <c r="AZ52" s="258"/>
      <c r="BA52" s="258"/>
      <c r="BB52" s="258"/>
      <c r="BC52" s="258"/>
      <c r="BD52" s="258"/>
      <c r="BE52" s="258"/>
      <c r="BF52" s="258"/>
      <c r="BG52" s="258"/>
      <c r="BH52" s="258"/>
      <c r="BI52" s="259"/>
      <c r="BJ52" s="259"/>
      <c r="BK52" s="259"/>
      <c r="BL52" s="259"/>
      <c r="BM52" s="259"/>
      <c r="BN52" s="259"/>
      <c r="BO52" s="247"/>
      <c r="BP52" s="247"/>
      <c r="BQ52" s="247"/>
      <c r="BR52" s="247"/>
      <c r="BS52" s="247"/>
      <c r="BT52" s="247"/>
      <c r="BU52" s="358"/>
      <c r="BV52" s="261"/>
      <c r="BW52" s="261"/>
      <c r="BX52" s="261"/>
    </row>
    <row r="53" spans="1:76" ht="26.5" customHeight="1" thickBot="1" x14ac:dyDescent="0.4">
      <c r="B53" s="26"/>
      <c r="C53" s="122" t="s">
        <v>249</v>
      </c>
      <c r="D53" s="123" t="s">
        <v>250</v>
      </c>
      <c r="E53" s="124"/>
      <c r="F53" s="311"/>
      <c r="G53" s="313">
        <v>100</v>
      </c>
      <c r="H53" s="313">
        <v>100</v>
      </c>
      <c r="I53" s="313">
        <v>150</v>
      </c>
      <c r="J53" s="313">
        <v>250</v>
      </c>
      <c r="K53" s="313">
        <v>0</v>
      </c>
      <c r="L53" s="313">
        <v>75</v>
      </c>
      <c r="M53" s="313">
        <v>90</v>
      </c>
      <c r="N53" s="313">
        <v>120</v>
      </c>
      <c r="O53" s="313">
        <v>140</v>
      </c>
      <c r="P53" s="313">
        <v>160</v>
      </c>
      <c r="Q53" s="313">
        <v>225</v>
      </c>
      <c r="R53" s="313">
        <v>100</v>
      </c>
      <c r="S53" s="313">
        <v>100</v>
      </c>
      <c r="T53" s="313">
        <v>150</v>
      </c>
      <c r="U53" s="313">
        <v>200</v>
      </c>
      <c r="V53" s="313">
        <v>240</v>
      </c>
      <c r="W53" s="313">
        <v>240</v>
      </c>
      <c r="X53" s="313">
        <v>285</v>
      </c>
      <c r="Y53" s="313">
        <v>285</v>
      </c>
      <c r="Z53" s="313">
        <v>330</v>
      </c>
      <c r="AA53" s="313">
        <f>Z53</f>
        <v>330</v>
      </c>
      <c r="AB53" s="313">
        <v>375</v>
      </c>
      <c r="AC53" s="313">
        <f>AB53</f>
        <v>375</v>
      </c>
      <c r="AD53" s="313">
        <v>105</v>
      </c>
      <c r="AE53" s="313">
        <v>120</v>
      </c>
      <c r="AF53" s="313">
        <v>135</v>
      </c>
      <c r="AG53" s="313">
        <v>150</v>
      </c>
      <c r="AH53" s="313">
        <v>105</v>
      </c>
      <c r="AI53" s="313">
        <v>120</v>
      </c>
      <c r="AJ53" s="313">
        <v>150</v>
      </c>
      <c r="AK53" s="313">
        <v>165</v>
      </c>
      <c r="AL53" s="313"/>
      <c r="AM53" s="313">
        <f>PMSS*2%</f>
        <v>66.22</v>
      </c>
      <c r="AN53" s="313">
        <f>PMSS*4%</f>
        <v>132.44</v>
      </c>
      <c r="AO53" s="313">
        <f>PMSS*6%</f>
        <v>198.66</v>
      </c>
      <c r="AP53" s="313">
        <f>PMSS*8%</f>
        <v>264.88</v>
      </c>
      <c r="AQ53" s="313">
        <f>PMSS*10%</f>
        <v>331.1</v>
      </c>
      <c r="AR53" s="313">
        <v>90</v>
      </c>
      <c r="AS53" s="313"/>
      <c r="AT53" s="313">
        <v>75</v>
      </c>
      <c r="AU53" s="313">
        <v>75</v>
      </c>
      <c r="AV53" s="313">
        <v>90</v>
      </c>
      <c r="AW53" s="313">
        <v>120</v>
      </c>
      <c r="AX53" s="313">
        <v>150</v>
      </c>
      <c r="AY53" s="313">
        <v>150</v>
      </c>
      <c r="AZ53" s="313"/>
      <c r="BA53" s="313"/>
      <c r="BB53" s="313"/>
      <c r="BC53" s="313"/>
      <c r="BD53" s="313"/>
      <c r="BE53" s="313"/>
      <c r="BF53" s="313"/>
      <c r="BG53" s="313"/>
      <c r="BH53" s="313"/>
      <c r="BI53" s="313"/>
      <c r="BJ53" s="313"/>
      <c r="BK53" s="313"/>
      <c r="BL53" s="313"/>
      <c r="BM53" s="313"/>
      <c r="BN53" s="313"/>
      <c r="BO53" s="313">
        <v>50</v>
      </c>
      <c r="BP53" s="313">
        <v>100</v>
      </c>
      <c r="BQ53" s="313">
        <v>150</v>
      </c>
      <c r="BR53" s="313">
        <v>200</v>
      </c>
      <c r="BS53" s="313">
        <v>250</v>
      </c>
      <c r="BT53" s="313">
        <v>250</v>
      </c>
      <c r="BU53" s="313"/>
      <c r="BV53" s="313"/>
      <c r="BW53" s="313"/>
      <c r="BX53" s="313"/>
    </row>
    <row r="54" spans="1:76" ht="16" customHeight="1" thickBot="1" x14ac:dyDescent="0.4">
      <c r="B54" s="26"/>
      <c r="C54" s="125"/>
      <c r="D54" s="126" t="s">
        <v>251</v>
      </c>
      <c r="E54" s="127"/>
      <c r="F54" s="359"/>
      <c r="G54" s="360"/>
      <c r="H54" s="360"/>
      <c r="I54" s="360"/>
      <c r="J54" s="360"/>
      <c r="K54" s="360"/>
      <c r="L54" s="360">
        <v>3</v>
      </c>
      <c r="M54" s="360">
        <v>3</v>
      </c>
      <c r="N54" s="360">
        <v>4</v>
      </c>
      <c r="O54" s="360">
        <v>4</v>
      </c>
      <c r="P54" s="360">
        <v>4</v>
      </c>
      <c r="Q54" s="360">
        <v>5</v>
      </c>
      <c r="R54" s="360"/>
      <c r="S54" s="360"/>
      <c r="T54" s="360"/>
      <c r="U54" s="360"/>
      <c r="V54" s="360" t="s">
        <v>99</v>
      </c>
      <c r="W54" s="360" t="s">
        <v>99</v>
      </c>
      <c r="X54" s="360" t="s">
        <v>99</v>
      </c>
      <c r="Y54" s="360" t="s">
        <v>99</v>
      </c>
      <c r="Z54" s="360" t="s">
        <v>99</v>
      </c>
      <c r="AA54" s="360" t="str">
        <f>Z54</f>
        <v>3+3+3</v>
      </c>
      <c r="AB54" s="360" t="s">
        <v>99</v>
      </c>
      <c r="AC54" s="360" t="str">
        <f>AB54</f>
        <v>3+3+3</v>
      </c>
      <c r="AD54" s="360">
        <v>3</v>
      </c>
      <c r="AE54" s="360">
        <v>3</v>
      </c>
      <c r="AF54" s="360">
        <v>3</v>
      </c>
      <c r="AG54" s="360">
        <v>3</v>
      </c>
      <c r="AH54" s="360">
        <v>3</v>
      </c>
      <c r="AI54" s="360">
        <v>3</v>
      </c>
      <c r="AJ54" s="360">
        <v>3</v>
      </c>
      <c r="AK54" s="360">
        <v>3</v>
      </c>
      <c r="AL54" s="360"/>
      <c r="AM54" s="360"/>
      <c r="AN54" s="360"/>
      <c r="AO54" s="360"/>
      <c r="AP54" s="360"/>
      <c r="AQ54" s="360"/>
      <c r="AR54" s="360">
        <v>3</v>
      </c>
      <c r="AS54" s="360"/>
      <c r="AT54" s="360">
        <v>3</v>
      </c>
      <c r="AU54" s="360">
        <v>3</v>
      </c>
      <c r="AV54" s="360">
        <v>3</v>
      </c>
      <c r="AW54" s="360">
        <v>3</v>
      </c>
      <c r="AX54" s="360">
        <v>3</v>
      </c>
      <c r="AY54" s="360">
        <v>3</v>
      </c>
      <c r="AZ54" s="360"/>
      <c r="BA54" s="360"/>
      <c r="BB54" s="360"/>
      <c r="BC54" s="360"/>
      <c r="BD54" s="360"/>
      <c r="BE54" s="360"/>
      <c r="BF54" s="360"/>
      <c r="BG54" s="360"/>
      <c r="BH54" s="360"/>
      <c r="BI54" s="360"/>
      <c r="BJ54" s="360"/>
      <c r="BK54" s="360"/>
      <c r="BL54" s="360"/>
      <c r="BM54" s="360"/>
      <c r="BN54" s="360"/>
      <c r="BO54" s="360"/>
      <c r="BP54" s="360"/>
      <c r="BQ54" s="360"/>
      <c r="BR54" s="360"/>
      <c r="BS54" s="360"/>
      <c r="BT54" s="360"/>
      <c r="BU54" s="360"/>
      <c r="BV54" s="360"/>
      <c r="BW54" s="360"/>
      <c r="BX54" s="360"/>
    </row>
    <row r="55" spans="1:76" ht="13" customHeight="1" thickBot="1" x14ac:dyDescent="0.4">
      <c r="B55" s="26"/>
      <c r="C55" s="128"/>
      <c r="D55" s="129" t="s">
        <v>252</v>
      </c>
      <c r="E55" s="130"/>
      <c r="F55" s="361"/>
      <c r="G55" s="362"/>
      <c r="H55" s="362"/>
      <c r="I55" s="362"/>
      <c r="J55" s="362"/>
      <c r="K55" s="362"/>
      <c r="L55" s="362">
        <v>25</v>
      </c>
      <c r="M55" s="362">
        <v>30</v>
      </c>
      <c r="N55" s="362">
        <v>30</v>
      </c>
      <c r="O55" s="362">
        <v>35</v>
      </c>
      <c r="P55" s="362">
        <v>40</v>
      </c>
      <c r="Q55" s="362">
        <v>45</v>
      </c>
      <c r="R55" s="362"/>
      <c r="S55" s="362"/>
      <c r="T55" s="362"/>
      <c r="U55" s="362"/>
      <c r="V55" s="362">
        <v>35</v>
      </c>
      <c r="W55" s="362">
        <v>35</v>
      </c>
      <c r="X55" s="362">
        <v>40</v>
      </c>
      <c r="Y55" s="362">
        <v>40</v>
      </c>
      <c r="Z55" s="362">
        <v>45</v>
      </c>
      <c r="AA55" s="362">
        <f>Z55</f>
        <v>45</v>
      </c>
      <c r="AB55" s="362">
        <v>50</v>
      </c>
      <c r="AC55" s="362">
        <f>AB55</f>
        <v>50</v>
      </c>
      <c r="AD55" s="362">
        <v>35</v>
      </c>
      <c r="AE55" s="362">
        <v>40</v>
      </c>
      <c r="AF55" s="362">
        <v>45</v>
      </c>
      <c r="AG55" s="362">
        <v>50</v>
      </c>
      <c r="AH55" s="362">
        <v>35</v>
      </c>
      <c r="AI55" s="362">
        <v>40</v>
      </c>
      <c r="AJ55" s="362">
        <v>50</v>
      </c>
      <c r="AK55" s="362">
        <v>55</v>
      </c>
      <c r="AL55" s="362"/>
      <c r="AM55" s="362"/>
      <c r="AN55" s="362"/>
      <c r="AO55" s="362"/>
      <c r="AP55" s="362"/>
      <c r="AQ55" s="362"/>
      <c r="AR55" s="362"/>
      <c r="AS55" s="362"/>
      <c r="AT55" s="362">
        <v>25</v>
      </c>
      <c r="AU55" s="362">
        <v>25</v>
      </c>
      <c r="AV55" s="362">
        <v>30</v>
      </c>
      <c r="AW55" s="362">
        <v>40</v>
      </c>
      <c r="AX55" s="362">
        <v>50</v>
      </c>
      <c r="AY55" s="362">
        <v>50</v>
      </c>
      <c r="AZ55" s="362"/>
      <c r="BA55" s="362"/>
      <c r="BB55" s="362"/>
      <c r="BC55" s="362"/>
      <c r="BD55" s="362"/>
      <c r="BE55" s="362"/>
      <c r="BF55" s="362"/>
      <c r="BG55" s="362"/>
      <c r="BH55" s="362"/>
      <c r="BI55" s="362"/>
      <c r="BJ55" s="362"/>
      <c r="BK55" s="362"/>
      <c r="BL55" s="362"/>
      <c r="BM55" s="362"/>
      <c r="BN55" s="362"/>
      <c r="BO55" s="362"/>
      <c r="BP55" s="362"/>
      <c r="BQ55" s="362"/>
      <c r="BR55" s="362"/>
      <c r="BS55" s="362"/>
      <c r="BT55" s="362"/>
      <c r="BU55" s="362"/>
      <c r="BV55" s="362"/>
      <c r="BW55" s="362"/>
      <c r="BX55" s="362"/>
    </row>
    <row r="56" spans="1:76" ht="16" customHeight="1" thickBot="1" x14ac:dyDescent="0.4">
      <c r="B56" s="26"/>
      <c r="C56" s="125" t="s">
        <v>253</v>
      </c>
      <c r="D56" s="131" t="s">
        <v>254</v>
      </c>
      <c r="E56" s="40"/>
      <c r="F56" s="284"/>
      <c r="G56" s="278">
        <v>1.4</v>
      </c>
      <c r="H56" s="278">
        <v>1.6</v>
      </c>
      <c r="I56" s="278">
        <v>1.8</v>
      </c>
      <c r="J56" s="278">
        <v>2.4</v>
      </c>
      <c r="K56" s="278" t="s">
        <v>74</v>
      </c>
      <c r="L56" s="278" t="s">
        <v>74</v>
      </c>
      <c r="M56" s="278" t="s">
        <v>74</v>
      </c>
      <c r="N56" s="278" t="s">
        <v>74</v>
      </c>
      <c r="O56" s="278" t="s">
        <v>74</v>
      </c>
      <c r="P56" s="278" t="s">
        <v>74</v>
      </c>
      <c r="Q56" s="278" t="s">
        <v>74</v>
      </c>
      <c r="R56" s="278">
        <v>1</v>
      </c>
      <c r="S56" s="278">
        <v>1</v>
      </c>
      <c r="T56" s="278">
        <v>1</v>
      </c>
      <c r="U56" s="278">
        <v>1</v>
      </c>
      <c r="V56" s="278">
        <v>0.7</v>
      </c>
      <c r="W56" s="278">
        <v>0.7</v>
      </c>
      <c r="X56" s="278">
        <v>0.7</v>
      </c>
      <c r="Y56" s="278">
        <v>0.7</v>
      </c>
      <c r="Z56" s="278">
        <v>0.7</v>
      </c>
      <c r="AA56" s="278">
        <f>Z56</f>
        <v>0.7</v>
      </c>
      <c r="AB56" s="278">
        <v>0.7</v>
      </c>
      <c r="AC56" s="278">
        <f>AB56</f>
        <v>0.7</v>
      </c>
      <c r="AD56" s="278">
        <v>0.7</v>
      </c>
      <c r="AE56" s="278">
        <v>0.7</v>
      </c>
      <c r="AF56" s="278">
        <v>0.7</v>
      </c>
      <c r="AG56" s="278">
        <v>0.7</v>
      </c>
      <c r="AH56" s="278">
        <v>0.7</v>
      </c>
      <c r="AI56" s="278">
        <v>0.7</v>
      </c>
      <c r="AJ56" s="278">
        <v>0.7</v>
      </c>
      <c r="AK56" s="278">
        <v>0.7</v>
      </c>
      <c r="AL56" s="278">
        <v>1</v>
      </c>
      <c r="AM56" s="278">
        <v>0.7</v>
      </c>
      <c r="AN56" s="278">
        <v>0.7</v>
      </c>
      <c r="AO56" s="278">
        <v>0.7</v>
      </c>
      <c r="AP56" s="278">
        <v>0.7</v>
      </c>
      <c r="AQ56" s="278">
        <v>0.7</v>
      </c>
      <c r="AR56" s="278">
        <v>1</v>
      </c>
      <c r="AS56" s="278">
        <v>1</v>
      </c>
      <c r="AT56" s="278">
        <v>1</v>
      </c>
      <c r="AU56" s="278">
        <v>1</v>
      </c>
      <c r="AV56" s="278">
        <v>1</v>
      </c>
      <c r="AW56" s="278">
        <v>1</v>
      </c>
      <c r="AX56" s="278">
        <v>1</v>
      </c>
      <c r="AY56" s="278">
        <v>1</v>
      </c>
      <c r="AZ56" s="278"/>
      <c r="BA56" s="278"/>
      <c r="BB56" s="278"/>
      <c r="BC56" s="278"/>
      <c r="BD56" s="278"/>
      <c r="BE56" s="278"/>
      <c r="BF56" s="278"/>
      <c r="BG56" s="278"/>
      <c r="BH56" s="278"/>
      <c r="BI56" s="278"/>
      <c r="BJ56" s="278"/>
      <c r="BK56" s="278"/>
      <c r="BL56" s="278"/>
      <c r="BM56" s="278"/>
      <c r="BN56" s="278"/>
      <c r="BO56" s="278">
        <v>1</v>
      </c>
      <c r="BP56" s="278">
        <v>1</v>
      </c>
      <c r="BQ56" s="278">
        <v>1</v>
      </c>
      <c r="BR56" s="278">
        <v>1</v>
      </c>
      <c r="BS56" s="278">
        <v>1</v>
      </c>
      <c r="BT56" s="278">
        <v>1</v>
      </c>
      <c r="BU56" s="278"/>
      <c r="BV56" s="278"/>
      <c r="BW56" s="278"/>
      <c r="BX56" s="278"/>
    </row>
    <row r="57" spans="1:76" ht="16" customHeight="1" thickBot="1" x14ac:dyDescent="0.4">
      <c r="B57" s="26"/>
      <c r="C57" s="132"/>
      <c r="D57" s="133" t="s">
        <v>255</v>
      </c>
      <c r="E57" s="124"/>
      <c r="F57" s="311"/>
      <c r="G57" s="313">
        <v>150</v>
      </c>
      <c r="H57" s="313">
        <v>175</v>
      </c>
      <c r="I57" s="313">
        <v>200</v>
      </c>
      <c r="J57" s="313">
        <v>300</v>
      </c>
      <c r="K57" s="313"/>
      <c r="L57" s="313"/>
      <c r="M57" s="313"/>
      <c r="N57" s="313"/>
      <c r="O57" s="313"/>
      <c r="P57" s="313"/>
      <c r="Q57" s="313"/>
      <c r="R57" s="313">
        <v>150</v>
      </c>
      <c r="S57" s="313">
        <v>175</v>
      </c>
      <c r="T57" s="313">
        <v>200</v>
      </c>
      <c r="U57" s="313">
        <v>200</v>
      </c>
      <c r="V57" s="313">
        <f>PMSS*10%</f>
        <v>331.1</v>
      </c>
      <c r="W57" s="313">
        <f>V57</f>
        <v>331.1</v>
      </c>
      <c r="X57" s="313">
        <f>PMSS*16.5%</f>
        <v>546.31500000000005</v>
      </c>
      <c r="Y57" s="313">
        <f>PMSS*16.5%</f>
        <v>546.31500000000005</v>
      </c>
      <c r="Z57" s="313">
        <f>PMSS*23%</f>
        <v>761.53000000000009</v>
      </c>
      <c r="AA57" s="313">
        <f>Z57</f>
        <v>761.53000000000009</v>
      </c>
      <c r="AB57" s="313">
        <f>PMSS*29.5%</f>
        <v>976.745</v>
      </c>
      <c r="AC57" s="313">
        <f>AB57</f>
        <v>976.745</v>
      </c>
      <c r="AD57" s="313">
        <f>PMSS*10%</f>
        <v>331.1</v>
      </c>
      <c r="AE57" s="313">
        <f>PMSS*16.5%</f>
        <v>546.31500000000005</v>
      </c>
      <c r="AF57" s="313">
        <f>PMSS*23%</f>
        <v>761.53000000000009</v>
      </c>
      <c r="AG57" s="313">
        <f>PMSS*29.5%</f>
        <v>976.745</v>
      </c>
      <c r="AH57" s="313">
        <v>480</v>
      </c>
      <c r="AI57" s="313">
        <v>640</v>
      </c>
      <c r="AJ57" s="313">
        <v>965</v>
      </c>
      <c r="AK57" s="313">
        <v>965</v>
      </c>
      <c r="AL57" s="313"/>
      <c r="AM57" s="313">
        <f>PMSS*5%</f>
        <v>165.55</v>
      </c>
      <c r="AN57" s="313">
        <f>PMSS*10%</f>
        <v>331.1</v>
      </c>
      <c r="AO57" s="313">
        <f>PMSS*12.5%</f>
        <v>413.875</v>
      </c>
      <c r="AP57" s="313">
        <f>PMSS*15%</f>
        <v>496.65</v>
      </c>
      <c r="AQ57" s="313">
        <f>PMSS*20%</f>
        <v>662.2</v>
      </c>
      <c r="AR57" s="313">
        <v>300</v>
      </c>
      <c r="AS57" s="313"/>
      <c r="AT57" s="313"/>
      <c r="AU57" s="313"/>
      <c r="AV57" s="313"/>
      <c r="AW57" s="363"/>
      <c r="AX57" s="313"/>
      <c r="AY57" s="313"/>
      <c r="AZ57" s="313"/>
      <c r="BA57" s="313"/>
      <c r="BB57" s="313"/>
      <c r="BC57" s="313"/>
      <c r="BD57" s="313"/>
      <c r="BE57" s="313"/>
      <c r="BF57" s="313"/>
      <c r="BG57" s="313"/>
      <c r="BH57" s="313"/>
      <c r="BI57" s="313"/>
      <c r="BJ57" s="313"/>
      <c r="BK57" s="313"/>
      <c r="BL57" s="313"/>
      <c r="BM57" s="313"/>
      <c r="BN57" s="313"/>
      <c r="BO57" s="313">
        <v>229</v>
      </c>
      <c r="BP57" s="313">
        <v>458</v>
      </c>
      <c r="BQ57" s="313">
        <v>458</v>
      </c>
      <c r="BR57" s="313">
        <v>458</v>
      </c>
      <c r="BS57" s="313">
        <v>458</v>
      </c>
      <c r="BT57" s="313">
        <v>458</v>
      </c>
      <c r="BU57" s="313"/>
      <c r="BV57" s="313"/>
      <c r="BW57" s="313"/>
      <c r="BX57" s="313"/>
    </row>
    <row r="58" spans="1:76" ht="18" customHeight="1" thickBot="1" x14ac:dyDescent="0.4">
      <c r="A58" s="262"/>
      <c r="B58" s="26"/>
      <c r="C58" s="134" t="s">
        <v>256</v>
      </c>
      <c r="D58" s="135"/>
      <c r="E58" s="124"/>
      <c r="F58" s="311"/>
      <c r="G58" s="313">
        <v>150</v>
      </c>
      <c r="H58" s="313">
        <v>175</v>
      </c>
      <c r="I58" s="313">
        <v>200</v>
      </c>
      <c r="J58" s="313">
        <v>300</v>
      </c>
      <c r="K58" s="313"/>
      <c r="L58" s="313"/>
      <c r="M58" s="313"/>
      <c r="N58" s="313"/>
      <c r="O58" s="313"/>
      <c r="P58" s="313"/>
      <c r="Q58" s="313"/>
      <c r="R58" s="313"/>
      <c r="S58" s="313"/>
      <c r="T58" s="313"/>
      <c r="U58" s="313"/>
      <c r="V58" s="313"/>
      <c r="W58" s="313"/>
      <c r="X58" s="313"/>
      <c r="Y58" s="313"/>
      <c r="Z58" s="313"/>
      <c r="AA58" s="313"/>
      <c r="AB58" s="313"/>
      <c r="AC58" s="313"/>
      <c r="AD58" s="313" t="s">
        <v>78</v>
      </c>
      <c r="AE58" s="313" t="s">
        <v>78</v>
      </c>
      <c r="AF58" s="313" t="s">
        <v>78</v>
      </c>
      <c r="AG58" s="313" t="s">
        <v>78</v>
      </c>
      <c r="AH58" s="313" t="s">
        <v>78</v>
      </c>
      <c r="AI58" s="313" t="s">
        <v>78</v>
      </c>
      <c r="AJ58" s="313" t="s">
        <v>78</v>
      </c>
      <c r="AK58" s="313" t="s">
        <v>78</v>
      </c>
      <c r="AL58" s="313" t="s">
        <v>78</v>
      </c>
      <c r="AM58" s="313" t="s">
        <v>78</v>
      </c>
      <c r="AN58" s="313" t="s">
        <v>78</v>
      </c>
      <c r="AO58" s="313" t="s">
        <v>78</v>
      </c>
      <c r="AP58" s="313" t="s">
        <v>78</v>
      </c>
      <c r="AQ58" s="313" t="s">
        <v>78</v>
      </c>
      <c r="AR58" s="313" t="s">
        <v>78</v>
      </c>
      <c r="AS58" s="313"/>
      <c r="AT58" s="313"/>
      <c r="AU58" s="313"/>
      <c r="AV58" s="313"/>
      <c r="AW58" s="313"/>
      <c r="AX58" s="313"/>
      <c r="AY58" s="313"/>
      <c r="AZ58" s="313"/>
      <c r="BA58" s="313"/>
      <c r="BB58" s="313"/>
      <c r="BC58" s="313"/>
      <c r="BD58" s="313"/>
      <c r="BE58" s="313"/>
      <c r="BF58" s="313"/>
      <c r="BG58" s="313"/>
      <c r="BH58" s="313"/>
      <c r="BI58" s="313"/>
      <c r="BJ58" s="313"/>
      <c r="BK58" s="313"/>
      <c r="BL58" s="313"/>
      <c r="BM58" s="313"/>
      <c r="BN58" s="313"/>
      <c r="BO58" s="313"/>
      <c r="BP58" s="313"/>
      <c r="BQ58" s="313"/>
      <c r="BR58" s="313"/>
      <c r="BS58" s="313"/>
      <c r="BT58" s="313"/>
      <c r="BU58" s="313"/>
      <c r="BV58" s="313"/>
      <c r="BW58" s="313"/>
      <c r="BX58" s="313"/>
    </row>
    <row r="59" spans="1:76" ht="18" customHeight="1" thickBot="1" x14ac:dyDescent="0.4">
      <c r="B59" s="26"/>
      <c r="C59" s="136" t="s">
        <v>257</v>
      </c>
      <c r="D59" s="137"/>
      <c r="E59" s="138"/>
      <c r="F59" s="311"/>
      <c r="G59" s="313">
        <v>50</v>
      </c>
      <c r="H59" s="313">
        <v>50</v>
      </c>
      <c r="I59" s="313">
        <v>75</v>
      </c>
      <c r="J59" s="313">
        <v>100</v>
      </c>
      <c r="K59" s="313">
        <v>50</v>
      </c>
      <c r="L59" s="313">
        <v>50</v>
      </c>
      <c r="M59" s="313">
        <v>50</v>
      </c>
      <c r="N59" s="313">
        <v>50</v>
      </c>
      <c r="O59" s="313">
        <v>50</v>
      </c>
      <c r="P59" s="313">
        <v>50</v>
      </c>
      <c r="Q59" s="313">
        <v>50</v>
      </c>
      <c r="R59" s="313">
        <v>50</v>
      </c>
      <c r="S59" s="313">
        <v>50</v>
      </c>
      <c r="T59" s="313">
        <v>75</v>
      </c>
      <c r="U59" s="313">
        <v>75</v>
      </c>
      <c r="V59" s="313">
        <v>50</v>
      </c>
      <c r="W59" s="313">
        <f>V59</f>
        <v>50</v>
      </c>
      <c r="X59" s="313">
        <v>60</v>
      </c>
      <c r="Y59" s="313">
        <v>50</v>
      </c>
      <c r="Z59" s="313">
        <v>50</v>
      </c>
      <c r="AA59" s="313">
        <f>Z59</f>
        <v>50</v>
      </c>
      <c r="AB59" s="313">
        <v>50</v>
      </c>
      <c r="AC59" s="313">
        <f>AB59</f>
        <v>50</v>
      </c>
      <c r="AD59" s="313">
        <v>50</v>
      </c>
      <c r="AE59" s="313">
        <v>50</v>
      </c>
      <c r="AF59" s="313">
        <v>50</v>
      </c>
      <c r="AG59" s="313">
        <v>50</v>
      </c>
      <c r="AH59" s="364">
        <v>30</v>
      </c>
      <c r="AI59" s="364">
        <v>40</v>
      </c>
      <c r="AJ59" s="364">
        <v>50</v>
      </c>
      <c r="AK59" s="364">
        <v>60</v>
      </c>
      <c r="AL59" s="313"/>
      <c r="AM59" s="313"/>
      <c r="AN59" s="313">
        <v>60</v>
      </c>
      <c r="AO59" s="313">
        <v>80</v>
      </c>
      <c r="AP59" s="313">
        <v>80</v>
      </c>
      <c r="AQ59" s="313">
        <v>100</v>
      </c>
      <c r="AR59" s="313">
        <v>50</v>
      </c>
      <c r="AS59" s="313"/>
      <c r="AT59" s="313">
        <v>30</v>
      </c>
      <c r="AU59" s="313">
        <v>32.5</v>
      </c>
      <c r="AV59" s="313">
        <v>35</v>
      </c>
      <c r="AW59" s="313">
        <v>40</v>
      </c>
      <c r="AX59" s="313">
        <v>45</v>
      </c>
      <c r="AY59" s="313">
        <v>50</v>
      </c>
      <c r="AZ59" s="313"/>
      <c r="BA59" s="313"/>
      <c r="BB59" s="313"/>
      <c r="BC59" s="313"/>
      <c r="BD59" s="313"/>
      <c r="BE59" s="313"/>
      <c r="BF59" s="313"/>
      <c r="BG59" s="313"/>
      <c r="BH59" s="313"/>
      <c r="BI59" s="313"/>
      <c r="BJ59" s="313"/>
      <c r="BK59" s="313"/>
      <c r="BL59" s="313"/>
      <c r="BM59" s="313"/>
      <c r="BN59" s="313"/>
      <c r="BO59" s="278">
        <v>1</v>
      </c>
      <c r="BP59" s="278">
        <v>1.5</v>
      </c>
      <c r="BQ59" s="278">
        <v>0.2</v>
      </c>
      <c r="BR59" s="278">
        <v>3</v>
      </c>
      <c r="BS59" s="278">
        <v>4</v>
      </c>
      <c r="BT59" s="278">
        <v>4</v>
      </c>
      <c r="BU59" s="313"/>
      <c r="BV59" s="313"/>
      <c r="BW59" s="313"/>
      <c r="BX59" s="313"/>
    </row>
    <row r="60" spans="1:76" ht="18" customHeight="1" thickBot="1" x14ac:dyDescent="0.4">
      <c r="B60" s="26"/>
      <c r="C60" s="139" t="s">
        <v>258</v>
      </c>
      <c r="D60" s="140" t="s">
        <v>259</v>
      </c>
      <c r="E60" s="124"/>
      <c r="F60" s="316"/>
      <c r="G60" s="365">
        <v>50</v>
      </c>
      <c r="H60" s="365">
        <v>75</v>
      </c>
      <c r="I60" s="365">
        <v>100</v>
      </c>
      <c r="J60" s="365">
        <v>150</v>
      </c>
      <c r="K60" s="365"/>
      <c r="L60" s="365"/>
      <c r="M60" s="365"/>
      <c r="N60" s="365"/>
      <c r="O60" s="365"/>
      <c r="P60" s="365"/>
      <c r="Q60" s="365"/>
      <c r="R60" s="365">
        <v>50</v>
      </c>
      <c r="S60" s="365">
        <v>75</v>
      </c>
      <c r="T60" s="365">
        <v>100</v>
      </c>
      <c r="U60" s="365">
        <v>100</v>
      </c>
      <c r="V60" s="313">
        <v>50</v>
      </c>
      <c r="W60" s="313">
        <f>V60</f>
        <v>50</v>
      </c>
      <c r="X60" s="313">
        <v>50</v>
      </c>
      <c r="Y60" s="313">
        <v>50</v>
      </c>
      <c r="Z60" s="313">
        <v>50</v>
      </c>
      <c r="AA60" s="313">
        <f>Z60</f>
        <v>50</v>
      </c>
      <c r="AB60" s="313">
        <v>50</v>
      </c>
      <c r="AC60" s="313">
        <f>AB60</f>
        <v>50</v>
      </c>
      <c r="AD60" s="365">
        <v>50</v>
      </c>
      <c r="AE60" s="365">
        <v>50</v>
      </c>
      <c r="AF60" s="365">
        <v>50</v>
      </c>
      <c r="AG60" s="365">
        <v>50</v>
      </c>
      <c r="AH60" s="364"/>
      <c r="AI60" s="364"/>
      <c r="AJ60" s="364"/>
      <c r="AK60" s="364"/>
      <c r="AL60" s="348"/>
      <c r="AM60" s="348"/>
      <c r="AN60" s="348">
        <v>50</v>
      </c>
      <c r="AO60" s="348">
        <v>75</v>
      </c>
      <c r="AP60" s="348">
        <v>75</v>
      </c>
      <c r="AQ60" s="348">
        <v>150</v>
      </c>
      <c r="AR60" s="349">
        <v>50</v>
      </c>
      <c r="AS60" s="365"/>
      <c r="AT60" s="365">
        <v>25</v>
      </c>
      <c r="AU60" s="365">
        <v>27.5</v>
      </c>
      <c r="AV60" s="365">
        <v>30</v>
      </c>
      <c r="AW60" s="365">
        <v>35</v>
      </c>
      <c r="AX60" s="365">
        <v>40</v>
      </c>
      <c r="AY60" s="365">
        <v>45</v>
      </c>
      <c r="AZ60" s="365"/>
      <c r="BA60" s="365"/>
      <c r="BB60" s="365"/>
      <c r="BC60" s="365"/>
      <c r="BD60" s="365"/>
      <c r="BE60" s="365"/>
      <c r="BF60" s="365"/>
      <c r="BG60" s="365"/>
      <c r="BH60" s="365"/>
      <c r="BI60" s="365"/>
      <c r="BJ60" s="365"/>
      <c r="BK60" s="365"/>
      <c r="BL60" s="365"/>
      <c r="BM60" s="365"/>
      <c r="BN60" s="365"/>
      <c r="BO60" s="365"/>
      <c r="BP60" s="365"/>
      <c r="BQ60" s="365"/>
      <c r="BR60" s="365"/>
      <c r="BS60" s="365"/>
      <c r="BT60" s="365"/>
      <c r="BU60" s="365"/>
      <c r="BV60" s="365"/>
      <c r="BW60" s="365"/>
      <c r="BX60" s="365"/>
    </row>
    <row r="61" spans="1:76" ht="18" customHeight="1" thickBot="1" x14ac:dyDescent="0.4">
      <c r="B61" s="26"/>
      <c r="C61" s="141" t="s">
        <v>260</v>
      </c>
      <c r="D61" s="129" t="s">
        <v>261</v>
      </c>
      <c r="E61" s="124"/>
      <c r="F61" s="316"/>
      <c r="G61" s="290" t="s">
        <v>95</v>
      </c>
      <c r="H61" s="290" t="s">
        <v>95</v>
      </c>
      <c r="I61" s="290" t="s">
        <v>96</v>
      </c>
      <c r="J61" s="290" t="s">
        <v>97</v>
      </c>
      <c r="K61" s="366"/>
      <c r="L61" s="366"/>
      <c r="M61" s="366"/>
      <c r="N61" s="366"/>
      <c r="O61" s="366"/>
      <c r="P61" s="366"/>
      <c r="Q61" s="366"/>
      <c r="R61" s="366">
        <v>50</v>
      </c>
      <c r="S61" s="366">
        <v>50</v>
      </c>
      <c r="T61" s="366">
        <v>60</v>
      </c>
      <c r="U61" s="366">
        <v>60</v>
      </c>
      <c r="V61" s="313">
        <v>50</v>
      </c>
      <c r="W61" s="313">
        <f>V61</f>
        <v>50</v>
      </c>
      <c r="X61" s="313">
        <v>100</v>
      </c>
      <c r="Y61" s="313">
        <v>100</v>
      </c>
      <c r="Z61" s="313">
        <v>150</v>
      </c>
      <c r="AA61" s="313">
        <f>Z61</f>
        <v>150</v>
      </c>
      <c r="AB61" s="313">
        <v>200</v>
      </c>
      <c r="AC61" s="313">
        <f>AB61</f>
        <v>200</v>
      </c>
      <c r="AD61" s="366">
        <v>100</v>
      </c>
      <c r="AE61" s="366">
        <v>100</v>
      </c>
      <c r="AF61" s="366">
        <v>150</v>
      </c>
      <c r="AG61" s="366">
        <v>200</v>
      </c>
      <c r="AH61" s="364"/>
      <c r="AI61" s="364"/>
      <c r="AJ61" s="364"/>
      <c r="AK61" s="364"/>
      <c r="AL61" s="348"/>
      <c r="AM61" s="348"/>
      <c r="AN61" s="348"/>
      <c r="AO61" s="348"/>
      <c r="AP61" s="348"/>
      <c r="AQ61" s="348"/>
      <c r="AR61" s="349">
        <v>40</v>
      </c>
      <c r="AS61" s="366"/>
      <c r="AT61" s="366"/>
      <c r="AU61" s="366"/>
      <c r="AV61" s="366"/>
      <c r="AW61" s="366"/>
      <c r="AX61" s="366"/>
      <c r="AY61" s="366"/>
      <c r="AZ61" s="366"/>
      <c r="BA61" s="366"/>
      <c r="BB61" s="366"/>
      <c r="BC61" s="366"/>
      <c r="BD61" s="366"/>
      <c r="BE61" s="366"/>
      <c r="BF61" s="366"/>
      <c r="BG61" s="366"/>
      <c r="BH61" s="366"/>
      <c r="BI61" s="366"/>
      <c r="BJ61" s="366"/>
      <c r="BK61" s="366"/>
      <c r="BL61" s="366"/>
      <c r="BM61" s="366"/>
      <c r="BN61" s="366"/>
      <c r="BO61" s="313">
        <v>25</v>
      </c>
      <c r="BP61" s="313">
        <v>50</v>
      </c>
      <c r="BQ61" s="313">
        <v>75</v>
      </c>
      <c r="BR61" s="313">
        <v>100</v>
      </c>
      <c r="BS61" s="313">
        <v>100</v>
      </c>
      <c r="BT61" s="313">
        <v>100</v>
      </c>
      <c r="BU61" s="366"/>
      <c r="BV61" s="366"/>
      <c r="BW61" s="366"/>
      <c r="BX61" s="366"/>
    </row>
    <row r="62" spans="1:76" ht="16" customHeight="1" thickBot="1" x14ac:dyDescent="0.4">
      <c r="B62" s="26"/>
      <c r="C62" s="95"/>
      <c r="D62" s="96"/>
      <c r="E62" s="97"/>
      <c r="F62" s="299"/>
      <c r="G62" s="328"/>
      <c r="H62" s="328"/>
      <c r="I62" s="328"/>
      <c r="J62" s="328"/>
      <c r="K62" s="328"/>
      <c r="L62" s="328"/>
      <c r="M62" s="328"/>
      <c r="N62" s="328"/>
      <c r="O62" s="328"/>
      <c r="P62" s="328"/>
      <c r="Q62" s="328"/>
      <c r="R62" s="328"/>
      <c r="S62" s="328"/>
      <c r="T62" s="328"/>
      <c r="U62" s="328"/>
      <c r="V62" s="328"/>
      <c r="W62" s="318"/>
      <c r="X62" s="328"/>
      <c r="Y62" s="328"/>
      <c r="Z62" s="328"/>
      <c r="AA62" s="328"/>
      <c r="AB62" s="328"/>
      <c r="AC62" s="328"/>
      <c r="AD62" s="328"/>
      <c r="AE62" s="328"/>
      <c r="AF62" s="328"/>
      <c r="AG62" s="328"/>
      <c r="AH62" s="329"/>
      <c r="AI62" s="329"/>
      <c r="AJ62" s="329"/>
      <c r="AK62" s="329"/>
      <c r="AL62" s="329"/>
      <c r="AM62" s="329"/>
      <c r="AN62" s="329"/>
      <c r="AO62" s="329"/>
      <c r="AP62" s="329"/>
      <c r="AQ62" s="329"/>
      <c r="AR62" s="330"/>
      <c r="AS62" s="328"/>
      <c r="AT62" s="328"/>
      <c r="AU62" s="328"/>
      <c r="AV62" s="328"/>
      <c r="AW62" s="328"/>
      <c r="AX62" s="328"/>
      <c r="AY62" s="328"/>
      <c r="AZ62" s="328"/>
      <c r="BA62" s="328"/>
      <c r="BB62" s="328"/>
      <c r="BC62" s="328"/>
      <c r="BD62" s="328"/>
      <c r="BE62" s="328"/>
      <c r="BF62" s="328"/>
      <c r="BG62" s="328"/>
      <c r="BH62" s="328"/>
      <c r="BI62" s="328"/>
      <c r="BJ62" s="328"/>
      <c r="BK62" s="328"/>
      <c r="BL62" s="328"/>
      <c r="BM62" s="328"/>
      <c r="BN62" s="328"/>
      <c r="BO62" s="328"/>
      <c r="BP62" s="328"/>
      <c r="BQ62" s="328"/>
      <c r="BR62" s="328"/>
      <c r="BS62" s="328"/>
      <c r="BT62" s="328"/>
      <c r="BU62" s="328"/>
      <c r="BV62" s="328"/>
      <c r="BW62" s="328"/>
      <c r="BX62" s="328"/>
    </row>
    <row r="63" spans="1:76" ht="17" customHeight="1" thickBot="1" x14ac:dyDescent="0.5">
      <c r="B63" s="26"/>
      <c r="C63" s="98" t="s">
        <v>262</v>
      </c>
      <c r="D63" s="75"/>
      <c r="E63" s="99"/>
      <c r="F63" s="299"/>
      <c r="G63" s="331"/>
      <c r="H63" s="331"/>
      <c r="I63" s="331"/>
      <c r="J63" s="331"/>
      <c r="K63" s="237"/>
      <c r="L63" s="237"/>
      <c r="M63" s="237"/>
      <c r="N63" s="237"/>
      <c r="O63" s="237"/>
      <c r="P63" s="237"/>
      <c r="Q63" s="237"/>
      <c r="R63" s="332"/>
      <c r="S63" s="332"/>
      <c r="T63" s="332"/>
      <c r="U63" s="332"/>
      <c r="V63" s="333"/>
      <c r="W63" s="334"/>
      <c r="X63" s="333"/>
      <c r="Y63" s="333"/>
      <c r="Z63" s="333"/>
      <c r="AA63" s="333"/>
      <c r="AB63" s="333"/>
      <c r="AC63" s="333"/>
      <c r="AD63" s="335"/>
      <c r="AE63" s="335"/>
      <c r="AF63" s="335"/>
      <c r="AG63" s="335"/>
      <c r="AH63" s="336"/>
      <c r="AI63" s="336"/>
      <c r="AJ63" s="336"/>
      <c r="AK63" s="336"/>
      <c r="AL63" s="337"/>
      <c r="AM63" s="337"/>
      <c r="AN63" s="337"/>
      <c r="AO63" s="337"/>
      <c r="AP63" s="337"/>
      <c r="AQ63" s="337"/>
      <c r="AR63" s="338"/>
      <c r="AS63" s="339"/>
      <c r="AT63" s="339"/>
      <c r="AU63" s="339"/>
      <c r="AV63" s="339"/>
      <c r="AW63" s="339"/>
      <c r="AX63" s="339"/>
      <c r="AY63" s="339"/>
      <c r="AZ63" s="258"/>
      <c r="BA63" s="258"/>
      <c r="BB63" s="258"/>
      <c r="BC63" s="258"/>
      <c r="BD63" s="258"/>
      <c r="BE63" s="258"/>
      <c r="BF63" s="258"/>
      <c r="BG63" s="258"/>
      <c r="BH63" s="258"/>
      <c r="BI63" s="259"/>
      <c r="BJ63" s="259"/>
      <c r="BK63" s="259"/>
      <c r="BL63" s="259"/>
      <c r="BM63" s="259"/>
      <c r="BN63" s="259"/>
      <c r="BO63" s="247"/>
      <c r="BP63" s="247"/>
      <c r="BQ63" s="247"/>
      <c r="BR63" s="247"/>
      <c r="BS63" s="247"/>
      <c r="BT63" s="247"/>
      <c r="BU63" s="340"/>
      <c r="BV63" s="261"/>
      <c r="BW63" s="261"/>
      <c r="BX63" s="261"/>
    </row>
    <row r="64" spans="1:76" ht="16" customHeight="1" thickBot="1" x14ac:dyDescent="0.4">
      <c r="B64" s="26"/>
      <c r="C64" s="142" t="s">
        <v>263</v>
      </c>
      <c r="D64" s="143" t="s">
        <v>264</v>
      </c>
      <c r="E64" s="40"/>
      <c r="F64" s="284"/>
      <c r="G64" s="278">
        <v>1</v>
      </c>
      <c r="H64" s="278">
        <v>1</v>
      </c>
      <c r="I64" s="278">
        <v>1</v>
      </c>
      <c r="J64" s="278">
        <v>1</v>
      </c>
      <c r="K64" s="278">
        <v>1</v>
      </c>
      <c r="L64" s="278">
        <v>1.25</v>
      </c>
      <c r="M64" s="278">
        <v>1.5</v>
      </c>
      <c r="N64" s="278">
        <v>1.75</v>
      </c>
      <c r="O64" s="278">
        <v>2</v>
      </c>
      <c r="P64" s="278">
        <v>3</v>
      </c>
      <c r="Q64" s="278">
        <v>4</v>
      </c>
      <c r="R64" s="278">
        <v>1</v>
      </c>
      <c r="S64" s="278">
        <v>1</v>
      </c>
      <c r="T64" s="278">
        <v>1</v>
      </c>
      <c r="U64" s="278">
        <v>1</v>
      </c>
      <c r="V64" s="278">
        <v>2.7</v>
      </c>
      <c r="W64" s="278">
        <f>V64</f>
        <v>2.7</v>
      </c>
      <c r="X64" s="278">
        <v>3.7</v>
      </c>
      <c r="Y64" s="278">
        <v>3.7</v>
      </c>
      <c r="Z64" s="278">
        <v>4.7</v>
      </c>
      <c r="AA64" s="278">
        <f>Z64</f>
        <v>4.7</v>
      </c>
      <c r="AB64" s="278">
        <v>5.7</v>
      </c>
      <c r="AC64" s="278">
        <v>5.7</v>
      </c>
      <c r="AD64" s="278">
        <v>2.6</v>
      </c>
      <c r="AE64" s="278">
        <v>3.6</v>
      </c>
      <c r="AF64" s="278">
        <v>4.5999999999999996</v>
      </c>
      <c r="AG64" s="278">
        <v>5.6</v>
      </c>
      <c r="AH64" s="278">
        <v>3</v>
      </c>
      <c r="AI64" s="278">
        <v>4</v>
      </c>
      <c r="AJ64" s="278">
        <v>5</v>
      </c>
      <c r="AK64" s="278">
        <v>5.5</v>
      </c>
      <c r="AL64" s="278">
        <v>1</v>
      </c>
      <c r="AM64" s="278">
        <v>1</v>
      </c>
      <c r="AN64" s="278">
        <v>1.5</v>
      </c>
      <c r="AO64" s="278">
        <v>2.5</v>
      </c>
      <c r="AP64" s="278">
        <v>3</v>
      </c>
      <c r="AQ64" s="278">
        <v>5</v>
      </c>
      <c r="AR64" s="278"/>
      <c r="AS64" s="278">
        <v>1</v>
      </c>
      <c r="AT64" s="278">
        <v>1</v>
      </c>
      <c r="AU64" s="278">
        <v>1</v>
      </c>
      <c r="AV64" s="278">
        <v>1</v>
      </c>
      <c r="AW64" s="278">
        <v>1</v>
      </c>
      <c r="AX64" s="278">
        <v>1</v>
      </c>
      <c r="AY64" s="278">
        <v>1</v>
      </c>
      <c r="AZ64" s="278"/>
      <c r="BA64" s="278"/>
      <c r="BB64" s="278"/>
      <c r="BC64" s="278"/>
      <c r="BD64" s="278"/>
      <c r="BE64" s="278"/>
      <c r="BF64" s="278"/>
      <c r="BG64" s="278"/>
      <c r="BH64" s="278"/>
      <c r="BI64" s="278"/>
      <c r="BJ64" s="278"/>
      <c r="BK64" s="278"/>
      <c r="BL64" s="278"/>
      <c r="BM64" s="278"/>
      <c r="BN64" s="278"/>
      <c r="BO64" s="278">
        <v>1</v>
      </c>
      <c r="BP64" s="278">
        <v>1.5</v>
      </c>
      <c r="BQ64" s="278">
        <v>2.5</v>
      </c>
      <c r="BR64" s="278">
        <v>3.5</v>
      </c>
      <c r="BS64" s="278">
        <v>4.5</v>
      </c>
      <c r="BT64" s="278">
        <v>4.5</v>
      </c>
      <c r="BU64" s="278"/>
      <c r="BV64" s="278"/>
      <c r="BW64" s="278"/>
      <c r="BX64" s="278"/>
    </row>
    <row r="65" spans="1:600" ht="16" customHeight="1" thickBot="1" x14ac:dyDescent="0.4">
      <c r="B65" s="26"/>
      <c r="C65" s="144"/>
      <c r="D65" s="145" t="s">
        <v>265</v>
      </c>
      <c r="E65" s="94"/>
      <c r="F65" s="325"/>
      <c r="G65" s="327">
        <v>650</v>
      </c>
      <c r="H65" s="327">
        <v>700</v>
      </c>
      <c r="I65" s="327">
        <v>750</v>
      </c>
      <c r="J65" s="327">
        <v>850</v>
      </c>
      <c r="K65" s="327"/>
      <c r="L65" s="327"/>
      <c r="M65" s="327"/>
      <c r="N65" s="327"/>
      <c r="O65" s="327"/>
      <c r="P65" s="327"/>
      <c r="Q65" s="327"/>
      <c r="R65" s="327">
        <v>650</v>
      </c>
      <c r="S65" s="327">
        <v>700</v>
      </c>
      <c r="T65" s="327">
        <v>750</v>
      </c>
      <c r="U65" s="327">
        <v>750</v>
      </c>
      <c r="V65" s="327"/>
      <c r="W65" s="327"/>
      <c r="X65" s="327"/>
      <c r="Y65" s="327"/>
      <c r="Z65" s="327"/>
      <c r="AA65" s="327"/>
      <c r="AB65" s="327"/>
      <c r="AC65" s="327"/>
      <c r="AD65" s="327"/>
      <c r="AE65" s="327"/>
      <c r="AF65" s="327"/>
      <c r="AG65" s="327"/>
      <c r="AH65" s="327"/>
      <c r="AI65" s="327"/>
      <c r="AJ65" s="327"/>
      <c r="AK65" s="327"/>
      <c r="AL65" s="327"/>
      <c r="AM65" s="327"/>
      <c r="AN65" s="327"/>
      <c r="AO65" s="327"/>
      <c r="AP65" s="327"/>
      <c r="AQ65" s="327"/>
      <c r="AR65" s="327">
        <v>1200</v>
      </c>
      <c r="AS65" s="327"/>
      <c r="AT65" s="327">
        <v>100</v>
      </c>
      <c r="AU65" s="327">
        <v>150</v>
      </c>
      <c r="AV65" s="327">
        <v>200</v>
      </c>
      <c r="AW65" s="327">
        <v>300</v>
      </c>
      <c r="AX65" s="327">
        <v>400</v>
      </c>
      <c r="AY65" s="327">
        <v>500</v>
      </c>
      <c r="AZ65" s="327"/>
      <c r="BA65" s="327"/>
      <c r="BB65" s="327"/>
      <c r="BC65" s="327"/>
      <c r="BD65" s="327"/>
      <c r="BE65" s="327"/>
      <c r="BF65" s="327"/>
      <c r="BG65" s="327"/>
      <c r="BH65" s="327"/>
      <c r="BI65" s="327"/>
      <c r="BJ65" s="327"/>
      <c r="BK65" s="327"/>
      <c r="BL65" s="327"/>
      <c r="BM65" s="327"/>
      <c r="BN65" s="327"/>
      <c r="BO65" s="327"/>
      <c r="BP65" s="327"/>
      <c r="BQ65" s="327"/>
      <c r="BR65" s="327"/>
      <c r="BS65" s="327"/>
      <c r="BT65" s="327"/>
      <c r="BU65" s="327"/>
      <c r="BV65" s="327"/>
      <c r="BW65" s="327"/>
      <c r="BX65" s="327"/>
    </row>
    <row r="66" spans="1:600" ht="16" customHeight="1" thickBot="1" x14ac:dyDescent="0.4">
      <c r="B66" s="26"/>
      <c r="C66" s="144"/>
      <c r="D66" s="145" t="s">
        <v>266</v>
      </c>
      <c r="E66" s="146">
        <v>199</v>
      </c>
      <c r="F66" s="325"/>
      <c r="G66" s="327">
        <f>G64*199+G65</f>
        <v>849</v>
      </c>
      <c r="H66" s="327">
        <f>H64*199+H65</f>
        <v>899</v>
      </c>
      <c r="I66" s="327">
        <f>I64*199+I65</f>
        <v>949</v>
      </c>
      <c r="J66" s="327">
        <f>J64*199+J65</f>
        <v>1049</v>
      </c>
      <c r="K66" s="327">
        <f>K64*199</f>
        <v>199</v>
      </c>
      <c r="L66" s="327">
        <f>L64*199</f>
        <v>248.75</v>
      </c>
      <c r="M66" s="327">
        <f>M64*199</f>
        <v>298.5</v>
      </c>
      <c r="N66" s="327">
        <f>N64*199</f>
        <v>348.25</v>
      </c>
      <c r="O66" s="327">
        <f>O64*199</f>
        <v>398</v>
      </c>
      <c r="P66" s="327">
        <f>P64*199</f>
        <v>597</v>
      </c>
      <c r="Q66" s="327">
        <f>Q64*199</f>
        <v>796</v>
      </c>
      <c r="R66" s="327">
        <f>R64*199+R65</f>
        <v>849</v>
      </c>
      <c r="S66" s="327">
        <f>S64*199+S65</f>
        <v>899</v>
      </c>
      <c r="T66" s="327">
        <f>T64*199+T65</f>
        <v>949</v>
      </c>
      <c r="U66" s="327">
        <f>U64*199+U65</f>
        <v>949</v>
      </c>
      <c r="V66" s="327">
        <f>V64*199+V65</f>
        <v>537.30000000000007</v>
      </c>
      <c r="W66" s="327">
        <f>W64*199+W65</f>
        <v>537.30000000000007</v>
      </c>
      <c r="X66" s="327">
        <f>X64*199+X65</f>
        <v>736.30000000000007</v>
      </c>
      <c r="Y66" s="327">
        <f>Y64*199+Y65</f>
        <v>736.30000000000007</v>
      </c>
      <c r="Z66" s="327">
        <f>Z64*199+Z65</f>
        <v>935.30000000000007</v>
      </c>
      <c r="AA66" s="327">
        <f>AA64*199+AA65</f>
        <v>935.30000000000007</v>
      </c>
      <c r="AB66" s="327">
        <f>AB64*199+AB65</f>
        <v>1134.3</v>
      </c>
      <c r="AC66" s="327">
        <f>AC64*199+AC65</f>
        <v>1134.3</v>
      </c>
      <c r="AD66" s="327">
        <f>AD64*199+AD65</f>
        <v>517.4</v>
      </c>
      <c r="AE66" s="327">
        <f>AE64*199+AE65</f>
        <v>716.4</v>
      </c>
      <c r="AF66" s="327">
        <f>AF64*199+AF65</f>
        <v>915.4</v>
      </c>
      <c r="AG66" s="327">
        <f>AG64*199+AG65</f>
        <v>1114.3999999999999</v>
      </c>
      <c r="AH66" s="327">
        <f>AH64*199+AH65</f>
        <v>597</v>
      </c>
      <c r="AI66" s="327">
        <f>AI64*199+AI65</f>
        <v>796</v>
      </c>
      <c r="AJ66" s="327">
        <f>AJ64*199+AJ65</f>
        <v>995</v>
      </c>
      <c r="AK66" s="327">
        <f>AK64*199+AK65</f>
        <v>1094.5</v>
      </c>
      <c r="AL66" s="327">
        <f>AL64*199+AL65</f>
        <v>199</v>
      </c>
      <c r="AM66" s="327">
        <f>AM64*199+AM65</f>
        <v>199</v>
      </c>
      <c r="AN66" s="327">
        <f>AN64*199+AN65</f>
        <v>298.5</v>
      </c>
      <c r="AO66" s="327">
        <f>AO64*199+AO65</f>
        <v>497.5</v>
      </c>
      <c r="AP66" s="327">
        <f>AP64*199+AP65</f>
        <v>597</v>
      </c>
      <c r="AQ66" s="327">
        <f>AQ64*199+AQ65</f>
        <v>995</v>
      </c>
      <c r="AR66" s="327">
        <v>1200</v>
      </c>
      <c r="AS66" s="327">
        <f>(AS64*199)+AS65</f>
        <v>199</v>
      </c>
      <c r="AT66" s="327">
        <f>(AT64*199)+AT65</f>
        <v>299</v>
      </c>
      <c r="AU66" s="327">
        <f>(AU64*199)+AU65</f>
        <v>349</v>
      </c>
      <c r="AV66" s="327">
        <f>(AV64*199)+AV65</f>
        <v>399</v>
      </c>
      <c r="AW66" s="327">
        <f>(AW64*199)+AW65</f>
        <v>499</v>
      </c>
      <c r="AX66" s="327">
        <f>(AX64*199)+AX65</f>
        <v>599</v>
      </c>
      <c r="AY66" s="327">
        <f>(AY64*199)+AY65</f>
        <v>699</v>
      </c>
      <c r="AZ66" s="327"/>
      <c r="BA66" s="327"/>
      <c r="BB66" s="327"/>
      <c r="BC66" s="327"/>
      <c r="BD66" s="327"/>
      <c r="BE66" s="327"/>
      <c r="BF66" s="327"/>
      <c r="BG66" s="327"/>
      <c r="BH66" s="327"/>
      <c r="BI66" s="327"/>
      <c r="BJ66" s="327"/>
      <c r="BK66" s="327"/>
      <c r="BL66" s="327"/>
      <c r="BM66" s="327"/>
      <c r="BN66" s="327"/>
      <c r="BO66" s="327">
        <f>BO64*199</f>
        <v>199</v>
      </c>
      <c r="BP66" s="327">
        <f>BP64*199</f>
        <v>298.5</v>
      </c>
      <c r="BQ66" s="327">
        <f>BQ64*199</f>
        <v>497.5</v>
      </c>
      <c r="BR66" s="327">
        <f>BR64*199</f>
        <v>696.5</v>
      </c>
      <c r="BS66" s="327">
        <f>BS64*199</f>
        <v>895.5</v>
      </c>
      <c r="BT66" s="327">
        <f>BT64*199</f>
        <v>895.5</v>
      </c>
      <c r="BU66" s="327"/>
      <c r="BV66" s="327"/>
      <c r="BW66" s="327"/>
      <c r="BX66" s="327"/>
    </row>
    <row r="67" spans="1:600" ht="16" customHeight="1" thickBot="1" x14ac:dyDescent="0.4">
      <c r="A67" s="262"/>
      <c r="B67" s="26"/>
      <c r="C67" s="147"/>
      <c r="D67" s="148" t="s">
        <v>267</v>
      </c>
      <c r="E67" s="40"/>
      <c r="F67" s="284"/>
      <c r="G67" s="278">
        <v>2.5</v>
      </c>
      <c r="H67" s="278">
        <v>3</v>
      </c>
      <c r="I67" s="278">
        <v>3.5</v>
      </c>
      <c r="J67" s="278">
        <v>5</v>
      </c>
      <c r="K67" s="278">
        <v>1</v>
      </c>
      <c r="L67" s="278">
        <v>1.25</v>
      </c>
      <c r="M67" s="278">
        <v>1.5</v>
      </c>
      <c r="N67" s="278">
        <v>1.75</v>
      </c>
      <c r="O67" s="278">
        <v>2</v>
      </c>
      <c r="P67" s="278">
        <v>3</v>
      </c>
      <c r="Q67" s="278">
        <v>4</v>
      </c>
      <c r="R67" s="278">
        <v>2.5</v>
      </c>
      <c r="S67" s="278">
        <v>3</v>
      </c>
      <c r="T67" s="278">
        <v>3.5</v>
      </c>
      <c r="U67" s="278">
        <v>3.5</v>
      </c>
      <c r="V67" s="278">
        <v>2.7</v>
      </c>
      <c r="W67" s="278">
        <f>V67</f>
        <v>2.7</v>
      </c>
      <c r="X67" s="278">
        <v>3.7</v>
      </c>
      <c r="Y67" s="278">
        <v>3.7</v>
      </c>
      <c r="Z67" s="278">
        <v>4.7</v>
      </c>
      <c r="AA67" s="278">
        <f>Z67</f>
        <v>4.7</v>
      </c>
      <c r="AB67" s="278">
        <v>5.7</v>
      </c>
      <c r="AC67" s="278">
        <v>5.7</v>
      </c>
      <c r="AD67" s="278">
        <f>AD64</f>
        <v>2.6</v>
      </c>
      <c r="AE67" s="278">
        <f>AE64</f>
        <v>3.6</v>
      </c>
      <c r="AF67" s="278">
        <f>AF64</f>
        <v>4.5999999999999996</v>
      </c>
      <c r="AG67" s="278">
        <f>AG64</f>
        <v>5.6</v>
      </c>
      <c r="AH67" s="278">
        <v>3</v>
      </c>
      <c r="AI67" s="278">
        <v>4</v>
      </c>
      <c r="AJ67" s="278">
        <v>5</v>
      </c>
      <c r="AK67" s="278">
        <v>5.5</v>
      </c>
      <c r="AL67" s="278">
        <v>1</v>
      </c>
      <c r="AM67" s="278">
        <v>1</v>
      </c>
      <c r="AN67" s="278">
        <v>1.5</v>
      </c>
      <c r="AO67" s="278">
        <v>2.5</v>
      </c>
      <c r="AP67" s="278">
        <v>3</v>
      </c>
      <c r="AQ67" s="278">
        <v>5</v>
      </c>
      <c r="AR67" s="367"/>
      <c r="AS67" s="278">
        <v>1</v>
      </c>
      <c r="AT67" s="278">
        <v>1</v>
      </c>
      <c r="AU67" s="278">
        <v>1</v>
      </c>
      <c r="AV67" s="278">
        <v>1</v>
      </c>
      <c r="AW67" s="278">
        <v>1</v>
      </c>
      <c r="AX67" s="278">
        <v>1</v>
      </c>
      <c r="AY67" s="278">
        <v>1</v>
      </c>
      <c r="AZ67" s="278"/>
      <c r="BA67" s="278"/>
      <c r="BB67" s="278"/>
      <c r="BC67" s="278"/>
      <c r="BD67" s="278"/>
      <c r="BE67" s="278"/>
      <c r="BF67" s="278"/>
      <c r="BG67" s="278"/>
      <c r="BH67" s="278"/>
      <c r="BI67" s="278"/>
      <c r="BJ67" s="278"/>
      <c r="BK67" s="278"/>
      <c r="BL67" s="278"/>
      <c r="BM67" s="278"/>
      <c r="BN67" s="278"/>
      <c r="BO67" s="278">
        <v>1.5</v>
      </c>
      <c r="BP67" s="278">
        <v>2.5</v>
      </c>
      <c r="BQ67" s="278">
        <v>3.5</v>
      </c>
      <c r="BR67" s="278">
        <v>4.5</v>
      </c>
      <c r="BS67" s="278">
        <v>4.5</v>
      </c>
      <c r="BT67" s="278">
        <v>4.5</v>
      </c>
      <c r="BU67" s="278"/>
      <c r="BV67" s="278"/>
      <c r="BW67" s="278"/>
      <c r="BX67" s="278"/>
    </row>
    <row r="68" spans="1:600" ht="16" customHeight="1" thickBot="1" x14ac:dyDescent="0.4">
      <c r="A68" s="262"/>
      <c r="B68" s="26"/>
      <c r="C68" s="149"/>
      <c r="D68" s="145" t="s">
        <v>266</v>
      </c>
      <c r="E68" s="150">
        <v>2100</v>
      </c>
      <c r="F68" s="325"/>
      <c r="G68" s="327">
        <f>G67*1400</f>
        <v>3500</v>
      </c>
      <c r="H68" s="327">
        <f>H67*1400</f>
        <v>4200</v>
      </c>
      <c r="I68" s="327">
        <f>I67*1400</f>
        <v>4900</v>
      </c>
      <c r="J68" s="327">
        <f>J67*1400</f>
        <v>7000</v>
      </c>
      <c r="K68" s="327">
        <f>K67*1400</f>
        <v>1400</v>
      </c>
      <c r="L68" s="327">
        <f>L67*1400</f>
        <v>1750</v>
      </c>
      <c r="M68" s="327">
        <f>M67*1400</f>
        <v>2100</v>
      </c>
      <c r="N68" s="327">
        <f>N67*1400</f>
        <v>2450</v>
      </c>
      <c r="O68" s="327">
        <f>O67*1400</f>
        <v>2800</v>
      </c>
      <c r="P68" s="327">
        <f>P67*1400</f>
        <v>4200</v>
      </c>
      <c r="Q68" s="327">
        <f>Q67*1400</f>
        <v>5600</v>
      </c>
      <c r="R68" s="327">
        <f>R67*1400</f>
        <v>3500</v>
      </c>
      <c r="S68" s="327">
        <f>S67*1400</f>
        <v>4200</v>
      </c>
      <c r="T68" s="327">
        <f>T67*1400</f>
        <v>4900</v>
      </c>
      <c r="U68" s="327">
        <f>U67*1400</f>
        <v>4900</v>
      </c>
      <c r="V68" s="327">
        <f>V67*1400</f>
        <v>3780.0000000000005</v>
      </c>
      <c r="W68" s="327">
        <f>W67*1400</f>
        <v>3780.0000000000005</v>
      </c>
      <c r="X68" s="327">
        <f>X67*1400</f>
        <v>5180</v>
      </c>
      <c r="Y68" s="327">
        <f>Y67*1400</f>
        <v>5180</v>
      </c>
      <c r="Z68" s="327">
        <f>Z67*1400</f>
        <v>6580</v>
      </c>
      <c r="AA68" s="327">
        <f>AA67*1400</f>
        <v>6580</v>
      </c>
      <c r="AB68" s="327">
        <f>AB67*1400</f>
        <v>7980</v>
      </c>
      <c r="AC68" s="327">
        <f>AC67*1400</f>
        <v>7980</v>
      </c>
      <c r="AD68" s="327">
        <f>AD67*1400</f>
        <v>3640</v>
      </c>
      <c r="AE68" s="327">
        <f>AE67*1400</f>
        <v>5040</v>
      </c>
      <c r="AF68" s="327">
        <f>AF67*1400</f>
        <v>6439.9999999999991</v>
      </c>
      <c r="AG68" s="327">
        <f>AG67*1400</f>
        <v>7839.9999999999991</v>
      </c>
      <c r="AH68" s="327">
        <f>AH67*1400</f>
        <v>4200</v>
      </c>
      <c r="AI68" s="327">
        <f>AI67*1400</f>
        <v>5600</v>
      </c>
      <c r="AJ68" s="327">
        <f>AJ67*1400</f>
        <v>7000</v>
      </c>
      <c r="AK68" s="327">
        <f>AK67*1400</f>
        <v>7700</v>
      </c>
      <c r="AL68" s="327">
        <f>AL67*1400</f>
        <v>1400</v>
      </c>
      <c r="AM68" s="327">
        <f>AM67*1400</f>
        <v>1400</v>
      </c>
      <c r="AN68" s="327">
        <f>AN67*1400</f>
        <v>2100</v>
      </c>
      <c r="AO68" s="327">
        <f>AO67*1400</f>
        <v>3500</v>
      </c>
      <c r="AP68" s="327">
        <f>AP67*1400</f>
        <v>4200</v>
      </c>
      <c r="AQ68" s="327">
        <f>AQ67*1400</f>
        <v>7000</v>
      </c>
      <c r="AR68" s="367"/>
      <c r="AS68" s="327">
        <f>(AS67*1400)+AS65</f>
        <v>1400</v>
      </c>
      <c r="AT68" s="327">
        <f>(AT67*1400)+AT65</f>
        <v>1500</v>
      </c>
      <c r="AU68" s="327">
        <f>(AU67*1400)+AU65</f>
        <v>1550</v>
      </c>
      <c r="AV68" s="327">
        <f>(AV67*1400)+AV65</f>
        <v>1600</v>
      </c>
      <c r="AW68" s="327">
        <f>(AW67*1400)+AW65</f>
        <v>1700</v>
      </c>
      <c r="AX68" s="327">
        <f>(AX67*1400)+AX65</f>
        <v>1800</v>
      </c>
      <c r="AY68" s="327">
        <f>(AY67*1400)+AY65</f>
        <v>1900</v>
      </c>
      <c r="AZ68" s="327"/>
      <c r="BA68" s="327"/>
      <c r="BB68" s="327"/>
      <c r="BC68" s="327"/>
      <c r="BD68" s="327"/>
      <c r="BE68" s="327"/>
      <c r="BF68" s="327"/>
      <c r="BG68" s="327"/>
      <c r="BH68" s="327"/>
      <c r="BI68" s="327"/>
      <c r="BJ68" s="327"/>
      <c r="BK68" s="327"/>
      <c r="BL68" s="327"/>
      <c r="BM68" s="327"/>
      <c r="BN68" s="327"/>
      <c r="BO68" s="327">
        <f>BO67*1400</f>
        <v>2100</v>
      </c>
      <c r="BP68" s="327">
        <f>BP67*1400</f>
        <v>3500</v>
      </c>
      <c r="BQ68" s="327">
        <f>BQ67*1400</f>
        <v>4900</v>
      </c>
      <c r="BR68" s="327">
        <f>BR67*1400</f>
        <v>6300</v>
      </c>
      <c r="BS68" s="327">
        <f>BS67*1400</f>
        <v>6300</v>
      </c>
      <c r="BT68" s="327">
        <f>BT67*1400</f>
        <v>6300</v>
      </c>
      <c r="BU68" s="327"/>
      <c r="BV68" s="327"/>
      <c r="BW68" s="327"/>
      <c r="BX68" s="327"/>
    </row>
    <row r="69" spans="1:600" s="228" customFormat="1" ht="16" customHeight="1" thickBot="1" x14ac:dyDescent="0.4">
      <c r="B69" s="26"/>
      <c r="C69" s="151" t="s">
        <v>268</v>
      </c>
      <c r="D69" s="152"/>
      <c r="E69" s="153"/>
      <c r="F69" s="284"/>
      <c r="G69" s="278">
        <v>1.2</v>
      </c>
      <c r="H69" s="278">
        <v>1.4</v>
      </c>
      <c r="I69" s="278">
        <v>1.6</v>
      </c>
      <c r="J69" s="278">
        <v>2.5</v>
      </c>
      <c r="K69" s="278">
        <v>1</v>
      </c>
      <c r="L69" s="278">
        <v>1.25</v>
      </c>
      <c r="M69" s="278">
        <v>1.5</v>
      </c>
      <c r="N69" s="278">
        <v>1.75</v>
      </c>
      <c r="O69" s="278">
        <v>2</v>
      </c>
      <c r="P69" s="278">
        <v>3</v>
      </c>
      <c r="Q69" s="278">
        <v>4</v>
      </c>
      <c r="R69" s="278">
        <v>1.2</v>
      </c>
      <c r="S69" s="278">
        <v>1.4</v>
      </c>
      <c r="T69" s="278">
        <v>1.6</v>
      </c>
      <c r="U69" s="278">
        <v>1.6</v>
      </c>
      <c r="V69" s="278">
        <v>2.6</v>
      </c>
      <c r="W69" s="278">
        <f>V69</f>
        <v>2.6</v>
      </c>
      <c r="X69" s="278">
        <v>3.7</v>
      </c>
      <c r="Y69" s="278">
        <v>3.7</v>
      </c>
      <c r="Z69" s="278">
        <v>4.7</v>
      </c>
      <c r="AA69" s="278">
        <f>Z69</f>
        <v>4.7</v>
      </c>
      <c r="AB69" s="278">
        <v>5.7</v>
      </c>
      <c r="AC69" s="278">
        <v>5.7</v>
      </c>
      <c r="AD69" s="278">
        <v>2.6</v>
      </c>
      <c r="AE69" s="278">
        <v>3.6</v>
      </c>
      <c r="AF69" s="278">
        <v>4.5999999999999996</v>
      </c>
      <c r="AG69" s="278">
        <v>5.6</v>
      </c>
      <c r="AH69" s="278">
        <v>3</v>
      </c>
      <c r="AI69" s="278">
        <v>4</v>
      </c>
      <c r="AJ69" s="278">
        <v>5</v>
      </c>
      <c r="AK69" s="278">
        <v>5.5</v>
      </c>
      <c r="AL69" s="278">
        <v>1</v>
      </c>
      <c r="AM69" s="278">
        <v>1</v>
      </c>
      <c r="AN69" s="278">
        <v>1.5</v>
      </c>
      <c r="AO69" s="278">
        <v>2.5</v>
      </c>
      <c r="AP69" s="278">
        <v>3</v>
      </c>
      <c r="AQ69" s="278">
        <v>5</v>
      </c>
      <c r="AR69" s="368" t="s">
        <v>100</v>
      </c>
      <c r="AS69" s="278">
        <v>1</v>
      </c>
      <c r="AT69" s="278">
        <v>1</v>
      </c>
      <c r="AU69" s="278">
        <v>1.5</v>
      </c>
      <c r="AV69" s="278">
        <v>2</v>
      </c>
      <c r="AW69" s="278">
        <v>3</v>
      </c>
      <c r="AX69" s="278">
        <v>4</v>
      </c>
      <c r="AY69" s="278">
        <v>5</v>
      </c>
      <c r="AZ69" s="278"/>
      <c r="BA69" s="278"/>
      <c r="BB69" s="278"/>
      <c r="BC69" s="278"/>
      <c r="BD69" s="278"/>
      <c r="BE69" s="278"/>
      <c r="BF69" s="278"/>
      <c r="BG69" s="278"/>
      <c r="BH69" s="278"/>
      <c r="BI69" s="278"/>
      <c r="BJ69" s="278"/>
      <c r="BK69" s="278"/>
      <c r="BL69" s="278"/>
      <c r="BM69" s="278"/>
      <c r="BN69" s="278"/>
      <c r="BO69" s="278">
        <v>1</v>
      </c>
      <c r="BP69" s="278">
        <v>1.5</v>
      </c>
      <c r="BQ69" s="278">
        <v>2.5</v>
      </c>
      <c r="BR69" s="278">
        <v>3.5</v>
      </c>
      <c r="BS69" s="278">
        <v>4.5</v>
      </c>
      <c r="BT69" s="278">
        <v>4.5</v>
      </c>
      <c r="BU69" s="278"/>
      <c r="BV69" s="278"/>
      <c r="BW69" s="278"/>
      <c r="BX69" s="278"/>
      <c r="BY69" s="224"/>
      <c r="BZ69" s="224"/>
      <c r="CA69" s="224"/>
      <c r="CB69" s="224"/>
      <c r="CC69" s="224"/>
      <c r="CD69" s="224"/>
      <c r="CE69" s="224"/>
      <c r="CF69" s="224"/>
      <c r="CG69" s="224"/>
      <c r="CH69" s="224"/>
      <c r="CI69" s="224"/>
      <c r="CJ69" s="224"/>
      <c r="CK69" s="224"/>
      <c r="CL69" s="224"/>
      <c r="CM69" s="224"/>
      <c r="CN69" s="224"/>
      <c r="CO69" s="224"/>
      <c r="CP69" s="224"/>
      <c r="CQ69" s="224"/>
      <c r="CR69" s="224"/>
      <c r="CS69" s="224"/>
      <c r="CT69" s="224"/>
      <c r="CU69" s="224"/>
      <c r="CV69" s="224"/>
      <c r="CW69" s="224"/>
      <c r="CX69" s="224"/>
      <c r="CY69" s="224"/>
      <c r="CZ69" s="224"/>
      <c r="DA69" s="224"/>
      <c r="DB69" s="224"/>
      <c r="DC69" s="224"/>
      <c r="DD69" s="224"/>
      <c r="DE69" s="224"/>
      <c r="DF69" s="224"/>
      <c r="DG69" s="224"/>
      <c r="DH69" s="224"/>
      <c r="DI69" s="224"/>
      <c r="DJ69" s="224"/>
      <c r="DK69" s="224"/>
      <c r="DL69" s="224"/>
      <c r="DM69" s="224"/>
      <c r="DN69" s="224"/>
      <c r="DO69" s="224"/>
      <c r="DP69" s="224"/>
      <c r="DQ69" s="224"/>
      <c r="DR69" s="224"/>
      <c r="DS69" s="224"/>
      <c r="DT69" s="224"/>
      <c r="DU69" s="224"/>
      <c r="DV69" s="224"/>
      <c r="DW69" s="224"/>
      <c r="DX69" s="224"/>
      <c r="DY69" s="224"/>
      <c r="DZ69" s="224"/>
      <c r="EA69" s="224"/>
      <c r="EB69" s="224"/>
      <c r="EC69" s="224"/>
      <c r="ED69" s="224"/>
      <c r="EE69" s="224"/>
      <c r="EF69" s="224"/>
      <c r="EG69" s="224"/>
      <c r="EH69" s="224"/>
      <c r="EI69" s="224"/>
      <c r="EJ69" s="224"/>
      <c r="EK69" s="224"/>
      <c r="EL69" s="224"/>
      <c r="EM69" s="224"/>
      <c r="EN69" s="224"/>
      <c r="EO69" s="224"/>
      <c r="EP69" s="224"/>
      <c r="EQ69" s="224"/>
      <c r="ER69" s="224"/>
      <c r="ES69" s="224"/>
      <c r="ET69" s="224"/>
      <c r="EU69" s="224"/>
      <c r="EV69" s="224"/>
      <c r="EW69" s="224"/>
      <c r="EX69" s="224"/>
      <c r="EY69" s="224"/>
      <c r="EZ69" s="224"/>
      <c r="FA69" s="224"/>
      <c r="FB69" s="224"/>
      <c r="FC69" s="224"/>
      <c r="FD69" s="224"/>
      <c r="FE69" s="224"/>
      <c r="FF69" s="224"/>
      <c r="FG69" s="224"/>
      <c r="FH69" s="224"/>
      <c r="FI69" s="224"/>
      <c r="FJ69" s="224"/>
      <c r="FK69" s="224"/>
      <c r="FL69" s="224"/>
      <c r="FM69" s="224"/>
      <c r="FN69" s="224"/>
      <c r="FO69" s="224"/>
      <c r="FP69" s="224"/>
      <c r="FQ69" s="224"/>
      <c r="FR69" s="224"/>
      <c r="FS69" s="224"/>
      <c r="FT69" s="224"/>
      <c r="FU69" s="224"/>
      <c r="FV69" s="224"/>
      <c r="FW69" s="224"/>
      <c r="FX69" s="224"/>
      <c r="FY69" s="224"/>
      <c r="FZ69" s="224"/>
      <c r="GA69" s="224"/>
      <c r="GB69" s="224"/>
      <c r="GC69" s="224"/>
      <c r="GD69" s="224"/>
      <c r="GE69" s="224"/>
      <c r="GF69" s="224"/>
      <c r="GG69" s="224"/>
      <c r="GH69" s="224"/>
      <c r="GI69" s="224"/>
      <c r="GJ69" s="224"/>
      <c r="GK69" s="224"/>
      <c r="GL69" s="224"/>
      <c r="GM69" s="224"/>
      <c r="GN69" s="224"/>
      <c r="GO69" s="224"/>
      <c r="GP69" s="224"/>
      <c r="GQ69" s="224"/>
      <c r="GR69" s="224"/>
      <c r="GS69" s="224"/>
      <c r="GT69" s="224"/>
      <c r="GU69" s="224"/>
      <c r="GV69" s="224"/>
      <c r="GW69" s="224"/>
      <c r="GX69" s="224"/>
      <c r="GY69" s="224"/>
      <c r="GZ69" s="224"/>
      <c r="HA69" s="224"/>
      <c r="HB69" s="224"/>
      <c r="HC69" s="224"/>
      <c r="HD69" s="224"/>
      <c r="HE69" s="224"/>
      <c r="HF69" s="224"/>
      <c r="HG69" s="224"/>
      <c r="HH69" s="224"/>
      <c r="HI69" s="224"/>
      <c r="HJ69" s="224"/>
      <c r="HK69" s="224"/>
      <c r="HL69" s="224"/>
      <c r="HM69" s="224"/>
      <c r="HN69" s="224"/>
      <c r="HO69" s="224"/>
      <c r="HP69" s="224"/>
      <c r="HQ69" s="224"/>
      <c r="HR69" s="224"/>
      <c r="HS69" s="224"/>
      <c r="HT69" s="224"/>
      <c r="HU69" s="224"/>
      <c r="HV69" s="224"/>
      <c r="HW69" s="224"/>
      <c r="HX69" s="224"/>
      <c r="HY69" s="224"/>
      <c r="HZ69" s="224"/>
      <c r="IA69" s="224"/>
      <c r="IB69" s="224"/>
      <c r="IC69" s="224"/>
      <c r="ID69" s="224"/>
      <c r="IE69" s="224"/>
      <c r="IF69" s="224"/>
      <c r="IG69" s="224"/>
      <c r="IH69" s="224"/>
      <c r="II69" s="224"/>
      <c r="IJ69" s="224"/>
      <c r="IK69" s="224"/>
      <c r="IL69" s="224"/>
      <c r="IM69" s="224"/>
      <c r="IN69" s="224"/>
      <c r="IO69" s="224"/>
      <c r="IP69" s="224"/>
      <c r="IQ69" s="224"/>
      <c r="IR69" s="224"/>
      <c r="IS69" s="224"/>
      <c r="IT69" s="224"/>
      <c r="IU69" s="224"/>
      <c r="IV69" s="224"/>
      <c r="IW69" s="224"/>
      <c r="IX69" s="224"/>
      <c r="IY69" s="224"/>
      <c r="IZ69" s="224"/>
      <c r="JA69" s="224"/>
      <c r="JB69" s="224"/>
      <c r="JC69" s="224"/>
      <c r="JD69" s="224"/>
      <c r="JE69" s="224"/>
      <c r="JF69" s="224"/>
      <c r="JG69" s="224"/>
      <c r="JH69" s="224"/>
      <c r="JI69" s="224"/>
      <c r="JJ69" s="224"/>
      <c r="JK69" s="224"/>
      <c r="JL69" s="224"/>
      <c r="JM69" s="224"/>
      <c r="JN69" s="224"/>
      <c r="JO69" s="224"/>
      <c r="JP69" s="224"/>
      <c r="JQ69" s="224"/>
      <c r="JR69" s="224"/>
      <c r="JS69" s="224"/>
      <c r="JT69" s="224"/>
      <c r="JU69" s="224"/>
      <c r="JV69" s="224"/>
      <c r="JW69" s="224"/>
      <c r="JX69" s="224"/>
      <c r="JY69" s="224"/>
      <c r="JZ69" s="224"/>
      <c r="KA69" s="224"/>
      <c r="KB69" s="224"/>
      <c r="KC69" s="224"/>
      <c r="KD69" s="224"/>
      <c r="KE69" s="224"/>
      <c r="KF69" s="224"/>
      <c r="KG69" s="224"/>
      <c r="KH69" s="224"/>
      <c r="KI69" s="224"/>
      <c r="KJ69" s="224"/>
      <c r="KK69" s="224"/>
      <c r="KL69" s="224"/>
      <c r="KM69" s="224"/>
      <c r="KN69" s="224"/>
      <c r="KO69" s="224"/>
      <c r="KP69" s="224"/>
      <c r="KQ69" s="224"/>
      <c r="KR69" s="224"/>
      <c r="KS69" s="224"/>
      <c r="KT69" s="224"/>
      <c r="KU69" s="224"/>
      <c r="KV69" s="224"/>
      <c r="KW69" s="224"/>
      <c r="KX69" s="224"/>
      <c r="KY69" s="224"/>
      <c r="KZ69" s="224"/>
      <c r="LA69" s="224"/>
      <c r="LB69" s="224"/>
      <c r="LC69" s="224"/>
      <c r="LD69" s="224"/>
      <c r="LE69" s="224"/>
      <c r="LF69" s="224"/>
      <c r="LG69" s="224"/>
      <c r="LH69" s="224"/>
      <c r="LI69" s="224"/>
      <c r="LJ69" s="224"/>
      <c r="LK69" s="224"/>
      <c r="LL69" s="224"/>
      <c r="LM69" s="224"/>
      <c r="LN69" s="224"/>
      <c r="LO69" s="224"/>
      <c r="LP69" s="224"/>
      <c r="LQ69" s="224"/>
      <c r="LR69" s="224"/>
      <c r="LS69" s="224"/>
      <c r="LT69" s="224"/>
      <c r="LU69" s="224"/>
      <c r="LV69" s="224"/>
      <c r="LW69" s="224"/>
      <c r="LX69" s="224"/>
      <c r="LY69" s="224"/>
      <c r="LZ69" s="224"/>
      <c r="MA69" s="224"/>
      <c r="MB69" s="224"/>
      <c r="MC69" s="224"/>
      <c r="MD69" s="224"/>
      <c r="ME69" s="224"/>
      <c r="MF69" s="224"/>
      <c r="MG69" s="224"/>
      <c r="MH69" s="224"/>
      <c r="MI69" s="224"/>
      <c r="MJ69" s="224"/>
      <c r="MK69" s="224"/>
      <c r="ML69" s="224"/>
      <c r="MM69" s="224"/>
      <c r="MN69" s="224"/>
      <c r="MO69" s="224"/>
      <c r="MP69" s="224"/>
      <c r="MQ69" s="224"/>
      <c r="MR69" s="224"/>
      <c r="MS69" s="224"/>
      <c r="MT69" s="224"/>
      <c r="MU69" s="224"/>
      <c r="MV69" s="224"/>
      <c r="MW69" s="224"/>
      <c r="MX69" s="224"/>
      <c r="MY69" s="224"/>
      <c r="MZ69" s="224"/>
      <c r="NA69" s="224"/>
      <c r="NB69" s="224"/>
      <c r="NC69" s="224"/>
      <c r="ND69" s="224"/>
      <c r="NE69" s="224"/>
      <c r="NF69" s="224"/>
      <c r="NG69" s="224"/>
      <c r="NH69" s="224"/>
      <c r="NI69" s="224"/>
      <c r="NJ69" s="224"/>
      <c r="NK69" s="224"/>
      <c r="NL69" s="224"/>
      <c r="NM69" s="224"/>
      <c r="NN69" s="224"/>
      <c r="NO69" s="224"/>
      <c r="NP69" s="224"/>
      <c r="NQ69" s="224"/>
      <c r="NR69" s="224"/>
      <c r="NS69" s="224"/>
      <c r="NT69" s="224"/>
      <c r="NU69" s="224"/>
      <c r="NV69" s="224"/>
      <c r="NW69" s="224"/>
      <c r="NX69" s="224"/>
      <c r="NY69" s="224"/>
      <c r="NZ69" s="224"/>
      <c r="OA69" s="224"/>
      <c r="OB69" s="224"/>
      <c r="OC69" s="224"/>
      <c r="OD69" s="224"/>
      <c r="OE69" s="224"/>
      <c r="OF69" s="224"/>
      <c r="OG69" s="224"/>
      <c r="OH69" s="224"/>
      <c r="OI69" s="224"/>
      <c r="OJ69" s="224"/>
      <c r="OK69" s="224"/>
      <c r="OL69" s="224"/>
      <c r="OM69" s="224"/>
      <c r="ON69" s="224"/>
      <c r="OO69" s="224"/>
      <c r="OP69" s="224"/>
      <c r="OQ69" s="224"/>
      <c r="OR69" s="224"/>
      <c r="OS69" s="224"/>
      <c r="OT69" s="224"/>
      <c r="OU69" s="224"/>
      <c r="OV69" s="224"/>
      <c r="OW69" s="224"/>
      <c r="OX69" s="224"/>
      <c r="OY69" s="224"/>
      <c r="OZ69" s="224"/>
      <c r="PA69" s="224"/>
      <c r="PB69" s="224"/>
      <c r="PC69" s="224"/>
      <c r="PD69" s="224"/>
      <c r="PE69" s="224"/>
      <c r="PF69" s="224"/>
      <c r="PG69" s="224"/>
      <c r="PH69" s="224"/>
      <c r="PI69" s="224"/>
      <c r="PJ69" s="224"/>
      <c r="PK69" s="224"/>
      <c r="PL69" s="224"/>
      <c r="PM69" s="224"/>
      <c r="PN69" s="224"/>
      <c r="PO69" s="224"/>
      <c r="PP69" s="224"/>
      <c r="PQ69" s="224"/>
      <c r="PR69" s="224"/>
      <c r="PS69" s="224"/>
      <c r="PT69" s="224"/>
      <c r="PU69" s="224"/>
      <c r="PV69" s="224"/>
      <c r="PW69" s="224"/>
      <c r="PX69" s="224"/>
      <c r="PY69" s="224"/>
      <c r="PZ69" s="224"/>
      <c r="QA69" s="224"/>
      <c r="QB69" s="224"/>
      <c r="QC69" s="224"/>
      <c r="QD69" s="224"/>
      <c r="QE69" s="224"/>
      <c r="QF69" s="224"/>
      <c r="QG69" s="224"/>
      <c r="QH69" s="224"/>
      <c r="QI69" s="224"/>
      <c r="QJ69" s="224"/>
      <c r="QK69" s="224"/>
      <c r="QL69" s="224"/>
      <c r="QM69" s="224"/>
      <c r="QN69" s="224"/>
      <c r="QO69" s="224"/>
      <c r="QP69" s="224"/>
      <c r="QQ69" s="224"/>
      <c r="QR69" s="224"/>
      <c r="QS69" s="224"/>
      <c r="QT69" s="224"/>
      <c r="QU69" s="224"/>
      <c r="QV69" s="224"/>
      <c r="QW69" s="224"/>
      <c r="QX69" s="224"/>
      <c r="QY69" s="224"/>
      <c r="QZ69" s="224"/>
      <c r="RA69" s="224"/>
      <c r="RB69" s="224"/>
      <c r="RC69" s="224"/>
      <c r="RD69" s="224"/>
      <c r="RE69" s="224"/>
      <c r="RF69" s="224"/>
      <c r="RG69" s="224"/>
      <c r="RH69" s="224"/>
      <c r="RI69" s="224"/>
      <c r="RJ69" s="224"/>
      <c r="RK69" s="224"/>
      <c r="RL69" s="224"/>
      <c r="RM69" s="224"/>
      <c r="RN69" s="224"/>
      <c r="RO69" s="224"/>
      <c r="RP69" s="224"/>
      <c r="RQ69" s="224"/>
      <c r="RR69" s="224"/>
      <c r="RS69" s="224"/>
      <c r="RT69" s="224"/>
      <c r="RU69" s="224"/>
      <c r="RV69" s="224"/>
      <c r="RW69" s="224"/>
      <c r="RX69" s="224"/>
      <c r="RY69" s="224"/>
      <c r="RZ69" s="224"/>
      <c r="SA69" s="224"/>
      <c r="SB69" s="224"/>
      <c r="SC69" s="224"/>
      <c r="SD69" s="224"/>
      <c r="SE69" s="224"/>
      <c r="SF69" s="224"/>
      <c r="SG69" s="224"/>
      <c r="SH69" s="224"/>
      <c r="SI69" s="224"/>
      <c r="SJ69" s="224"/>
      <c r="SK69" s="224"/>
      <c r="SL69" s="224"/>
      <c r="SM69" s="224"/>
      <c r="SN69" s="224"/>
      <c r="SO69" s="224"/>
      <c r="SP69" s="224"/>
      <c r="SQ69" s="224"/>
      <c r="SR69" s="224"/>
      <c r="SS69" s="224"/>
      <c r="ST69" s="224"/>
      <c r="SU69" s="224"/>
      <c r="SV69" s="224"/>
      <c r="SW69" s="224"/>
      <c r="SX69" s="224"/>
      <c r="SY69" s="224"/>
      <c r="SZ69" s="224"/>
      <c r="TA69" s="224"/>
      <c r="TB69" s="224"/>
      <c r="TC69" s="224"/>
      <c r="TD69" s="224"/>
      <c r="TE69" s="224"/>
      <c r="TF69" s="224"/>
      <c r="TG69" s="224"/>
      <c r="TH69" s="224"/>
      <c r="TI69" s="224"/>
      <c r="TJ69" s="224"/>
      <c r="TK69" s="224"/>
      <c r="TL69" s="224"/>
      <c r="TM69" s="224"/>
      <c r="TN69" s="224"/>
      <c r="TO69" s="224"/>
      <c r="TP69" s="224"/>
      <c r="TQ69" s="224"/>
      <c r="TR69" s="224"/>
      <c r="TS69" s="224"/>
      <c r="TT69" s="224"/>
      <c r="TU69" s="224"/>
      <c r="TV69" s="224"/>
      <c r="TW69" s="224"/>
      <c r="TX69" s="224"/>
      <c r="TY69" s="224"/>
      <c r="TZ69" s="224"/>
      <c r="UA69" s="224"/>
      <c r="UB69" s="224"/>
      <c r="UC69" s="224"/>
      <c r="UD69" s="224"/>
      <c r="UE69" s="224"/>
      <c r="UF69" s="224"/>
      <c r="UG69" s="224"/>
      <c r="UH69" s="224"/>
      <c r="UI69" s="224"/>
      <c r="UJ69" s="224"/>
      <c r="UK69" s="224"/>
      <c r="UL69" s="224"/>
      <c r="UM69" s="224"/>
      <c r="UN69" s="224"/>
      <c r="UO69" s="224"/>
      <c r="UP69" s="224"/>
      <c r="UQ69" s="224"/>
      <c r="UR69" s="224"/>
      <c r="US69" s="224"/>
      <c r="UT69" s="224"/>
      <c r="UU69" s="224"/>
      <c r="UV69" s="224"/>
      <c r="UW69" s="224"/>
      <c r="UX69" s="224"/>
      <c r="UY69" s="224"/>
      <c r="UZ69" s="224"/>
      <c r="VA69" s="224"/>
      <c r="VB69" s="224"/>
      <c r="VC69" s="224"/>
      <c r="VD69" s="224"/>
      <c r="VE69" s="224"/>
      <c r="VF69" s="224"/>
      <c r="VG69" s="224"/>
      <c r="VH69" s="224"/>
      <c r="VI69" s="224"/>
      <c r="VJ69" s="224"/>
      <c r="VK69" s="224"/>
      <c r="VL69" s="224"/>
      <c r="VM69" s="224"/>
      <c r="VN69" s="224"/>
      <c r="VO69" s="224"/>
      <c r="VP69" s="224"/>
      <c r="VQ69" s="224"/>
      <c r="VR69" s="224"/>
      <c r="VS69" s="224"/>
      <c r="VT69" s="224"/>
      <c r="VU69" s="224"/>
      <c r="VV69" s="224"/>
      <c r="VW69" s="224"/>
      <c r="VX69" s="224"/>
      <c r="VY69" s="224"/>
      <c r="VZ69" s="224"/>
      <c r="WA69" s="224"/>
      <c r="WB69" s="224"/>
    </row>
    <row r="70" spans="1:600" s="228" customFormat="1" ht="16" customHeight="1" thickBot="1" x14ac:dyDescent="0.4">
      <c r="B70" s="26"/>
      <c r="C70" s="151"/>
      <c r="D70" s="154" t="s">
        <v>269</v>
      </c>
      <c r="E70" s="70"/>
      <c r="F70" s="316"/>
      <c r="G70" s="341"/>
      <c r="H70" s="341"/>
      <c r="I70" s="341"/>
      <c r="J70" s="341"/>
      <c r="K70" s="369"/>
      <c r="L70" s="369"/>
      <c r="M70" s="369"/>
      <c r="N70" s="369"/>
      <c r="O70" s="369"/>
      <c r="P70" s="369"/>
      <c r="Q70" s="369"/>
      <c r="R70" s="369"/>
      <c r="S70" s="369"/>
      <c r="T70" s="369"/>
      <c r="U70" s="369"/>
      <c r="V70" s="278"/>
      <c r="W70" s="278"/>
      <c r="X70" s="278"/>
      <c r="Y70" s="278"/>
      <c r="Z70" s="278"/>
      <c r="AA70" s="278"/>
      <c r="AB70" s="278"/>
      <c r="AC70" s="278"/>
      <c r="AD70" s="369"/>
      <c r="AE70" s="369"/>
      <c r="AF70" s="369"/>
      <c r="AG70" s="369"/>
      <c r="AH70" s="279"/>
      <c r="AI70" s="279"/>
      <c r="AJ70" s="279"/>
      <c r="AK70" s="279"/>
      <c r="AL70" s="279"/>
      <c r="AM70" s="279"/>
      <c r="AN70" s="279"/>
      <c r="AO70" s="279"/>
      <c r="AP70" s="279"/>
      <c r="AQ70" s="279"/>
      <c r="AR70" s="370">
        <v>100</v>
      </c>
      <c r="AS70" s="369"/>
      <c r="AT70" s="369"/>
      <c r="AU70" s="369"/>
      <c r="AV70" s="369"/>
      <c r="AW70" s="369"/>
      <c r="AX70" s="369"/>
      <c r="AY70" s="369"/>
      <c r="AZ70" s="369"/>
      <c r="BA70" s="369"/>
      <c r="BB70" s="369"/>
      <c r="BC70" s="369"/>
      <c r="BD70" s="369"/>
      <c r="BE70" s="369"/>
      <c r="BF70" s="369"/>
      <c r="BG70" s="369"/>
      <c r="BH70" s="369"/>
      <c r="BI70" s="369"/>
      <c r="BJ70" s="369"/>
      <c r="BK70" s="369"/>
      <c r="BL70" s="369"/>
      <c r="BM70" s="369"/>
      <c r="BN70" s="369"/>
      <c r="BO70" s="369"/>
      <c r="BP70" s="369"/>
      <c r="BQ70" s="369"/>
      <c r="BR70" s="369"/>
      <c r="BS70" s="369"/>
      <c r="BT70" s="369"/>
      <c r="BU70" s="369"/>
      <c r="BV70" s="369"/>
      <c r="BW70" s="369"/>
      <c r="BX70" s="369"/>
      <c r="BY70" s="224"/>
      <c r="BZ70" s="224"/>
      <c r="CA70" s="224"/>
      <c r="CB70" s="224"/>
      <c r="CC70" s="224"/>
      <c r="CD70" s="224"/>
      <c r="CE70" s="224"/>
      <c r="CF70" s="224"/>
      <c r="CG70" s="224"/>
      <c r="CH70" s="224"/>
      <c r="CI70" s="224"/>
      <c r="CJ70" s="224"/>
      <c r="CK70" s="224"/>
      <c r="CL70" s="224"/>
      <c r="CM70" s="224"/>
      <c r="CN70" s="224"/>
      <c r="CO70" s="224"/>
      <c r="CP70" s="224"/>
      <c r="CQ70" s="224"/>
      <c r="CR70" s="224"/>
      <c r="CS70" s="224"/>
      <c r="CT70" s="224"/>
      <c r="CU70" s="224"/>
      <c r="CV70" s="224"/>
      <c r="CW70" s="224"/>
      <c r="CX70" s="224"/>
      <c r="CY70" s="224"/>
      <c r="CZ70" s="224"/>
      <c r="DA70" s="224"/>
      <c r="DB70" s="224"/>
      <c r="DC70" s="224"/>
      <c r="DD70" s="224"/>
      <c r="DE70" s="224"/>
      <c r="DF70" s="224"/>
      <c r="DG70" s="224"/>
      <c r="DH70" s="224"/>
      <c r="DI70" s="224"/>
      <c r="DJ70" s="224"/>
      <c r="DK70" s="224"/>
      <c r="DL70" s="224"/>
      <c r="DM70" s="224"/>
      <c r="DN70" s="224"/>
      <c r="DO70" s="224"/>
      <c r="DP70" s="224"/>
      <c r="DQ70" s="224"/>
      <c r="DR70" s="224"/>
      <c r="DS70" s="224"/>
      <c r="DT70" s="224"/>
      <c r="DU70" s="224"/>
      <c r="DV70" s="224"/>
      <c r="DW70" s="224"/>
      <c r="DX70" s="224"/>
      <c r="DY70" s="224"/>
      <c r="DZ70" s="224"/>
      <c r="EA70" s="224"/>
      <c r="EB70" s="224"/>
      <c r="EC70" s="224"/>
      <c r="ED70" s="224"/>
      <c r="EE70" s="224"/>
      <c r="EF70" s="224"/>
      <c r="EG70" s="224"/>
      <c r="EH70" s="224"/>
      <c r="EI70" s="224"/>
      <c r="EJ70" s="224"/>
      <c r="EK70" s="224"/>
      <c r="EL70" s="224"/>
      <c r="EM70" s="224"/>
      <c r="EN70" s="224"/>
      <c r="EO70" s="224"/>
      <c r="EP70" s="224"/>
      <c r="EQ70" s="224"/>
      <c r="ER70" s="224"/>
      <c r="ES70" s="224"/>
      <c r="ET70" s="224"/>
      <c r="EU70" s="224"/>
      <c r="EV70" s="224"/>
      <c r="EW70" s="224"/>
      <c r="EX70" s="224"/>
      <c r="EY70" s="224"/>
      <c r="EZ70" s="224"/>
      <c r="FA70" s="224"/>
      <c r="FB70" s="224"/>
      <c r="FC70" s="224"/>
      <c r="FD70" s="224"/>
      <c r="FE70" s="224"/>
      <c r="FF70" s="224"/>
      <c r="FG70" s="224"/>
      <c r="FH70" s="224"/>
      <c r="FI70" s="224"/>
      <c r="FJ70" s="224"/>
      <c r="FK70" s="224"/>
      <c r="FL70" s="224"/>
      <c r="FM70" s="224"/>
      <c r="FN70" s="224"/>
      <c r="FO70" s="224"/>
      <c r="FP70" s="224"/>
      <c r="FQ70" s="224"/>
      <c r="FR70" s="224"/>
      <c r="FS70" s="224"/>
      <c r="FT70" s="224"/>
      <c r="FU70" s="224"/>
      <c r="FV70" s="224"/>
      <c r="FW70" s="224"/>
      <c r="FX70" s="224"/>
      <c r="FY70" s="224"/>
      <c r="FZ70" s="224"/>
      <c r="GA70" s="224"/>
      <c r="GB70" s="224"/>
      <c r="GC70" s="224"/>
      <c r="GD70" s="224"/>
      <c r="GE70" s="224"/>
      <c r="GF70" s="224"/>
      <c r="GG70" s="224"/>
      <c r="GH70" s="224"/>
      <c r="GI70" s="224"/>
      <c r="GJ70" s="224"/>
      <c r="GK70" s="224"/>
      <c r="GL70" s="224"/>
      <c r="GM70" s="224"/>
      <c r="GN70" s="224"/>
      <c r="GO70" s="224"/>
      <c r="GP70" s="224"/>
      <c r="GQ70" s="224"/>
      <c r="GR70" s="224"/>
      <c r="GS70" s="224"/>
      <c r="GT70" s="224"/>
      <c r="GU70" s="224"/>
      <c r="GV70" s="224"/>
      <c r="GW70" s="224"/>
      <c r="GX70" s="224"/>
      <c r="GY70" s="224"/>
      <c r="GZ70" s="224"/>
      <c r="HA70" s="224"/>
      <c r="HB70" s="224"/>
      <c r="HC70" s="224"/>
      <c r="HD70" s="224"/>
      <c r="HE70" s="224"/>
      <c r="HF70" s="224"/>
      <c r="HG70" s="224"/>
      <c r="HH70" s="224"/>
      <c r="HI70" s="224"/>
      <c r="HJ70" s="224"/>
      <c r="HK70" s="224"/>
      <c r="HL70" s="224"/>
      <c r="HM70" s="224"/>
      <c r="HN70" s="224"/>
      <c r="HO70" s="224"/>
      <c r="HP70" s="224"/>
      <c r="HQ70" s="224"/>
      <c r="HR70" s="224"/>
      <c r="HS70" s="224"/>
      <c r="HT70" s="224"/>
      <c r="HU70" s="224"/>
      <c r="HV70" s="224"/>
      <c r="HW70" s="224"/>
      <c r="HX70" s="224"/>
      <c r="HY70" s="224"/>
      <c r="HZ70" s="224"/>
      <c r="IA70" s="224"/>
      <c r="IB70" s="224"/>
      <c r="IC70" s="224"/>
      <c r="ID70" s="224"/>
      <c r="IE70" s="224"/>
      <c r="IF70" s="224"/>
      <c r="IG70" s="224"/>
      <c r="IH70" s="224"/>
      <c r="II70" s="224"/>
      <c r="IJ70" s="224"/>
      <c r="IK70" s="224"/>
      <c r="IL70" s="224"/>
      <c r="IM70" s="224"/>
      <c r="IN70" s="224"/>
      <c r="IO70" s="224"/>
      <c r="IP70" s="224"/>
      <c r="IQ70" s="224"/>
      <c r="IR70" s="224"/>
      <c r="IS70" s="224"/>
      <c r="IT70" s="224"/>
      <c r="IU70" s="224"/>
      <c r="IV70" s="224"/>
      <c r="IW70" s="224"/>
      <c r="IX70" s="224"/>
      <c r="IY70" s="224"/>
      <c r="IZ70" s="224"/>
      <c r="JA70" s="224"/>
      <c r="JB70" s="224"/>
      <c r="JC70" s="224"/>
      <c r="JD70" s="224"/>
      <c r="JE70" s="224"/>
      <c r="JF70" s="224"/>
      <c r="JG70" s="224"/>
      <c r="JH70" s="224"/>
      <c r="JI70" s="224"/>
      <c r="JJ70" s="224"/>
      <c r="JK70" s="224"/>
      <c r="JL70" s="224"/>
      <c r="JM70" s="224"/>
      <c r="JN70" s="224"/>
      <c r="JO70" s="224"/>
      <c r="JP70" s="224"/>
      <c r="JQ70" s="224"/>
      <c r="JR70" s="224"/>
      <c r="JS70" s="224"/>
      <c r="JT70" s="224"/>
      <c r="JU70" s="224"/>
      <c r="JV70" s="224"/>
      <c r="JW70" s="224"/>
      <c r="JX70" s="224"/>
      <c r="JY70" s="224"/>
      <c r="JZ70" s="224"/>
      <c r="KA70" s="224"/>
      <c r="KB70" s="224"/>
      <c r="KC70" s="224"/>
      <c r="KD70" s="224"/>
      <c r="KE70" s="224"/>
      <c r="KF70" s="224"/>
      <c r="KG70" s="224"/>
      <c r="KH70" s="224"/>
      <c r="KI70" s="224"/>
      <c r="KJ70" s="224"/>
      <c r="KK70" s="224"/>
      <c r="KL70" s="224"/>
      <c r="KM70" s="224"/>
      <c r="KN70" s="224"/>
      <c r="KO70" s="224"/>
      <c r="KP70" s="224"/>
      <c r="KQ70" s="224"/>
      <c r="KR70" s="224"/>
      <c r="KS70" s="224"/>
      <c r="KT70" s="224"/>
      <c r="KU70" s="224"/>
      <c r="KV70" s="224"/>
      <c r="KW70" s="224"/>
      <c r="KX70" s="224"/>
      <c r="KY70" s="224"/>
      <c r="KZ70" s="224"/>
      <c r="LA70" s="224"/>
      <c r="LB70" s="224"/>
      <c r="LC70" s="224"/>
      <c r="LD70" s="224"/>
      <c r="LE70" s="224"/>
      <c r="LF70" s="224"/>
      <c r="LG70" s="224"/>
      <c r="LH70" s="224"/>
      <c r="LI70" s="224"/>
      <c r="LJ70" s="224"/>
      <c r="LK70" s="224"/>
      <c r="LL70" s="224"/>
      <c r="LM70" s="224"/>
      <c r="LN70" s="224"/>
      <c r="LO70" s="224"/>
      <c r="LP70" s="224"/>
      <c r="LQ70" s="224"/>
      <c r="LR70" s="224"/>
      <c r="LS70" s="224"/>
      <c r="LT70" s="224"/>
      <c r="LU70" s="224"/>
      <c r="LV70" s="224"/>
      <c r="LW70" s="224"/>
      <c r="LX70" s="224"/>
      <c r="LY70" s="224"/>
      <c r="LZ70" s="224"/>
      <c r="MA70" s="224"/>
      <c r="MB70" s="224"/>
      <c r="MC70" s="224"/>
      <c r="MD70" s="224"/>
      <c r="ME70" s="224"/>
      <c r="MF70" s="224"/>
      <c r="MG70" s="224"/>
      <c r="MH70" s="224"/>
      <c r="MI70" s="224"/>
      <c r="MJ70" s="224"/>
      <c r="MK70" s="224"/>
      <c r="ML70" s="224"/>
      <c r="MM70" s="224"/>
      <c r="MN70" s="224"/>
      <c r="MO70" s="224"/>
      <c r="MP70" s="224"/>
      <c r="MQ70" s="224"/>
      <c r="MR70" s="224"/>
      <c r="MS70" s="224"/>
      <c r="MT70" s="224"/>
      <c r="MU70" s="224"/>
      <c r="MV70" s="224"/>
      <c r="MW70" s="224"/>
      <c r="MX70" s="224"/>
      <c r="MY70" s="224"/>
      <c r="MZ70" s="224"/>
      <c r="NA70" s="224"/>
      <c r="NB70" s="224"/>
      <c r="NC70" s="224"/>
      <c r="ND70" s="224"/>
      <c r="NE70" s="224"/>
      <c r="NF70" s="224"/>
      <c r="NG70" s="224"/>
      <c r="NH70" s="224"/>
      <c r="NI70" s="224"/>
      <c r="NJ70" s="224"/>
      <c r="NK70" s="224"/>
      <c r="NL70" s="224"/>
      <c r="NM70" s="224"/>
      <c r="NN70" s="224"/>
      <c r="NO70" s="224"/>
      <c r="NP70" s="224"/>
      <c r="NQ70" s="224"/>
      <c r="NR70" s="224"/>
      <c r="NS70" s="224"/>
      <c r="NT70" s="224"/>
      <c r="NU70" s="224"/>
      <c r="NV70" s="224"/>
      <c r="NW70" s="224"/>
      <c r="NX70" s="224"/>
      <c r="NY70" s="224"/>
      <c r="NZ70" s="224"/>
      <c r="OA70" s="224"/>
      <c r="OB70" s="224"/>
      <c r="OC70" s="224"/>
      <c r="OD70" s="224"/>
      <c r="OE70" s="224"/>
      <c r="OF70" s="224"/>
      <c r="OG70" s="224"/>
      <c r="OH70" s="224"/>
      <c r="OI70" s="224"/>
      <c r="OJ70" s="224"/>
      <c r="OK70" s="224"/>
      <c r="OL70" s="224"/>
      <c r="OM70" s="224"/>
      <c r="ON70" s="224"/>
      <c r="OO70" s="224"/>
      <c r="OP70" s="224"/>
      <c r="OQ70" s="224"/>
      <c r="OR70" s="224"/>
      <c r="OS70" s="224"/>
      <c r="OT70" s="224"/>
      <c r="OU70" s="224"/>
      <c r="OV70" s="224"/>
      <c r="OW70" s="224"/>
      <c r="OX70" s="224"/>
      <c r="OY70" s="224"/>
      <c r="OZ70" s="224"/>
      <c r="PA70" s="224"/>
      <c r="PB70" s="224"/>
      <c r="PC70" s="224"/>
      <c r="PD70" s="224"/>
      <c r="PE70" s="224"/>
      <c r="PF70" s="224"/>
      <c r="PG70" s="224"/>
      <c r="PH70" s="224"/>
      <c r="PI70" s="224"/>
      <c r="PJ70" s="224"/>
      <c r="PK70" s="224"/>
      <c r="PL70" s="224"/>
      <c r="PM70" s="224"/>
      <c r="PN70" s="224"/>
      <c r="PO70" s="224"/>
      <c r="PP70" s="224"/>
      <c r="PQ70" s="224"/>
      <c r="PR70" s="224"/>
      <c r="PS70" s="224"/>
      <c r="PT70" s="224"/>
      <c r="PU70" s="224"/>
      <c r="PV70" s="224"/>
      <c r="PW70" s="224"/>
      <c r="PX70" s="224"/>
      <c r="PY70" s="224"/>
      <c r="PZ70" s="224"/>
      <c r="QA70" s="224"/>
      <c r="QB70" s="224"/>
      <c r="QC70" s="224"/>
      <c r="QD70" s="224"/>
      <c r="QE70" s="224"/>
      <c r="QF70" s="224"/>
      <c r="QG70" s="224"/>
      <c r="QH70" s="224"/>
      <c r="QI70" s="224"/>
      <c r="QJ70" s="224"/>
      <c r="QK70" s="224"/>
      <c r="QL70" s="224"/>
      <c r="QM70" s="224"/>
      <c r="QN70" s="224"/>
      <c r="QO70" s="224"/>
      <c r="QP70" s="224"/>
      <c r="QQ70" s="224"/>
      <c r="QR70" s="224"/>
      <c r="QS70" s="224"/>
      <c r="QT70" s="224"/>
      <c r="QU70" s="224"/>
      <c r="QV70" s="224"/>
      <c r="QW70" s="224"/>
      <c r="QX70" s="224"/>
      <c r="QY70" s="224"/>
      <c r="QZ70" s="224"/>
      <c r="RA70" s="224"/>
      <c r="RB70" s="224"/>
      <c r="RC70" s="224"/>
      <c r="RD70" s="224"/>
      <c r="RE70" s="224"/>
      <c r="RF70" s="224"/>
      <c r="RG70" s="224"/>
      <c r="RH70" s="224"/>
      <c r="RI70" s="224"/>
      <c r="RJ70" s="224"/>
      <c r="RK70" s="224"/>
      <c r="RL70" s="224"/>
      <c r="RM70" s="224"/>
      <c r="RN70" s="224"/>
      <c r="RO70" s="224"/>
      <c r="RP70" s="224"/>
      <c r="RQ70" s="224"/>
      <c r="RR70" s="224"/>
      <c r="RS70" s="224"/>
      <c r="RT70" s="224"/>
      <c r="RU70" s="224"/>
      <c r="RV70" s="224"/>
      <c r="RW70" s="224"/>
      <c r="RX70" s="224"/>
      <c r="RY70" s="224"/>
      <c r="RZ70" s="224"/>
      <c r="SA70" s="224"/>
      <c r="SB70" s="224"/>
      <c r="SC70" s="224"/>
      <c r="SD70" s="224"/>
      <c r="SE70" s="224"/>
      <c r="SF70" s="224"/>
      <c r="SG70" s="224"/>
      <c r="SH70" s="224"/>
      <c r="SI70" s="224"/>
      <c r="SJ70" s="224"/>
      <c r="SK70" s="224"/>
      <c r="SL70" s="224"/>
      <c r="SM70" s="224"/>
      <c r="SN70" s="224"/>
      <c r="SO70" s="224"/>
      <c r="SP70" s="224"/>
      <c r="SQ70" s="224"/>
      <c r="SR70" s="224"/>
      <c r="SS70" s="224"/>
      <c r="ST70" s="224"/>
      <c r="SU70" s="224"/>
      <c r="SV70" s="224"/>
      <c r="SW70" s="224"/>
      <c r="SX70" s="224"/>
      <c r="SY70" s="224"/>
      <c r="SZ70" s="224"/>
      <c r="TA70" s="224"/>
      <c r="TB70" s="224"/>
      <c r="TC70" s="224"/>
      <c r="TD70" s="224"/>
      <c r="TE70" s="224"/>
      <c r="TF70" s="224"/>
      <c r="TG70" s="224"/>
      <c r="TH70" s="224"/>
      <c r="TI70" s="224"/>
      <c r="TJ70" s="224"/>
      <c r="TK70" s="224"/>
      <c r="TL70" s="224"/>
      <c r="TM70" s="224"/>
      <c r="TN70" s="224"/>
      <c r="TO70" s="224"/>
      <c r="TP70" s="224"/>
      <c r="TQ70" s="224"/>
      <c r="TR70" s="224"/>
      <c r="TS70" s="224"/>
      <c r="TT70" s="224"/>
      <c r="TU70" s="224"/>
      <c r="TV70" s="224"/>
      <c r="TW70" s="224"/>
      <c r="TX70" s="224"/>
      <c r="TY70" s="224"/>
      <c r="TZ70" s="224"/>
      <c r="UA70" s="224"/>
      <c r="UB70" s="224"/>
      <c r="UC70" s="224"/>
      <c r="UD70" s="224"/>
      <c r="UE70" s="224"/>
      <c r="UF70" s="224"/>
      <c r="UG70" s="224"/>
      <c r="UH70" s="224"/>
      <c r="UI70" s="224"/>
      <c r="UJ70" s="224"/>
      <c r="UK70" s="224"/>
      <c r="UL70" s="224"/>
      <c r="UM70" s="224"/>
      <c r="UN70" s="224"/>
      <c r="UO70" s="224"/>
      <c r="UP70" s="224"/>
      <c r="UQ70" s="224"/>
      <c r="UR70" s="224"/>
      <c r="US70" s="224"/>
      <c r="UT70" s="224"/>
      <c r="UU70" s="224"/>
      <c r="UV70" s="224"/>
      <c r="UW70" s="224"/>
      <c r="UX70" s="224"/>
      <c r="UY70" s="224"/>
      <c r="UZ70" s="224"/>
      <c r="VA70" s="224"/>
      <c r="VB70" s="224"/>
      <c r="VC70" s="224"/>
      <c r="VD70" s="224"/>
      <c r="VE70" s="224"/>
      <c r="VF70" s="224"/>
      <c r="VG70" s="224"/>
      <c r="VH70" s="224"/>
      <c r="VI70" s="224"/>
      <c r="VJ70" s="224"/>
      <c r="VK70" s="224"/>
      <c r="VL70" s="224"/>
      <c r="VM70" s="224"/>
      <c r="VN70" s="224"/>
      <c r="VO70" s="224"/>
      <c r="VP70" s="224"/>
      <c r="VQ70" s="224"/>
      <c r="VR70" s="224"/>
      <c r="VS70" s="224"/>
      <c r="VT70" s="224"/>
      <c r="VU70" s="224"/>
      <c r="VV70" s="224"/>
      <c r="VW70" s="224"/>
      <c r="VX70" s="224"/>
      <c r="VY70" s="224"/>
      <c r="VZ70" s="224"/>
      <c r="WA70" s="224"/>
      <c r="WB70" s="224"/>
    </row>
    <row r="71" spans="1:600" ht="16" customHeight="1" thickBot="1" x14ac:dyDescent="0.4">
      <c r="A71" s="262"/>
      <c r="B71" s="26"/>
      <c r="C71" s="155" t="s">
        <v>270</v>
      </c>
      <c r="D71" s="156"/>
      <c r="E71" s="40"/>
      <c r="F71" s="284"/>
      <c r="G71" s="278">
        <v>1</v>
      </c>
      <c r="H71" s="278">
        <v>1</v>
      </c>
      <c r="I71" s="278">
        <v>1</v>
      </c>
      <c r="J71" s="278">
        <v>1</v>
      </c>
      <c r="K71" s="278">
        <v>1</v>
      </c>
      <c r="L71" s="278">
        <v>1.25</v>
      </c>
      <c r="M71" s="278">
        <v>1.5</v>
      </c>
      <c r="N71" s="278">
        <v>1.75</v>
      </c>
      <c r="O71" s="278">
        <v>2</v>
      </c>
      <c r="P71" s="278">
        <v>3</v>
      </c>
      <c r="Q71" s="278">
        <v>4</v>
      </c>
      <c r="R71" s="278">
        <v>1</v>
      </c>
      <c r="S71" s="278">
        <v>1</v>
      </c>
      <c r="T71" s="278">
        <v>1</v>
      </c>
      <c r="U71" s="278">
        <v>1</v>
      </c>
      <c r="V71" s="278">
        <v>2.7</v>
      </c>
      <c r="W71" s="278">
        <f>V71</f>
        <v>2.7</v>
      </c>
      <c r="X71" s="278">
        <v>3.7</v>
      </c>
      <c r="Y71" s="278">
        <v>3.7</v>
      </c>
      <c r="Z71" s="278">
        <v>4.7</v>
      </c>
      <c r="AA71" s="278">
        <f>Z71</f>
        <v>4.7</v>
      </c>
      <c r="AB71" s="278">
        <v>5.7</v>
      </c>
      <c r="AC71" s="278">
        <v>5.7</v>
      </c>
      <c r="AD71" s="278"/>
      <c r="AE71" s="278"/>
      <c r="AF71" s="278"/>
      <c r="AG71" s="278"/>
      <c r="AH71" s="278"/>
      <c r="AI71" s="278"/>
      <c r="AJ71" s="278"/>
      <c r="AK71" s="278"/>
      <c r="AL71" s="278"/>
      <c r="AM71" s="278"/>
      <c r="AN71" s="278"/>
      <c r="AO71" s="278"/>
      <c r="AP71" s="278"/>
      <c r="AQ71" s="278"/>
      <c r="AR71" s="367" t="s">
        <v>101</v>
      </c>
      <c r="AS71" s="278">
        <v>1</v>
      </c>
      <c r="AT71" s="278">
        <v>1</v>
      </c>
      <c r="AU71" s="278">
        <v>1.5</v>
      </c>
      <c r="AV71" s="278">
        <v>2</v>
      </c>
      <c r="AW71" s="278">
        <v>3</v>
      </c>
      <c r="AX71" s="278">
        <v>4</v>
      </c>
      <c r="AY71" s="278">
        <v>5</v>
      </c>
      <c r="AZ71" s="278"/>
      <c r="BA71" s="278"/>
      <c r="BB71" s="278"/>
      <c r="BC71" s="278"/>
      <c r="BD71" s="278"/>
      <c r="BE71" s="278"/>
      <c r="BF71" s="278"/>
      <c r="BG71" s="278"/>
      <c r="BH71" s="278"/>
      <c r="BI71" s="278"/>
      <c r="BJ71" s="278"/>
      <c r="BK71" s="278"/>
      <c r="BL71" s="278"/>
      <c r="BM71" s="278"/>
      <c r="BN71" s="278"/>
      <c r="BO71" s="278">
        <v>1</v>
      </c>
      <c r="BP71" s="278">
        <v>1.5</v>
      </c>
      <c r="BQ71" s="278">
        <v>2.5</v>
      </c>
      <c r="BR71" s="278">
        <v>3.5</v>
      </c>
      <c r="BS71" s="278">
        <v>4.5</v>
      </c>
      <c r="BT71" s="278">
        <v>4.5</v>
      </c>
      <c r="BU71" s="278"/>
      <c r="BV71" s="278"/>
      <c r="BW71" s="278"/>
      <c r="BX71" s="278"/>
    </row>
    <row r="72" spans="1:600" ht="14.5" customHeight="1" thickBot="1" x14ac:dyDescent="0.4">
      <c r="B72" s="26"/>
      <c r="C72" s="157"/>
      <c r="D72" s="158"/>
      <c r="E72" s="159"/>
      <c r="F72" s="316"/>
      <c r="G72" s="318"/>
      <c r="H72" s="318"/>
      <c r="I72" s="318"/>
      <c r="J72" s="318"/>
      <c r="K72" s="328"/>
      <c r="L72" s="318"/>
      <c r="M72" s="318"/>
      <c r="N72" s="318"/>
      <c r="O72" s="318"/>
      <c r="P72" s="318"/>
      <c r="Q72" s="318"/>
      <c r="R72" s="318"/>
      <c r="S72" s="318"/>
      <c r="T72" s="318"/>
      <c r="U72" s="318"/>
      <c r="V72" s="318"/>
      <c r="W72" s="318"/>
      <c r="X72" s="318"/>
      <c r="Y72" s="318"/>
      <c r="Z72" s="318"/>
      <c r="AA72" s="318"/>
      <c r="AB72" s="318"/>
      <c r="AC72" s="318"/>
      <c r="AD72" s="318"/>
      <c r="AE72" s="318"/>
      <c r="AF72" s="318"/>
      <c r="AG72" s="318"/>
      <c r="AH72" s="319"/>
      <c r="AI72" s="319"/>
      <c r="AJ72" s="319"/>
      <c r="AK72" s="319"/>
      <c r="AL72" s="319"/>
      <c r="AM72" s="319"/>
      <c r="AN72" s="319"/>
      <c r="AO72" s="319"/>
      <c r="AP72" s="319"/>
      <c r="AQ72" s="319"/>
      <c r="AR72" s="320"/>
      <c r="AS72" s="318"/>
      <c r="AT72" s="318"/>
      <c r="AU72" s="318"/>
      <c r="AV72" s="318"/>
      <c r="AW72" s="318"/>
      <c r="AX72" s="318"/>
      <c r="AY72" s="318"/>
      <c r="AZ72" s="318"/>
      <c r="BA72" s="318"/>
      <c r="BB72" s="318"/>
      <c r="BC72" s="318"/>
      <c r="BD72" s="318"/>
      <c r="BE72" s="318"/>
      <c r="BF72" s="318"/>
      <c r="BG72" s="318"/>
      <c r="BH72" s="318"/>
      <c r="BI72" s="318"/>
      <c r="BJ72" s="318"/>
      <c r="BK72" s="318"/>
      <c r="BL72" s="318"/>
      <c r="BM72" s="318"/>
      <c r="BN72" s="318"/>
      <c r="BO72" s="318"/>
      <c r="BP72" s="318"/>
      <c r="BQ72" s="318"/>
      <c r="BR72" s="318"/>
      <c r="BS72" s="318"/>
      <c r="BT72" s="318"/>
      <c r="BU72" s="318"/>
      <c r="BV72" s="318"/>
      <c r="BW72" s="318"/>
      <c r="BX72" s="318"/>
    </row>
    <row r="73" spans="1:600" ht="16" customHeight="1" thickBot="1" x14ac:dyDescent="0.4">
      <c r="B73" s="26"/>
      <c r="C73" s="157"/>
      <c r="D73" s="158" t="s">
        <v>269</v>
      </c>
      <c r="E73" s="160"/>
      <c r="F73" s="316"/>
      <c r="G73" s="350">
        <v>600</v>
      </c>
      <c r="H73" s="350">
        <v>750</v>
      </c>
      <c r="I73" s="350">
        <v>900</v>
      </c>
      <c r="J73" s="350">
        <v>1200</v>
      </c>
      <c r="K73" s="318"/>
      <c r="L73" s="318"/>
      <c r="M73" s="318"/>
      <c r="N73" s="318"/>
      <c r="O73" s="318"/>
      <c r="P73" s="318"/>
      <c r="Q73" s="318"/>
      <c r="R73" s="350">
        <v>600</v>
      </c>
      <c r="S73" s="350">
        <v>750</v>
      </c>
      <c r="T73" s="350">
        <v>900</v>
      </c>
      <c r="U73" s="350">
        <v>900</v>
      </c>
      <c r="V73" s="327"/>
      <c r="W73" s="327"/>
      <c r="X73" s="327"/>
      <c r="Y73" s="327"/>
      <c r="Z73" s="327"/>
      <c r="AA73" s="327"/>
      <c r="AB73" s="327"/>
      <c r="AC73" s="327"/>
      <c r="AD73" s="327"/>
      <c r="AE73" s="327"/>
      <c r="AF73" s="327"/>
      <c r="AG73" s="327"/>
      <c r="AH73" s="327"/>
      <c r="AI73" s="327"/>
      <c r="AJ73" s="327"/>
      <c r="AK73" s="327"/>
      <c r="AL73" s="327"/>
      <c r="AM73" s="327"/>
      <c r="AN73" s="327"/>
      <c r="AO73" s="327"/>
      <c r="AP73" s="327"/>
      <c r="AQ73" s="327"/>
      <c r="AR73" s="327"/>
      <c r="AS73" s="327"/>
      <c r="AT73" s="327"/>
      <c r="AU73" s="327"/>
      <c r="AV73" s="327"/>
      <c r="AW73" s="327"/>
      <c r="AX73" s="327"/>
      <c r="AY73" s="327"/>
      <c r="AZ73" s="327"/>
      <c r="BA73" s="327"/>
      <c r="BB73" s="327"/>
      <c r="BC73" s="327"/>
      <c r="BD73" s="327"/>
      <c r="BE73" s="327"/>
      <c r="BF73" s="327"/>
      <c r="BG73" s="327"/>
      <c r="BH73" s="327"/>
      <c r="BI73" s="327"/>
      <c r="BJ73" s="327"/>
      <c r="BK73" s="327"/>
      <c r="BL73" s="327"/>
      <c r="BM73" s="327"/>
      <c r="BN73" s="327"/>
      <c r="BO73" s="327"/>
      <c r="BP73" s="327"/>
      <c r="BQ73" s="327"/>
      <c r="BR73" s="327"/>
      <c r="BS73" s="327"/>
      <c r="BT73" s="327"/>
      <c r="BU73" s="327"/>
      <c r="BV73" s="327"/>
      <c r="BW73" s="327"/>
      <c r="BX73" s="327"/>
    </row>
    <row r="74" spans="1:600" ht="17" customHeight="1" x14ac:dyDescent="0.45">
      <c r="B74" s="26"/>
      <c r="C74" s="161" t="s">
        <v>271</v>
      </c>
      <c r="D74" s="75"/>
      <c r="E74" s="121"/>
      <c r="F74" s="299"/>
      <c r="G74" s="371"/>
      <c r="H74" s="371"/>
      <c r="I74" s="371"/>
      <c r="J74" s="371"/>
      <c r="K74" s="237"/>
      <c r="L74" s="237"/>
      <c r="M74" s="237"/>
      <c r="N74" s="237"/>
      <c r="O74" s="237"/>
      <c r="P74" s="237"/>
      <c r="Q74" s="237"/>
      <c r="R74" s="372"/>
      <c r="S74" s="372"/>
      <c r="T74" s="372"/>
      <c r="U74" s="372"/>
      <c r="V74" s="373"/>
      <c r="W74" s="373"/>
      <c r="X74" s="373"/>
      <c r="Y74" s="373"/>
      <c r="Z74" s="373"/>
      <c r="AA74" s="373"/>
      <c r="AB74" s="373"/>
      <c r="AC74" s="373"/>
      <c r="AD74" s="373">
        <f>PMSS*10.5%</f>
        <v>347.65499999999997</v>
      </c>
      <c r="AE74" s="373">
        <f>PMSS*14.5%</f>
        <v>480.09499999999997</v>
      </c>
      <c r="AF74" s="373">
        <f>PMSS*18%</f>
        <v>595.98</v>
      </c>
      <c r="AG74" s="373">
        <f>PMSS*23%</f>
        <v>761.53000000000009</v>
      </c>
      <c r="AH74" s="374"/>
      <c r="AI74" s="374"/>
      <c r="AJ74" s="374"/>
      <c r="AK74" s="374"/>
      <c r="AL74" s="375"/>
      <c r="AM74" s="375"/>
      <c r="AN74" s="375"/>
      <c r="AO74" s="375"/>
      <c r="AP74" s="375"/>
      <c r="AQ74" s="375"/>
      <c r="AR74" s="376"/>
      <c r="AS74" s="377"/>
      <c r="AT74" s="377"/>
      <c r="AU74" s="377"/>
      <c r="AV74" s="377"/>
      <c r="AW74" s="377"/>
      <c r="AX74" s="377"/>
      <c r="AY74" s="377"/>
      <c r="AZ74" s="258"/>
      <c r="BA74" s="258"/>
      <c r="BB74" s="258"/>
      <c r="BC74" s="258"/>
      <c r="BD74" s="258"/>
      <c r="BE74" s="258"/>
      <c r="BF74" s="258"/>
      <c r="BG74" s="258"/>
      <c r="BH74" s="258"/>
      <c r="BI74" s="259"/>
      <c r="BJ74" s="259"/>
      <c r="BK74" s="259"/>
      <c r="BL74" s="259"/>
      <c r="BM74" s="259"/>
      <c r="BN74" s="259"/>
      <c r="BO74" s="247"/>
      <c r="BP74" s="247"/>
      <c r="BQ74" s="247"/>
      <c r="BR74" s="247"/>
      <c r="BS74" s="247"/>
      <c r="BT74" s="247"/>
      <c r="BU74" s="378"/>
      <c r="BV74" s="261"/>
      <c r="BW74" s="261"/>
      <c r="BX74" s="261"/>
    </row>
    <row r="75" spans="1:600" ht="30" customHeight="1" thickBot="1" x14ac:dyDescent="0.4">
      <c r="B75" s="26"/>
      <c r="C75" s="162" t="s">
        <v>272</v>
      </c>
      <c r="D75" s="163"/>
      <c r="E75" s="164"/>
      <c r="F75" s="299"/>
      <c r="G75" s="379"/>
      <c r="H75" s="379"/>
      <c r="I75" s="379"/>
      <c r="J75" s="379"/>
      <c r="K75" s="328"/>
      <c r="L75" s="328"/>
      <c r="M75" s="328"/>
      <c r="N75" s="328"/>
      <c r="O75" s="328"/>
      <c r="P75" s="328"/>
      <c r="Q75" s="328"/>
      <c r="R75" s="328"/>
      <c r="S75" s="328"/>
      <c r="T75" s="328"/>
      <c r="U75" s="328"/>
      <c r="V75" s="380"/>
      <c r="W75" s="381"/>
      <c r="X75" s="328"/>
      <c r="Y75" s="328"/>
      <c r="Z75" s="328"/>
      <c r="AA75" s="328"/>
      <c r="AB75" s="328"/>
      <c r="AC75" s="328"/>
      <c r="AD75" s="328"/>
      <c r="AE75" s="328"/>
      <c r="AF75" s="328"/>
      <c r="AG75" s="328"/>
      <c r="AH75" s="328"/>
      <c r="AI75" s="382"/>
      <c r="AJ75" s="382"/>
      <c r="AK75" s="382"/>
      <c r="AL75" s="383"/>
      <c r="AM75" s="383"/>
      <c r="AN75" s="383"/>
      <c r="AO75" s="383"/>
      <c r="AP75" s="383"/>
      <c r="AQ75" s="383"/>
      <c r="AR75" s="330"/>
      <c r="AS75" s="328"/>
      <c r="AT75" s="328"/>
      <c r="AU75" s="328"/>
      <c r="AV75" s="328"/>
      <c r="AW75" s="328"/>
      <c r="AX75" s="328"/>
      <c r="AY75" s="328"/>
      <c r="AZ75" s="328"/>
      <c r="BA75" s="328"/>
      <c r="BB75" s="328"/>
      <c r="BC75" s="328"/>
      <c r="BD75" s="328"/>
      <c r="BE75" s="328"/>
      <c r="BF75" s="328"/>
      <c r="BG75" s="328"/>
      <c r="BH75" s="328"/>
      <c r="BI75" s="328"/>
      <c r="BJ75" s="328"/>
      <c r="BK75" s="328"/>
      <c r="BL75" s="328"/>
      <c r="BM75" s="328"/>
      <c r="BN75" s="328"/>
      <c r="BO75" s="328"/>
      <c r="BP75" s="328"/>
      <c r="BQ75" s="328"/>
      <c r="BR75" s="328"/>
      <c r="BS75" s="328"/>
      <c r="BT75" s="328"/>
      <c r="BU75" s="328"/>
      <c r="BV75" s="328"/>
      <c r="BW75" s="328"/>
      <c r="BX75" s="328"/>
    </row>
    <row r="76" spans="1:600" ht="17" customHeight="1" thickBot="1" x14ac:dyDescent="0.4">
      <c r="B76" s="26"/>
      <c r="C76" s="165" t="s">
        <v>273</v>
      </c>
      <c r="D76" s="166" t="s">
        <v>274</v>
      </c>
      <c r="E76" s="167"/>
      <c r="F76" s="384"/>
      <c r="G76" s="385">
        <v>150</v>
      </c>
      <c r="H76" s="385">
        <v>150</v>
      </c>
      <c r="I76" s="385">
        <v>150</v>
      </c>
      <c r="J76" s="385">
        <v>150</v>
      </c>
      <c r="K76" s="386">
        <v>1</v>
      </c>
      <c r="L76" s="385">
        <v>100</v>
      </c>
      <c r="M76" s="385">
        <v>100</v>
      </c>
      <c r="N76" s="385">
        <v>100</v>
      </c>
      <c r="O76" s="385">
        <v>150</v>
      </c>
      <c r="P76" s="385">
        <v>150</v>
      </c>
      <c r="Q76" s="385">
        <v>150</v>
      </c>
      <c r="R76" s="385">
        <v>90</v>
      </c>
      <c r="S76" s="385">
        <v>125</v>
      </c>
      <c r="T76" s="385">
        <v>130</v>
      </c>
      <c r="U76" s="385">
        <v>200</v>
      </c>
      <c r="V76" s="385">
        <f>PMSS*3.5%</f>
        <v>115.88500000000001</v>
      </c>
      <c r="W76" s="385">
        <f>PMSS*4.5%</f>
        <v>148.995</v>
      </c>
      <c r="X76" s="385">
        <f>PMSS*4.5%</f>
        <v>148.995</v>
      </c>
      <c r="Y76" s="385">
        <f>PMSS*5%</f>
        <v>165.55</v>
      </c>
      <c r="Z76" s="385">
        <f>PMSS*4.5%</f>
        <v>148.995</v>
      </c>
      <c r="AA76" s="385">
        <f>PMSS*6.5%</f>
        <v>215.215</v>
      </c>
      <c r="AB76" s="385">
        <f>PMSS*4.5%</f>
        <v>148.995</v>
      </c>
      <c r="AC76" s="385">
        <f>PMSS*7%</f>
        <v>231.77</v>
      </c>
      <c r="AD76" s="385">
        <f>PMSS*4.5%</f>
        <v>148.995</v>
      </c>
      <c r="AE76" s="385">
        <f>PMSS*4.5%</f>
        <v>148.995</v>
      </c>
      <c r="AF76" s="385">
        <f>PMSS*4.5%</f>
        <v>148.995</v>
      </c>
      <c r="AG76" s="385">
        <f>PMSS*4.5%</f>
        <v>148.995</v>
      </c>
      <c r="AH76" s="387">
        <v>110</v>
      </c>
      <c r="AI76" s="387">
        <v>130</v>
      </c>
      <c r="AJ76" s="387">
        <v>140</v>
      </c>
      <c r="AK76" s="387">
        <v>150</v>
      </c>
      <c r="AL76" s="387">
        <v>1</v>
      </c>
      <c r="AM76" s="387">
        <v>95</v>
      </c>
      <c r="AN76" s="387">
        <v>125</v>
      </c>
      <c r="AO76" s="387">
        <v>150</v>
      </c>
      <c r="AP76" s="387">
        <v>150</v>
      </c>
      <c r="AQ76" s="387">
        <v>150</v>
      </c>
      <c r="AR76" s="388" t="s">
        <v>102</v>
      </c>
      <c r="AS76" s="385">
        <v>20</v>
      </c>
      <c r="AT76" s="385">
        <v>100</v>
      </c>
      <c r="AU76" s="385">
        <v>110</v>
      </c>
      <c r="AV76" s="385">
        <v>120</v>
      </c>
      <c r="AW76" s="385">
        <v>140</v>
      </c>
      <c r="AX76" s="385">
        <v>150</v>
      </c>
      <c r="AY76" s="385">
        <v>150</v>
      </c>
      <c r="AZ76" s="385"/>
      <c r="BA76" s="385"/>
      <c r="BB76" s="385"/>
      <c r="BC76" s="385"/>
      <c r="BD76" s="385"/>
      <c r="BE76" s="385"/>
      <c r="BF76" s="385"/>
      <c r="BG76" s="385"/>
      <c r="BH76" s="385"/>
      <c r="BI76" s="385"/>
      <c r="BJ76" s="385"/>
      <c r="BK76" s="385"/>
      <c r="BL76" s="385"/>
      <c r="BM76" s="385"/>
      <c r="BN76" s="385"/>
      <c r="BO76" s="385"/>
      <c r="BP76" s="385"/>
      <c r="BQ76" s="385"/>
      <c r="BR76" s="385"/>
      <c r="BS76" s="385"/>
      <c r="BT76" s="385"/>
      <c r="BU76" s="385"/>
      <c r="BV76" s="385"/>
      <c r="BW76" s="385"/>
      <c r="BX76" s="385"/>
    </row>
    <row r="77" spans="1:600" ht="16" customHeight="1" thickBot="1" x14ac:dyDescent="0.4">
      <c r="B77" s="26"/>
      <c r="C77" s="168" t="s">
        <v>275</v>
      </c>
      <c r="D77" s="169" t="s">
        <v>276</v>
      </c>
      <c r="E77" s="170"/>
      <c r="F77" s="316"/>
      <c r="G77" s="389">
        <v>55</v>
      </c>
      <c r="H77" s="389">
        <v>90</v>
      </c>
      <c r="I77" s="389">
        <v>130</v>
      </c>
      <c r="J77" s="389">
        <v>160</v>
      </c>
      <c r="K77" s="390">
        <v>1</v>
      </c>
      <c r="L77" s="389">
        <v>75</v>
      </c>
      <c r="M77" s="389">
        <v>100</v>
      </c>
      <c r="N77" s="389">
        <v>125</v>
      </c>
      <c r="O77" s="389">
        <v>152</v>
      </c>
      <c r="P77" s="389">
        <v>152</v>
      </c>
      <c r="Q77" s="389">
        <v>160</v>
      </c>
      <c r="R77" s="389">
        <v>80</v>
      </c>
      <c r="S77" s="389">
        <v>100</v>
      </c>
      <c r="T77" s="389">
        <v>135</v>
      </c>
      <c r="U77" s="389">
        <v>160</v>
      </c>
      <c r="V77" s="389">
        <f>PMSS*1.75%</f>
        <v>57.942500000000003</v>
      </c>
      <c r="W77" s="389">
        <f>PMSS*1.75%</f>
        <v>57.942500000000003</v>
      </c>
      <c r="X77" s="389">
        <f>PMSS*2.25%</f>
        <v>74.497500000000002</v>
      </c>
      <c r="Y77" s="389">
        <f>PMSS*2.5%</f>
        <v>82.775000000000006</v>
      </c>
      <c r="Z77" s="389">
        <f>PMSS*2.5%</f>
        <v>82.775000000000006</v>
      </c>
      <c r="AA77" s="389">
        <f>PMSS*2.75%</f>
        <v>91.052499999999995</v>
      </c>
      <c r="AB77" s="389">
        <f>PMSS*2.75%</f>
        <v>91.052499999999995</v>
      </c>
      <c r="AC77" s="389">
        <f>PMSS*3.25%</f>
        <v>107.6075</v>
      </c>
      <c r="AD77" s="389">
        <f>(PMSS*3.5%)/2</f>
        <v>57.942500000000003</v>
      </c>
      <c r="AE77" s="389">
        <f>PMSS*4.5%/2</f>
        <v>74.497500000000002</v>
      </c>
      <c r="AF77" s="389">
        <f>PMSS*5%/2</f>
        <v>82.775000000000006</v>
      </c>
      <c r="AG77" s="389">
        <f>PMSS*5.5%/2</f>
        <v>91.052499999999995</v>
      </c>
      <c r="AH77" s="391">
        <f>(250-AH76)</f>
        <v>140</v>
      </c>
      <c r="AI77" s="391">
        <f>(300-AI76)</f>
        <v>170</v>
      </c>
      <c r="AJ77" s="391">
        <f>(330-AJ76)</f>
        <v>190</v>
      </c>
      <c r="AK77" s="391">
        <f>(470-AK76)</f>
        <v>320</v>
      </c>
      <c r="AL77" s="392" t="s">
        <v>85</v>
      </c>
      <c r="AM77" s="392" t="s">
        <v>104</v>
      </c>
      <c r="AN77" s="392" t="s">
        <v>105</v>
      </c>
      <c r="AO77" s="392" t="s">
        <v>106</v>
      </c>
      <c r="AP77" s="392" t="s">
        <v>107</v>
      </c>
      <c r="AQ77" s="392" t="s">
        <v>108</v>
      </c>
      <c r="AR77" s="393" t="s">
        <v>103</v>
      </c>
      <c r="AS77" s="389">
        <v>15</v>
      </c>
      <c r="AT77" s="389">
        <v>25</v>
      </c>
      <c r="AU77" s="389">
        <v>40</v>
      </c>
      <c r="AV77" s="389">
        <v>55</v>
      </c>
      <c r="AW77" s="389">
        <v>85</v>
      </c>
      <c r="AX77" s="389">
        <v>115</v>
      </c>
      <c r="AY77" s="389">
        <v>145</v>
      </c>
      <c r="AZ77" s="389"/>
      <c r="BA77" s="389"/>
      <c r="BB77" s="389"/>
      <c r="BC77" s="389"/>
      <c r="BD77" s="389"/>
      <c r="BE77" s="389"/>
      <c r="BF77" s="389"/>
      <c r="BG77" s="389"/>
      <c r="BH77" s="389"/>
      <c r="BI77" s="389"/>
      <c r="BJ77" s="389"/>
      <c r="BK77" s="389"/>
      <c r="BL77" s="389"/>
      <c r="BM77" s="389"/>
      <c r="BN77" s="389"/>
      <c r="BO77" s="389"/>
      <c r="BP77" s="389"/>
      <c r="BQ77" s="389"/>
      <c r="BR77" s="389"/>
      <c r="BS77" s="389"/>
      <c r="BT77" s="389"/>
      <c r="BU77" s="389"/>
      <c r="BV77" s="389"/>
      <c r="BW77" s="389"/>
      <c r="BX77" s="389"/>
    </row>
    <row r="78" spans="1:600" ht="16" customHeight="1" thickBot="1" x14ac:dyDescent="0.4">
      <c r="B78" s="26"/>
      <c r="C78" s="168" t="s">
        <v>277</v>
      </c>
      <c r="D78" s="169" t="s">
        <v>278</v>
      </c>
      <c r="E78" s="170"/>
      <c r="F78" s="316"/>
      <c r="G78" s="389">
        <v>150</v>
      </c>
      <c r="H78" s="389">
        <v>200</v>
      </c>
      <c r="I78" s="389">
        <v>250</v>
      </c>
      <c r="J78" s="389">
        <v>300</v>
      </c>
      <c r="K78" s="390">
        <v>1</v>
      </c>
      <c r="L78" s="389">
        <v>115</v>
      </c>
      <c r="M78" s="389">
        <v>140</v>
      </c>
      <c r="N78" s="389">
        <v>165</v>
      </c>
      <c r="O78" s="389">
        <v>190</v>
      </c>
      <c r="P78" s="389">
        <v>215</v>
      </c>
      <c r="Q78" s="389">
        <v>230</v>
      </c>
      <c r="R78" s="389">
        <v>155</v>
      </c>
      <c r="S78" s="389">
        <v>187.5</v>
      </c>
      <c r="T78" s="389">
        <v>235</v>
      </c>
      <c r="U78" s="389">
        <v>300</v>
      </c>
      <c r="V78" s="389">
        <f>PMSS*2%</f>
        <v>66.22</v>
      </c>
      <c r="W78" s="389">
        <f>PMSS*2.5%</f>
        <v>82.775000000000006</v>
      </c>
      <c r="X78" s="389">
        <f>PMSS*2.5%</f>
        <v>82.775000000000006</v>
      </c>
      <c r="Y78" s="389">
        <f>PMSS*3%</f>
        <v>99.33</v>
      </c>
      <c r="Z78" s="389">
        <f>PMSS*3.25%</f>
        <v>107.6075</v>
      </c>
      <c r="AA78" s="389">
        <f>PMSS*3%</f>
        <v>99.33</v>
      </c>
      <c r="AB78" s="389">
        <f>PMSS*3.75%</f>
        <v>124.16249999999999</v>
      </c>
      <c r="AC78" s="389">
        <f>PMSS*4.5%</f>
        <v>148.995</v>
      </c>
      <c r="AD78" s="389">
        <f>PMSS*7%/2</f>
        <v>115.88500000000001</v>
      </c>
      <c r="AE78" s="389">
        <f>PMSS*10%/2</f>
        <v>165.55</v>
      </c>
      <c r="AF78" s="389">
        <f>PMSS*13%/2</f>
        <v>215.215</v>
      </c>
      <c r="AG78" s="389">
        <f>PMSS*16.5%/2</f>
        <v>273.15750000000003</v>
      </c>
      <c r="AH78" s="391">
        <f>(350-AH76)</f>
        <v>240</v>
      </c>
      <c r="AI78" s="391">
        <f>(460-AI76)</f>
        <v>330</v>
      </c>
      <c r="AJ78" s="391">
        <f>(560-AJ76)</f>
        <v>420</v>
      </c>
      <c r="AK78" s="391">
        <f>(750-AK76)</f>
        <v>600</v>
      </c>
      <c r="AL78" s="392"/>
      <c r="AM78" s="392" t="s">
        <v>109</v>
      </c>
      <c r="AN78" s="392" t="s">
        <v>110</v>
      </c>
      <c r="AO78" s="392" t="s">
        <v>111</v>
      </c>
      <c r="AP78" s="392" t="s">
        <v>112</v>
      </c>
      <c r="AQ78" s="392" t="s">
        <v>113</v>
      </c>
      <c r="AR78" s="394">
        <v>250</v>
      </c>
      <c r="AS78" s="389">
        <v>90</v>
      </c>
      <c r="AT78" s="389">
        <v>120</v>
      </c>
      <c r="AU78" s="389">
        <v>140</v>
      </c>
      <c r="AV78" s="389">
        <v>160</v>
      </c>
      <c r="AW78" s="389">
        <v>200</v>
      </c>
      <c r="AX78" s="389">
        <v>240</v>
      </c>
      <c r="AY78" s="389">
        <v>280</v>
      </c>
      <c r="AZ78" s="389"/>
      <c r="BA78" s="389"/>
      <c r="BB78" s="389"/>
      <c r="BC78" s="389"/>
      <c r="BD78" s="389"/>
      <c r="BE78" s="389"/>
      <c r="BF78" s="389"/>
      <c r="BG78" s="389"/>
      <c r="BH78" s="389"/>
      <c r="BI78" s="389"/>
      <c r="BJ78" s="389"/>
      <c r="BK78" s="389"/>
      <c r="BL78" s="389"/>
      <c r="BM78" s="389"/>
      <c r="BN78" s="389"/>
      <c r="BO78" s="389"/>
      <c r="BP78" s="389"/>
      <c r="BQ78" s="389"/>
      <c r="BR78" s="389"/>
      <c r="BS78" s="389"/>
      <c r="BT78" s="389"/>
      <c r="BU78" s="389"/>
      <c r="BV78" s="389"/>
      <c r="BW78" s="389"/>
      <c r="BX78" s="389"/>
    </row>
    <row r="79" spans="1:600" ht="16" customHeight="1" thickBot="1" x14ac:dyDescent="0.4">
      <c r="B79" s="26"/>
      <c r="C79" s="171"/>
      <c r="D79" s="172" t="s">
        <v>279</v>
      </c>
      <c r="E79" s="170"/>
      <c r="F79" s="316"/>
      <c r="G79" s="389">
        <v>180</v>
      </c>
      <c r="H79" s="389">
        <v>230</v>
      </c>
      <c r="I79" s="389">
        <v>280</v>
      </c>
      <c r="J79" s="389">
        <v>340</v>
      </c>
      <c r="K79" s="390">
        <v>1</v>
      </c>
      <c r="L79" s="389">
        <v>115</v>
      </c>
      <c r="M79" s="389">
        <v>140</v>
      </c>
      <c r="N79" s="389">
        <v>165</v>
      </c>
      <c r="O79" s="389">
        <v>190</v>
      </c>
      <c r="P79" s="389">
        <v>215</v>
      </c>
      <c r="Q79" s="389">
        <v>230</v>
      </c>
      <c r="R79" s="389">
        <v>155</v>
      </c>
      <c r="S79" s="389">
        <v>187.5</v>
      </c>
      <c r="T79" s="389">
        <v>235</v>
      </c>
      <c r="U79" s="389">
        <v>300</v>
      </c>
      <c r="V79" s="389">
        <f>PMSS*5%</f>
        <v>165.55</v>
      </c>
      <c r="W79" s="389">
        <f>PMSS*5.75%</f>
        <v>190.38250000000002</v>
      </c>
      <c r="X79" s="389">
        <f>PMSS*6%</f>
        <v>198.66</v>
      </c>
      <c r="Y79" s="389">
        <f>PMSS*7.25%</f>
        <v>240.04749999999999</v>
      </c>
      <c r="Z79" s="389">
        <f>PMSS*10%</f>
        <v>331.1</v>
      </c>
      <c r="AA79" s="389">
        <f>PMSS*11%</f>
        <v>364.21</v>
      </c>
      <c r="AB79" s="389">
        <f>PMSS*11%</f>
        <v>364.21</v>
      </c>
      <c r="AC79" s="389">
        <f>PMSS*13.5%</f>
        <v>446.98500000000001</v>
      </c>
      <c r="AD79" s="389">
        <f>PMSS*10%/2</f>
        <v>165.55</v>
      </c>
      <c r="AE79" s="389">
        <f>PMSS*12%/2</f>
        <v>198.66</v>
      </c>
      <c r="AF79" s="389">
        <f>PMSS*20%/2</f>
        <v>331.1</v>
      </c>
      <c r="AG79" s="389">
        <f>PMSS*22%/2</f>
        <v>364.21</v>
      </c>
      <c r="AH79" s="391">
        <f>(450-AH76)</f>
        <v>340</v>
      </c>
      <c r="AI79" s="391">
        <f>(530-AI76)</f>
        <v>400</v>
      </c>
      <c r="AJ79" s="391">
        <f>(790-AJ76)</f>
        <v>650</v>
      </c>
      <c r="AK79" s="391">
        <f>(850-AK76)</f>
        <v>700</v>
      </c>
      <c r="AL79" s="392"/>
      <c r="AM79" s="392">
        <v>250</v>
      </c>
      <c r="AN79" s="392">
        <v>350</v>
      </c>
      <c r="AO79" s="392">
        <v>350</v>
      </c>
      <c r="AP79" s="392">
        <v>350</v>
      </c>
      <c r="AQ79" s="392">
        <f>PMSS*9%</f>
        <v>297.99</v>
      </c>
      <c r="AR79" s="395" t="s">
        <v>114</v>
      </c>
      <c r="AS79" s="389">
        <v>90</v>
      </c>
      <c r="AT79" s="389">
        <v>125</v>
      </c>
      <c r="AU79" s="389">
        <v>150</v>
      </c>
      <c r="AV79" s="389">
        <v>175</v>
      </c>
      <c r="AW79" s="389">
        <v>225</v>
      </c>
      <c r="AX79" s="389">
        <v>275</v>
      </c>
      <c r="AY79" s="389">
        <v>350</v>
      </c>
      <c r="AZ79" s="389"/>
      <c r="BA79" s="389"/>
      <c r="BB79" s="389"/>
      <c r="BC79" s="389"/>
      <c r="BD79" s="389"/>
      <c r="BE79" s="389"/>
      <c r="BF79" s="389"/>
      <c r="BG79" s="389"/>
      <c r="BH79" s="389"/>
      <c r="BI79" s="389"/>
      <c r="BJ79" s="389"/>
      <c r="BK79" s="389"/>
      <c r="BL79" s="389"/>
      <c r="BM79" s="389"/>
      <c r="BN79" s="389"/>
      <c r="BO79" s="389"/>
      <c r="BP79" s="389"/>
      <c r="BQ79" s="389"/>
      <c r="BR79" s="389"/>
      <c r="BS79" s="389"/>
      <c r="BT79" s="389"/>
      <c r="BU79" s="389"/>
      <c r="BV79" s="389"/>
      <c r="BW79" s="389"/>
      <c r="BX79" s="389"/>
    </row>
    <row r="80" spans="1:600" ht="16" customHeight="1" thickBot="1" x14ac:dyDescent="0.4">
      <c r="B80" s="26"/>
      <c r="C80" s="173"/>
      <c r="D80" s="174" t="s">
        <v>280</v>
      </c>
      <c r="E80" s="175">
        <v>50</v>
      </c>
      <c r="F80" s="325"/>
      <c r="G80" s="327">
        <f>G76+G77*2</f>
        <v>260</v>
      </c>
      <c r="H80" s="327">
        <f>H76+H77*2</f>
        <v>330</v>
      </c>
      <c r="I80" s="327">
        <f>I76+I77*2</f>
        <v>410</v>
      </c>
      <c r="J80" s="327">
        <f>J76+J77*2</f>
        <v>470</v>
      </c>
      <c r="K80" s="327"/>
      <c r="L80" s="327">
        <f>(L77*2)+L76</f>
        <v>250</v>
      </c>
      <c r="M80" s="327">
        <f>(M77*2)+M76</f>
        <v>300</v>
      </c>
      <c r="N80" s="327">
        <f>(N77*2)+N76</f>
        <v>350</v>
      </c>
      <c r="O80" s="327">
        <f>(O77*2)+O76</f>
        <v>454</v>
      </c>
      <c r="P80" s="327">
        <f>(P77*2)+P76</f>
        <v>454</v>
      </c>
      <c r="Q80" s="327">
        <f>(Q77*2)+Q76</f>
        <v>470</v>
      </c>
      <c r="R80" s="327">
        <f>$S$76+(R77*2)</f>
        <v>285</v>
      </c>
      <c r="S80" s="327">
        <f>$T$76+(S77*2)</f>
        <v>330</v>
      </c>
      <c r="T80" s="327">
        <f>$U$76+T77*2</f>
        <v>470</v>
      </c>
      <c r="U80" s="327">
        <f>$V$76+U77*2</f>
        <v>435.88499999999999</v>
      </c>
      <c r="V80" s="327">
        <f>V76+V77*2</f>
        <v>231.77</v>
      </c>
      <c r="W80" s="327">
        <f>W76+W77*2</f>
        <v>264.88</v>
      </c>
      <c r="X80" s="327">
        <f>X76+X77*2</f>
        <v>297.99</v>
      </c>
      <c r="Y80" s="327">
        <f>Y76+Y77*2</f>
        <v>331.1</v>
      </c>
      <c r="Z80" s="327">
        <f>Z76+Z77*2</f>
        <v>314.54500000000002</v>
      </c>
      <c r="AA80" s="327">
        <f>AA76+AA77*2</f>
        <v>397.32</v>
      </c>
      <c r="AB80" s="327">
        <f>AB76+AB77*2</f>
        <v>331.1</v>
      </c>
      <c r="AC80" s="327">
        <f>AC76+AC77*2</f>
        <v>446.98500000000001</v>
      </c>
      <c r="AD80" s="327">
        <f>AD76+(AD77+2)</f>
        <v>208.9375</v>
      </c>
      <c r="AE80" s="327">
        <f>AE76+(AE77+2)</f>
        <v>225.49250000000001</v>
      </c>
      <c r="AF80" s="327">
        <f>AF76+(AF77+2)</f>
        <v>233.77</v>
      </c>
      <c r="AG80" s="327">
        <f>AG76+(AG77+2)</f>
        <v>242.04750000000001</v>
      </c>
      <c r="AH80" s="327">
        <f>AH76+AH77</f>
        <v>250</v>
      </c>
      <c r="AI80" s="327">
        <f>AI76+AI77</f>
        <v>300</v>
      </c>
      <c r="AJ80" s="327">
        <f>AJ76+AJ77</f>
        <v>330</v>
      </c>
      <c r="AK80" s="327">
        <f>AK76+AK77</f>
        <v>470</v>
      </c>
      <c r="AL80" s="327"/>
      <c r="AM80" s="327">
        <f>AM76+60*2</f>
        <v>215</v>
      </c>
      <c r="AN80" s="327">
        <f>AN76+80*2</f>
        <v>285</v>
      </c>
      <c r="AO80" s="327">
        <f>AO76+95*2</f>
        <v>340</v>
      </c>
      <c r="AP80" s="327">
        <f>AP76+125*2</f>
        <v>400</v>
      </c>
      <c r="AQ80" s="327">
        <f>AQ76+155*2</f>
        <v>460</v>
      </c>
      <c r="AR80" s="395"/>
      <c r="AS80" s="327">
        <f>(AS77*2)+AS76</f>
        <v>50</v>
      </c>
      <c r="AT80" s="327">
        <f>(AT77*2)+AT76</f>
        <v>150</v>
      </c>
      <c r="AU80" s="327">
        <f>(AU77*2)+AU76</f>
        <v>190</v>
      </c>
      <c r="AV80" s="327">
        <f>(AV77*2)+AV76</f>
        <v>230</v>
      </c>
      <c r="AW80" s="327">
        <f>(AW77*2)+AW76</f>
        <v>310</v>
      </c>
      <c r="AX80" s="327">
        <f>(AX77*2)+AX76</f>
        <v>380</v>
      </c>
      <c r="AY80" s="327">
        <f>(AY77*2)+AY76</f>
        <v>440</v>
      </c>
      <c r="AZ80" s="327"/>
      <c r="BA80" s="327"/>
      <c r="BB80" s="327"/>
      <c r="BC80" s="327"/>
      <c r="BD80" s="327"/>
      <c r="BE80" s="327"/>
      <c r="BF80" s="327"/>
      <c r="BG80" s="327"/>
      <c r="BH80" s="327"/>
      <c r="BI80" s="327"/>
      <c r="BJ80" s="327"/>
      <c r="BK80" s="327"/>
      <c r="BL80" s="327"/>
      <c r="BM80" s="327"/>
      <c r="BN80" s="327"/>
      <c r="BO80" s="327">
        <v>50</v>
      </c>
      <c r="BP80" s="327">
        <v>200</v>
      </c>
      <c r="BQ80" s="327">
        <v>300</v>
      </c>
      <c r="BR80" s="327">
        <v>400</v>
      </c>
      <c r="BS80" s="327">
        <v>460</v>
      </c>
      <c r="BT80" s="327">
        <v>470</v>
      </c>
      <c r="BU80" s="327"/>
      <c r="BV80" s="327"/>
      <c r="BW80" s="327"/>
      <c r="BX80" s="327"/>
    </row>
    <row r="81" spans="1:600" ht="16" customHeight="1" thickBot="1" x14ac:dyDescent="0.4">
      <c r="B81" s="26"/>
      <c r="C81" s="173"/>
      <c r="D81" s="174" t="s">
        <v>281</v>
      </c>
      <c r="E81" s="175">
        <v>200</v>
      </c>
      <c r="F81" s="325"/>
      <c r="G81" s="327">
        <f>G76+G78</f>
        <v>300</v>
      </c>
      <c r="H81" s="327">
        <f>H76+H78</f>
        <v>350</v>
      </c>
      <c r="I81" s="327">
        <f>I76+I78</f>
        <v>400</v>
      </c>
      <c r="J81" s="327">
        <f>J76+J78</f>
        <v>450</v>
      </c>
      <c r="K81" s="327"/>
      <c r="L81" s="327">
        <f>(L78*2)+L76</f>
        <v>330</v>
      </c>
      <c r="M81" s="327">
        <f>(M78*2)+M76</f>
        <v>380</v>
      </c>
      <c r="N81" s="327">
        <f>(N78*2)+N76</f>
        <v>430</v>
      </c>
      <c r="O81" s="327">
        <f>(O78*2)+O76</f>
        <v>530</v>
      </c>
      <c r="P81" s="327">
        <f>(P78*2)+P76</f>
        <v>580</v>
      </c>
      <c r="Q81" s="327">
        <f>(Q78*2)+Q76</f>
        <v>610</v>
      </c>
      <c r="R81" s="327">
        <f>$S$76+(R78*2)</f>
        <v>435</v>
      </c>
      <c r="S81" s="327">
        <f>$T$76+(S78*2)</f>
        <v>505</v>
      </c>
      <c r="T81" s="327">
        <f>$U$76+T78*2</f>
        <v>670</v>
      </c>
      <c r="U81" s="327">
        <f>$V$76+U78*2</f>
        <v>715.88499999999999</v>
      </c>
      <c r="V81" s="327">
        <f>V76+V78*2</f>
        <v>248.32499999999999</v>
      </c>
      <c r="W81" s="327">
        <f>W76+W78*2</f>
        <v>314.54500000000002</v>
      </c>
      <c r="X81" s="327">
        <f>X76+X78*2</f>
        <v>314.54500000000002</v>
      </c>
      <c r="Y81" s="327">
        <f>Y76+Y78*2</f>
        <v>364.21000000000004</v>
      </c>
      <c r="Z81" s="327">
        <f>Z76+Z78*2</f>
        <v>364.21000000000004</v>
      </c>
      <c r="AA81" s="327">
        <f>AA76+AA78*2</f>
        <v>413.875</v>
      </c>
      <c r="AB81" s="327">
        <f>AB76+AB78*2</f>
        <v>397.32</v>
      </c>
      <c r="AC81" s="327">
        <f>AC76+AC78*2</f>
        <v>529.76</v>
      </c>
      <c r="AD81" s="327">
        <f>AD76+(AD78*2)</f>
        <v>380.76499999999999</v>
      </c>
      <c r="AE81" s="327">
        <f>AE76+(AE78*2)</f>
        <v>480.09500000000003</v>
      </c>
      <c r="AF81" s="327">
        <f>AF76+(AF78*2)</f>
        <v>579.42499999999995</v>
      </c>
      <c r="AG81" s="327">
        <f>AG76+(AG78*2)</f>
        <v>695.31000000000006</v>
      </c>
      <c r="AH81" s="327">
        <f>AH76+AH78</f>
        <v>350</v>
      </c>
      <c r="AI81" s="327">
        <f>AI76+AI78</f>
        <v>460</v>
      </c>
      <c r="AJ81" s="327">
        <f>AJ76+AJ78</f>
        <v>560</v>
      </c>
      <c r="AK81" s="327">
        <f>AK76+AK78</f>
        <v>750</v>
      </c>
      <c r="AL81" s="327"/>
      <c r="AM81" s="327">
        <f>AM76+185*2</f>
        <v>465</v>
      </c>
      <c r="AN81" s="327">
        <f>AN76+280*2</f>
        <v>685</v>
      </c>
      <c r="AO81" s="327">
        <f>AO76+310*2</f>
        <v>770</v>
      </c>
      <c r="AP81" s="327">
        <f>AP76+310*2</f>
        <v>770</v>
      </c>
      <c r="AQ81" s="327">
        <f>AQ76+350*2</f>
        <v>850</v>
      </c>
      <c r="AR81" s="395"/>
      <c r="AS81" s="327">
        <f>(AS78*2)+AS76</f>
        <v>200</v>
      </c>
      <c r="AT81" s="327">
        <f>(AT78*2)+AT76</f>
        <v>340</v>
      </c>
      <c r="AU81" s="327">
        <f>(AU78*2)+AU76</f>
        <v>390</v>
      </c>
      <c r="AV81" s="327">
        <f>(AV78*2)+AV76</f>
        <v>440</v>
      </c>
      <c r="AW81" s="327">
        <f>(AW78*2)+AW76</f>
        <v>540</v>
      </c>
      <c r="AX81" s="327">
        <f>(AX78*2)+AX76</f>
        <v>630</v>
      </c>
      <c r="AY81" s="327">
        <f>(AY78*2)+AY76</f>
        <v>710</v>
      </c>
      <c r="AZ81" s="327"/>
      <c r="BA81" s="327"/>
      <c r="BB81" s="327"/>
      <c r="BC81" s="327"/>
      <c r="BD81" s="327"/>
      <c r="BE81" s="327"/>
      <c r="BF81" s="327"/>
      <c r="BG81" s="327"/>
      <c r="BH81" s="327"/>
      <c r="BI81" s="327"/>
      <c r="BJ81" s="327"/>
      <c r="BK81" s="327"/>
      <c r="BL81" s="327"/>
      <c r="BM81" s="327"/>
      <c r="BN81" s="327"/>
      <c r="BO81" s="327">
        <f>BO80+150</f>
        <v>200</v>
      </c>
      <c r="BP81" s="327">
        <f>BP80+150</f>
        <v>350</v>
      </c>
      <c r="BQ81" s="327">
        <f>BQ80+150</f>
        <v>450</v>
      </c>
      <c r="BR81" s="327">
        <f>BR80+150</f>
        <v>550</v>
      </c>
      <c r="BS81" s="327">
        <f>BS80+100</f>
        <v>560</v>
      </c>
      <c r="BT81" s="327">
        <f>BT80+280</f>
        <v>750</v>
      </c>
      <c r="BU81" s="327"/>
      <c r="BV81" s="327"/>
      <c r="BW81" s="327"/>
      <c r="BX81" s="327"/>
    </row>
    <row r="82" spans="1:600" ht="16" customHeight="1" thickBot="1" x14ac:dyDescent="0.4">
      <c r="B82" s="26"/>
      <c r="C82" s="173"/>
      <c r="D82" s="174" t="s">
        <v>282</v>
      </c>
      <c r="E82" s="175">
        <v>200</v>
      </c>
      <c r="F82" s="325"/>
      <c r="G82" s="327">
        <f>G76+G79*2</f>
        <v>510</v>
      </c>
      <c r="H82" s="327">
        <f>H76+H79*2</f>
        <v>610</v>
      </c>
      <c r="I82" s="327">
        <f>I76+I79*2</f>
        <v>710</v>
      </c>
      <c r="J82" s="327">
        <f>J76+J79*2</f>
        <v>830</v>
      </c>
      <c r="K82" s="327"/>
      <c r="L82" s="327">
        <f>(L79*2)+L76</f>
        <v>330</v>
      </c>
      <c r="M82" s="327">
        <f>(M79*2)+M76</f>
        <v>380</v>
      </c>
      <c r="N82" s="327">
        <f>(N79*2)+N76</f>
        <v>430</v>
      </c>
      <c r="O82" s="327">
        <f>(O79*2)+O76</f>
        <v>530</v>
      </c>
      <c r="P82" s="327">
        <f>(P79*2)+P76</f>
        <v>580</v>
      </c>
      <c r="Q82" s="327">
        <f>(Q79*2)+Q76</f>
        <v>610</v>
      </c>
      <c r="R82" s="327">
        <f>$S$76+(R79*2)</f>
        <v>435</v>
      </c>
      <c r="S82" s="327">
        <f>$T$76+(S79*2)</f>
        <v>505</v>
      </c>
      <c r="T82" s="327">
        <f>$U$76+T79*2</f>
        <v>670</v>
      </c>
      <c r="U82" s="327">
        <f>$V$76+U79*2</f>
        <v>715.88499999999999</v>
      </c>
      <c r="V82" s="327">
        <f>V76+V79*2</f>
        <v>446.98500000000001</v>
      </c>
      <c r="W82" s="327">
        <f>W76+W79*2</f>
        <v>529.76</v>
      </c>
      <c r="X82" s="327">
        <f>X76+X79*2</f>
        <v>546.31500000000005</v>
      </c>
      <c r="Y82" s="327">
        <f>Y76+Y79*2</f>
        <v>645.64499999999998</v>
      </c>
      <c r="Z82" s="327">
        <f>Z76+Z79*2</f>
        <v>811.19500000000005</v>
      </c>
      <c r="AA82" s="327">
        <f>AA76+AA79*2</f>
        <v>943.63499999999999</v>
      </c>
      <c r="AB82" s="327">
        <f>AB76+AB79*2</f>
        <v>877.41499999999996</v>
      </c>
      <c r="AC82" s="327">
        <f>AC76+AC79*2</f>
        <v>1125.74</v>
      </c>
      <c r="AD82" s="327">
        <f>AD76+(AD79*2)</f>
        <v>480.09500000000003</v>
      </c>
      <c r="AE82" s="327">
        <f>AE76+(AE79*2)</f>
        <v>546.31500000000005</v>
      </c>
      <c r="AF82" s="327">
        <f>AF76+(AF79*2)</f>
        <v>811.19500000000005</v>
      </c>
      <c r="AG82" s="327">
        <f>AG76+(AG79*2)</f>
        <v>877.41499999999996</v>
      </c>
      <c r="AH82" s="327">
        <f>AH76+AH79</f>
        <v>450</v>
      </c>
      <c r="AI82" s="327">
        <f>AI76+AI79</f>
        <v>530</v>
      </c>
      <c r="AJ82" s="327">
        <f>AJ76+AJ79</f>
        <v>790</v>
      </c>
      <c r="AK82" s="327">
        <f>AK76+AK79</f>
        <v>850</v>
      </c>
      <c r="AL82" s="327"/>
      <c r="AM82" s="327">
        <f>AM76+AM79*2</f>
        <v>595</v>
      </c>
      <c r="AN82" s="327">
        <f>AN76+AN79*2</f>
        <v>825</v>
      </c>
      <c r="AO82" s="327">
        <f>AO76+AO79*2</f>
        <v>850</v>
      </c>
      <c r="AP82" s="327">
        <f>AP76+AP79*2</f>
        <v>850</v>
      </c>
      <c r="AQ82" s="327">
        <f>AQ76+AQ79*2</f>
        <v>745.98</v>
      </c>
      <c r="AR82" s="327"/>
      <c r="AS82" s="327">
        <f>(AS79*2)+AS76</f>
        <v>200</v>
      </c>
      <c r="AT82" s="327">
        <f>(AT79*2)+AT76</f>
        <v>350</v>
      </c>
      <c r="AU82" s="327">
        <f>(AU79*2)+AU76</f>
        <v>410</v>
      </c>
      <c r="AV82" s="327">
        <f>(AV79*2)+AV76</f>
        <v>470</v>
      </c>
      <c r="AW82" s="327">
        <f>(AW79*2)+AW76</f>
        <v>590</v>
      </c>
      <c r="AX82" s="327">
        <f>(AX79*2)+AX76</f>
        <v>700</v>
      </c>
      <c r="AY82" s="327">
        <f>(AY79*2)+AY76</f>
        <v>850</v>
      </c>
      <c r="AZ82" s="327"/>
      <c r="BA82" s="327"/>
      <c r="BB82" s="327"/>
      <c r="BC82" s="327"/>
      <c r="BD82" s="327"/>
      <c r="BE82" s="327"/>
      <c r="BF82" s="327"/>
      <c r="BG82" s="327"/>
      <c r="BH82" s="327"/>
      <c r="BI82" s="327"/>
      <c r="BJ82" s="327"/>
      <c r="BK82" s="327"/>
      <c r="BL82" s="327"/>
      <c r="BM82" s="327"/>
      <c r="BN82" s="327"/>
      <c r="BO82" s="327">
        <f>BO80+150</f>
        <v>200</v>
      </c>
      <c r="BP82" s="327">
        <f>BP80+150</f>
        <v>350</v>
      </c>
      <c r="BQ82" s="327">
        <f>BQ80+150</f>
        <v>450</v>
      </c>
      <c r="BR82" s="327">
        <f>BR80+150</f>
        <v>550</v>
      </c>
      <c r="BS82" s="327">
        <f>BS80+100</f>
        <v>560</v>
      </c>
      <c r="BT82" s="327">
        <f>BT80+280</f>
        <v>750</v>
      </c>
      <c r="BU82" s="327"/>
      <c r="BV82" s="327"/>
      <c r="BW82" s="327"/>
      <c r="BX82" s="327"/>
    </row>
    <row r="83" spans="1:600" ht="17" customHeight="1" thickBot="1" x14ac:dyDescent="0.4">
      <c r="A83" s="262"/>
      <c r="B83" s="26"/>
      <c r="C83" s="165" t="s">
        <v>273</v>
      </c>
      <c r="D83" s="166" t="s">
        <v>274</v>
      </c>
      <c r="E83" s="167"/>
      <c r="F83" s="384"/>
      <c r="G83" s="396">
        <v>50</v>
      </c>
      <c r="H83" s="396">
        <v>60</v>
      </c>
      <c r="I83" s="396">
        <v>70</v>
      </c>
      <c r="J83" s="396">
        <v>80</v>
      </c>
      <c r="K83" s="397">
        <v>1</v>
      </c>
      <c r="L83" s="396">
        <v>100</v>
      </c>
      <c r="M83" s="396">
        <v>100</v>
      </c>
      <c r="N83" s="396">
        <v>100</v>
      </c>
      <c r="O83" s="396">
        <v>150</v>
      </c>
      <c r="P83" s="396">
        <v>150</v>
      </c>
      <c r="Q83" s="396">
        <v>150</v>
      </c>
      <c r="R83" s="396">
        <v>45</v>
      </c>
      <c r="S83" s="396">
        <v>50</v>
      </c>
      <c r="T83" s="396">
        <v>55</v>
      </c>
      <c r="U83" s="396">
        <v>200</v>
      </c>
      <c r="V83" s="396"/>
      <c r="W83" s="396"/>
      <c r="X83" s="396"/>
      <c r="Y83" s="396"/>
      <c r="Z83" s="396"/>
      <c r="AA83" s="396"/>
      <c r="AB83" s="396"/>
      <c r="AC83" s="396"/>
      <c r="AD83" s="396">
        <f>PMSS*3.5%</f>
        <v>115.88500000000001</v>
      </c>
      <c r="AE83" s="396">
        <f>PMSS*4.5%</f>
        <v>148.995</v>
      </c>
      <c r="AF83" s="396">
        <f>PMSS*5%</f>
        <v>165.55</v>
      </c>
      <c r="AG83" s="396">
        <f>PMSS*6.5%</f>
        <v>215.215</v>
      </c>
      <c r="AH83" s="387">
        <v>150</v>
      </c>
      <c r="AI83" s="387">
        <v>150</v>
      </c>
      <c r="AJ83" s="387">
        <v>150</v>
      </c>
      <c r="AK83" s="387">
        <v>150</v>
      </c>
      <c r="AL83" s="387">
        <v>1</v>
      </c>
      <c r="AM83" s="387">
        <f>AM76</f>
        <v>95</v>
      </c>
      <c r="AN83" s="387">
        <f>AN76</f>
        <v>125</v>
      </c>
      <c r="AO83" s="387">
        <f>AO76</f>
        <v>150</v>
      </c>
      <c r="AP83" s="387">
        <f>AP76</f>
        <v>150</v>
      </c>
      <c r="AQ83" s="387">
        <f>AQ76</f>
        <v>150</v>
      </c>
      <c r="AR83" s="396"/>
      <c r="AS83" s="396">
        <v>20</v>
      </c>
      <c r="AT83" s="396">
        <v>60</v>
      </c>
      <c r="AU83" s="396">
        <v>70</v>
      </c>
      <c r="AV83" s="396">
        <v>80</v>
      </c>
      <c r="AW83" s="396">
        <v>100</v>
      </c>
      <c r="AX83" s="396">
        <v>120</v>
      </c>
      <c r="AY83" s="396">
        <v>140</v>
      </c>
      <c r="AZ83" s="396"/>
      <c r="BA83" s="396"/>
      <c r="BB83" s="396"/>
      <c r="BC83" s="396"/>
      <c r="BD83" s="396"/>
      <c r="BE83" s="396"/>
      <c r="BF83" s="396"/>
      <c r="BG83" s="396"/>
      <c r="BH83" s="396"/>
      <c r="BI83" s="396"/>
      <c r="BJ83" s="396"/>
      <c r="BK83" s="396"/>
      <c r="BL83" s="396"/>
      <c r="BM83" s="396"/>
      <c r="BN83" s="396"/>
      <c r="BO83" s="396"/>
      <c r="BP83" s="396"/>
      <c r="BQ83" s="396"/>
      <c r="BR83" s="396"/>
      <c r="BS83" s="396"/>
      <c r="BT83" s="396"/>
      <c r="BU83" s="396"/>
      <c r="BV83" s="396"/>
      <c r="BW83" s="396"/>
      <c r="BX83" s="396"/>
    </row>
    <row r="84" spans="1:600" ht="16" customHeight="1" thickBot="1" x14ac:dyDescent="0.4">
      <c r="A84" s="262"/>
      <c r="B84" s="26"/>
      <c r="C84" s="168" t="s">
        <v>283</v>
      </c>
      <c r="D84" s="169" t="s">
        <v>276</v>
      </c>
      <c r="E84" s="176"/>
      <c r="F84" s="316"/>
      <c r="G84" s="389">
        <v>50</v>
      </c>
      <c r="H84" s="389">
        <v>55</v>
      </c>
      <c r="I84" s="389">
        <v>65</v>
      </c>
      <c r="J84" s="389">
        <v>85</v>
      </c>
      <c r="K84" s="390">
        <v>1</v>
      </c>
      <c r="L84" s="398">
        <v>75</v>
      </c>
      <c r="M84" s="398">
        <v>100</v>
      </c>
      <c r="N84" s="398">
        <v>125</v>
      </c>
      <c r="O84" s="398">
        <v>152</v>
      </c>
      <c r="P84" s="398">
        <v>152</v>
      </c>
      <c r="Q84" s="398">
        <v>160</v>
      </c>
      <c r="R84" s="389">
        <v>45</v>
      </c>
      <c r="S84" s="389">
        <v>50</v>
      </c>
      <c r="T84" s="389">
        <v>55</v>
      </c>
      <c r="U84" s="389">
        <v>200</v>
      </c>
      <c r="V84" s="398"/>
      <c r="W84" s="398"/>
      <c r="X84" s="398"/>
      <c r="Y84" s="398"/>
      <c r="Z84" s="398"/>
      <c r="AA84" s="398"/>
      <c r="AB84" s="398"/>
      <c r="AC84" s="398"/>
      <c r="AD84" s="398"/>
      <c r="AE84" s="398"/>
      <c r="AF84" s="398"/>
      <c r="AG84" s="398"/>
      <c r="AH84" s="391">
        <f>AH77</f>
        <v>140</v>
      </c>
      <c r="AI84" s="391">
        <f>AI77</f>
        <v>170</v>
      </c>
      <c r="AJ84" s="391" t="s">
        <v>115</v>
      </c>
      <c r="AK84" s="391" t="s">
        <v>116</v>
      </c>
      <c r="AL84" s="392" t="s">
        <v>85</v>
      </c>
      <c r="AM84" s="392" t="s">
        <v>104</v>
      </c>
      <c r="AN84" s="392" t="s">
        <v>105</v>
      </c>
      <c r="AO84" s="392" t="s">
        <v>106</v>
      </c>
      <c r="AP84" s="392" t="s">
        <v>107</v>
      </c>
      <c r="AQ84" s="392" t="s">
        <v>108</v>
      </c>
      <c r="AR84" s="399"/>
      <c r="AS84" s="389">
        <v>15</v>
      </c>
      <c r="AT84" s="389">
        <v>25</v>
      </c>
      <c r="AU84" s="389">
        <v>35</v>
      </c>
      <c r="AV84" s="389">
        <v>45</v>
      </c>
      <c r="AW84" s="389">
        <v>65</v>
      </c>
      <c r="AX84" s="389">
        <v>85</v>
      </c>
      <c r="AY84" s="389">
        <v>105</v>
      </c>
      <c r="AZ84" s="398"/>
      <c r="BA84" s="398"/>
      <c r="BB84" s="398"/>
      <c r="BC84" s="398"/>
      <c r="BD84" s="398"/>
      <c r="BE84" s="398"/>
      <c r="BF84" s="398"/>
      <c r="BG84" s="398"/>
      <c r="BH84" s="398"/>
      <c r="BI84" s="398"/>
      <c r="BJ84" s="398"/>
      <c r="BK84" s="398"/>
      <c r="BL84" s="398"/>
      <c r="BM84" s="398"/>
      <c r="BN84" s="398"/>
      <c r="BO84" s="398"/>
      <c r="BP84" s="398"/>
      <c r="BQ84" s="398"/>
      <c r="BR84" s="398"/>
      <c r="BS84" s="398"/>
      <c r="BT84" s="398"/>
      <c r="BU84" s="398"/>
      <c r="BV84" s="398"/>
      <c r="BW84" s="398"/>
      <c r="BX84" s="398"/>
    </row>
    <row r="85" spans="1:600" ht="16" customHeight="1" thickBot="1" x14ac:dyDescent="0.4">
      <c r="A85" s="262"/>
      <c r="B85" s="26"/>
      <c r="C85" s="173"/>
      <c r="D85" s="169" t="s">
        <v>278</v>
      </c>
      <c r="E85" s="177"/>
      <c r="F85" s="316"/>
      <c r="G85" s="389">
        <v>75</v>
      </c>
      <c r="H85" s="389">
        <v>75</v>
      </c>
      <c r="I85" s="389">
        <v>75</v>
      </c>
      <c r="J85" s="389">
        <v>90</v>
      </c>
      <c r="K85" s="400">
        <v>1</v>
      </c>
      <c r="L85" s="401">
        <v>115</v>
      </c>
      <c r="M85" s="401">
        <v>140</v>
      </c>
      <c r="N85" s="401">
        <v>165</v>
      </c>
      <c r="O85" s="401">
        <v>190</v>
      </c>
      <c r="P85" s="401">
        <v>215</v>
      </c>
      <c r="Q85" s="401">
        <v>230</v>
      </c>
      <c r="R85" s="389">
        <v>115</v>
      </c>
      <c r="S85" s="389">
        <v>137.5</v>
      </c>
      <c r="T85" s="389">
        <v>60</v>
      </c>
      <c r="U85" s="389">
        <v>300</v>
      </c>
      <c r="V85" s="401"/>
      <c r="W85" s="401"/>
      <c r="X85" s="401"/>
      <c r="Y85" s="401"/>
      <c r="Z85" s="401"/>
      <c r="AA85" s="401"/>
      <c r="AB85" s="401"/>
      <c r="AC85" s="401"/>
      <c r="AD85" s="401"/>
      <c r="AE85" s="401"/>
      <c r="AF85" s="401"/>
      <c r="AG85" s="401"/>
      <c r="AH85" s="391">
        <f>AH78</f>
        <v>240</v>
      </c>
      <c r="AI85" s="391">
        <f>AI78</f>
        <v>330</v>
      </c>
      <c r="AJ85" s="391" t="s">
        <v>117</v>
      </c>
      <c r="AK85" s="391" t="s">
        <v>118</v>
      </c>
      <c r="AL85" s="392"/>
      <c r="AM85" s="392" t="s">
        <v>109</v>
      </c>
      <c r="AN85" s="392" t="s">
        <v>110</v>
      </c>
      <c r="AO85" s="392" t="s">
        <v>111</v>
      </c>
      <c r="AP85" s="392" t="s">
        <v>112</v>
      </c>
      <c r="AQ85" s="392" t="s">
        <v>113</v>
      </c>
      <c r="AR85" s="401"/>
      <c r="AS85" s="402">
        <v>90</v>
      </c>
      <c r="AT85" s="402">
        <v>100</v>
      </c>
      <c r="AU85" s="402">
        <v>110</v>
      </c>
      <c r="AV85" s="402">
        <v>120</v>
      </c>
      <c r="AW85" s="402">
        <v>140</v>
      </c>
      <c r="AX85" s="402">
        <v>160</v>
      </c>
      <c r="AY85" s="402">
        <v>180</v>
      </c>
      <c r="AZ85" s="401"/>
      <c r="BA85" s="401"/>
      <c r="BB85" s="401"/>
      <c r="BC85" s="401"/>
      <c r="BD85" s="401"/>
      <c r="BE85" s="401"/>
      <c r="BF85" s="401"/>
      <c r="BG85" s="401"/>
      <c r="BH85" s="401"/>
      <c r="BI85" s="401"/>
      <c r="BJ85" s="401"/>
      <c r="BK85" s="401"/>
      <c r="BL85" s="401"/>
      <c r="BM85" s="401"/>
      <c r="BN85" s="401"/>
      <c r="BO85" s="401"/>
      <c r="BP85" s="401"/>
      <c r="BQ85" s="401"/>
      <c r="BR85" s="401"/>
      <c r="BS85" s="401"/>
      <c r="BT85" s="401"/>
      <c r="BU85" s="401"/>
      <c r="BV85" s="401"/>
      <c r="BW85" s="401"/>
      <c r="BX85" s="401"/>
    </row>
    <row r="86" spans="1:600" ht="16" customHeight="1" thickBot="1" x14ac:dyDescent="0.4">
      <c r="A86" s="262"/>
      <c r="B86" s="26"/>
      <c r="C86" s="171"/>
      <c r="D86" s="172" t="s">
        <v>279</v>
      </c>
      <c r="E86" s="176"/>
      <c r="F86" s="316"/>
      <c r="G86" s="389">
        <v>75</v>
      </c>
      <c r="H86" s="389">
        <v>75</v>
      </c>
      <c r="I86" s="389">
        <v>75</v>
      </c>
      <c r="J86" s="389">
        <v>95</v>
      </c>
      <c r="K86" s="390">
        <v>1</v>
      </c>
      <c r="L86" s="398">
        <v>115</v>
      </c>
      <c r="M86" s="398">
        <v>140</v>
      </c>
      <c r="N86" s="398">
        <v>165</v>
      </c>
      <c r="O86" s="398">
        <v>190</v>
      </c>
      <c r="P86" s="398">
        <v>215</v>
      </c>
      <c r="Q86" s="398">
        <v>230</v>
      </c>
      <c r="R86" s="389">
        <v>115</v>
      </c>
      <c r="S86" s="389">
        <v>137.5</v>
      </c>
      <c r="T86" s="389">
        <v>160</v>
      </c>
      <c r="U86" s="389">
        <v>300</v>
      </c>
      <c r="V86" s="398"/>
      <c r="W86" s="398"/>
      <c r="X86" s="398"/>
      <c r="Y86" s="398"/>
      <c r="Z86" s="398"/>
      <c r="AA86" s="398"/>
      <c r="AB86" s="398"/>
      <c r="AC86" s="398"/>
      <c r="AD86" s="398"/>
      <c r="AE86" s="398"/>
      <c r="AF86" s="398"/>
      <c r="AG86" s="398"/>
      <c r="AH86" s="391">
        <f>AH79</f>
        <v>340</v>
      </c>
      <c r="AI86" s="391">
        <f>AI79</f>
        <v>400</v>
      </c>
      <c r="AJ86" s="391">
        <v>174</v>
      </c>
      <c r="AK86" s="391">
        <v>206</v>
      </c>
      <c r="AL86" s="392"/>
      <c r="AM86" s="392">
        <v>250</v>
      </c>
      <c r="AN86" s="392">
        <v>350</v>
      </c>
      <c r="AO86" s="392">
        <v>350</v>
      </c>
      <c r="AP86" s="392">
        <v>350</v>
      </c>
      <c r="AQ86" s="392">
        <v>298.89</v>
      </c>
      <c r="AR86" s="399"/>
      <c r="AS86" s="389">
        <v>90</v>
      </c>
      <c r="AT86" s="389">
        <v>100</v>
      </c>
      <c r="AU86" s="389">
        <v>110</v>
      </c>
      <c r="AV86" s="389">
        <v>120</v>
      </c>
      <c r="AW86" s="389">
        <v>140</v>
      </c>
      <c r="AX86" s="389">
        <v>160</v>
      </c>
      <c r="AY86" s="389">
        <v>180</v>
      </c>
      <c r="AZ86" s="398"/>
      <c r="BA86" s="398"/>
      <c r="BB86" s="398"/>
      <c r="BC86" s="398"/>
      <c r="BD86" s="398"/>
      <c r="BE86" s="398"/>
      <c r="BF86" s="398"/>
      <c r="BG86" s="398"/>
      <c r="BH86" s="398"/>
      <c r="BI86" s="398"/>
      <c r="BJ86" s="398"/>
      <c r="BK86" s="398"/>
      <c r="BL86" s="398"/>
      <c r="BM86" s="398"/>
      <c r="BN86" s="398"/>
      <c r="BO86" s="398"/>
      <c r="BP86" s="398"/>
      <c r="BQ86" s="398"/>
      <c r="BR86" s="398"/>
      <c r="BS86" s="398"/>
      <c r="BT86" s="398"/>
      <c r="BU86" s="398"/>
      <c r="BV86" s="398"/>
      <c r="BW86" s="398"/>
      <c r="BX86" s="398"/>
    </row>
    <row r="87" spans="1:600" ht="16" customHeight="1" thickBot="1" x14ac:dyDescent="0.4">
      <c r="B87" s="26"/>
      <c r="C87" s="173"/>
      <c r="D87" s="174" t="s">
        <v>280</v>
      </c>
      <c r="E87" s="175">
        <v>50</v>
      </c>
      <c r="F87" s="325"/>
      <c r="G87" s="327">
        <f>G83+G84*2</f>
        <v>150</v>
      </c>
      <c r="H87" s="327">
        <f>H83+H84*2</f>
        <v>170</v>
      </c>
      <c r="I87" s="327">
        <f>I83+I84*2</f>
        <v>200</v>
      </c>
      <c r="J87" s="327">
        <f>J83+J84*2</f>
        <v>250</v>
      </c>
      <c r="K87" s="327"/>
      <c r="L87" s="327">
        <v>250</v>
      </c>
      <c r="M87" s="327">
        <v>300</v>
      </c>
      <c r="N87" s="327">
        <v>350</v>
      </c>
      <c r="O87" s="327">
        <v>454</v>
      </c>
      <c r="P87" s="327">
        <v>454</v>
      </c>
      <c r="Q87" s="327">
        <v>470</v>
      </c>
      <c r="R87" s="327">
        <f>$S$83+R84*2</f>
        <v>140</v>
      </c>
      <c r="S87" s="327">
        <f>$T$83+S84*2</f>
        <v>155</v>
      </c>
      <c r="T87" s="327">
        <f>$U$83+T84*2</f>
        <v>310</v>
      </c>
      <c r="U87" s="327">
        <f>$V$83+U84*2</f>
        <v>400</v>
      </c>
      <c r="V87" s="327">
        <f>PMSS*3.5%</f>
        <v>115.88500000000001</v>
      </c>
      <c r="W87" s="327">
        <f>PMSS*3.5%</f>
        <v>115.88500000000001</v>
      </c>
      <c r="X87" s="327">
        <f>PMSS*5%</f>
        <v>165.55</v>
      </c>
      <c r="Y87" s="327">
        <f>PMSS*6%</f>
        <v>198.66</v>
      </c>
      <c r="Z87" s="327">
        <f>PMSS*6.5%</f>
        <v>215.215</v>
      </c>
      <c r="AA87" s="327">
        <f>PMSS*8.5%</f>
        <v>281.435</v>
      </c>
      <c r="AB87" s="327">
        <f>PMSS*7.5%</f>
        <v>248.32499999999999</v>
      </c>
      <c r="AC87" s="327">
        <f>PMSS*10%</f>
        <v>331.1</v>
      </c>
      <c r="AD87" s="327">
        <f>PMSS*3.5%</f>
        <v>115.88500000000001</v>
      </c>
      <c r="AE87" s="327">
        <f>PMSS*4.5%</f>
        <v>148.995</v>
      </c>
      <c r="AF87" s="327">
        <f>PMSS*5%</f>
        <v>165.55</v>
      </c>
      <c r="AG87" s="327">
        <f>PMSS*6.5%</f>
        <v>215.215</v>
      </c>
      <c r="AH87" s="327">
        <f>AH83+AH84</f>
        <v>290</v>
      </c>
      <c r="AI87" s="327">
        <f>AI83+AI84</f>
        <v>320</v>
      </c>
      <c r="AJ87" s="327">
        <f>AJ83+79*2</f>
        <v>308</v>
      </c>
      <c r="AK87" s="327">
        <f>AK83+111*2</f>
        <v>372</v>
      </c>
      <c r="AL87" s="327"/>
      <c r="AM87" s="327">
        <f>AM83+60*2</f>
        <v>215</v>
      </c>
      <c r="AN87" s="327">
        <f>AN83+80*2</f>
        <v>285</v>
      </c>
      <c r="AO87" s="327">
        <f>AO83+95*2</f>
        <v>340</v>
      </c>
      <c r="AP87" s="327">
        <f>AP83+125*2</f>
        <v>400</v>
      </c>
      <c r="AQ87" s="327">
        <f>AQ83+155*2</f>
        <v>460</v>
      </c>
      <c r="AR87" s="395"/>
      <c r="AS87" s="327">
        <f>(AS83+(AS84*2))</f>
        <v>50</v>
      </c>
      <c r="AT87" s="327">
        <f>(AT83+(AT84*2))</f>
        <v>110</v>
      </c>
      <c r="AU87" s="327">
        <f>(AU83+(AU84*2))</f>
        <v>140</v>
      </c>
      <c r="AV87" s="327">
        <f>(AV83+(AV84*2))</f>
        <v>170</v>
      </c>
      <c r="AW87" s="327">
        <f>(AW83+(AW84*2))</f>
        <v>230</v>
      </c>
      <c r="AX87" s="327">
        <f>(AX83+(AX84*2))</f>
        <v>290</v>
      </c>
      <c r="AY87" s="327">
        <f>(AY83+(AY84*2))</f>
        <v>350</v>
      </c>
      <c r="AZ87" s="327"/>
      <c r="BA87" s="327"/>
      <c r="BB87" s="327"/>
      <c r="BC87" s="327"/>
      <c r="BD87" s="327"/>
      <c r="BE87" s="327"/>
      <c r="BF87" s="327"/>
      <c r="BG87" s="327"/>
      <c r="BH87" s="327"/>
      <c r="BI87" s="327"/>
      <c r="BJ87" s="327"/>
      <c r="BK87" s="327"/>
      <c r="BL87" s="327"/>
      <c r="BM87" s="327"/>
      <c r="BN87" s="327"/>
      <c r="BO87" s="327">
        <v>50</v>
      </c>
      <c r="BP87" s="327">
        <v>200</v>
      </c>
      <c r="BQ87" s="327">
        <v>300</v>
      </c>
      <c r="BR87" s="327">
        <v>400</v>
      </c>
      <c r="BS87" s="327">
        <v>460</v>
      </c>
      <c r="BT87" s="327">
        <v>470</v>
      </c>
      <c r="BU87" s="327"/>
      <c r="BV87" s="327"/>
      <c r="BW87" s="327"/>
      <c r="BX87" s="327"/>
    </row>
    <row r="88" spans="1:600" ht="16" customHeight="1" thickBot="1" x14ac:dyDescent="0.4">
      <c r="B88" s="26"/>
      <c r="C88" s="173"/>
      <c r="D88" s="174" t="s">
        <v>281</v>
      </c>
      <c r="E88" s="175">
        <v>200</v>
      </c>
      <c r="F88" s="325"/>
      <c r="G88" s="327">
        <f>G83+G85</f>
        <v>125</v>
      </c>
      <c r="H88" s="327">
        <f>H83+H85</f>
        <v>135</v>
      </c>
      <c r="I88" s="327">
        <f>I83+I85</f>
        <v>145</v>
      </c>
      <c r="J88" s="327">
        <f>J83+J85</f>
        <v>170</v>
      </c>
      <c r="K88" s="327"/>
      <c r="L88" s="327">
        <v>330</v>
      </c>
      <c r="M88" s="327">
        <v>380</v>
      </c>
      <c r="N88" s="327">
        <v>430</v>
      </c>
      <c r="O88" s="327">
        <v>530</v>
      </c>
      <c r="P88" s="327">
        <v>580</v>
      </c>
      <c r="Q88" s="327">
        <v>610</v>
      </c>
      <c r="R88" s="327">
        <f>$S$83+R85*2</f>
        <v>280</v>
      </c>
      <c r="S88" s="327">
        <f>$T$83+S85*2</f>
        <v>330</v>
      </c>
      <c r="T88" s="327">
        <f>$U$83+T85*2</f>
        <v>320</v>
      </c>
      <c r="U88" s="327">
        <f>$V$83+U85*2</f>
        <v>600</v>
      </c>
      <c r="V88" s="327">
        <f>PMSS*6.5%</f>
        <v>215.215</v>
      </c>
      <c r="W88" s="327">
        <f>PMSS*6.5%</f>
        <v>215.215</v>
      </c>
      <c r="X88" s="327">
        <f>PMSS*8%</f>
        <v>264.88</v>
      </c>
      <c r="Y88" s="327">
        <f>PMSS*9%</f>
        <v>297.99</v>
      </c>
      <c r="Z88" s="327">
        <f>PMSS*9%</f>
        <v>297.99</v>
      </c>
      <c r="AA88" s="327">
        <f>PMSS*11%</f>
        <v>364.21</v>
      </c>
      <c r="AB88" s="327">
        <f>PMSS*10%</f>
        <v>331.1</v>
      </c>
      <c r="AC88" s="327">
        <f>PMSS*12.5%</f>
        <v>413.875</v>
      </c>
      <c r="AD88" s="327">
        <f>PMSS*7%</f>
        <v>231.77</v>
      </c>
      <c r="AE88" s="327">
        <f>PMSS*10%</f>
        <v>331.1</v>
      </c>
      <c r="AF88" s="327">
        <f>PMSS*13%</f>
        <v>430.43</v>
      </c>
      <c r="AG88" s="327">
        <f>PMSS*16.5%</f>
        <v>546.31500000000005</v>
      </c>
      <c r="AH88" s="327">
        <f>AH83+AH85</f>
        <v>390</v>
      </c>
      <c r="AI88" s="327">
        <f>AI83+AI85</f>
        <v>480</v>
      </c>
      <c r="AJ88" s="327">
        <f>AJ83+143*2</f>
        <v>436</v>
      </c>
      <c r="AK88" s="327">
        <f>AK83+174*2</f>
        <v>498</v>
      </c>
      <c r="AL88" s="327"/>
      <c r="AM88" s="327">
        <f>AM83+185*2</f>
        <v>465</v>
      </c>
      <c r="AN88" s="327">
        <f>AN83+280*2</f>
        <v>685</v>
      </c>
      <c r="AO88" s="327">
        <f>AO83+310*2</f>
        <v>770</v>
      </c>
      <c r="AP88" s="327">
        <f>AP83+310*2</f>
        <v>770</v>
      </c>
      <c r="AQ88" s="327">
        <f>AQ83+350*2</f>
        <v>850</v>
      </c>
      <c r="AR88" s="395"/>
      <c r="AS88" s="327">
        <f>(AS83+(AS85*2))</f>
        <v>200</v>
      </c>
      <c r="AT88" s="327">
        <f>(AT83+(AT85*2))</f>
        <v>260</v>
      </c>
      <c r="AU88" s="327">
        <f>(AU83+(AU85*2))</f>
        <v>290</v>
      </c>
      <c r="AV88" s="327">
        <f>(AV83+(AV85*2))</f>
        <v>320</v>
      </c>
      <c r="AW88" s="327">
        <f>(AW83+(AW85*2))</f>
        <v>380</v>
      </c>
      <c r="AX88" s="327">
        <f>(AX83+(AX85*2))</f>
        <v>440</v>
      </c>
      <c r="AY88" s="327">
        <f>(AY83+(AY85*2))</f>
        <v>500</v>
      </c>
      <c r="AZ88" s="327"/>
      <c r="BA88" s="327"/>
      <c r="BB88" s="327"/>
      <c r="BC88" s="327"/>
      <c r="BD88" s="327"/>
      <c r="BE88" s="327"/>
      <c r="BF88" s="327"/>
      <c r="BG88" s="327"/>
      <c r="BH88" s="327"/>
      <c r="BI88" s="327"/>
      <c r="BJ88" s="327"/>
      <c r="BK88" s="327"/>
      <c r="BL88" s="327"/>
      <c r="BM88" s="327"/>
      <c r="BN88" s="327"/>
      <c r="BO88" s="327">
        <f>BO87+150</f>
        <v>200</v>
      </c>
      <c r="BP88" s="327">
        <f>BP87+150</f>
        <v>350</v>
      </c>
      <c r="BQ88" s="327">
        <f>BQ87+150</f>
        <v>450</v>
      </c>
      <c r="BR88" s="327">
        <f>BR87+150</f>
        <v>550</v>
      </c>
      <c r="BS88" s="327">
        <f>BS87+100</f>
        <v>560</v>
      </c>
      <c r="BT88" s="327">
        <f>BT87+280</f>
        <v>750</v>
      </c>
      <c r="BU88" s="327"/>
      <c r="BV88" s="327"/>
      <c r="BW88" s="327"/>
      <c r="BX88" s="327"/>
    </row>
    <row r="89" spans="1:600" ht="16" customHeight="1" thickBot="1" x14ac:dyDescent="0.4">
      <c r="B89" s="26"/>
      <c r="C89" s="173"/>
      <c r="D89" s="174" t="s">
        <v>282</v>
      </c>
      <c r="E89" s="175">
        <v>200</v>
      </c>
      <c r="F89" s="325"/>
      <c r="G89" s="327">
        <f>G83+G86*2</f>
        <v>200</v>
      </c>
      <c r="H89" s="327">
        <f>H83+H86*2</f>
        <v>210</v>
      </c>
      <c r="I89" s="327">
        <f>I83+I86*2</f>
        <v>220</v>
      </c>
      <c r="J89" s="327">
        <f>J83+J86*2</f>
        <v>270</v>
      </c>
      <c r="K89" s="327"/>
      <c r="L89" s="327">
        <v>330</v>
      </c>
      <c r="M89" s="327">
        <v>380</v>
      </c>
      <c r="N89" s="327">
        <v>430</v>
      </c>
      <c r="O89" s="327">
        <v>530</v>
      </c>
      <c r="P89" s="327">
        <v>580</v>
      </c>
      <c r="Q89" s="327">
        <v>610</v>
      </c>
      <c r="R89" s="327">
        <f>$S$83+R86*2</f>
        <v>280</v>
      </c>
      <c r="S89" s="327">
        <f>$T$83+S86*2</f>
        <v>330</v>
      </c>
      <c r="T89" s="327">
        <f>$U$83+T86*2</f>
        <v>520</v>
      </c>
      <c r="U89" s="327">
        <f>$V$83+U86*2</f>
        <v>600</v>
      </c>
      <c r="V89" s="327">
        <f>PMSS*6.5%</f>
        <v>215.215</v>
      </c>
      <c r="W89" s="327">
        <f>PMSS*6.5%</f>
        <v>215.215</v>
      </c>
      <c r="X89" s="327">
        <f>X88</f>
        <v>264.88</v>
      </c>
      <c r="Y89" s="327">
        <f>Y88</f>
        <v>297.99</v>
      </c>
      <c r="Z89" s="327">
        <f>Z88</f>
        <v>297.99</v>
      </c>
      <c r="AA89" s="327">
        <f>AA88</f>
        <v>364.21</v>
      </c>
      <c r="AB89" s="327">
        <f>AB88</f>
        <v>331.1</v>
      </c>
      <c r="AC89" s="327">
        <f>AC88</f>
        <v>413.875</v>
      </c>
      <c r="AD89" s="327">
        <f>PMSS*10%</f>
        <v>331.1</v>
      </c>
      <c r="AE89" s="327">
        <f>PMSS*12%</f>
        <v>397.32</v>
      </c>
      <c r="AF89" s="327">
        <f>PMSS*20%</f>
        <v>662.2</v>
      </c>
      <c r="AG89" s="327">
        <f>PMSS*24%</f>
        <v>794.64</v>
      </c>
      <c r="AH89" s="327">
        <f>AH83+AH86</f>
        <v>490</v>
      </c>
      <c r="AI89" s="327">
        <f>AI83+AI86</f>
        <v>550</v>
      </c>
      <c r="AJ89" s="327">
        <f>AJ83+AJ86</f>
        <v>324</v>
      </c>
      <c r="AK89" s="327">
        <f>AK83+AK86</f>
        <v>356</v>
      </c>
      <c r="AL89" s="327"/>
      <c r="AM89" s="327">
        <f>AM83+AM86*2</f>
        <v>595</v>
      </c>
      <c r="AN89" s="327">
        <f>AN83+AN86*2</f>
        <v>825</v>
      </c>
      <c r="AO89" s="327">
        <f>AO83+AO86*2</f>
        <v>850</v>
      </c>
      <c r="AP89" s="327">
        <f>AP83+AP86*2</f>
        <v>850</v>
      </c>
      <c r="AQ89" s="327">
        <f>AQ83+AQ86*2</f>
        <v>747.78</v>
      </c>
      <c r="AR89" s="395"/>
      <c r="AS89" s="327">
        <f>(AS83+(AS86*2))</f>
        <v>200</v>
      </c>
      <c r="AT89" s="327">
        <f>(AT83+(AT86*2))</f>
        <v>260</v>
      </c>
      <c r="AU89" s="327">
        <f>(AU83+(AU86*2))</f>
        <v>290</v>
      </c>
      <c r="AV89" s="327">
        <f>(AV83+(AV86*2))</f>
        <v>320</v>
      </c>
      <c r="AW89" s="327">
        <f>(AW83+(AW86*2))</f>
        <v>380</v>
      </c>
      <c r="AX89" s="327">
        <f>(AX83+(AX86*2))</f>
        <v>440</v>
      </c>
      <c r="AY89" s="327">
        <f>(AY83+(AY86*2))</f>
        <v>500</v>
      </c>
      <c r="AZ89" s="327"/>
      <c r="BA89" s="327"/>
      <c r="BB89" s="327"/>
      <c r="BC89" s="327"/>
      <c r="BD89" s="327"/>
      <c r="BE89" s="327"/>
      <c r="BF89" s="327"/>
      <c r="BG89" s="327"/>
      <c r="BH89" s="327"/>
      <c r="BI89" s="327"/>
      <c r="BJ89" s="327"/>
      <c r="BK89" s="327"/>
      <c r="BL89" s="327"/>
      <c r="BM89" s="327"/>
      <c r="BN89" s="327"/>
      <c r="BO89" s="327">
        <f>BO87+150</f>
        <v>200</v>
      </c>
      <c r="BP89" s="327">
        <f>BP87+150</f>
        <v>350</v>
      </c>
      <c r="BQ89" s="327">
        <f>BQ87+150</f>
        <v>450</v>
      </c>
      <c r="BR89" s="327">
        <f>BR87+150</f>
        <v>550</v>
      </c>
      <c r="BS89" s="327">
        <f>BS87+100</f>
        <v>560</v>
      </c>
      <c r="BT89" s="327">
        <f>BT87+280</f>
        <v>750</v>
      </c>
      <c r="BU89" s="327"/>
      <c r="BV89" s="327"/>
      <c r="BW89" s="327"/>
      <c r="BX89" s="327"/>
    </row>
    <row r="90" spans="1:600" ht="23" customHeight="1" thickBot="1" x14ac:dyDescent="0.4">
      <c r="B90" s="26"/>
      <c r="C90" s="178" t="s">
        <v>284</v>
      </c>
      <c r="D90" s="179" t="s">
        <v>285</v>
      </c>
      <c r="E90" s="180"/>
      <c r="F90" s="311"/>
      <c r="G90" s="313">
        <v>150</v>
      </c>
      <c r="H90" s="313">
        <v>150</v>
      </c>
      <c r="I90" s="313">
        <v>200</v>
      </c>
      <c r="J90" s="313">
        <v>250</v>
      </c>
      <c r="K90" s="313">
        <v>100</v>
      </c>
      <c r="L90" s="313">
        <v>100</v>
      </c>
      <c r="M90" s="313">
        <v>100</v>
      </c>
      <c r="N90" s="313">
        <v>1202</v>
      </c>
      <c r="O90" s="313">
        <v>150</v>
      </c>
      <c r="P90" s="313">
        <v>150</v>
      </c>
      <c r="Q90" s="313">
        <v>250</v>
      </c>
      <c r="R90" s="313">
        <v>150</v>
      </c>
      <c r="S90" s="313">
        <v>175</v>
      </c>
      <c r="T90" s="313">
        <v>200</v>
      </c>
      <c r="U90" s="313">
        <v>200</v>
      </c>
      <c r="V90" s="313">
        <f>PMSS*6.5%</f>
        <v>215.215</v>
      </c>
      <c r="W90" s="313">
        <f>PMSS*6.5%</f>
        <v>215.215</v>
      </c>
      <c r="X90" s="313">
        <f>PMSS*8%</f>
        <v>264.88</v>
      </c>
      <c r="Y90" s="313">
        <f>PMSS*8%</f>
        <v>264.88</v>
      </c>
      <c r="Z90" s="313">
        <f>PMSS*10%</f>
        <v>331.1</v>
      </c>
      <c r="AA90" s="313">
        <f>Z90</f>
        <v>331.1</v>
      </c>
      <c r="AB90" s="313">
        <f>PMSS*11.5%</f>
        <v>380.76500000000004</v>
      </c>
      <c r="AC90" s="313">
        <f>AB90</f>
        <v>380.76500000000004</v>
      </c>
      <c r="AD90" s="313">
        <f>PMSS*6.5%</f>
        <v>215.215</v>
      </c>
      <c r="AE90" s="313">
        <f>PMSS*8%</f>
        <v>264.88</v>
      </c>
      <c r="AF90" s="313">
        <f>PMSS*10%</f>
        <v>331.1</v>
      </c>
      <c r="AG90" s="313">
        <f>PMSS*11.5%</f>
        <v>380.76500000000004</v>
      </c>
      <c r="AH90" s="313">
        <v>250</v>
      </c>
      <c r="AI90" s="313">
        <v>300</v>
      </c>
      <c r="AJ90" s="313">
        <v>330</v>
      </c>
      <c r="AK90" s="313">
        <v>350</v>
      </c>
      <c r="AL90" s="313"/>
      <c r="AM90" s="313">
        <f>PMSS*4%</f>
        <v>132.44</v>
      </c>
      <c r="AN90" s="313">
        <f>PMSS*8%</f>
        <v>264.88</v>
      </c>
      <c r="AO90" s="313">
        <f>PMSS*10%</f>
        <v>331.1</v>
      </c>
      <c r="AP90" s="313">
        <f>PMSS*11%</f>
        <v>364.21</v>
      </c>
      <c r="AQ90" s="313">
        <f>PMSS*12%</f>
        <v>397.32</v>
      </c>
      <c r="AR90" s="313">
        <v>200</v>
      </c>
      <c r="AS90" s="313"/>
      <c r="AT90" s="313">
        <v>100</v>
      </c>
      <c r="AU90" s="313">
        <v>130</v>
      </c>
      <c r="AV90" s="313">
        <v>170</v>
      </c>
      <c r="AW90" s="313">
        <v>250</v>
      </c>
      <c r="AX90" s="313">
        <v>330</v>
      </c>
      <c r="AY90" s="313">
        <v>410</v>
      </c>
      <c r="AZ90" s="313"/>
      <c r="BA90" s="313"/>
      <c r="BB90" s="313"/>
      <c r="BC90" s="313"/>
      <c r="BD90" s="313"/>
      <c r="BE90" s="313"/>
      <c r="BF90" s="313"/>
      <c r="BG90" s="313"/>
      <c r="BH90" s="313"/>
      <c r="BI90" s="313"/>
      <c r="BJ90" s="313"/>
      <c r="BK90" s="313"/>
      <c r="BL90" s="313"/>
      <c r="BM90" s="313"/>
      <c r="BN90" s="313"/>
      <c r="BO90" s="313">
        <v>50</v>
      </c>
      <c r="BP90" s="313">
        <v>100</v>
      </c>
      <c r="BQ90" s="313">
        <v>150</v>
      </c>
      <c r="BR90" s="313">
        <v>200</v>
      </c>
      <c r="BS90" s="313">
        <v>200</v>
      </c>
      <c r="BT90" s="313">
        <v>200</v>
      </c>
      <c r="BU90" s="313"/>
      <c r="BV90" s="313"/>
      <c r="BW90" s="313"/>
      <c r="BX90" s="313"/>
    </row>
    <row r="91" spans="1:600" ht="18" customHeight="1" thickBot="1" x14ac:dyDescent="0.4">
      <c r="B91" s="26"/>
      <c r="C91" s="181" t="s">
        <v>286</v>
      </c>
      <c r="D91" s="182" t="s">
        <v>102</v>
      </c>
      <c r="E91" s="183"/>
      <c r="F91" s="403"/>
      <c r="G91" s="404">
        <v>150</v>
      </c>
      <c r="H91" s="404">
        <v>150</v>
      </c>
      <c r="I91" s="404">
        <v>200</v>
      </c>
      <c r="J91" s="404">
        <v>250</v>
      </c>
      <c r="K91" s="404">
        <v>0</v>
      </c>
      <c r="L91" s="404">
        <f>200/2</f>
        <v>100</v>
      </c>
      <c r="M91" s="404">
        <f>400/2</f>
        <v>200</v>
      </c>
      <c r="N91" s="404">
        <f>500/2</f>
        <v>250</v>
      </c>
      <c r="O91" s="404">
        <f>550/2</f>
        <v>275</v>
      </c>
      <c r="P91" s="404">
        <f>600/2</f>
        <v>300</v>
      </c>
      <c r="Q91" s="404">
        <f>700/2</f>
        <v>350</v>
      </c>
      <c r="R91" s="404">
        <v>150</v>
      </c>
      <c r="S91" s="404">
        <v>150</v>
      </c>
      <c r="T91" s="404">
        <v>200</v>
      </c>
      <c r="U91" s="404">
        <v>200</v>
      </c>
      <c r="V91" s="404">
        <f>PMSS*7%</f>
        <v>231.77</v>
      </c>
      <c r="W91" s="404">
        <f>PMSS*7%</f>
        <v>231.77</v>
      </c>
      <c r="X91" s="404">
        <f>PMSS*11.5%</f>
        <v>380.76500000000004</v>
      </c>
      <c r="Y91" s="404">
        <f>PMSS*11.5%</f>
        <v>380.76500000000004</v>
      </c>
      <c r="Z91" s="404">
        <f>PMSS*15%</f>
        <v>496.65</v>
      </c>
      <c r="AA91" s="404">
        <f>Z91</f>
        <v>496.65</v>
      </c>
      <c r="AB91" s="404">
        <f>PMSS*18%</f>
        <v>595.98</v>
      </c>
      <c r="AC91" s="404">
        <f>AB91</f>
        <v>595.98</v>
      </c>
      <c r="AD91" s="404">
        <f>PMSS*7%</f>
        <v>231.77</v>
      </c>
      <c r="AE91" s="404">
        <f>PMSS*11.5%</f>
        <v>380.76500000000004</v>
      </c>
      <c r="AF91" s="404">
        <f>PMSS*15%</f>
        <v>496.65</v>
      </c>
      <c r="AG91" s="404">
        <f>PMSS*18%</f>
        <v>595.98</v>
      </c>
      <c r="AH91" s="404">
        <v>300</v>
      </c>
      <c r="AI91" s="404">
        <v>400</v>
      </c>
      <c r="AJ91" s="404">
        <v>500</v>
      </c>
      <c r="AK91" s="404">
        <v>550</v>
      </c>
      <c r="AL91" s="404" t="s">
        <v>78</v>
      </c>
      <c r="AM91" s="404" t="s">
        <v>78</v>
      </c>
      <c r="AN91" s="404">
        <f>PMSS*8%</f>
        <v>264.88</v>
      </c>
      <c r="AO91" s="404">
        <f>PMSS*12%</f>
        <v>397.32</v>
      </c>
      <c r="AP91" s="404">
        <f>PMSS*16%</f>
        <v>529.76</v>
      </c>
      <c r="AQ91" s="404">
        <f>PMSS*25%</f>
        <v>827.75</v>
      </c>
      <c r="AR91" s="404">
        <v>200</v>
      </c>
      <c r="AS91" s="405">
        <v>0</v>
      </c>
      <c r="AT91" s="405">
        <v>200</v>
      </c>
      <c r="AU91" s="405">
        <v>250</v>
      </c>
      <c r="AV91" s="405">
        <v>350</v>
      </c>
      <c r="AW91" s="405">
        <v>450</v>
      </c>
      <c r="AX91" s="405">
        <v>550</v>
      </c>
      <c r="AY91" s="405">
        <v>630</v>
      </c>
      <c r="AZ91" s="404"/>
      <c r="BA91" s="404"/>
      <c r="BB91" s="404"/>
      <c r="BC91" s="404"/>
      <c r="BD91" s="404"/>
      <c r="BE91" s="404"/>
      <c r="BF91" s="404"/>
      <c r="BG91" s="404"/>
      <c r="BH91" s="404"/>
      <c r="BI91" s="404"/>
      <c r="BJ91" s="404"/>
      <c r="BK91" s="404"/>
      <c r="BL91" s="404"/>
      <c r="BM91" s="404"/>
      <c r="BN91" s="404"/>
      <c r="BO91" s="404">
        <v>200</v>
      </c>
      <c r="BP91" s="404">
        <v>300</v>
      </c>
      <c r="BQ91" s="404">
        <v>400</v>
      </c>
      <c r="BR91" s="404">
        <v>600</v>
      </c>
      <c r="BS91" s="404">
        <v>600</v>
      </c>
      <c r="BT91" s="404">
        <v>600</v>
      </c>
      <c r="BU91" s="404"/>
      <c r="BV91" s="404"/>
      <c r="BW91" s="404"/>
      <c r="BX91" s="404"/>
    </row>
    <row r="92" spans="1:600" ht="16" customHeight="1" x14ac:dyDescent="0.35">
      <c r="B92" s="26"/>
      <c r="C92" s="95"/>
      <c r="D92" s="96"/>
      <c r="E92" s="97"/>
      <c r="F92" s="299"/>
      <c r="G92" s="328"/>
      <c r="H92" s="328"/>
      <c r="I92" s="328"/>
      <c r="J92" s="328"/>
      <c r="K92" s="328"/>
      <c r="L92" s="328"/>
      <c r="M92" s="328"/>
      <c r="N92" s="328"/>
      <c r="O92" s="328"/>
      <c r="P92" s="328"/>
      <c r="Q92" s="328"/>
      <c r="R92" s="328"/>
      <c r="S92" s="328"/>
      <c r="T92" s="328"/>
      <c r="U92" s="328"/>
      <c r="V92" s="328"/>
      <c r="W92" s="328"/>
      <c r="X92" s="328"/>
      <c r="Y92" s="328"/>
      <c r="Z92" s="328"/>
      <c r="AA92" s="328"/>
      <c r="AB92" s="328"/>
      <c r="AC92" s="328"/>
      <c r="AD92" s="328"/>
      <c r="AE92" s="328"/>
      <c r="AF92" s="328"/>
      <c r="AG92" s="328"/>
      <c r="AH92" s="329"/>
      <c r="AI92" s="329"/>
      <c r="AJ92" s="329"/>
      <c r="AK92" s="329"/>
      <c r="AL92" s="329"/>
      <c r="AM92" s="329"/>
      <c r="AN92" s="329"/>
      <c r="AO92" s="329"/>
      <c r="AP92" s="329"/>
      <c r="AQ92" s="329"/>
      <c r="AR92" s="330"/>
      <c r="AS92" s="328"/>
      <c r="AT92" s="328"/>
      <c r="AU92" s="328"/>
      <c r="AV92" s="328"/>
      <c r="AW92" s="328"/>
      <c r="AX92" s="328"/>
      <c r="AY92" s="328"/>
      <c r="AZ92" s="328"/>
      <c r="BA92" s="328"/>
      <c r="BB92" s="328"/>
      <c r="BC92" s="328"/>
      <c r="BD92" s="328"/>
      <c r="BE92" s="328"/>
      <c r="BF92" s="328"/>
      <c r="BG92" s="328"/>
      <c r="BH92" s="328"/>
      <c r="BI92" s="328"/>
      <c r="BJ92" s="328"/>
      <c r="BK92" s="328"/>
      <c r="BL92" s="328"/>
      <c r="BM92" s="328"/>
      <c r="BN92" s="328"/>
      <c r="BO92" s="328"/>
      <c r="BP92" s="328"/>
      <c r="BQ92" s="328"/>
      <c r="BR92" s="328"/>
      <c r="BS92" s="328"/>
      <c r="BT92" s="328"/>
      <c r="BU92" s="328"/>
      <c r="BV92" s="328"/>
      <c r="BW92" s="328"/>
      <c r="BX92" s="328"/>
    </row>
    <row r="93" spans="1:600" ht="17" customHeight="1" thickBot="1" x14ac:dyDescent="0.5">
      <c r="B93" s="26"/>
      <c r="C93" s="161" t="s">
        <v>287</v>
      </c>
      <c r="D93" s="75"/>
      <c r="E93" s="99"/>
      <c r="F93" s="299"/>
      <c r="G93" s="331"/>
      <c r="H93" s="331"/>
      <c r="I93" s="331"/>
      <c r="J93" s="331"/>
      <c r="K93" s="237"/>
      <c r="L93" s="237"/>
      <c r="M93" s="237"/>
      <c r="N93" s="237"/>
      <c r="O93" s="237"/>
      <c r="P93" s="237"/>
      <c r="Q93" s="237"/>
      <c r="R93" s="332"/>
      <c r="S93" s="332"/>
      <c r="T93" s="332"/>
      <c r="U93" s="332"/>
      <c r="V93" s="333"/>
      <c r="W93" s="333"/>
      <c r="X93" s="333"/>
      <c r="Y93" s="333"/>
      <c r="Z93" s="333"/>
      <c r="AA93" s="333"/>
      <c r="AB93" s="333"/>
      <c r="AC93" s="333"/>
      <c r="AD93" s="335"/>
      <c r="AE93" s="335"/>
      <c r="AF93" s="335"/>
      <c r="AG93" s="335"/>
      <c r="AH93" s="336"/>
      <c r="AI93" s="336"/>
      <c r="AJ93" s="336"/>
      <c r="AK93" s="336"/>
      <c r="AL93" s="337"/>
      <c r="AM93" s="337"/>
      <c r="AN93" s="337"/>
      <c r="AO93" s="337"/>
      <c r="AP93" s="337"/>
      <c r="AQ93" s="337"/>
      <c r="AR93" s="338"/>
      <c r="AS93" s="339"/>
      <c r="AT93" s="339"/>
      <c r="AU93" s="339"/>
      <c r="AV93" s="339"/>
      <c r="AW93" s="339"/>
      <c r="AX93" s="339"/>
      <c r="AY93" s="339"/>
      <c r="AZ93" s="258"/>
      <c r="BA93" s="258"/>
      <c r="BB93" s="258"/>
      <c r="BC93" s="258"/>
      <c r="BD93" s="258"/>
      <c r="BE93" s="258"/>
      <c r="BF93" s="258"/>
      <c r="BG93" s="258"/>
      <c r="BH93" s="258"/>
      <c r="BI93" s="259"/>
      <c r="BJ93" s="259"/>
      <c r="BK93" s="259"/>
      <c r="BL93" s="259"/>
      <c r="BM93" s="259"/>
      <c r="BN93" s="259"/>
      <c r="BO93" s="247"/>
      <c r="BP93" s="247"/>
      <c r="BQ93" s="247"/>
      <c r="BR93" s="247"/>
      <c r="BS93" s="247"/>
      <c r="BT93" s="247"/>
      <c r="BU93" s="340"/>
      <c r="BV93" s="261"/>
      <c r="BW93" s="261"/>
      <c r="BX93" s="261"/>
    </row>
    <row r="94" spans="1:600" ht="16" customHeight="1" thickBot="1" x14ac:dyDescent="0.4">
      <c r="B94" s="26"/>
      <c r="C94" s="184" t="s">
        <v>288</v>
      </c>
      <c r="D94" s="185" t="s">
        <v>289</v>
      </c>
      <c r="E94" s="40"/>
      <c r="F94" s="284"/>
      <c r="G94" s="278">
        <v>1</v>
      </c>
      <c r="H94" s="278">
        <v>1</v>
      </c>
      <c r="I94" s="278">
        <v>1</v>
      </c>
      <c r="J94" s="278">
        <v>1</v>
      </c>
      <c r="K94" s="278">
        <v>1.25</v>
      </c>
      <c r="L94" s="278">
        <v>2</v>
      </c>
      <c r="M94" s="278">
        <v>3.25</v>
      </c>
      <c r="N94" s="278">
        <v>3.75</v>
      </c>
      <c r="O94" s="278">
        <v>4.25</v>
      </c>
      <c r="P94" s="278">
        <v>4.5</v>
      </c>
      <c r="Q94" s="278">
        <v>5.5</v>
      </c>
      <c r="R94" s="278">
        <v>1.5</v>
      </c>
      <c r="S94" s="278">
        <v>1.5</v>
      </c>
      <c r="T94" s="278">
        <v>2</v>
      </c>
      <c r="U94" s="278">
        <v>2</v>
      </c>
      <c r="V94" s="278">
        <v>1.7</v>
      </c>
      <c r="W94" s="278">
        <v>1.7</v>
      </c>
      <c r="X94" s="278">
        <v>2.7</v>
      </c>
      <c r="Y94" s="278">
        <v>2.7</v>
      </c>
      <c r="Z94" s="278">
        <v>3.7</v>
      </c>
      <c r="AA94" s="278">
        <v>3.7</v>
      </c>
      <c r="AB94" s="278">
        <v>4.7</v>
      </c>
      <c r="AC94" s="278">
        <v>4.7</v>
      </c>
      <c r="AD94" s="278">
        <v>1.7</v>
      </c>
      <c r="AE94" s="278">
        <v>2.7</v>
      </c>
      <c r="AF94" s="278">
        <v>3.7</v>
      </c>
      <c r="AG94" s="278">
        <v>4.7</v>
      </c>
      <c r="AH94" s="278">
        <v>1.5</v>
      </c>
      <c r="AI94" s="278">
        <v>2</v>
      </c>
      <c r="AJ94" s="278">
        <v>2</v>
      </c>
      <c r="AK94" s="278">
        <v>2.5</v>
      </c>
      <c r="AL94" s="278">
        <v>1</v>
      </c>
      <c r="AM94" s="278">
        <v>1</v>
      </c>
      <c r="AN94" s="278">
        <v>2</v>
      </c>
      <c r="AO94" s="278">
        <v>2.5</v>
      </c>
      <c r="AP94" s="278">
        <v>3.5</v>
      </c>
      <c r="AQ94" s="278">
        <v>5</v>
      </c>
      <c r="AR94" s="278">
        <v>1.5</v>
      </c>
      <c r="AS94" s="278">
        <v>1</v>
      </c>
      <c r="AT94" s="278">
        <v>1</v>
      </c>
      <c r="AU94" s="278">
        <v>1</v>
      </c>
      <c r="AV94" s="278">
        <v>1</v>
      </c>
      <c r="AW94" s="278">
        <v>1</v>
      </c>
      <c r="AX94" s="278">
        <v>1</v>
      </c>
      <c r="AY94" s="278">
        <v>1</v>
      </c>
      <c r="AZ94" s="278"/>
      <c r="BA94" s="278"/>
      <c r="BB94" s="278"/>
      <c r="BC94" s="278"/>
      <c r="BD94" s="278"/>
      <c r="BE94" s="278"/>
      <c r="BF94" s="278"/>
      <c r="BG94" s="278"/>
      <c r="BH94" s="278"/>
      <c r="BI94" s="278"/>
      <c r="BJ94" s="278"/>
      <c r="BK94" s="278"/>
      <c r="BL94" s="278"/>
      <c r="BM94" s="278"/>
      <c r="BN94" s="278"/>
      <c r="BO94" s="278">
        <v>1</v>
      </c>
      <c r="BP94" s="278">
        <v>1.5</v>
      </c>
      <c r="BQ94" s="278">
        <v>2</v>
      </c>
      <c r="BR94" s="278">
        <v>3</v>
      </c>
      <c r="BS94" s="278">
        <v>4</v>
      </c>
      <c r="BT94" s="278">
        <v>4</v>
      </c>
      <c r="BU94" s="278"/>
      <c r="BV94" s="278"/>
      <c r="BW94" s="278"/>
      <c r="BX94" s="278"/>
    </row>
    <row r="95" spans="1:600" s="228" customFormat="1" ht="16" customHeight="1" thickBot="1" x14ac:dyDescent="0.4">
      <c r="B95" s="26"/>
      <c r="C95" s="186" t="s">
        <v>290</v>
      </c>
      <c r="D95" s="187"/>
      <c r="E95" s="40"/>
      <c r="F95" s="284"/>
      <c r="G95" s="278">
        <v>1.5</v>
      </c>
      <c r="H95" s="278">
        <v>1.5</v>
      </c>
      <c r="I95" s="278">
        <v>2</v>
      </c>
      <c r="J95" s="278">
        <v>2.5</v>
      </c>
      <c r="K95" s="278">
        <v>1.25</v>
      </c>
      <c r="L95" s="278">
        <v>2</v>
      </c>
      <c r="M95" s="278">
        <v>3.25</v>
      </c>
      <c r="N95" s="278">
        <v>3.75</v>
      </c>
      <c r="O95" s="278">
        <v>4.25</v>
      </c>
      <c r="P95" s="278">
        <v>4.5</v>
      </c>
      <c r="Q95" s="278">
        <v>5.5</v>
      </c>
      <c r="R95" s="278">
        <v>1.5</v>
      </c>
      <c r="S95" s="278">
        <v>1.5</v>
      </c>
      <c r="T95" s="278">
        <v>2</v>
      </c>
      <c r="U95" s="278">
        <v>2</v>
      </c>
      <c r="V95" s="278">
        <v>2.2000000000000002</v>
      </c>
      <c r="W95" s="278">
        <v>2.2000000000000002</v>
      </c>
      <c r="X95" s="278">
        <v>3.2</v>
      </c>
      <c r="Y95" s="278">
        <v>3.2</v>
      </c>
      <c r="Z95" s="278">
        <v>4.2</v>
      </c>
      <c r="AA95" s="278">
        <v>4.2</v>
      </c>
      <c r="AB95" s="278">
        <v>5.2</v>
      </c>
      <c r="AC95" s="278">
        <v>5.2</v>
      </c>
      <c r="AD95" s="278">
        <v>2.2000000000000002</v>
      </c>
      <c r="AE95" s="278">
        <v>3.2</v>
      </c>
      <c r="AF95" s="278">
        <v>4.2</v>
      </c>
      <c r="AG95" s="278">
        <v>5.2</v>
      </c>
      <c r="AH95" s="278">
        <v>1.5</v>
      </c>
      <c r="AI95" s="278">
        <v>2</v>
      </c>
      <c r="AJ95" s="278">
        <v>2</v>
      </c>
      <c r="AK95" s="278">
        <v>3</v>
      </c>
      <c r="AL95" s="278">
        <v>1</v>
      </c>
      <c r="AM95" s="278">
        <v>1.3</v>
      </c>
      <c r="AN95" s="278">
        <v>2</v>
      </c>
      <c r="AO95" s="278">
        <v>2.5</v>
      </c>
      <c r="AP95" s="278">
        <v>3.5</v>
      </c>
      <c r="AQ95" s="278">
        <v>5</v>
      </c>
      <c r="AR95" s="278">
        <f>AR94</f>
        <v>1.5</v>
      </c>
      <c r="AS95" s="278">
        <v>1</v>
      </c>
      <c r="AT95" s="278">
        <v>1.3</v>
      </c>
      <c r="AU95" s="278">
        <v>1.8</v>
      </c>
      <c r="AV95" s="278">
        <v>2.2999999999999998</v>
      </c>
      <c r="AW95" s="278">
        <v>3.3</v>
      </c>
      <c r="AX95" s="278">
        <v>4.3</v>
      </c>
      <c r="AY95" s="278">
        <v>5</v>
      </c>
      <c r="AZ95" s="278"/>
      <c r="BA95" s="278"/>
      <c r="BB95" s="278"/>
      <c r="BC95" s="278"/>
      <c r="BD95" s="278"/>
      <c r="BE95" s="278"/>
      <c r="BF95" s="278"/>
      <c r="BG95" s="278"/>
      <c r="BH95" s="278"/>
      <c r="BI95" s="278"/>
      <c r="BJ95" s="278"/>
      <c r="BK95" s="278"/>
      <c r="BL95" s="278"/>
      <c r="BM95" s="278"/>
      <c r="BN95" s="278"/>
      <c r="BO95" s="278">
        <v>1</v>
      </c>
      <c r="BP95" s="278">
        <v>1.5</v>
      </c>
      <c r="BQ95" s="278">
        <v>2.5</v>
      </c>
      <c r="BR95" s="278">
        <v>3.5</v>
      </c>
      <c r="BS95" s="278">
        <v>4.5</v>
      </c>
      <c r="BT95" s="278">
        <v>4.5</v>
      </c>
      <c r="BU95" s="278"/>
      <c r="BV95" s="278"/>
      <c r="BW95" s="278"/>
      <c r="BX95" s="278"/>
      <c r="BY95" s="224"/>
      <c r="BZ95" s="224"/>
      <c r="CA95" s="224"/>
      <c r="CB95" s="224"/>
      <c r="CC95" s="224"/>
      <c r="CD95" s="224"/>
      <c r="CE95" s="224"/>
      <c r="CF95" s="224"/>
      <c r="CG95" s="224"/>
      <c r="CH95" s="224"/>
      <c r="CI95" s="224"/>
      <c r="CJ95" s="224"/>
      <c r="CK95" s="224"/>
      <c r="CL95" s="224"/>
      <c r="CM95" s="224"/>
      <c r="CN95" s="224"/>
      <c r="CO95" s="224"/>
      <c r="CP95" s="224"/>
      <c r="CQ95" s="224"/>
      <c r="CR95" s="224"/>
      <c r="CS95" s="224"/>
      <c r="CT95" s="224"/>
      <c r="CU95" s="224"/>
      <c r="CV95" s="224"/>
      <c r="CW95" s="224"/>
      <c r="CX95" s="224"/>
      <c r="CY95" s="224"/>
      <c r="CZ95" s="224"/>
      <c r="DA95" s="224"/>
      <c r="DB95" s="224"/>
      <c r="DC95" s="224"/>
      <c r="DD95" s="224"/>
      <c r="DE95" s="224"/>
      <c r="DF95" s="224"/>
      <c r="DG95" s="224"/>
      <c r="DH95" s="224"/>
      <c r="DI95" s="224"/>
      <c r="DJ95" s="224"/>
      <c r="DK95" s="224"/>
      <c r="DL95" s="224"/>
      <c r="DM95" s="224"/>
      <c r="DN95" s="224"/>
      <c r="DO95" s="224"/>
      <c r="DP95" s="224"/>
      <c r="DQ95" s="224"/>
      <c r="DR95" s="224"/>
      <c r="DS95" s="224"/>
      <c r="DT95" s="224"/>
      <c r="DU95" s="224"/>
      <c r="DV95" s="224"/>
      <c r="DW95" s="224"/>
      <c r="DX95" s="224"/>
      <c r="DY95" s="224"/>
      <c r="DZ95" s="224"/>
      <c r="EA95" s="224"/>
      <c r="EB95" s="224"/>
      <c r="EC95" s="224"/>
      <c r="ED95" s="224"/>
      <c r="EE95" s="224"/>
      <c r="EF95" s="224"/>
      <c r="EG95" s="224"/>
      <c r="EH95" s="224"/>
      <c r="EI95" s="224"/>
      <c r="EJ95" s="224"/>
      <c r="EK95" s="224"/>
      <c r="EL95" s="224"/>
      <c r="EM95" s="224"/>
      <c r="EN95" s="224"/>
      <c r="EO95" s="224"/>
      <c r="EP95" s="224"/>
      <c r="EQ95" s="224"/>
      <c r="ER95" s="224"/>
      <c r="ES95" s="224"/>
      <c r="ET95" s="224"/>
      <c r="EU95" s="224"/>
      <c r="EV95" s="224"/>
      <c r="EW95" s="224"/>
      <c r="EX95" s="224"/>
      <c r="EY95" s="224"/>
      <c r="EZ95" s="224"/>
      <c r="FA95" s="224"/>
      <c r="FB95" s="224"/>
      <c r="FC95" s="224"/>
      <c r="FD95" s="224"/>
      <c r="FE95" s="224"/>
      <c r="FF95" s="224"/>
      <c r="FG95" s="224"/>
      <c r="FH95" s="224"/>
      <c r="FI95" s="224"/>
      <c r="FJ95" s="224"/>
      <c r="FK95" s="224"/>
      <c r="FL95" s="224"/>
      <c r="FM95" s="224"/>
      <c r="FN95" s="224"/>
      <c r="FO95" s="224"/>
      <c r="FP95" s="224"/>
      <c r="FQ95" s="224"/>
      <c r="FR95" s="224"/>
      <c r="FS95" s="224"/>
      <c r="FT95" s="224"/>
      <c r="FU95" s="224"/>
      <c r="FV95" s="224"/>
      <c r="FW95" s="224"/>
      <c r="FX95" s="224"/>
      <c r="FY95" s="224"/>
      <c r="FZ95" s="224"/>
      <c r="GA95" s="224"/>
      <c r="GB95" s="224"/>
      <c r="GC95" s="224"/>
      <c r="GD95" s="224"/>
      <c r="GE95" s="224"/>
      <c r="GF95" s="224"/>
      <c r="GG95" s="224"/>
      <c r="GH95" s="224"/>
      <c r="GI95" s="224"/>
      <c r="GJ95" s="224"/>
      <c r="GK95" s="224"/>
      <c r="GL95" s="224"/>
      <c r="GM95" s="224"/>
      <c r="GN95" s="224"/>
      <c r="GO95" s="224"/>
      <c r="GP95" s="224"/>
      <c r="GQ95" s="224"/>
      <c r="GR95" s="224"/>
      <c r="GS95" s="224"/>
      <c r="GT95" s="224"/>
      <c r="GU95" s="224"/>
      <c r="GV95" s="224"/>
      <c r="GW95" s="224"/>
      <c r="GX95" s="224"/>
      <c r="GY95" s="224"/>
      <c r="GZ95" s="224"/>
      <c r="HA95" s="224"/>
      <c r="HB95" s="224"/>
      <c r="HC95" s="224"/>
      <c r="HD95" s="224"/>
      <c r="HE95" s="224"/>
      <c r="HF95" s="224"/>
      <c r="HG95" s="224"/>
      <c r="HH95" s="224"/>
      <c r="HI95" s="224"/>
      <c r="HJ95" s="224"/>
      <c r="HK95" s="224"/>
      <c r="HL95" s="224"/>
      <c r="HM95" s="224"/>
      <c r="HN95" s="224"/>
      <c r="HO95" s="224"/>
      <c r="HP95" s="224"/>
      <c r="HQ95" s="224"/>
      <c r="HR95" s="224"/>
      <c r="HS95" s="224"/>
      <c r="HT95" s="224"/>
      <c r="HU95" s="224"/>
      <c r="HV95" s="224"/>
      <c r="HW95" s="224"/>
      <c r="HX95" s="224"/>
      <c r="HY95" s="224"/>
      <c r="HZ95" s="224"/>
      <c r="IA95" s="224"/>
      <c r="IB95" s="224"/>
      <c r="IC95" s="224"/>
      <c r="ID95" s="224"/>
      <c r="IE95" s="224"/>
      <c r="IF95" s="224"/>
      <c r="IG95" s="224"/>
      <c r="IH95" s="224"/>
      <c r="II95" s="224"/>
      <c r="IJ95" s="224"/>
      <c r="IK95" s="224"/>
      <c r="IL95" s="224"/>
      <c r="IM95" s="224"/>
      <c r="IN95" s="224"/>
      <c r="IO95" s="224"/>
      <c r="IP95" s="224"/>
      <c r="IQ95" s="224"/>
      <c r="IR95" s="224"/>
      <c r="IS95" s="224"/>
      <c r="IT95" s="224"/>
      <c r="IU95" s="224"/>
      <c r="IV95" s="224"/>
      <c r="IW95" s="224"/>
      <c r="IX95" s="224"/>
      <c r="IY95" s="224"/>
      <c r="IZ95" s="224"/>
      <c r="JA95" s="224"/>
      <c r="JB95" s="224"/>
      <c r="JC95" s="224"/>
      <c r="JD95" s="224"/>
      <c r="JE95" s="224"/>
      <c r="JF95" s="224"/>
      <c r="JG95" s="224"/>
      <c r="JH95" s="224"/>
      <c r="JI95" s="224"/>
      <c r="JJ95" s="224"/>
      <c r="JK95" s="224"/>
      <c r="JL95" s="224"/>
      <c r="JM95" s="224"/>
      <c r="JN95" s="224"/>
      <c r="JO95" s="224"/>
      <c r="JP95" s="224"/>
      <c r="JQ95" s="224"/>
      <c r="JR95" s="224"/>
      <c r="JS95" s="224"/>
      <c r="JT95" s="224"/>
      <c r="JU95" s="224"/>
      <c r="JV95" s="224"/>
      <c r="JW95" s="224"/>
      <c r="JX95" s="224"/>
      <c r="JY95" s="224"/>
      <c r="JZ95" s="224"/>
      <c r="KA95" s="224"/>
      <c r="KB95" s="224"/>
      <c r="KC95" s="224"/>
      <c r="KD95" s="224"/>
      <c r="KE95" s="224"/>
      <c r="KF95" s="224"/>
      <c r="KG95" s="224"/>
      <c r="KH95" s="224"/>
      <c r="KI95" s="224"/>
      <c r="KJ95" s="224"/>
      <c r="KK95" s="224"/>
      <c r="KL95" s="224"/>
      <c r="KM95" s="224"/>
      <c r="KN95" s="224"/>
      <c r="KO95" s="224"/>
      <c r="KP95" s="224"/>
      <c r="KQ95" s="224"/>
      <c r="KR95" s="224"/>
      <c r="KS95" s="224"/>
      <c r="KT95" s="224"/>
      <c r="KU95" s="224"/>
      <c r="KV95" s="224"/>
      <c r="KW95" s="224"/>
      <c r="KX95" s="224"/>
      <c r="KY95" s="224"/>
      <c r="KZ95" s="224"/>
      <c r="LA95" s="224"/>
      <c r="LB95" s="224"/>
      <c r="LC95" s="224"/>
      <c r="LD95" s="224"/>
      <c r="LE95" s="224"/>
      <c r="LF95" s="224"/>
      <c r="LG95" s="224"/>
      <c r="LH95" s="224"/>
      <c r="LI95" s="224"/>
      <c r="LJ95" s="224"/>
      <c r="LK95" s="224"/>
      <c r="LL95" s="224"/>
      <c r="LM95" s="224"/>
      <c r="LN95" s="224"/>
      <c r="LO95" s="224"/>
      <c r="LP95" s="224"/>
      <c r="LQ95" s="224"/>
      <c r="LR95" s="224"/>
      <c r="LS95" s="224"/>
      <c r="LT95" s="224"/>
      <c r="LU95" s="224"/>
      <c r="LV95" s="224"/>
      <c r="LW95" s="224"/>
      <c r="LX95" s="224"/>
      <c r="LY95" s="224"/>
      <c r="LZ95" s="224"/>
      <c r="MA95" s="224"/>
      <c r="MB95" s="224"/>
      <c r="MC95" s="224"/>
      <c r="MD95" s="224"/>
      <c r="ME95" s="224"/>
      <c r="MF95" s="224"/>
      <c r="MG95" s="224"/>
      <c r="MH95" s="224"/>
      <c r="MI95" s="224"/>
      <c r="MJ95" s="224"/>
      <c r="MK95" s="224"/>
      <c r="ML95" s="224"/>
      <c r="MM95" s="224"/>
      <c r="MN95" s="224"/>
      <c r="MO95" s="224"/>
      <c r="MP95" s="224"/>
      <c r="MQ95" s="224"/>
      <c r="MR95" s="224"/>
      <c r="MS95" s="224"/>
      <c r="MT95" s="224"/>
      <c r="MU95" s="224"/>
      <c r="MV95" s="224"/>
      <c r="MW95" s="224"/>
      <c r="MX95" s="224"/>
      <c r="MY95" s="224"/>
      <c r="MZ95" s="224"/>
      <c r="NA95" s="224"/>
      <c r="NB95" s="224"/>
      <c r="NC95" s="224"/>
      <c r="ND95" s="224"/>
      <c r="NE95" s="224"/>
      <c r="NF95" s="224"/>
      <c r="NG95" s="224"/>
      <c r="NH95" s="224"/>
      <c r="NI95" s="224"/>
      <c r="NJ95" s="224"/>
      <c r="NK95" s="224"/>
      <c r="NL95" s="224"/>
      <c r="NM95" s="224"/>
      <c r="NN95" s="224"/>
      <c r="NO95" s="224"/>
      <c r="NP95" s="224"/>
      <c r="NQ95" s="224"/>
      <c r="NR95" s="224"/>
      <c r="NS95" s="224"/>
      <c r="NT95" s="224"/>
      <c r="NU95" s="224"/>
      <c r="NV95" s="224"/>
      <c r="NW95" s="224"/>
      <c r="NX95" s="224"/>
      <c r="NY95" s="224"/>
      <c r="NZ95" s="224"/>
      <c r="OA95" s="224"/>
      <c r="OB95" s="224"/>
      <c r="OC95" s="224"/>
      <c r="OD95" s="224"/>
      <c r="OE95" s="224"/>
      <c r="OF95" s="224"/>
      <c r="OG95" s="224"/>
      <c r="OH95" s="224"/>
      <c r="OI95" s="224"/>
      <c r="OJ95" s="224"/>
      <c r="OK95" s="224"/>
      <c r="OL95" s="224"/>
      <c r="OM95" s="224"/>
      <c r="ON95" s="224"/>
      <c r="OO95" s="224"/>
      <c r="OP95" s="224"/>
      <c r="OQ95" s="224"/>
      <c r="OR95" s="224"/>
      <c r="OS95" s="224"/>
      <c r="OT95" s="224"/>
      <c r="OU95" s="224"/>
      <c r="OV95" s="224"/>
      <c r="OW95" s="224"/>
      <c r="OX95" s="224"/>
      <c r="OY95" s="224"/>
      <c r="OZ95" s="224"/>
      <c r="PA95" s="224"/>
      <c r="PB95" s="224"/>
      <c r="PC95" s="224"/>
      <c r="PD95" s="224"/>
      <c r="PE95" s="224"/>
      <c r="PF95" s="224"/>
      <c r="PG95" s="224"/>
      <c r="PH95" s="224"/>
      <c r="PI95" s="224"/>
      <c r="PJ95" s="224"/>
      <c r="PK95" s="224"/>
      <c r="PL95" s="224"/>
      <c r="PM95" s="224"/>
      <c r="PN95" s="224"/>
      <c r="PO95" s="224"/>
      <c r="PP95" s="224"/>
      <c r="PQ95" s="224"/>
      <c r="PR95" s="224"/>
      <c r="PS95" s="224"/>
      <c r="PT95" s="224"/>
      <c r="PU95" s="224"/>
      <c r="PV95" s="224"/>
      <c r="PW95" s="224"/>
      <c r="PX95" s="224"/>
      <c r="PY95" s="224"/>
      <c r="PZ95" s="224"/>
      <c r="QA95" s="224"/>
      <c r="QB95" s="224"/>
      <c r="QC95" s="224"/>
      <c r="QD95" s="224"/>
      <c r="QE95" s="224"/>
      <c r="QF95" s="224"/>
      <c r="QG95" s="224"/>
      <c r="QH95" s="224"/>
      <c r="QI95" s="224"/>
      <c r="QJ95" s="224"/>
      <c r="QK95" s="224"/>
      <c r="QL95" s="224"/>
      <c r="QM95" s="224"/>
      <c r="QN95" s="224"/>
      <c r="QO95" s="224"/>
      <c r="QP95" s="224"/>
      <c r="QQ95" s="224"/>
      <c r="QR95" s="224"/>
      <c r="QS95" s="224"/>
      <c r="QT95" s="224"/>
      <c r="QU95" s="224"/>
      <c r="QV95" s="224"/>
      <c r="QW95" s="224"/>
      <c r="QX95" s="224"/>
      <c r="QY95" s="224"/>
      <c r="QZ95" s="224"/>
      <c r="RA95" s="224"/>
      <c r="RB95" s="224"/>
      <c r="RC95" s="224"/>
      <c r="RD95" s="224"/>
      <c r="RE95" s="224"/>
      <c r="RF95" s="224"/>
      <c r="RG95" s="224"/>
      <c r="RH95" s="224"/>
      <c r="RI95" s="224"/>
      <c r="RJ95" s="224"/>
      <c r="RK95" s="224"/>
      <c r="RL95" s="224"/>
      <c r="RM95" s="224"/>
      <c r="RN95" s="224"/>
      <c r="RO95" s="224"/>
      <c r="RP95" s="224"/>
      <c r="RQ95" s="224"/>
      <c r="RR95" s="224"/>
      <c r="RS95" s="224"/>
      <c r="RT95" s="224"/>
      <c r="RU95" s="224"/>
      <c r="RV95" s="224"/>
      <c r="RW95" s="224"/>
      <c r="RX95" s="224"/>
      <c r="RY95" s="224"/>
      <c r="RZ95" s="224"/>
      <c r="SA95" s="224"/>
      <c r="SB95" s="224"/>
      <c r="SC95" s="224"/>
      <c r="SD95" s="224"/>
      <c r="SE95" s="224"/>
      <c r="SF95" s="224"/>
      <c r="SG95" s="224"/>
      <c r="SH95" s="224"/>
      <c r="SI95" s="224"/>
      <c r="SJ95" s="224"/>
      <c r="SK95" s="224"/>
      <c r="SL95" s="224"/>
      <c r="SM95" s="224"/>
      <c r="SN95" s="224"/>
      <c r="SO95" s="224"/>
      <c r="SP95" s="224"/>
      <c r="SQ95" s="224"/>
      <c r="SR95" s="224"/>
      <c r="SS95" s="224"/>
      <c r="ST95" s="224"/>
      <c r="SU95" s="224"/>
      <c r="SV95" s="224"/>
      <c r="SW95" s="224"/>
      <c r="SX95" s="224"/>
      <c r="SY95" s="224"/>
      <c r="SZ95" s="224"/>
      <c r="TA95" s="224"/>
      <c r="TB95" s="224"/>
      <c r="TC95" s="224"/>
      <c r="TD95" s="224"/>
      <c r="TE95" s="224"/>
      <c r="TF95" s="224"/>
      <c r="TG95" s="224"/>
      <c r="TH95" s="224"/>
      <c r="TI95" s="224"/>
      <c r="TJ95" s="224"/>
      <c r="TK95" s="224"/>
      <c r="TL95" s="224"/>
      <c r="TM95" s="224"/>
      <c r="TN95" s="224"/>
      <c r="TO95" s="224"/>
      <c r="TP95" s="224"/>
      <c r="TQ95" s="224"/>
      <c r="TR95" s="224"/>
      <c r="TS95" s="224"/>
      <c r="TT95" s="224"/>
      <c r="TU95" s="224"/>
      <c r="TV95" s="224"/>
      <c r="TW95" s="224"/>
      <c r="TX95" s="224"/>
      <c r="TY95" s="224"/>
      <c r="TZ95" s="224"/>
      <c r="UA95" s="224"/>
      <c r="UB95" s="224"/>
      <c r="UC95" s="224"/>
      <c r="UD95" s="224"/>
      <c r="UE95" s="224"/>
      <c r="UF95" s="224"/>
      <c r="UG95" s="224"/>
      <c r="UH95" s="224"/>
      <c r="UI95" s="224"/>
      <c r="UJ95" s="224"/>
      <c r="UK95" s="224"/>
      <c r="UL95" s="224"/>
      <c r="UM95" s="224"/>
      <c r="UN95" s="224"/>
      <c r="UO95" s="224"/>
      <c r="UP95" s="224"/>
      <c r="UQ95" s="224"/>
      <c r="UR95" s="224"/>
      <c r="US95" s="224"/>
      <c r="UT95" s="224"/>
      <c r="UU95" s="224"/>
      <c r="UV95" s="224"/>
      <c r="UW95" s="224"/>
      <c r="UX95" s="224"/>
      <c r="UY95" s="224"/>
      <c r="UZ95" s="224"/>
      <c r="VA95" s="224"/>
      <c r="VB95" s="224"/>
      <c r="VC95" s="224"/>
      <c r="VD95" s="224"/>
      <c r="VE95" s="224"/>
      <c r="VF95" s="224"/>
      <c r="VG95" s="224"/>
      <c r="VH95" s="224"/>
      <c r="VI95" s="224"/>
      <c r="VJ95" s="224"/>
      <c r="VK95" s="224"/>
      <c r="VL95" s="224"/>
      <c r="VM95" s="224"/>
      <c r="VN95" s="224"/>
      <c r="VO95" s="224"/>
      <c r="VP95" s="224"/>
      <c r="VQ95" s="224"/>
      <c r="VR95" s="224"/>
      <c r="VS95" s="224"/>
      <c r="VT95" s="224"/>
      <c r="VU95" s="224"/>
      <c r="VV95" s="224"/>
      <c r="VW95" s="224"/>
      <c r="VX95" s="224"/>
      <c r="VY95" s="224"/>
      <c r="VZ95" s="224"/>
      <c r="WA95" s="224"/>
      <c r="WB95" s="224"/>
    </row>
    <row r="96" spans="1:600" s="228" customFormat="1" ht="16" customHeight="1" thickBot="1" x14ac:dyDescent="0.4">
      <c r="B96" s="26"/>
      <c r="C96" s="188" t="s">
        <v>291</v>
      </c>
      <c r="D96" s="189" t="s">
        <v>292</v>
      </c>
      <c r="E96" s="40"/>
      <c r="F96" s="284"/>
      <c r="G96" s="278">
        <v>2</v>
      </c>
      <c r="H96" s="278">
        <v>3</v>
      </c>
      <c r="I96" s="278">
        <v>3</v>
      </c>
      <c r="J96" s="278">
        <v>5</v>
      </c>
      <c r="K96" s="278">
        <v>1.25</v>
      </c>
      <c r="L96" s="278">
        <v>2</v>
      </c>
      <c r="M96" s="278">
        <v>3.25</v>
      </c>
      <c r="N96" s="278">
        <v>3.75</v>
      </c>
      <c r="O96" s="278">
        <v>4.25</v>
      </c>
      <c r="P96" s="278">
        <v>4.5</v>
      </c>
      <c r="Q96" s="278">
        <v>5.5</v>
      </c>
      <c r="R96" s="278">
        <v>2</v>
      </c>
      <c r="S96" s="278">
        <v>3</v>
      </c>
      <c r="T96" s="278">
        <v>3</v>
      </c>
      <c r="U96" s="278">
        <v>4</v>
      </c>
      <c r="V96" s="278">
        <v>3</v>
      </c>
      <c r="W96" s="278">
        <v>3</v>
      </c>
      <c r="X96" s="278">
        <v>3.5</v>
      </c>
      <c r="Y96" s="278">
        <v>3.5</v>
      </c>
      <c r="Z96" s="278">
        <v>4</v>
      </c>
      <c r="AA96" s="278">
        <v>4</v>
      </c>
      <c r="AB96" s="278">
        <v>4.5</v>
      </c>
      <c r="AC96" s="278">
        <v>4.5</v>
      </c>
      <c r="AD96" s="278">
        <v>3</v>
      </c>
      <c r="AE96" s="278">
        <v>3.5</v>
      </c>
      <c r="AF96" s="278">
        <v>4</v>
      </c>
      <c r="AG96" s="278">
        <v>4.5</v>
      </c>
      <c r="AH96" s="278">
        <v>3</v>
      </c>
      <c r="AI96" s="278">
        <v>3.5</v>
      </c>
      <c r="AJ96" s="278">
        <v>4.5</v>
      </c>
      <c r="AK96" s="278">
        <v>5</v>
      </c>
      <c r="AL96" s="278">
        <v>1</v>
      </c>
      <c r="AM96" s="278">
        <v>1.5</v>
      </c>
      <c r="AN96" s="278">
        <v>2</v>
      </c>
      <c r="AO96" s="278">
        <v>2.5</v>
      </c>
      <c r="AP96" s="278">
        <v>3</v>
      </c>
      <c r="AQ96" s="278">
        <v>4</v>
      </c>
      <c r="AR96" s="406" t="s">
        <v>119</v>
      </c>
      <c r="AS96" s="278">
        <v>1.25</v>
      </c>
      <c r="AT96" s="278">
        <v>2</v>
      </c>
      <c r="AU96" s="278">
        <v>2.5</v>
      </c>
      <c r="AV96" s="278">
        <v>3</v>
      </c>
      <c r="AW96" s="278">
        <v>4</v>
      </c>
      <c r="AX96" s="278">
        <v>5</v>
      </c>
      <c r="AY96" s="278">
        <v>5</v>
      </c>
      <c r="AZ96" s="278"/>
      <c r="BA96" s="278"/>
      <c r="BB96" s="278"/>
      <c r="BC96" s="278"/>
      <c r="BD96" s="278"/>
      <c r="BE96" s="278"/>
      <c r="BF96" s="278"/>
      <c r="BG96" s="278"/>
      <c r="BH96" s="278"/>
      <c r="BI96" s="278"/>
      <c r="BJ96" s="278"/>
      <c r="BK96" s="278"/>
      <c r="BL96" s="278"/>
      <c r="BM96" s="278"/>
      <c r="BN96" s="278"/>
      <c r="BO96" s="278">
        <v>1</v>
      </c>
      <c r="BP96" s="278">
        <v>1.5</v>
      </c>
      <c r="BQ96" s="278">
        <v>2.5</v>
      </c>
      <c r="BR96" s="278">
        <v>3.5</v>
      </c>
      <c r="BS96" s="278">
        <v>4.5</v>
      </c>
      <c r="BT96" s="278">
        <v>4.5</v>
      </c>
      <c r="BU96" s="278"/>
      <c r="BV96" s="278"/>
      <c r="BW96" s="278"/>
      <c r="BX96" s="278"/>
      <c r="BY96" s="224"/>
      <c r="BZ96" s="224"/>
      <c r="CA96" s="224"/>
      <c r="CB96" s="224"/>
      <c r="CC96" s="224"/>
      <c r="CD96" s="224"/>
      <c r="CE96" s="224"/>
      <c r="CF96" s="224"/>
      <c r="CG96" s="224"/>
      <c r="CH96" s="224"/>
      <c r="CI96" s="224"/>
      <c r="CJ96" s="224"/>
      <c r="CK96" s="224"/>
      <c r="CL96" s="224"/>
      <c r="CM96" s="224"/>
      <c r="CN96" s="224"/>
      <c r="CO96" s="224"/>
      <c r="CP96" s="224"/>
      <c r="CQ96" s="224"/>
      <c r="CR96" s="224"/>
      <c r="CS96" s="224"/>
      <c r="CT96" s="224"/>
      <c r="CU96" s="224"/>
      <c r="CV96" s="224"/>
      <c r="CW96" s="224"/>
      <c r="CX96" s="224"/>
      <c r="CY96" s="224"/>
      <c r="CZ96" s="224"/>
      <c r="DA96" s="224"/>
      <c r="DB96" s="224"/>
      <c r="DC96" s="224"/>
      <c r="DD96" s="224"/>
      <c r="DE96" s="224"/>
      <c r="DF96" s="224"/>
      <c r="DG96" s="224"/>
      <c r="DH96" s="224"/>
      <c r="DI96" s="224"/>
      <c r="DJ96" s="224"/>
      <c r="DK96" s="224"/>
      <c r="DL96" s="224"/>
      <c r="DM96" s="224"/>
      <c r="DN96" s="224"/>
      <c r="DO96" s="224"/>
      <c r="DP96" s="224"/>
      <c r="DQ96" s="224"/>
      <c r="DR96" s="224"/>
      <c r="DS96" s="224"/>
      <c r="DT96" s="224"/>
      <c r="DU96" s="224"/>
      <c r="DV96" s="224"/>
      <c r="DW96" s="224"/>
      <c r="DX96" s="224"/>
      <c r="DY96" s="224"/>
      <c r="DZ96" s="224"/>
      <c r="EA96" s="224"/>
      <c r="EB96" s="224"/>
      <c r="EC96" s="224"/>
      <c r="ED96" s="224"/>
      <c r="EE96" s="224"/>
      <c r="EF96" s="224"/>
      <c r="EG96" s="224"/>
      <c r="EH96" s="224"/>
      <c r="EI96" s="224"/>
      <c r="EJ96" s="224"/>
      <c r="EK96" s="224"/>
      <c r="EL96" s="224"/>
      <c r="EM96" s="224"/>
      <c r="EN96" s="224"/>
      <c r="EO96" s="224"/>
      <c r="EP96" s="224"/>
      <c r="EQ96" s="224"/>
      <c r="ER96" s="224"/>
      <c r="ES96" s="224"/>
      <c r="ET96" s="224"/>
      <c r="EU96" s="224"/>
      <c r="EV96" s="224"/>
      <c r="EW96" s="224"/>
      <c r="EX96" s="224"/>
      <c r="EY96" s="224"/>
      <c r="EZ96" s="224"/>
      <c r="FA96" s="224"/>
      <c r="FB96" s="224"/>
      <c r="FC96" s="224"/>
      <c r="FD96" s="224"/>
      <c r="FE96" s="224"/>
      <c r="FF96" s="224"/>
      <c r="FG96" s="224"/>
      <c r="FH96" s="224"/>
      <c r="FI96" s="224"/>
      <c r="FJ96" s="224"/>
      <c r="FK96" s="224"/>
      <c r="FL96" s="224"/>
      <c r="FM96" s="224"/>
      <c r="FN96" s="224"/>
      <c r="FO96" s="224"/>
      <c r="FP96" s="224"/>
      <c r="FQ96" s="224"/>
      <c r="FR96" s="224"/>
      <c r="FS96" s="224"/>
      <c r="FT96" s="224"/>
      <c r="FU96" s="224"/>
      <c r="FV96" s="224"/>
      <c r="FW96" s="224"/>
      <c r="FX96" s="224"/>
      <c r="FY96" s="224"/>
      <c r="FZ96" s="224"/>
      <c r="GA96" s="224"/>
      <c r="GB96" s="224"/>
      <c r="GC96" s="224"/>
      <c r="GD96" s="224"/>
      <c r="GE96" s="224"/>
      <c r="GF96" s="224"/>
      <c r="GG96" s="224"/>
      <c r="GH96" s="224"/>
      <c r="GI96" s="224"/>
      <c r="GJ96" s="224"/>
      <c r="GK96" s="224"/>
      <c r="GL96" s="224"/>
      <c r="GM96" s="224"/>
      <c r="GN96" s="224"/>
      <c r="GO96" s="224"/>
      <c r="GP96" s="224"/>
      <c r="GQ96" s="224"/>
      <c r="GR96" s="224"/>
      <c r="GS96" s="224"/>
      <c r="GT96" s="224"/>
      <c r="GU96" s="224"/>
      <c r="GV96" s="224"/>
      <c r="GW96" s="224"/>
      <c r="GX96" s="224"/>
      <c r="GY96" s="224"/>
      <c r="GZ96" s="224"/>
      <c r="HA96" s="224"/>
      <c r="HB96" s="224"/>
      <c r="HC96" s="224"/>
      <c r="HD96" s="224"/>
      <c r="HE96" s="224"/>
      <c r="HF96" s="224"/>
      <c r="HG96" s="224"/>
      <c r="HH96" s="224"/>
      <c r="HI96" s="224"/>
      <c r="HJ96" s="224"/>
      <c r="HK96" s="224"/>
      <c r="HL96" s="224"/>
      <c r="HM96" s="224"/>
      <c r="HN96" s="224"/>
      <c r="HO96" s="224"/>
      <c r="HP96" s="224"/>
      <c r="HQ96" s="224"/>
      <c r="HR96" s="224"/>
      <c r="HS96" s="224"/>
      <c r="HT96" s="224"/>
      <c r="HU96" s="224"/>
      <c r="HV96" s="224"/>
      <c r="HW96" s="224"/>
      <c r="HX96" s="224"/>
      <c r="HY96" s="224"/>
      <c r="HZ96" s="224"/>
      <c r="IA96" s="224"/>
      <c r="IB96" s="224"/>
      <c r="IC96" s="224"/>
      <c r="ID96" s="224"/>
      <c r="IE96" s="224"/>
      <c r="IF96" s="224"/>
      <c r="IG96" s="224"/>
      <c r="IH96" s="224"/>
      <c r="II96" s="224"/>
      <c r="IJ96" s="224"/>
      <c r="IK96" s="224"/>
      <c r="IL96" s="224"/>
      <c r="IM96" s="224"/>
      <c r="IN96" s="224"/>
      <c r="IO96" s="224"/>
      <c r="IP96" s="224"/>
      <c r="IQ96" s="224"/>
      <c r="IR96" s="224"/>
      <c r="IS96" s="224"/>
      <c r="IT96" s="224"/>
      <c r="IU96" s="224"/>
      <c r="IV96" s="224"/>
      <c r="IW96" s="224"/>
      <c r="IX96" s="224"/>
      <c r="IY96" s="224"/>
      <c r="IZ96" s="224"/>
      <c r="JA96" s="224"/>
      <c r="JB96" s="224"/>
      <c r="JC96" s="224"/>
      <c r="JD96" s="224"/>
      <c r="JE96" s="224"/>
      <c r="JF96" s="224"/>
      <c r="JG96" s="224"/>
      <c r="JH96" s="224"/>
      <c r="JI96" s="224"/>
      <c r="JJ96" s="224"/>
      <c r="JK96" s="224"/>
      <c r="JL96" s="224"/>
      <c r="JM96" s="224"/>
      <c r="JN96" s="224"/>
      <c r="JO96" s="224"/>
      <c r="JP96" s="224"/>
      <c r="JQ96" s="224"/>
      <c r="JR96" s="224"/>
      <c r="JS96" s="224"/>
      <c r="JT96" s="224"/>
      <c r="JU96" s="224"/>
      <c r="JV96" s="224"/>
      <c r="JW96" s="224"/>
      <c r="JX96" s="224"/>
      <c r="JY96" s="224"/>
      <c r="JZ96" s="224"/>
      <c r="KA96" s="224"/>
      <c r="KB96" s="224"/>
      <c r="KC96" s="224"/>
      <c r="KD96" s="224"/>
      <c r="KE96" s="224"/>
      <c r="KF96" s="224"/>
      <c r="KG96" s="224"/>
      <c r="KH96" s="224"/>
      <c r="KI96" s="224"/>
      <c r="KJ96" s="224"/>
      <c r="KK96" s="224"/>
      <c r="KL96" s="224"/>
      <c r="KM96" s="224"/>
      <c r="KN96" s="224"/>
      <c r="KO96" s="224"/>
      <c r="KP96" s="224"/>
      <c r="KQ96" s="224"/>
      <c r="KR96" s="224"/>
      <c r="KS96" s="224"/>
      <c r="KT96" s="224"/>
      <c r="KU96" s="224"/>
      <c r="KV96" s="224"/>
      <c r="KW96" s="224"/>
      <c r="KX96" s="224"/>
      <c r="KY96" s="224"/>
      <c r="KZ96" s="224"/>
      <c r="LA96" s="224"/>
      <c r="LB96" s="224"/>
      <c r="LC96" s="224"/>
      <c r="LD96" s="224"/>
      <c r="LE96" s="224"/>
      <c r="LF96" s="224"/>
      <c r="LG96" s="224"/>
      <c r="LH96" s="224"/>
      <c r="LI96" s="224"/>
      <c r="LJ96" s="224"/>
      <c r="LK96" s="224"/>
      <c r="LL96" s="224"/>
      <c r="LM96" s="224"/>
      <c r="LN96" s="224"/>
      <c r="LO96" s="224"/>
      <c r="LP96" s="224"/>
      <c r="LQ96" s="224"/>
      <c r="LR96" s="224"/>
      <c r="LS96" s="224"/>
      <c r="LT96" s="224"/>
      <c r="LU96" s="224"/>
      <c r="LV96" s="224"/>
      <c r="LW96" s="224"/>
      <c r="LX96" s="224"/>
      <c r="LY96" s="224"/>
      <c r="LZ96" s="224"/>
      <c r="MA96" s="224"/>
      <c r="MB96" s="224"/>
      <c r="MC96" s="224"/>
      <c r="MD96" s="224"/>
      <c r="ME96" s="224"/>
      <c r="MF96" s="224"/>
      <c r="MG96" s="224"/>
      <c r="MH96" s="224"/>
      <c r="MI96" s="224"/>
      <c r="MJ96" s="224"/>
      <c r="MK96" s="224"/>
      <c r="ML96" s="224"/>
      <c r="MM96" s="224"/>
      <c r="MN96" s="224"/>
      <c r="MO96" s="224"/>
      <c r="MP96" s="224"/>
      <c r="MQ96" s="224"/>
      <c r="MR96" s="224"/>
      <c r="MS96" s="224"/>
      <c r="MT96" s="224"/>
      <c r="MU96" s="224"/>
      <c r="MV96" s="224"/>
      <c r="MW96" s="224"/>
      <c r="MX96" s="224"/>
      <c r="MY96" s="224"/>
      <c r="MZ96" s="224"/>
      <c r="NA96" s="224"/>
      <c r="NB96" s="224"/>
      <c r="NC96" s="224"/>
      <c r="ND96" s="224"/>
      <c r="NE96" s="224"/>
      <c r="NF96" s="224"/>
      <c r="NG96" s="224"/>
      <c r="NH96" s="224"/>
      <c r="NI96" s="224"/>
      <c r="NJ96" s="224"/>
      <c r="NK96" s="224"/>
      <c r="NL96" s="224"/>
      <c r="NM96" s="224"/>
      <c r="NN96" s="224"/>
      <c r="NO96" s="224"/>
      <c r="NP96" s="224"/>
      <c r="NQ96" s="224"/>
      <c r="NR96" s="224"/>
      <c r="NS96" s="224"/>
      <c r="NT96" s="224"/>
      <c r="NU96" s="224"/>
      <c r="NV96" s="224"/>
      <c r="NW96" s="224"/>
      <c r="NX96" s="224"/>
      <c r="NY96" s="224"/>
      <c r="NZ96" s="224"/>
      <c r="OA96" s="224"/>
      <c r="OB96" s="224"/>
      <c r="OC96" s="224"/>
      <c r="OD96" s="224"/>
      <c r="OE96" s="224"/>
      <c r="OF96" s="224"/>
      <c r="OG96" s="224"/>
      <c r="OH96" s="224"/>
      <c r="OI96" s="224"/>
      <c r="OJ96" s="224"/>
      <c r="OK96" s="224"/>
      <c r="OL96" s="224"/>
      <c r="OM96" s="224"/>
      <c r="ON96" s="224"/>
      <c r="OO96" s="224"/>
      <c r="OP96" s="224"/>
      <c r="OQ96" s="224"/>
      <c r="OR96" s="224"/>
      <c r="OS96" s="224"/>
      <c r="OT96" s="224"/>
      <c r="OU96" s="224"/>
      <c r="OV96" s="224"/>
      <c r="OW96" s="224"/>
      <c r="OX96" s="224"/>
      <c r="OY96" s="224"/>
      <c r="OZ96" s="224"/>
      <c r="PA96" s="224"/>
      <c r="PB96" s="224"/>
      <c r="PC96" s="224"/>
      <c r="PD96" s="224"/>
      <c r="PE96" s="224"/>
      <c r="PF96" s="224"/>
      <c r="PG96" s="224"/>
      <c r="PH96" s="224"/>
      <c r="PI96" s="224"/>
      <c r="PJ96" s="224"/>
      <c r="PK96" s="224"/>
      <c r="PL96" s="224"/>
      <c r="PM96" s="224"/>
      <c r="PN96" s="224"/>
      <c r="PO96" s="224"/>
      <c r="PP96" s="224"/>
      <c r="PQ96" s="224"/>
      <c r="PR96" s="224"/>
      <c r="PS96" s="224"/>
      <c r="PT96" s="224"/>
      <c r="PU96" s="224"/>
      <c r="PV96" s="224"/>
      <c r="PW96" s="224"/>
      <c r="PX96" s="224"/>
      <c r="PY96" s="224"/>
      <c r="PZ96" s="224"/>
      <c r="QA96" s="224"/>
      <c r="QB96" s="224"/>
      <c r="QC96" s="224"/>
      <c r="QD96" s="224"/>
      <c r="QE96" s="224"/>
      <c r="QF96" s="224"/>
      <c r="QG96" s="224"/>
      <c r="QH96" s="224"/>
      <c r="QI96" s="224"/>
      <c r="QJ96" s="224"/>
      <c r="QK96" s="224"/>
      <c r="QL96" s="224"/>
      <c r="QM96" s="224"/>
      <c r="QN96" s="224"/>
      <c r="QO96" s="224"/>
      <c r="QP96" s="224"/>
      <c r="QQ96" s="224"/>
      <c r="QR96" s="224"/>
      <c r="QS96" s="224"/>
      <c r="QT96" s="224"/>
      <c r="QU96" s="224"/>
      <c r="QV96" s="224"/>
      <c r="QW96" s="224"/>
      <c r="QX96" s="224"/>
      <c r="QY96" s="224"/>
      <c r="QZ96" s="224"/>
      <c r="RA96" s="224"/>
      <c r="RB96" s="224"/>
      <c r="RC96" s="224"/>
      <c r="RD96" s="224"/>
      <c r="RE96" s="224"/>
      <c r="RF96" s="224"/>
      <c r="RG96" s="224"/>
      <c r="RH96" s="224"/>
      <c r="RI96" s="224"/>
      <c r="RJ96" s="224"/>
      <c r="RK96" s="224"/>
      <c r="RL96" s="224"/>
      <c r="RM96" s="224"/>
      <c r="RN96" s="224"/>
      <c r="RO96" s="224"/>
      <c r="RP96" s="224"/>
      <c r="RQ96" s="224"/>
      <c r="RR96" s="224"/>
      <c r="RS96" s="224"/>
      <c r="RT96" s="224"/>
      <c r="RU96" s="224"/>
      <c r="RV96" s="224"/>
      <c r="RW96" s="224"/>
      <c r="RX96" s="224"/>
      <c r="RY96" s="224"/>
      <c r="RZ96" s="224"/>
      <c r="SA96" s="224"/>
      <c r="SB96" s="224"/>
      <c r="SC96" s="224"/>
      <c r="SD96" s="224"/>
      <c r="SE96" s="224"/>
      <c r="SF96" s="224"/>
      <c r="SG96" s="224"/>
      <c r="SH96" s="224"/>
      <c r="SI96" s="224"/>
      <c r="SJ96" s="224"/>
      <c r="SK96" s="224"/>
      <c r="SL96" s="224"/>
      <c r="SM96" s="224"/>
      <c r="SN96" s="224"/>
      <c r="SO96" s="224"/>
      <c r="SP96" s="224"/>
      <c r="SQ96" s="224"/>
      <c r="SR96" s="224"/>
      <c r="SS96" s="224"/>
      <c r="ST96" s="224"/>
      <c r="SU96" s="224"/>
      <c r="SV96" s="224"/>
      <c r="SW96" s="224"/>
      <c r="SX96" s="224"/>
      <c r="SY96" s="224"/>
      <c r="SZ96" s="224"/>
      <c r="TA96" s="224"/>
      <c r="TB96" s="224"/>
      <c r="TC96" s="224"/>
      <c r="TD96" s="224"/>
      <c r="TE96" s="224"/>
      <c r="TF96" s="224"/>
      <c r="TG96" s="224"/>
      <c r="TH96" s="224"/>
      <c r="TI96" s="224"/>
      <c r="TJ96" s="224"/>
      <c r="TK96" s="224"/>
      <c r="TL96" s="224"/>
      <c r="TM96" s="224"/>
      <c r="TN96" s="224"/>
      <c r="TO96" s="224"/>
      <c r="TP96" s="224"/>
      <c r="TQ96" s="224"/>
      <c r="TR96" s="224"/>
      <c r="TS96" s="224"/>
      <c r="TT96" s="224"/>
      <c r="TU96" s="224"/>
      <c r="TV96" s="224"/>
      <c r="TW96" s="224"/>
      <c r="TX96" s="224"/>
      <c r="TY96" s="224"/>
      <c r="TZ96" s="224"/>
      <c r="UA96" s="224"/>
      <c r="UB96" s="224"/>
      <c r="UC96" s="224"/>
      <c r="UD96" s="224"/>
      <c r="UE96" s="224"/>
      <c r="UF96" s="224"/>
      <c r="UG96" s="224"/>
      <c r="UH96" s="224"/>
      <c r="UI96" s="224"/>
      <c r="UJ96" s="224"/>
      <c r="UK96" s="224"/>
      <c r="UL96" s="224"/>
      <c r="UM96" s="224"/>
      <c r="UN96" s="224"/>
      <c r="UO96" s="224"/>
      <c r="UP96" s="224"/>
      <c r="UQ96" s="224"/>
      <c r="UR96" s="224"/>
      <c r="US96" s="224"/>
      <c r="UT96" s="224"/>
      <c r="UU96" s="224"/>
      <c r="UV96" s="224"/>
      <c r="UW96" s="224"/>
      <c r="UX96" s="224"/>
      <c r="UY96" s="224"/>
      <c r="UZ96" s="224"/>
      <c r="VA96" s="224"/>
      <c r="VB96" s="224"/>
      <c r="VC96" s="224"/>
      <c r="VD96" s="224"/>
      <c r="VE96" s="224"/>
      <c r="VF96" s="224"/>
      <c r="VG96" s="224"/>
      <c r="VH96" s="224"/>
      <c r="VI96" s="224"/>
      <c r="VJ96" s="224"/>
      <c r="VK96" s="224"/>
      <c r="VL96" s="224"/>
      <c r="VM96" s="224"/>
      <c r="VN96" s="224"/>
      <c r="VO96" s="224"/>
      <c r="VP96" s="224"/>
      <c r="VQ96" s="224"/>
      <c r="VR96" s="224"/>
      <c r="VS96" s="224"/>
      <c r="VT96" s="224"/>
      <c r="VU96" s="224"/>
      <c r="VV96" s="224"/>
      <c r="VW96" s="224"/>
      <c r="VX96" s="224"/>
      <c r="VY96" s="224"/>
      <c r="VZ96" s="224"/>
      <c r="WA96" s="224"/>
      <c r="WB96" s="224"/>
    </row>
    <row r="97" spans="2:600" ht="16" customHeight="1" thickBot="1" x14ac:dyDescent="0.4">
      <c r="B97" s="26"/>
      <c r="C97" s="190" t="s">
        <v>293</v>
      </c>
      <c r="D97" s="191" t="s">
        <v>294</v>
      </c>
      <c r="E97" s="94"/>
      <c r="F97" s="325"/>
      <c r="G97" s="327">
        <v>200</v>
      </c>
      <c r="H97" s="327">
        <v>250</v>
      </c>
      <c r="I97" s="327">
        <v>300</v>
      </c>
      <c r="J97" s="327">
        <v>500</v>
      </c>
      <c r="K97" s="327" t="s">
        <v>74</v>
      </c>
      <c r="L97" s="327" t="s">
        <v>74</v>
      </c>
      <c r="M97" s="327" t="s">
        <v>74</v>
      </c>
      <c r="N97" s="327" t="s">
        <v>74</v>
      </c>
      <c r="O97" s="327" t="s">
        <v>74</v>
      </c>
      <c r="P97" s="327" t="s">
        <v>74</v>
      </c>
      <c r="Q97" s="327" t="s">
        <v>74</v>
      </c>
      <c r="R97" s="327">
        <v>200</v>
      </c>
      <c r="S97" s="327">
        <v>250</v>
      </c>
      <c r="T97" s="327">
        <v>300</v>
      </c>
      <c r="U97" s="327">
        <v>400</v>
      </c>
      <c r="V97" s="327">
        <f>PMSS*3.5%</f>
        <v>115.88500000000001</v>
      </c>
      <c r="W97" s="327">
        <f>PMSS*3.5%</f>
        <v>115.88500000000001</v>
      </c>
      <c r="X97" s="327">
        <f>PMSS*5%</f>
        <v>165.55</v>
      </c>
      <c r="Y97" s="327">
        <f>PMSS*5%</f>
        <v>165.55</v>
      </c>
      <c r="Z97" s="327">
        <f>PMSS*6.5%</f>
        <v>215.215</v>
      </c>
      <c r="AA97" s="327">
        <f>PMSS*6.5%</f>
        <v>215.215</v>
      </c>
      <c r="AB97" s="327">
        <f>PMSS*8%</f>
        <v>264.88</v>
      </c>
      <c r="AC97" s="327">
        <f>AB97</f>
        <v>264.88</v>
      </c>
      <c r="AD97" s="407">
        <f>PMSS*3.5%</f>
        <v>115.88500000000001</v>
      </c>
      <c r="AE97" s="407">
        <f>PMSS*5%</f>
        <v>165.55</v>
      </c>
      <c r="AF97" s="407">
        <f>PMSS*6.5%</f>
        <v>215.215</v>
      </c>
      <c r="AG97" s="407">
        <f>PMSS*8%</f>
        <v>264.88</v>
      </c>
      <c r="AH97" s="407">
        <v>200</v>
      </c>
      <c r="AI97" s="407">
        <v>250</v>
      </c>
      <c r="AJ97" s="407">
        <v>300</v>
      </c>
      <c r="AK97" s="407">
        <v>350</v>
      </c>
      <c r="AL97" s="407"/>
      <c r="AM97" s="407"/>
      <c r="AN97" s="407">
        <f>PMSS*6%</f>
        <v>198.66</v>
      </c>
      <c r="AO97" s="407">
        <f>PMSS*10%</f>
        <v>331.1</v>
      </c>
      <c r="AP97" s="407">
        <f>PMSS*14%</f>
        <v>463.54</v>
      </c>
      <c r="AQ97" s="407">
        <f>PMSS*24%</f>
        <v>794.64</v>
      </c>
      <c r="AR97" s="406"/>
      <c r="AS97" s="278">
        <v>0</v>
      </c>
      <c r="AT97" s="278">
        <v>1</v>
      </c>
      <c r="AU97" s="278">
        <v>1.5</v>
      </c>
      <c r="AV97" s="278">
        <v>2</v>
      </c>
      <c r="AW97" s="278">
        <v>3</v>
      </c>
      <c r="AX97" s="278">
        <v>4</v>
      </c>
      <c r="AY97" s="278">
        <v>4</v>
      </c>
      <c r="AZ97" s="327"/>
      <c r="BA97" s="327"/>
      <c r="BB97" s="327"/>
      <c r="BC97" s="327"/>
      <c r="BD97" s="327"/>
      <c r="BE97" s="327"/>
      <c r="BF97" s="327"/>
      <c r="BG97" s="327"/>
      <c r="BH97" s="327"/>
      <c r="BI97" s="327"/>
      <c r="BJ97" s="327"/>
      <c r="BK97" s="327"/>
      <c r="BL97" s="327"/>
      <c r="BM97" s="327"/>
      <c r="BN97" s="327"/>
      <c r="BO97" s="327">
        <v>382</v>
      </c>
      <c r="BP97" s="327">
        <v>764</v>
      </c>
      <c r="BQ97" s="327">
        <v>1146</v>
      </c>
      <c r="BR97" s="327">
        <v>1146</v>
      </c>
      <c r="BS97" s="327">
        <v>1146</v>
      </c>
      <c r="BT97" s="327">
        <v>1146</v>
      </c>
      <c r="BU97" s="327"/>
      <c r="BV97" s="327"/>
      <c r="BW97" s="327"/>
      <c r="BX97" s="327"/>
    </row>
    <row r="98" spans="2:600" ht="16" customHeight="1" thickBot="1" x14ac:dyDescent="0.4">
      <c r="B98" s="26"/>
      <c r="C98" s="192" t="s">
        <v>295</v>
      </c>
      <c r="D98" s="193" t="s">
        <v>296</v>
      </c>
      <c r="E98" s="194"/>
      <c r="F98" s="408"/>
      <c r="G98" s="409">
        <v>1350</v>
      </c>
      <c r="H98" s="409">
        <v>1575</v>
      </c>
      <c r="I98" s="409">
        <v>1800</v>
      </c>
      <c r="J98" s="409">
        <v>3000</v>
      </c>
      <c r="K98" s="409"/>
      <c r="L98" s="409"/>
      <c r="M98" s="409">
        <v>700</v>
      </c>
      <c r="N98" s="409">
        <v>800</v>
      </c>
      <c r="O98" s="409">
        <v>900</v>
      </c>
      <c r="P98" s="409">
        <v>1000</v>
      </c>
      <c r="Q98" s="409">
        <v>1200</v>
      </c>
      <c r="R98" s="409">
        <v>1500</v>
      </c>
      <c r="S98" s="409">
        <v>1750</v>
      </c>
      <c r="T98" s="409">
        <v>2000</v>
      </c>
      <c r="U98" s="409">
        <v>2000</v>
      </c>
      <c r="V98" s="409">
        <f>PMSS*49.5%</f>
        <v>1638.9449999999999</v>
      </c>
      <c r="W98" s="409">
        <f>V98</f>
        <v>1638.9449999999999</v>
      </c>
      <c r="X98" s="409">
        <f>PMSS*66%</f>
        <v>2185.2600000000002</v>
      </c>
      <c r="Y98" s="409">
        <f>PMSS*66%</f>
        <v>2185.2600000000002</v>
      </c>
      <c r="Z98" s="409">
        <f>PMSS*82%</f>
        <v>2715.02</v>
      </c>
      <c r="AA98" s="409">
        <f>PMSS*82%</f>
        <v>2715.02</v>
      </c>
      <c r="AB98" s="409">
        <f>PMSS</f>
        <v>3311</v>
      </c>
      <c r="AC98" s="409">
        <f>AB98</f>
        <v>3311</v>
      </c>
      <c r="AD98" s="409">
        <f>PMSS*49.5%</f>
        <v>1638.9449999999999</v>
      </c>
      <c r="AE98" s="409">
        <f>PMSS*66%</f>
        <v>2185.2600000000002</v>
      </c>
      <c r="AF98" s="409">
        <f>PMSS*82.5%</f>
        <v>2731.5749999999998</v>
      </c>
      <c r="AG98" s="409">
        <f>PMSS*100%</f>
        <v>3311</v>
      </c>
      <c r="AH98" s="409">
        <v>2250</v>
      </c>
      <c r="AI98" s="409">
        <v>3000</v>
      </c>
      <c r="AJ98" s="409">
        <v>3750</v>
      </c>
      <c r="AK98" s="409">
        <v>4000</v>
      </c>
      <c r="AL98" s="409"/>
      <c r="AM98" s="409"/>
      <c r="AN98" s="409"/>
      <c r="AO98" s="409"/>
      <c r="AP98" s="409"/>
      <c r="AQ98" s="409"/>
      <c r="AR98" s="409"/>
      <c r="AS98" s="409">
        <v>500</v>
      </c>
      <c r="AT98" s="409">
        <v>700</v>
      </c>
      <c r="AU98" s="409">
        <v>900</v>
      </c>
      <c r="AV98" s="409">
        <v>1100</v>
      </c>
      <c r="AW98" s="409">
        <v>1500</v>
      </c>
      <c r="AX98" s="409">
        <v>1900</v>
      </c>
      <c r="AY98" s="409">
        <v>2300</v>
      </c>
      <c r="AZ98" s="409"/>
      <c r="BA98" s="409"/>
      <c r="BB98" s="409"/>
      <c r="BC98" s="409"/>
      <c r="BD98" s="409"/>
      <c r="BE98" s="409"/>
      <c r="BF98" s="409"/>
      <c r="BG98" s="409"/>
      <c r="BH98" s="409"/>
      <c r="BI98" s="409"/>
      <c r="BJ98" s="409"/>
      <c r="BK98" s="409"/>
      <c r="BL98" s="409"/>
      <c r="BM98" s="409"/>
      <c r="BN98" s="409"/>
      <c r="BO98" s="409"/>
      <c r="BP98" s="409"/>
      <c r="BQ98" s="409"/>
      <c r="BR98" s="409">
        <v>800</v>
      </c>
      <c r="BS98" s="409">
        <v>1000</v>
      </c>
      <c r="BT98" s="409">
        <v>1000</v>
      </c>
      <c r="BU98" s="409"/>
      <c r="BV98" s="409"/>
      <c r="BW98" s="409"/>
      <c r="BX98" s="409"/>
    </row>
    <row r="99" spans="2:600" ht="16" customHeight="1" thickBot="1" x14ac:dyDescent="0.4">
      <c r="B99" s="26"/>
      <c r="C99" s="195" t="s">
        <v>297</v>
      </c>
      <c r="D99" s="196" t="s">
        <v>298</v>
      </c>
      <c r="E99" s="194"/>
      <c r="F99" s="408"/>
      <c r="G99" s="409">
        <v>1800</v>
      </c>
      <c r="H99" s="409">
        <v>2250</v>
      </c>
      <c r="I99" s="409">
        <v>2700</v>
      </c>
      <c r="J99" s="409">
        <v>4000</v>
      </c>
      <c r="K99" s="409"/>
      <c r="L99" s="409"/>
      <c r="M99" s="409">
        <v>2000</v>
      </c>
      <c r="N99" s="409">
        <v>2500</v>
      </c>
      <c r="O99" s="409">
        <v>2900</v>
      </c>
      <c r="P99" s="409">
        <v>4000</v>
      </c>
      <c r="Q99" s="409">
        <v>4500</v>
      </c>
      <c r="R99" s="409">
        <v>2000</v>
      </c>
      <c r="S99" s="409">
        <v>2500</v>
      </c>
      <c r="T99" s="409">
        <v>3000</v>
      </c>
      <c r="U99" s="409">
        <v>3000</v>
      </c>
      <c r="V99" s="409">
        <f>PMSS*82.5%</f>
        <v>2731.5749999999998</v>
      </c>
      <c r="W99" s="409">
        <f>V99</f>
        <v>2731.5749999999998</v>
      </c>
      <c r="X99" s="409">
        <f>PMSS</f>
        <v>3311</v>
      </c>
      <c r="Y99" s="409">
        <f>PMSS</f>
        <v>3311</v>
      </c>
      <c r="Z99" s="409">
        <f>PMSS*115%</f>
        <v>3807.6499999999996</v>
      </c>
      <c r="AA99" s="409">
        <f>PMSS*115%</f>
        <v>3807.6499999999996</v>
      </c>
      <c r="AB99" s="409">
        <f>PMSS*132%</f>
        <v>4370.5200000000004</v>
      </c>
      <c r="AC99" s="409">
        <f>AB99</f>
        <v>4370.5200000000004</v>
      </c>
      <c r="AD99" s="409">
        <f>PMSS*82.5%</f>
        <v>2731.5749999999998</v>
      </c>
      <c r="AE99" s="409">
        <f>PMSS</f>
        <v>3311</v>
      </c>
      <c r="AF99" s="409">
        <f>PMSS*115%</f>
        <v>3807.6499999999996</v>
      </c>
      <c r="AG99" s="409">
        <f>PMSS*132%</f>
        <v>4370.5200000000004</v>
      </c>
      <c r="AH99" s="409">
        <f>AH98</f>
        <v>2250</v>
      </c>
      <c r="AI99" s="409">
        <f>AI98</f>
        <v>3000</v>
      </c>
      <c r="AJ99" s="409">
        <f>AJ98</f>
        <v>3750</v>
      </c>
      <c r="AK99" s="409">
        <f>AK98</f>
        <v>4000</v>
      </c>
      <c r="AL99" s="409"/>
      <c r="AM99" s="409"/>
      <c r="AN99" s="409"/>
      <c r="AO99" s="409"/>
      <c r="AP99" s="409"/>
      <c r="AQ99" s="409"/>
      <c r="AR99" s="409"/>
      <c r="AS99" s="409">
        <v>500</v>
      </c>
      <c r="AT99" s="409">
        <v>700</v>
      </c>
      <c r="AU99" s="409">
        <v>900</v>
      </c>
      <c r="AV99" s="409">
        <v>1100</v>
      </c>
      <c r="AW99" s="409">
        <v>1500</v>
      </c>
      <c r="AX99" s="409">
        <v>1900</v>
      </c>
      <c r="AY99" s="409">
        <v>2300</v>
      </c>
      <c r="AZ99" s="409"/>
      <c r="BA99" s="409"/>
      <c r="BB99" s="409"/>
      <c r="BC99" s="409"/>
      <c r="BD99" s="409"/>
      <c r="BE99" s="409"/>
      <c r="BF99" s="409"/>
      <c r="BG99" s="409"/>
      <c r="BH99" s="409"/>
      <c r="BI99" s="409"/>
      <c r="BJ99" s="409"/>
      <c r="BK99" s="409"/>
      <c r="BL99" s="409"/>
      <c r="BM99" s="409"/>
      <c r="BN99" s="409"/>
      <c r="BO99" s="409"/>
      <c r="BP99" s="409"/>
      <c r="BQ99" s="409"/>
      <c r="BR99" s="409">
        <v>1000</v>
      </c>
      <c r="BS99" s="409">
        <v>1200</v>
      </c>
      <c r="BT99" s="409">
        <v>1200</v>
      </c>
      <c r="BU99" s="409"/>
      <c r="BV99" s="409"/>
      <c r="BW99" s="409"/>
      <c r="BX99" s="409"/>
    </row>
    <row r="100" spans="2:600" ht="16" customHeight="1" thickBot="1" x14ac:dyDescent="0.4">
      <c r="B100" s="26"/>
      <c r="C100" s="197" t="s">
        <v>299</v>
      </c>
      <c r="D100" s="198" t="s">
        <v>300</v>
      </c>
      <c r="E100" s="40"/>
      <c r="F100" s="284"/>
      <c r="G100" s="278" t="s">
        <v>86</v>
      </c>
      <c r="H100" s="278" t="s">
        <v>87</v>
      </c>
      <c r="I100" s="278" t="s">
        <v>121</v>
      </c>
      <c r="J100" s="278" t="s">
        <v>122</v>
      </c>
      <c r="K100" s="278">
        <v>1.25</v>
      </c>
      <c r="L100" s="278">
        <v>2</v>
      </c>
      <c r="M100" s="278">
        <v>3.25</v>
      </c>
      <c r="N100" s="278">
        <v>3.75</v>
      </c>
      <c r="O100" s="278">
        <v>4.25</v>
      </c>
      <c r="P100" s="278">
        <v>4.5</v>
      </c>
      <c r="Q100" s="278">
        <v>5.5</v>
      </c>
      <c r="R100" s="278">
        <v>3</v>
      </c>
      <c r="S100" s="278">
        <v>4</v>
      </c>
      <c r="T100" s="278">
        <v>5</v>
      </c>
      <c r="U100" s="278">
        <v>5</v>
      </c>
      <c r="V100" s="278">
        <v>2.7</v>
      </c>
      <c r="W100" s="278">
        <v>2.7</v>
      </c>
      <c r="X100" s="278">
        <v>3.7</v>
      </c>
      <c r="Y100" s="278">
        <v>3.7</v>
      </c>
      <c r="Z100" s="278">
        <v>4.7</v>
      </c>
      <c r="AA100" s="278">
        <v>4.7</v>
      </c>
      <c r="AB100" s="278">
        <v>5.7</v>
      </c>
      <c r="AC100" s="278">
        <f>AB100</f>
        <v>5.7</v>
      </c>
      <c r="AD100" s="278" t="s">
        <v>123</v>
      </c>
      <c r="AE100" s="278" t="s">
        <v>125</v>
      </c>
      <c r="AF100" s="278" t="s">
        <v>120</v>
      </c>
      <c r="AG100" s="278" t="s">
        <v>124</v>
      </c>
      <c r="AH100" s="278">
        <v>2.5</v>
      </c>
      <c r="AI100" s="278">
        <v>3.5</v>
      </c>
      <c r="AJ100" s="278">
        <v>4.5</v>
      </c>
      <c r="AK100" s="278">
        <v>5.5</v>
      </c>
      <c r="AL100" s="278">
        <f>AL94</f>
        <v>1</v>
      </c>
      <c r="AM100" s="278">
        <v>1.3</v>
      </c>
      <c r="AN100" s="278">
        <v>2</v>
      </c>
      <c r="AO100" s="278">
        <v>2.5</v>
      </c>
      <c r="AP100" s="278">
        <v>3.5</v>
      </c>
      <c r="AQ100" s="278">
        <v>4</v>
      </c>
      <c r="AR100" s="278">
        <v>3</v>
      </c>
      <c r="AS100" s="278">
        <v>1.25</v>
      </c>
      <c r="AT100" s="278">
        <v>1.7</v>
      </c>
      <c r="AU100" s="278">
        <v>2.2000000000000002</v>
      </c>
      <c r="AV100" s="278">
        <v>2.7</v>
      </c>
      <c r="AW100" s="278">
        <v>3.7</v>
      </c>
      <c r="AX100" s="278">
        <v>4.7</v>
      </c>
      <c r="AY100" s="278">
        <v>5</v>
      </c>
      <c r="AZ100" s="278"/>
      <c r="BA100" s="278"/>
      <c r="BB100" s="278"/>
      <c r="BC100" s="278"/>
      <c r="BD100" s="278"/>
      <c r="BE100" s="278"/>
      <c r="BF100" s="278"/>
      <c r="BG100" s="278"/>
      <c r="BH100" s="278"/>
      <c r="BI100" s="278"/>
      <c r="BJ100" s="278"/>
      <c r="BK100" s="278"/>
      <c r="BL100" s="278"/>
      <c r="BM100" s="278"/>
      <c r="BN100" s="278"/>
      <c r="BO100" s="278">
        <v>1</v>
      </c>
      <c r="BP100" s="278">
        <v>1.5</v>
      </c>
      <c r="BQ100" s="278">
        <v>2.5</v>
      </c>
      <c r="BR100" s="278">
        <v>3.5</v>
      </c>
      <c r="BS100" s="278">
        <v>4.5</v>
      </c>
      <c r="BT100" s="278">
        <v>4.5</v>
      </c>
      <c r="BU100" s="278"/>
      <c r="BV100" s="278"/>
      <c r="BW100" s="278"/>
      <c r="BX100" s="278"/>
    </row>
    <row r="101" spans="2:600" ht="16" customHeight="1" thickBot="1" x14ac:dyDescent="0.4">
      <c r="B101" s="26"/>
      <c r="C101" s="197" t="s">
        <v>301</v>
      </c>
      <c r="D101" s="198" t="s">
        <v>302</v>
      </c>
      <c r="E101" s="94"/>
      <c r="F101" s="325"/>
      <c r="G101" s="327">
        <v>150</v>
      </c>
      <c r="H101" s="327">
        <v>175</v>
      </c>
      <c r="I101" s="327">
        <v>200</v>
      </c>
      <c r="J101" s="327">
        <v>250</v>
      </c>
      <c r="K101" s="327">
        <v>0</v>
      </c>
      <c r="L101" s="327">
        <v>100</v>
      </c>
      <c r="M101" s="327">
        <v>200</v>
      </c>
      <c r="N101" s="327">
        <v>300</v>
      </c>
      <c r="O101" s="327">
        <v>350</v>
      </c>
      <c r="P101" s="327">
        <v>450</v>
      </c>
      <c r="Q101" s="327">
        <v>700</v>
      </c>
      <c r="R101" s="327">
        <v>150</v>
      </c>
      <c r="S101" s="327">
        <v>175</v>
      </c>
      <c r="T101" s="327">
        <v>200</v>
      </c>
      <c r="U101" s="327">
        <v>200</v>
      </c>
      <c r="V101" s="327">
        <v>200</v>
      </c>
      <c r="W101" s="327">
        <v>200</v>
      </c>
      <c r="X101" s="327">
        <v>250</v>
      </c>
      <c r="Y101" s="327">
        <v>250</v>
      </c>
      <c r="Z101" s="327">
        <v>300</v>
      </c>
      <c r="AA101" s="327">
        <v>300</v>
      </c>
      <c r="AB101" s="327">
        <v>350</v>
      </c>
      <c r="AC101" s="327">
        <f>AB101</f>
        <v>350</v>
      </c>
      <c r="AD101" s="407">
        <f>AD97</f>
        <v>115.88500000000001</v>
      </c>
      <c r="AE101" s="407">
        <f>AE97</f>
        <v>165.55</v>
      </c>
      <c r="AF101" s="407">
        <f>AF97</f>
        <v>215.215</v>
      </c>
      <c r="AG101" s="407">
        <f>AG97</f>
        <v>264.88</v>
      </c>
      <c r="AH101" s="407">
        <v>150</v>
      </c>
      <c r="AI101" s="407">
        <v>200</v>
      </c>
      <c r="AJ101" s="407">
        <v>250</v>
      </c>
      <c r="AK101" s="407">
        <v>300</v>
      </c>
      <c r="AL101" s="407" t="s">
        <v>78</v>
      </c>
      <c r="AM101" s="407" t="s">
        <v>78</v>
      </c>
      <c r="AN101" s="407">
        <f>PMSS*4%</f>
        <v>132.44</v>
      </c>
      <c r="AO101" s="407">
        <f>PMSS*6%</f>
        <v>198.66</v>
      </c>
      <c r="AP101" s="407">
        <f>PMSS*8%</f>
        <v>264.88</v>
      </c>
      <c r="AQ101" s="407">
        <f>PMSS*10%</f>
        <v>331.1</v>
      </c>
      <c r="AR101" s="407">
        <v>125</v>
      </c>
      <c r="AS101" s="327">
        <v>0</v>
      </c>
      <c r="AT101" s="327">
        <v>50</v>
      </c>
      <c r="AU101" s="327">
        <v>75</v>
      </c>
      <c r="AV101" s="327">
        <v>100</v>
      </c>
      <c r="AW101" s="327">
        <v>200</v>
      </c>
      <c r="AX101" s="327">
        <v>300</v>
      </c>
      <c r="AY101" s="327">
        <v>400</v>
      </c>
      <c r="AZ101" s="327"/>
      <c r="BA101" s="327"/>
      <c r="BB101" s="327"/>
      <c r="BC101" s="327"/>
      <c r="BD101" s="327"/>
      <c r="BE101" s="327"/>
      <c r="BF101" s="327"/>
      <c r="BG101" s="327"/>
      <c r="BH101" s="327"/>
      <c r="BI101" s="327"/>
      <c r="BJ101" s="327"/>
      <c r="BK101" s="327"/>
      <c r="BL101" s="327"/>
      <c r="BM101" s="327"/>
      <c r="BN101" s="327"/>
      <c r="BO101" s="327"/>
      <c r="BP101" s="327"/>
      <c r="BQ101" s="327"/>
      <c r="BR101" s="327"/>
      <c r="BS101" s="327"/>
      <c r="BT101" s="327"/>
      <c r="BU101" s="327"/>
      <c r="BV101" s="327"/>
      <c r="BW101" s="327"/>
      <c r="BX101" s="327"/>
    </row>
    <row r="102" spans="2:600" ht="16" customHeight="1" thickBot="1" x14ac:dyDescent="0.4">
      <c r="B102" s="26"/>
      <c r="C102" s="199" t="s">
        <v>303</v>
      </c>
      <c r="D102" s="200" t="s">
        <v>304</v>
      </c>
      <c r="E102" s="201"/>
      <c r="F102" s="410"/>
      <c r="G102" s="411">
        <v>300</v>
      </c>
      <c r="H102" s="411">
        <v>375</v>
      </c>
      <c r="I102" s="411">
        <v>450</v>
      </c>
      <c r="J102" s="411">
        <v>1000</v>
      </c>
      <c r="K102" s="411">
        <v>0</v>
      </c>
      <c r="L102" s="411">
        <v>100</v>
      </c>
      <c r="M102" s="411">
        <v>200</v>
      </c>
      <c r="N102" s="411">
        <v>300</v>
      </c>
      <c r="O102" s="411">
        <v>350</v>
      </c>
      <c r="P102" s="411">
        <v>450</v>
      </c>
      <c r="Q102" s="411">
        <v>700</v>
      </c>
      <c r="R102" s="411">
        <v>300</v>
      </c>
      <c r="S102" s="411">
        <v>375</v>
      </c>
      <c r="T102" s="411">
        <v>450</v>
      </c>
      <c r="U102" s="411">
        <v>800</v>
      </c>
      <c r="V102" s="411">
        <f>PMSS*10%</f>
        <v>331.1</v>
      </c>
      <c r="W102" s="411">
        <f>PMSS*10%</f>
        <v>331.1</v>
      </c>
      <c r="X102" s="411">
        <f>PMSS*16.5%</f>
        <v>546.31500000000005</v>
      </c>
      <c r="Y102" s="411">
        <f>PMSS*16.5%</f>
        <v>546.31500000000005</v>
      </c>
      <c r="Z102" s="411">
        <f>PMSS*23%</f>
        <v>761.53000000000009</v>
      </c>
      <c r="AA102" s="411">
        <f>PMSS*23%</f>
        <v>761.53000000000009</v>
      </c>
      <c r="AB102" s="411">
        <f>PMSS*29.5%</f>
        <v>976.745</v>
      </c>
      <c r="AC102" s="411">
        <f>AB102</f>
        <v>976.745</v>
      </c>
      <c r="AD102" s="411">
        <f>PMSS*10%</f>
        <v>331.1</v>
      </c>
      <c r="AE102" s="411">
        <f>PMSS*16.5%</f>
        <v>546.31500000000005</v>
      </c>
      <c r="AF102" s="411">
        <f>PMSS*23%</f>
        <v>761.53000000000009</v>
      </c>
      <c r="AG102" s="411">
        <f>PMSS*29.5%</f>
        <v>976.745</v>
      </c>
      <c r="AH102" s="411">
        <v>400</v>
      </c>
      <c r="AI102" s="411">
        <v>550</v>
      </c>
      <c r="AJ102" s="411">
        <v>750</v>
      </c>
      <c r="AK102" s="411">
        <v>950</v>
      </c>
      <c r="AL102" s="411" t="s">
        <v>78</v>
      </c>
      <c r="AM102" s="411" t="s">
        <v>78</v>
      </c>
      <c r="AN102" s="405">
        <f>PMSS*8%</f>
        <v>264.88</v>
      </c>
      <c r="AO102" s="405">
        <f>PMSS*12%</f>
        <v>397.32</v>
      </c>
      <c r="AP102" s="405">
        <f>PMSS*18%</f>
        <v>595.98</v>
      </c>
      <c r="AQ102" s="405">
        <f>PMSS*30%</f>
        <v>993.3</v>
      </c>
      <c r="AR102" s="405">
        <v>300</v>
      </c>
      <c r="AS102" s="411">
        <v>0</v>
      </c>
      <c r="AT102" s="411">
        <v>175</v>
      </c>
      <c r="AU102" s="411">
        <v>250</v>
      </c>
      <c r="AV102" s="411">
        <v>325</v>
      </c>
      <c r="AW102" s="411">
        <v>475</v>
      </c>
      <c r="AX102" s="411">
        <v>500</v>
      </c>
      <c r="AY102" s="411">
        <v>500</v>
      </c>
      <c r="AZ102" s="411"/>
      <c r="BA102" s="411"/>
      <c r="BB102" s="411"/>
      <c r="BC102" s="411"/>
      <c r="BD102" s="411"/>
      <c r="BE102" s="411"/>
      <c r="BF102" s="411"/>
      <c r="BG102" s="411"/>
      <c r="BH102" s="411"/>
      <c r="BI102" s="411"/>
      <c r="BJ102" s="411"/>
      <c r="BK102" s="411"/>
      <c r="BL102" s="411"/>
      <c r="BM102" s="411"/>
      <c r="BN102" s="411"/>
      <c r="BO102" s="327">
        <v>382</v>
      </c>
      <c r="BP102" s="327">
        <v>764</v>
      </c>
      <c r="BQ102" s="327">
        <v>1146</v>
      </c>
      <c r="BR102" s="327">
        <v>1146</v>
      </c>
      <c r="BS102" s="327">
        <v>1146</v>
      </c>
      <c r="BT102" s="327">
        <v>1146</v>
      </c>
      <c r="BU102" s="411"/>
      <c r="BV102" s="411"/>
      <c r="BW102" s="411"/>
      <c r="BX102" s="411"/>
    </row>
    <row r="103" spans="2:600" ht="10" customHeight="1" thickBot="1" x14ac:dyDescent="0.4">
      <c r="B103" s="26"/>
      <c r="C103" s="95"/>
      <c r="D103" s="96"/>
      <c r="E103" s="97"/>
      <c r="F103" s="299"/>
      <c r="G103" s="328"/>
      <c r="H103" s="328"/>
      <c r="I103" s="328"/>
      <c r="J103" s="328"/>
      <c r="K103" s="328"/>
      <c r="L103" s="328"/>
      <c r="M103" s="328"/>
      <c r="N103" s="328"/>
      <c r="O103" s="328"/>
      <c r="P103" s="328"/>
      <c r="Q103" s="328"/>
      <c r="R103" s="328"/>
      <c r="S103" s="328"/>
      <c r="T103" s="328"/>
      <c r="U103" s="328"/>
      <c r="V103" s="328"/>
      <c r="W103" s="328"/>
      <c r="X103" s="328"/>
      <c r="Y103" s="328"/>
      <c r="Z103" s="318"/>
      <c r="AA103" s="328"/>
      <c r="AB103" s="328"/>
      <c r="AC103" s="328"/>
      <c r="AD103" s="328"/>
      <c r="AE103" s="328"/>
      <c r="AF103" s="328"/>
      <c r="AG103" s="328"/>
      <c r="AH103" s="328"/>
      <c r="AI103" s="328"/>
      <c r="AJ103" s="328"/>
      <c r="AK103" s="328"/>
      <c r="AL103" s="328"/>
      <c r="AM103" s="328"/>
      <c r="AN103" s="328"/>
      <c r="AO103" s="328"/>
      <c r="AP103" s="328"/>
      <c r="AQ103" s="328"/>
      <c r="AR103" s="330"/>
      <c r="AS103" s="328"/>
      <c r="AT103" s="328"/>
      <c r="AU103" s="328"/>
      <c r="AV103" s="328"/>
      <c r="AW103" s="328"/>
      <c r="AX103" s="328"/>
      <c r="AY103" s="328"/>
      <c r="AZ103" s="328"/>
      <c r="BA103" s="328"/>
      <c r="BB103" s="328"/>
      <c r="BC103" s="328"/>
      <c r="BD103" s="328"/>
      <c r="BE103" s="328"/>
      <c r="BF103" s="328"/>
      <c r="BG103" s="328"/>
      <c r="BH103" s="328"/>
      <c r="BI103" s="328"/>
      <c r="BJ103" s="328"/>
      <c r="BK103" s="328"/>
      <c r="BL103" s="328"/>
      <c r="BM103" s="328"/>
      <c r="BN103" s="328"/>
      <c r="BO103" s="328"/>
      <c r="BP103" s="328"/>
      <c r="BQ103" s="328"/>
      <c r="BR103" s="328"/>
      <c r="BS103" s="328"/>
      <c r="BT103" s="328"/>
      <c r="BU103" s="328"/>
      <c r="BV103" s="328"/>
      <c r="BW103" s="328"/>
      <c r="BX103" s="328"/>
    </row>
    <row r="104" spans="2:600" ht="15.5" customHeight="1" thickBot="1" x14ac:dyDescent="0.4">
      <c r="B104" s="26"/>
      <c r="C104" s="202" t="s">
        <v>305</v>
      </c>
      <c r="D104" s="202"/>
      <c r="E104" s="120"/>
      <c r="F104" s="316"/>
      <c r="G104" s="327"/>
      <c r="H104" s="327"/>
      <c r="I104" s="327"/>
      <c r="J104" s="327"/>
      <c r="K104" s="327">
        <v>1525</v>
      </c>
      <c r="L104" s="327">
        <v>1525</v>
      </c>
      <c r="M104" s="327">
        <v>1525</v>
      </c>
      <c r="N104" s="327">
        <v>1525</v>
      </c>
      <c r="O104" s="327">
        <v>1525</v>
      </c>
      <c r="P104" s="327">
        <v>1525</v>
      </c>
      <c r="Q104" s="327">
        <v>1525</v>
      </c>
      <c r="R104" s="327"/>
      <c r="S104" s="327"/>
      <c r="T104" s="327"/>
      <c r="U104" s="327"/>
      <c r="V104" s="327"/>
      <c r="W104" s="327"/>
      <c r="X104" s="327"/>
      <c r="Y104" s="327"/>
      <c r="Z104" s="327"/>
      <c r="AA104" s="327"/>
      <c r="AB104" s="327"/>
      <c r="AC104" s="327"/>
      <c r="AD104" s="327"/>
      <c r="AE104" s="327"/>
      <c r="AF104" s="327"/>
      <c r="AG104" s="327"/>
      <c r="AH104" s="327"/>
      <c r="AI104" s="327"/>
      <c r="AJ104" s="327"/>
      <c r="AK104" s="327"/>
      <c r="AL104" s="327"/>
      <c r="AM104" s="327"/>
      <c r="AN104" s="327"/>
      <c r="AO104" s="327"/>
      <c r="AP104" s="327"/>
      <c r="AQ104" s="327"/>
      <c r="AR104" s="327"/>
      <c r="AS104" s="327"/>
      <c r="AT104" s="327"/>
      <c r="AU104" s="327"/>
      <c r="AV104" s="327"/>
      <c r="AW104" s="327"/>
      <c r="AX104" s="327"/>
      <c r="AY104" s="327"/>
      <c r="AZ104" s="327"/>
      <c r="BA104" s="327"/>
      <c r="BB104" s="327"/>
      <c r="BC104" s="327"/>
      <c r="BD104" s="327"/>
      <c r="BE104" s="327"/>
      <c r="BF104" s="327"/>
      <c r="BG104" s="327"/>
      <c r="BH104" s="327"/>
      <c r="BI104" s="327"/>
      <c r="BJ104" s="327"/>
      <c r="BK104" s="327"/>
      <c r="BL104" s="327"/>
      <c r="BM104" s="327"/>
      <c r="BN104" s="327"/>
      <c r="BO104" s="327">
        <v>750</v>
      </c>
      <c r="BP104" s="327">
        <v>1525</v>
      </c>
      <c r="BQ104" s="327">
        <v>3050</v>
      </c>
      <c r="BR104" s="327">
        <v>3050</v>
      </c>
      <c r="BS104" s="327">
        <v>3050</v>
      </c>
      <c r="BT104" s="327">
        <v>3050</v>
      </c>
      <c r="BU104" s="327"/>
      <c r="BV104" s="327"/>
      <c r="BW104" s="327"/>
      <c r="BX104" s="327"/>
    </row>
    <row r="105" spans="2:600" ht="17" customHeight="1" thickBot="1" x14ac:dyDescent="0.45">
      <c r="B105" s="26"/>
      <c r="C105" s="203" t="s">
        <v>306</v>
      </c>
      <c r="D105" s="204"/>
      <c r="E105" s="205"/>
      <c r="F105" s="299"/>
      <c r="G105" s="412" t="s">
        <v>76</v>
      </c>
      <c r="H105" s="412" t="s">
        <v>76</v>
      </c>
      <c r="I105" s="412" t="s">
        <v>76</v>
      </c>
      <c r="J105" s="412" t="s">
        <v>76</v>
      </c>
      <c r="K105" s="237" t="s">
        <v>76</v>
      </c>
      <c r="L105" s="237" t="s">
        <v>76</v>
      </c>
      <c r="M105" s="237" t="s">
        <v>76</v>
      </c>
      <c r="N105" s="237" t="s">
        <v>76</v>
      </c>
      <c r="O105" s="237" t="s">
        <v>76</v>
      </c>
      <c r="P105" s="237" t="s">
        <v>76</v>
      </c>
      <c r="Q105" s="237" t="s">
        <v>76</v>
      </c>
      <c r="R105" s="413" t="s">
        <v>76</v>
      </c>
      <c r="S105" s="413" t="s">
        <v>76</v>
      </c>
      <c r="T105" s="413" t="s">
        <v>76</v>
      </c>
      <c r="U105" s="413" t="s">
        <v>76</v>
      </c>
      <c r="V105" s="414" t="s">
        <v>76</v>
      </c>
      <c r="W105" s="414" t="s">
        <v>76</v>
      </c>
      <c r="X105" s="414" t="s">
        <v>76</v>
      </c>
      <c r="Y105" s="414" t="s">
        <v>76</v>
      </c>
      <c r="Z105" s="415" t="s">
        <v>76</v>
      </c>
      <c r="AA105" s="414" t="s">
        <v>76</v>
      </c>
      <c r="AB105" s="414" t="s">
        <v>76</v>
      </c>
      <c r="AC105" s="414" t="s">
        <v>76</v>
      </c>
      <c r="AD105" s="416" t="s">
        <v>76</v>
      </c>
      <c r="AE105" s="416" t="s">
        <v>76</v>
      </c>
      <c r="AF105" s="416" t="s">
        <v>76</v>
      </c>
      <c r="AG105" s="416" t="s">
        <v>76</v>
      </c>
      <c r="AH105" s="417" t="s">
        <v>76</v>
      </c>
      <c r="AI105" s="417" t="s">
        <v>76</v>
      </c>
      <c r="AJ105" s="417" t="s">
        <v>76</v>
      </c>
      <c r="AK105" s="417" t="s">
        <v>76</v>
      </c>
      <c r="AL105" s="418" t="s">
        <v>76</v>
      </c>
      <c r="AM105" s="418" t="s">
        <v>76</v>
      </c>
      <c r="AN105" s="418" t="s">
        <v>76</v>
      </c>
      <c r="AO105" s="418" t="s">
        <v>76</v>
      </c>
      <c r="AP105" s="418" t="s">
        <v>76</v>
      </c>
      <c r="AQ105" s="418" t="s">
        <v>76</v>
      </c>
      <c r="AR105" s="419" t="s">
        <v>76</v>
      </c>
      <c r="AS105" s="420" t="s">
        <v>76</v>
      </c>
      <c r="AT105" s="420" t="s">
        <v>76</v>
      </c>
      <c r="AU105" s="420" t="s">
        <v>76</v>
      </c>
      <c r="AV105" s="420" t="s">
        <v>76</v>
      </c>
      <c r="AW105" s="420" t="s">
        <v>76</v>
      </c>
      <c r="AX105" s="420" t="s">
        <v>76</v>
      </c>
      <c r="AY105" s="420" t="s">
        <v>76</v>
      </c>
      <c r="AZ105" s="421" t="s">
        <v>75</v>
      </c>
      <c r="BA105" s="421" t="s">
        <v>75</v>
      </c>
      <c r="BB105" s="421" t="s">
        <v>75</v>
      </c>
      <c r="BC105" s="421" t="s">
        <v>75</v>
      </c>
      <c r="BD105" s="421" t="s">
        <v>75</v>
      </c>
      <c r="BE105" s="421" t="s">
        <v>75</v>
      </c>
      <c r="BF105" s="421" t="s">
        <v>75</v>
      </c>
      <c r="BG105" s="421" t="s">
        <v>75</v>
      </c>
      <c r="BH105" s="421" t="s">
        <v>75</v>
      </c>
      <c r="BI105" s="422" t="s">
        <v>75</v>
      </c>
      <c r="BJ105" s="422" t="s">
        <v>75</v>
      </c>
      <c r="BK105" s="422" t="s">
        <v>75</v>
      </c>
      <c r="BL105" s="422" t="s">
        <v>75</v>
      </c>
      <c r="BM105" s="422" t="s">
        <v>75</v>
      </c>
      <c r="BN105" s="422" t="s">
        <v>75</v>
      </c>
      <c r="BO105" s="247" t="s">
        <v>75</v>
      </c>
      <c r="BP105" s="247" t="s">
        <v>75</v>
      </c>
      <c r="BQ105" s="247" t="s">
        <v>75</v>
      </c>
      <c r="BR105" s="247" t="s">
        <v>75</v>
      </c>
      <c r="BS105" s="247" t="s">
        <v>75</v>
      </c>
      <c r="BT105" s="247" t="s">
        <v>75</v>
      </c>
      <c r="BU105" s="423" t="s">
        <v>76</v>
      </c>
      <c r="BV105" s="424" t="s">
        <v>76</v>
      </c>
      <c r="BW105" s="424" t="s">
        <v>76</v>
      </c>
      <c r="BX105" s="424" t="s">
        <v>76</v>
      </c>
    </row>
    <row r="106" spans="2:600" ht="15.5" customHeight="1" thickBot="1" x14ac:dyDescent="0.4">
      <c r="B106" s="26"/>
      <c r="C106" s="202" t="s">
        <v>307</v>
      </c>
      <c r="D106" s="202"/>
      <c r="E106" s="160"/>
      <c r="F106" s="316"/>
      <c r="G106" s="327"/>
      <c r="H106" s="327"/>
      <c r="I106" s="327"/>
      <c r="J106" s="327"/>
      <c r="K106" s="327" t="s">
        <v>313</v>
      </c>
      <c r="L106" s="327" t="s">
        <v>313</v>
      </c>
      <c r="M106" s="327" t="s">
        <v>313</v>
      </c>
      <c r="N106" s="327" t="s">
        <v>313</v>
      </c>
      <c r="O106" s="327" t="s">
        <v>313</v>
      </c>
      <c r="P106" s="327" t="s">
        <v>313</v>
      </c>
      <c r="Q106" s="327" t="s">
        <v>313</v>
      </c>
      <c r="R106" s="327"/>
      <c r="S106" s="327"/>
      <c r="T106" s="327"/>
      <c r="U106" s="327"/>
      <c r="V106" s="327"/>
      <c r="W106" s="327"/>
      <c r="X106" s="327"/>
      <c r="Y106" s="327"/>
      <c r="Z106" s="327"/>
      <c r="AA106" s="327"/>
      <c r="AB106" s="327"/>
      <c r="AC106" s="327"/>
      <c r="AD106" s="327" t="s">
        <v>72</v>
      </c>
      <c r="AE106" s="327" t="s">
        <v>72</v>
      </c>
      <c r="AF106" s="327" t="s">
        <v>72</v>
      </c>
      <c r="AG106" s="327" t="s">
        <v>72</v>
      </c>
      <c r="AH106" s="327"/>
      <c r="AI106" s="327"/>
      <c r="AJ106" s="327"/>
      <c r="AK106" s="327"/>
      <c r="AL106" s="327"/>
      <c r="AM106" s="327"/>
      <c r="AN106" s="327"/>
      <c r="AO106" s="327"/>
      <c r="AP106" s="327"/>
      <c r="AQ106" s="327"/>
      <c r="AR106" s="327"/>
      <c r="AS106" s="327"/>
      <c r="AT106" s="327"/>
      <c r="AU106" s="327"/>
      <c r="AV106" s="327"/>
      <c r="AW106" s="327"/>
      <c r="AX106" s="327"/>
      <c r="AY106" s="327"/>
      <c r="AZ106" s="327"/>
      <c r="BA106" s="327"/>
      <c r="BB106" s="327"/>
      <c r="BC106" s="327"/>
      <c r="BD106" s="327"/>
      <c r="BE106" s="327"/>
      <c r="BF106" s="327"/>
      <c r="BG106" s="327"/>
      <c r="BH106" s="327"/>
      <c r="BI106" s="327"/>
      <c r="BJ106" s="327"/>
      <c r="BK106" s="327"/>
      <c r="BL106" s="327"/>
      <c r="BM106" s="327"/>
      <c r="BN106" s="327"/>
      <c r="BO106" s="327"/>
      <c r="BP106" s="327"/>
      <c r="BQ106" s="327"/>
      <c r="BR106" s="327"/>
      <c r="BS106" s="327"/>
      <c r="BT106" s="327"/>
      <c r="BU106" s="327"/>
      <c r="BV106" s="327"/>
      <c r="BW106" s="327"/>
      <c r="BX106" s="327"/>
    </row>
    <row r="107" spans="2:600" s="429" customFormat="1" ht="17" customHeight="1" x14ac:dyDescent="0.5">
      <c r="B107" s="26"/>
      <c r="C107" s="206"/>
      <c r="D107" s="207" t="s">
        <v>308</v>
      </c>
      <c r="E107" s="208"/>
      <c r="F107" s="425"/>
      <c r="G107" s="426"/>
      <c r="H107" s="426"/>
      <c r="I107" s="426"/>
      <c r="J107" s="426"/>
      <c r="K107" s="426"/>
      <c r="L107" s="426"/>
      <c r="M107" s="426"/>
      <c r="N107" s="427"/>
      <c r="O107" s="426"/>
      <c r="P107" s="426"/>
      <c r="Q107" s="426"/>
      <c r="R107" s="426"/>
      <c r="S107" s="426"/>
      <c r="T107" s="426"/>
      <c r="U107" s="426"/>
      <c r="V107" s="426"/>
      <c r="W107" s="426"/>
      <c r="X107" s="426"/>
      <c r="Y107" s="426"/>
      <c r="Z107" s="426"/>
      <c r="AA107" s="426"/>
      <c r="AB107" s="426"/>
      <c r="AC107" s="426"/>
      <c r="AD107" s="426"/>
      <c r="AE107" s="426"/>
      <c r="AF107" s="426"/>
      <c r="AG107" s="426"/>
      <c r="AH107" s="426"/>
      <c r="AI107" s="426"/>
      <c r="AJ107" s="426"/>
      <c r="AK107" s="426"/>
      <c r="AL107" s="426"/>
      <c r="AM107" s="426"/>
      <c r="AN107" s="426"/>
      <c r="AO107" s="426"/>
      <c r="AP107" s="426"/>
      <c r="AQ107" s="426"/>
      <c r="AR107" s="426"/>
      <c r="AS107" s="426"/>
      <c r="AT107" s="426"/>
      <c r="AU107" s="426"/>
      <c r="AV107" s="426"/>
      <c r="AW107" s="426"/>
      <c r="AX107" s="426"/>
      <c r="AY107" s="426"/>
      <c r="AZ107" s="426"/>
      <c r="BA107" s="426"/>
      <c r="BB107" s="426"/>
      <c r="BC107" s="426"/>
      <c r="BD107" s="426"/>
      <c r="BE107" s="426"/>
      <c r="BF107" s="426"/>
      <c r="BG107" s="426"/>
      <c r="BH107" s="426"/>
      <c r="BI107" s="426"/>
      <c r="BJ107" s="426"/>
      <c r="BK107" s="426"/>
      <c r="BL107" s="426"/>
      <c r="BM107" s="426"/>
      <c r="BN107" s="426"/>
      <c r="BO107" s="426"/>
      <c r="BP107" s="426"/>
      <c r="BQ107" s="426"/>
      <c r="BR107" s="426"/>
      <c r="BS107" s="426"/>
      <c r="BT107" s="426"/>
      <c r="BU107" s="426"/>
      <c r="BV107" s="426"/>
      <c r="BW107" s="426"/>
      <c r="BX107" s="426"/>
      <c r="BY107" s="428"/>
      <c r="BZ107" s="428"/>
      <c r="CA107" s="428"/>
      <c r="CB107" s="428"/>
      <c r="CC107" s="428"/>
      <c r="CD107" s="428"/>
      <c r="CE107" s="428"/>
      <c r="CF107" s="428"/>
      <c r="CG107" s="428"/>
      <c r="CH107" s="428"/>
      <c r="CI107" s="428"/>
      <c r="CJ107" s="428"/>
      <c r="CK107" s="428"/>
      <c r="CL107" s="428"/>
      <c r="CM107" s="428"/>
      <c r="CN107" s="428"/>
      <c r="CO107" s="428"/>
      <c r="CP107" s="428"/>
      <c r="CQ107" s="428"/>
      <c r="CR107" s="428"/>
      <c r="CS107" s="428"/>
      <c r="CT107" s="428"/>
      <c r="CU107" s="428"/>
      <c r="CV107" s="428"/>
      <c r="CW107" s="428"/>
      <c r="CX107" s="428"/>
      <c r="CY107" s="428"/>
      <c r="CZ107" s="428"/>
      <c r="DA107" s="428"/>
      <c r="DB107" s="428"/>
      <c r="DC107" s="428"/>
      <c r="DD107" s="428"/>
      <c r="DE107" s="428"/>
      <c r="DF107" s="428"/>
      <c r="DG107" s="428"/>
      <c r="DH107" s="428"/>
      <c r="DI107" s="428"/>
      <c r="DJ107" s="428"/>
      <c r="DK107" s="428"/>
      <c r="DL107" s="428"/>
      <c r="DM107" s="428"/>
      <c r="DN107" s="428"/>
      <c r="DO107" s="428"/>
      <c r="DP107" s="428"/>
      <c r="DQ107" s="428"/>
      <c r="DR107" s="428"/>
      <c r="DS107" s="428"/>
      <c r="DT107" s="428"/>
      <c r="DU107" s="428"/>
      <c r="DV107" s="428"/>
      <c r="DW107" s="428"/>
      <c r="DX107" s="428"/>
      <c r="DY107" s="428"/>
      <c r="DZ107" s="428"/>
      <c r="EA107" s="428"/>
      <c r="EB107" s="428"/>
      <c r="EC107" s="428"/>
      <c r="ED107" s="428"/>
      <c r="EE107" s="428"/>
      <c r="EF107" s="428"/>
      <c r="EG107" s="428"/>
      <c r="EH107" s="428"/>
      <c r="EI107" s="428"/>
      <c r="EJ107" s="428"/>
      <c r="EK107" s="428"/>
      <c r="EL107" s="428"/>
      <c r="EM107" s="428"/>
      <c r="EN107" s="428"/>
      <c r="EO107" s="428"/>
      <c r="EP107" s="428"/>
      <c r="EQ107" s="428"/>
      <c r="ER107" s="428"/>
      <c r="ES107" s="428"/>
      <c r="ET107" s="428"/>
      <c r="EU107" s="428"/>
      <c r="EV107" s="428"/>
      <c r="EW107" s="428"/>
      <c r="EX107" s="428"/>
      <c r="EY107" s="428"/>
      <c r="EZ107" s="428"/>
      <c r="FA107" s="428"/>
      <c r="FB107" s="428"/>
      <c r="FC107" s="428"/>
      <c r="FD107" s="428"/>
      <c r="FE107" s="428"/>
      <c r="FF107" s="428"/>
      <c r="FG107" s="428"/>
      <c r="FH107" s="428"/>
      <c r="FI107" s="428"/>
      <c r="FJ107" s="428"/>
      <c r="FK107" s="428"/>
      <c r="FL107" s="428"/>
      <c r="FM107" s="428"/>
      <c r="FN107" s="428"/>
      <c r="FO107" s="428"/>
      <c r="FP107" s="428"/>
      <c r="FQ107" s="428"/>
      <c r="FR107" s="428"/>
      <c r="FS107" s="428"/>
      <c r="FT107" s="428"/>
      <c r="FU107" s="428"/>
      <c r="FV107" s="428"/>
      <c r="FW107" s="428"/>
      <c r="FX107" s="428"/>
      <c r="FY107" s="428"/>
      <c r="FZ107" s="428"/>
      <c r="GA107" s="428"/>
      <c r="GB107" s="428"/>
      <c r="GC107" s="428"/>
      <c r="GD107" s="428"/>
      <c r="GE107" s="428"/>
      <c r="GF107" s="428"/>
      <c r="GG107" s="428"/>
      <c r="GH107" s="428"/>
      <c r="GI107" s="428"/>
      <c r="GJ107" s="428"/>
      <c r="GK107" s="428"/>
      <c r="GL107" s="428"/>
      <c r="GM107" s="428"/>
      <c r="GN107" s="428"/>
      <c r="GO107" s="428"/>
      <c r="GP107" s="428"/>
      <c r="GQ107" s="428"/>
      <c r="GR107" s="428"/>
      <c r="GS107" s="428"/>
      <c r="GT107" s="428"/>
      <c r="GU107" s="428"/>
      <c r="GV107" s="428"/>
      <c r="GW107" s="428"/>
      <c r="GX107" s="428"/>
      <c r="GY107" s="428"/>
      <c r="GZ107" s="428"/>
      <c r="HA107" s="428"/>
      <c r="HB107" s="428"/>
      <c r="HC107" s="428"/>
      <c r="HD107" s="428"/>
      <c r="HE107" s="428"/>
      <c r="HF107" s="428"/>
      <c r="HG107" s="428"/>
      <c r="HH107" s="428"/>
      <c r="HI107" s="428"/>
      <c r="HJ107" s="428"/>
      <c r="HK107" s="428"/>
      <c r="HL107" s="428"/>
      <c r="HM107" s="428"/>
      <c r="HN107" s="428"/>
      <c r="HO107" s="428"/>
      <c r="HP107" s="428"/>
      <c r="HQ107" s="428"/>
      <c r="HR107" s="428"/>
      <c r="HS107" s="428"/>
      <c r="HT107" s="428"/>
      <c r="HU107" s="428"/>
      <c r="HV107" s="428"/>
      <c r="HW107" s="428"/>
      <c r="HX107" s="428"/>
      <c r="HY107" s="428"/>
      <c r="HZ107" s="428"/>
      <c r="IA107" s="428"/>
      <c r="IB107" s="428"/>
      <c r="IC107" s="428"/>
      <c r="ID107" s="428"/>
      <c r="IE107" s="428"/>
      <c r="IF107" s="428"/>
      <c r="IG107" s="428"/>
      <c r="IH107" s="428"/>
      <c r="II107" s="428"/>
      <c r="IJ107" s="428"/>
      <c r="IK107" s="428"/>
      <c r="IL107" s="428"/>
      <c r="IM107" s="428"/>
      <c r="IN107" s="428"/>
      <c r="IO107" s="428"/>
      <c r="IP107" s="428"/>
      <c r="IQ107" s="428"/>
      <c r="IR107" s="428"/>
      <c r="IS107" s="428"/>
      <c r="IT107" s="428"/>
      <c r="IU107" s="428"/>
      <c r="IV107" s="428"/>
      <c r="IW107" s="428"/>
      <c r="IX107" s="428"/>
      <c r="IY107" s="428"/>
      <c r="IZ107" s="428"/>
      <c r="JA107" s="428"/>
      <c r="JB107" s="428"/>
      <c r="JC107" s="428"/>
      <c r="JD107" s="428"/>
      <c r="JE107" s="428"/>
      <c r="JF107" s="428"/>
      <c r="JG107" s="428"/>
      <c r="JH107" s="428"/>
      <c r="JI107" s="428"/>
      <c r="JJ107" s="428"/>
      <c r="JK107" s="428"/>
      <c r="JL107" s="428"/>
      <c r="JM107" s="428"/>
      <c r="JN107" s="428"/>
      <c r="JO107" s="428"/>
      <c r="JP107" s="428"/>
      <c r="JQ107" s="428"/>
      <c r="JR107" s="428"/>
      <c r="JS107" s="428"/>
      <c r="JT107" s="428"/>
      <c r="JU107" s="428"/>
      <c r="JV107" s="428"/>
      <c r="JW107" s="428"/>
      <c r="JX107" s="428"/>
      <c r="JY107" s="428"/>
      <c r="JZ107" s="428"/>
      <c r="KA107" s="428"/>
      <c r="KB107" s="428"/>
      <c r="KC107" s="428"/>
      <c r="KD107" s="428"/>
      <c r="KE107" s="428"/>
      <c r="KF107" s="428"/>
      <c r="KG107" s="428"/>
      <c r="KH107" s="428"/>
      <c r="KI107" s="428"/>
      <c r="KJ107" s="428"/>
      <c r="KK107" s="428"/>
      <c r="KL107" s="428"/>
      <c r="KM107" s="428"/>
      <c r="KN107" s="428"/>
      <c r="KO107" s="428"/>
      <c r="KP107" s="428"/>
      <c r="KQ107" s="428"/>
      <c r="KR107" s="428"/>
      <c r="KS107" s="428"/>
      <c r="KT107" s="428"/>
      <c r="KU107" s="428"/>
      <c r="KV107" s="428"/>
      <c r="KW107" s="428"/>
      <c r="KX107" s="428"/>
      <c r="KY107" s="428"/>
      <c r="KZ107" s="428"/>
      <c r="LA107" s="428"/>
      <c r="LB107" s="428"/>
      <c r="LC107" s="428"/>
      <c r="LD107" s="428"/>
      <c r="LE107" s="428"/>
      <c r="LF107" s="428"/>
      <c r="LG107" s="428"/>
      <c r="LH107" s="428"/>
      <c r="LI107" s="428"/>
      <c r="LJ107" s="428"/>
      <c r="LK107" s="428"/>
      <c r="LL107" s="428"/>
      <c r="LM107" s="428"/>
      <c r="LN107" s="428"/>
      <c r="LO107" s="428"/>
      <c r="LP107" s="428"/>
      <c r="LQ107" s="428"/>
      <c r="LR107" s="428"/>
      <c r="LS107" s="428"/>
      <c r="LT107" s="428"/>
      <c r="LU107" s="428"/>
      <c r="LV107" s="428"/>
      <c r="LW107" s="428"/>
      <c r="LX107" s="428"/>
      <c r="LY107" s="428"/>
      <c r="LZ107" s="428"/>
      <c r="MA107" s="428"/>
      <c r="MB107" s="428"/>
      <c r="MC107" s="428"/>
      <c r="MD107" s="428"/>
      <c r="ME107" s="428"/>
      <c r="MF107" s="428"/>
      <c r="MG107" s="428"/>
      <c r="MH107" s="428"/>
      <c r="MI107" s="428"/>
      <c r="MJ107" s="428"/>
      <c r="MK107" s="428"/>
      <c r="ML107" s="428"/>
      <c r="MM107" s="428"/>
      <c r="MN107" s="428"/>
      <c r="MO107" s="428"/>
      <c r="MP107" s="428"/>
      <c r="MQ107" s="428"/>
      <c r="MR107" s="428"/>
      <c r="MS107" s="428"/>
      <c r="MT107" s="428"/>
      <c r="MU107" s="428"/>
      <c r="MV107" s="428"/>
      <c r="MW107" s="428"/>
      <c r="MX107" s="428"/>
      <c r="MY107" s="428"/>
      <c r="MZ107" s="428"/>
      <c r="NA107" s="428"/>
      <c r="NB107" s="428"/>
      <c r="NC107" s="428"/>
      <c r="ND107" s="428"/>
      <c r="NE107" s="428"/>
      <c r="NF107" s="428"/>
      <c r="NG107" s="428"/>
      <c r="NH107" s="428"/>
      <c r="NI107" s="428"/>
      <c r="NJ107" s="428"/>
      <c r="NK107" s="428"/>
      <c r="NL107" s="428"/>
      <c r="NM107" s="428"/>
      <c r="NN107" s="428"/>
      <c r="NO107" s="428"/>
      <c r="NP107" s="428"/>
      <c r="NQ107" s="428"/>
      <c r="NR107" s="428"/>
      <c r="NS107" s="428"/>
      <c r="NT107" s="428"/>
      <c r="NU107" s="428"/>
      <c r="NV107" s="428"/>
      <c r="NW107" s="428"/>
      <c r="NX107" s="428"/>
      <c r="NY107" s="428"/>
      <c r="NZ107" s="428"/>
      <c r="OA107" s="428"/>
      <c r="OB107" s="428"/>
      <c r="OC107" s="428"/>
      <c r="OD107" s="428"/>
      <c r="OE107" s="428"/>
      <c r="OF107" s="428"/>
      <c r="OG107" s="428"/>
      <c r="OH107" s="428"/>
      <c r="OI107" s="428"/>
      <c r="OJ107" s="428"/>
      <c r="OK107" s="428"/>
      <c r="OL107" s="428"/>
      <c r="OM107" s="428"/>
      <c r="ON107" s="428"/>
      <c r="OO107" s="428"/>
      <c r="OP107" s="428"/>
      <c r="OQ107" s="428"/>
      <c r="OR107" s="428"/>
      <c r="OS107" s="428"/>
      <c r="OT107" s="428"/>
      <c r="OU107" s="428"/>
      <c r="OV107" s="428"/>
      <c r="OW107" s="428"/>
      <c r="OX107" s="428"/>
      <c r="OY107" s="428"/>
      <c r="OZ107" s="428"/>
      <c r="PA107" s="428"/>
      <c r="PB107" s="428"/>
      <c r="PC107" s="428"/>
      <c r="PD107" s="428"/>
      <c r="PE107" s="428"/>
      <c r="PF107" s="428"/>
      <c r="PG107" s="428"/>
      <c r="PH107" s="428"/>
      <c r="PI107" s="428"/>
      <c r="PJ107" s="428"/>
      <c r="PK107" s="428"/>
      <c r="PL107" s="428"/>
      <c r="PM107" s="428"/>
      <c r="PN107" s="428"/>
      <c r="PO107" s="428"/>
      <c r="PP107" s="428"/>
      <c r="PQ107" s="428"/>
      <c r="PR107" s="428"/>
      <c r="PS107" s="428"/>
      <c r="PT107" s="428"/>
      <c r="PU107" s="428"/>
      <c r="PV107" s="428"/>
      <c r="PW107" s="428"/>
      <c r="PX107" s="428"/>
      <c r="PY107" s="428"/>
      <c r="PZ107" s="428"/>
      <c r="QA107" s="428"/>
      <c r="QB107" s="428"/>
      <c r="QC107" s="428"/>
      <c r="QD107" s="428"/>
      <c r="QE107" s="428"/>
      <c r="QF107" s="428"/>
      <c r="QG107" s="428"/>
      <c r="QH107" s="428"/>
      <c r="QI107" s="428"/>
      <c r="QJ107" s="428"/>
      <c r="QK107" s="428"/>
      <c r="QL107" s="428"/>
      <c r="QM107" s="428"/>
      <c r="QN107" s="428"/>
      <c r="QO107" s="428"/>
      <c r="QP107" s="428"/>
      <c r="QQ107" s="428"/>
      <c r="QR107" s="428"/>
      <c r="QS107" s="428"/>
      <c r="QT107" s="428"/>
      <c r="QU107" s="428"/>
      <c r="QV107" s="428"/>
      <c r="QW107" s="428"/>
      <c r="QX107" s="428"/>
      <c r="QY107" s="428"/>
      <c r="QZ107" s="428"/>
      <c r="RA107" s="428"/>
      <c r="RB107" s="428"/>
      <c r="RC107" s="428"/>
      <c r="RD107" s="428"/>
      <c r="RE107" s="428"/>
      <c r="RF107" s="428"/>
      <c r="RG107" s="428"/>
      <c r="RH107" s="428"/>
      <c r="RI107" s="428"/>
      <c r="RJ107" s="428"/>
      <c r="RK107" s="428"/>
      <c r="RL107" s="428"/>
      <c r="RM107" s="428"/>
      <c r="RN107" s="428"/>
      <c r="RO107" s="428"/>
      <c r="RP107" s="428"/>
      <c r="RQ107" s="428"/>
      <c r="RR107" s="428"/>
      <c r="RS107" s="428"/>
      <c r="RT107" s="428"/>
      <c r="RU107" s="428"/>
      <c r="RV107" s="428"/>
      <c r="RW107" s="428"/>
      <c r="RX107" s="428"/>
      <c r="RY107" s="428"/>
      <c r="RZ107" s="428"/>
      <c r="SA107" s="428"/>
      <c r="SB107" s="428"/>
      <c r="SC107" s="428"/>
      <c r="SD107" s="428"/>
      <c r="SE107" s="428"/>
      <c r="SF107" s="428"/>
      <c r="SG107" s="428"/>
      <c r="SH107" s="428"/>
      <c r="SI107" s="428"/>
      <c r="SJ107" s="428"/>
      <c r="SK107" s="428"/>
      <c r="SL107" s="428"/>
      <c r="SM107" s="428"/>
      <c r="SN107" s="428"/>
      <c r="SO107" s="428"/>
      <c r="SP107" s="428"/>
      <c r="SQ107" s="428"/>
      <c r="SR107" s="428"/>
      <c r="SS107" s="428"/>
      <c r="ST107" s="428"/>
      <c r="SU107" s="428"/>
      <c r="SV107" s="428"/>
      <c r="SW107" s="428"/>
      <c r="SX107" s="428"/>
      <c r="SY107" s="428"/>
      <c r="SZ107" s="428"/>
      <c r="TA107" s="428"/>
      <c r="TB107" s="428"/>
      <c r="TC107" s="428"/>
      <c r="TD107" s="428"/>
      <c r="TE107" s="428"/>
      <c r="TF107" s="428"/>
      <c r="TG107" s="428"/>
      <c r="TH107" s="428"/>
      <c r="TI107" s="428"/>
      <c r="TJ107" s="428"/>
      <c r="TK107" s="428"/>
      <c r="TL107" s="428"/>
      <c r="TM107" s="428"/>
      <c r="TN107" s="428"/>
      <c r="TO107" s="428"/>
      <c r="TP107" s="428"/>
      <c r="TQ107" s="428"/>
      <c r="TR107" s="428"/>
      <c r="TS107" s="428"/>
      <c r="TT107" s="428"/>
      <c r="TU107" s="428"/>
      <c r="TV107" s="428"/>
      <c r="TW107" s="428"/>
      <c r="TX107" s="428"/>
      <c r="TY107" s="428"/>
      <c r="TZ107" s="428"/>
      <c r="UA107" s="428"/>
      <c r="UB107" s="428"/>
      <c r="UC107" s="428"/>
      <c r="UD107" s="428"/>
      <c r="UE107" s="428"/>
      <c r="UF107" s="428"/>
      <c r="UG107" s="428"/>
      <c r="UH107" s="428"/>
      <c r="UI107" s="428"/>
      <c r="UJ107" s="428"/>
      <c r="UK107" s="428"/>
      <c r="UL107" s="428"/>
      <c r="UM107" s="428"/>
      <c r="UN107" s="428"/>
      <c r="UO107" s="428"/>
      <c r="UP107" s="428"/>
      <c r="UQ107" s="428"/>
      <c r="UR107" s="428"/>
      <c r="US107" s="428"/>
      <c r="UT107" s="428"/>
      <c r="UU107" s="428"/>
      <c r="UV107" s="428"/>
      <c r="UW107" s="428"/>
      <c r="UX107" s="428"/>
      <c r="UY107" s="428"/>
      <c r="UZ107" s="428"/>
      <c r="VA107" s="428"/>
      <c r="VB107" s="428"/>
      <c r="VC107" s="428"/>
      <c r="VD107" s="428"/>
      <c r="VE107" s="428"/>
      <c r="VF107" s="428"/>
      <c r="VG107" s="428"/>
      <c r="VH107" s="428"/>
      <c r="VI107" s="428"/>
      <c r="VJ107" s="428"/>
      <c r="VK107" s="428"/>
      <c r="VL107" s="428"/>
      <c r="VM107" s="428"/>
      <c r="VN107" s="428"/>
      <c r="VO107" s="428"/>
      <c r="VP107" s="428"/>
      <c r="VQ107" s="428"/>
      <c r="VR107" s="428"/>
      <c r="VS107" s="428"/>
      <c r="VT107" s="428"/>
      <c r="VU107" s="428"/>
      <c r="VV107" s="428"/>
      <c r="VW107" s="428"/>
      <c r="VX107" s="428"/>
      <c r="VY107" s="428"/>
      <c r="VZ107" s="428"/>
      <c r="WA107" s="428"/>
      <c r="WB107" s="428"/>
    </row>
    <row r="108" spans="2:600" s="433" customFormat="1" ht="17" customHeight="1" x14ac:dyDescent="0.55000000000000004">
      <c r="B108" s="26"/>
      <c r="C108" s="209" t="s">
        <v>309</v>
      </c>
      <c r="D108" s="210" t="s">
        <v>310</v>
      </c>
      <c r="E108" s="211"/>
      <c r="F108" s="430"/>
      <c r="G108" s="431" t="str">
        <f>IF(ISBLANK(G107),"",$E$107-G107)</f>
        <v/>
      </c>
      <c r="H108" s="431" t="str">
        <f>IF(ISBLANK(H107),"",$E$107-H107)</f>
        <v/>
      </c>
      <c r="I108" s="431" t="str">
        <f>IF(ISBLANK(I107),"",$E$107-I107)</f>
        <v/>
      </c>
      <c r="J108" s="431" t="str">
        <f>IF(ISBLANK(J107),"",$E$107-J107)</f>
        <v/>
      </c>
      <c r="K108" s="431" t="str">
        <f>IF(ISBLANK(K107),"",$E$107-K107)</f>
        <v/>
      </c>
      <c r="L108" s="431" t="str">
        <f>IF(ISBLANK(L107),"",$E$107-L107)</f>
        <v/>
      </c>
      <c r="M108" s="431" t="str">
        <f>IF(ISBLANK(M107),"",$E$107-M107)</f>
        <v/>
      </c>
      <c r="N108" s="431" t="str">
        <f>IF(ISBLANK(N107),"",$E$107-N107)</f>
        <v/>
      </c>
      <c r="O108" s="431" t="str">
        <f>IF(ISBLANK(O107),"",$E$107-O107)</f>
        <v/>
      </c>
      <c r="P108" s="431" t="str">
        <f>IF(ISBLANK(P107),"",$E$107-P107)</f>
        <v/>
      </c>
      <c r="Q108" s="431" t="str">
        <f>IF(ISBLANK(Q107),"",$E$107-Q107)</f>
        <v/>
      </c>
      <c r="R108" s="431" t="str">
        <f>IF(ISBLANK(R107),"",$E$107-R107)</f>
        <v/>
      </c>
      <c r="S108" s="431" t="str">
        <f>IF(ISBLANK(S107),"",$E$107-S107)</f>
        <v/>
      </c>
      <c r="T108" s="431" t="str">
        <f>IF(ISBLANK(T107),"",$E$107-T107)</f>
        <v/>
      </c>
      <c r="U108" s="431" t="str">
        <f>IF(ISBLANK(U107),"",$E$107-U107)</f>
        <v/>
      </c>
      <c r="V108" s="431" t="str">
        <f>IF(ISBLANK(V107),"",$E$107-V107)</f>
        <v/>
      </c>
      <c r="W108" s="431" t="str">
        <f>IF(ISBLANK(W107),"",$E$107-W107)</f>
        <v/>
      </c>
      <c r="X108" s="431" t="str">
        <f>IF(ISBLANK(X107),"",$E$107-X107)</f>
        <v/>
      </c>
      <c r="Y108" s="431" t="str">
        <f>IF(ISBLANK(Y107),"",$E$107-Y107)</f>
        <v/>
      </c>
      <c r="Z108" s="431" t="str">
        <f>IF(ISBLANK(Z107),"",$E$107-Z107)</f>
        <v/>
      </c>
      <c r="AA108" s="431" t="str">
        <f>IF(ISBLANK(AA107),"",$E$107-AA107)</f>
        <v/>
      </c>
      <c r="AB108" s="431" t="str">
        <f>IF(ISBLANK(AB107),"",$E$107-AB107)</f>
        <v/>
      </c>
      <c r="AC108" s="431" t="str">
        <f>IF(ISBLANK(AC107),"",$E$107-AC107)</f>
        <v/>
      </c>
      <c r="AD108" s="431" t="str">
        <f>IF(ISBLANK(AD107),"",$E$107-AD107)</f>
        <v/>
      </c>
      <c r="AE108" s="431" t="str">
        <f>IF(ISBLANK(AE107),"",$E$107-AE107)</f>
        <v/>
      </c>
      <c r="AF108" s="431" t="str">
        <f>IF(ISBLANK(AF107),"",$E$107-AF107)</f>
        <v/>
      </c>
      <c r="AG108" s="431" t="str">
        <f>IF(ISBLANK(AG107),"",$E$107-AG107)</f>
        <v/>
      </c>
      <c r="AH108" s="431" t="str">
        <f>IF(ISBLANK(AH107),"",$E$107-AH107)</f>
        <v/>
      </c>
      <c r="AI108" s="431" t="str">
        <f>IF(ISBLANK(AI107),"",$E$107-AI107)</f>
        <v/>
      </c>
      <c r="AJ108" s="431" t="str">
        <f>IF(ISBLANK(AJ107),"",$E$107-AJ107)</f>
        <v/>
      </c>
      <c r="AK108" s="431" t="str">
        <f>IF(ISBLANK(AK107),"",$E$107-AK107)</f>
        <v/>
      </c>
      <c r="AL108" s="431" t="str">
        <f>IF(ISBLANK(AL107),"",$E$107-AL107)</f>
        <v/>
      </c>
      <c r="AM108" s="431" t="str">
        <f>IF(ISBLANK(AM107),"",$E$107-AM107)</f>
        <v/>
      </c>
      <c r="AN108" s="431" t="str">
        <f>IF(ISBLANK(AN107),"",$E$107-AN107)</f>
        <v/>
      </c>
      <c r="AO108" s="431" t="str">
        <f>IF(ISBLANK(AO107),"",$E$107-AO107)</f>
        <v/>
      </c>
      <c r="AP108" s="431" t="str">
        <f>IF(ISBLANK(AP107),"",$E$107-AP107)</f>
        <v/>
      </c>
      <c r="AQ108" s="431" t="str">
        <f>IF(ISBLANK(AQ107),"",$E$107-AQ107)</f>
        <v/>
      </c>
      <c r="AR108" s="431" t="str">
        <f>IF(ISBLANK(AR107),"",$E$107-AR107)</f>
        <v/>
      </c>
      <c r="AS108" s="431" t="str">
        <f>IF(AS107="","",$E$107-AS107)</f>
        <v/>
      </c>
      <c r="AT108" s="431" t="str">
        <f>IF(AT107="","",$E$107-AT107)</f>
        <v/>
      </c>
      <c r="AU108" s="431" t="str">
        <f>IF(AU107="","",$E$107-AU107)</f>
        <v/>
      </c>
      <c r="AV108" s="431" t="str">
        <f>IF(AV107="","",$E$107-AV107)</f>
        <v/>
      </c>
      <c r="AW108" s="431" t="str">
        <f>IF(AW107="","",$E$107-AW107)</f>
        <v/>
      </c>
      <c r="AX108" s="431" t="str">
        <f>IF(AX107="","",$E$107-AX107)</f>
        <v/>
      </c>
      <c r="AY108" s="431" t="str">
        <f>IF(AY107="","",$E$107-AY107)</f>
        <v/>
      </c>
      <c r="AZ108" s="431" t="str">
        <f>IF(ISBLANK(AZ107),"",$E$107-AZ107)</f>
        <v/>
      </c>
      <c r="BA108" s="431" t="str">
        <f>IF(ISBLANK(BA107),"",$E$107-BA107)</f>
        <v/>
      </c>
      <c r="BB108" s="431" t="str">
        <f>IF(ISBLANK(BB107),"",$E$107-BB107)</f>
        <v/>
      </c>
      <c r="BC108" s="431" t="str">
        <f>IF(ISBLANK(BC107),"",$E$107-BC107)</f>
        <v/>
      </c>
      <c r="BD108" s="431" t="str">
        <f>IF(ISBLANK(BD107),"",$E$107-BD107)</f>
        <v/>
      </c>
      <c r="BE108" s="431" t="str">
        <f>IF(ISBLANK(BE107),"",$E$107-BE107)</f>
        <v/>
      </c>
      <c r="BF108" s="431" t="str">
        <f>IF(ISBLANK(BF107),"",$E$107-BF107)</f>
        <v/>
      </c>
      <c r="BG108" s="431" t="str">
        <f>IF(ISBLANK(BG107),"",$E$107-BG107)</f>
        <v/>
      </c>
      <c r="BH108" s="431" t="str">
        <f>IF(ISBLANK(BH107),"",$E$107-BH107)</f>
        <v/>
      </c>
      <c r="BI108" s="431" t="str">
        <f>IF(ISBLANK(BI107),"",$E$107-BI107)</f>
        <v/>
      </c>
      <c r="BJ108" s="431" t="str">
        <f>IF(ISBLANK(BJ107),"",$E$107-BJ107)</f>
        <v/>
      </c>
      <c r="BK108" s="431" t="str">
        <f>IF(ISBLANK(BK107),"",$E$107-BK107)</f>
        <v/>
      </c>
      <c r="BL108" s="431" t="str">
        <f>IF(ISBLANK(BL107),"",$E$107-BL107)</f>
        <v/>
      </c>
      <c r="BM108" s="431" t="str">
        <f>IF(ISBLANK(BM107),"",$E$107-BM107)</f>
        <v/>
      </c>
      <c r="BN108" s="431" t="str">
        <f>IF(ISBLANK(BN107),"",$E$107-BN107)</f>
        <v/>
      </c>
      <c r="BO108" s="431" t="str">
        <f>IF(ISBLANK(BO107),"",$E$107-BO107)</f>
        <v/>
      </c>
      <c r="BP108" s="431" t="str">
        <f>IF(ISBLANK(BP107),"",$E$107-BP107)</f>
        <v/>
      </c>
      <c r="BQ108" s="431" t="str">
        <f>IF(ISBLANK(BQ107),"",$E$107-BQ107)</f>
        <v/>
      </c>
      <c r="BR108" s="431" t="str">
        <f>IF(ISBLANK(BR107),"",$E$107-BR107)</f>
        <v/>
      </c>
      <c r="BS108" s="431" t="str">
        <f>IF(ISBLANK(BS107),"",$E$107-BS107)</f>
        <v/>
      </c>
      <c r="BT108" s="431" t="str">
        <f>IF(ISBLANK(BT107),"",$E$107-BT107)</f>
        <v/>
      </c>
      <c r="BU108" s="431" t="str">
        <f>IF(ISBLANK(BU107),"",$E$107-BU107)</f>
        <v/>
      </c>
      <c r="BV108" s="431" t="str">
        <f>IF(ISBLANK(BV107),"",$E$107-BV107)</f>
        <v/>
      </c>
      <c r="BW108" s="431" t="str">
        <f>IF(ISBLANK(BW107),"",$E$107-BW107)</f>
        <v/>
      </c>
      <c r="BX108" s="431" t="str">
        <f>IF(ISBLANK(BX107),"",$E$107-BX107)</f>
        <v/>
      </c>
      <c r="BY108" s="432"/>
      <c r="BZ108" s="432"/>
      <c r="CA108" s="432"/>
      <c r="CB108" s="432"/>
      <c r="CC108" s="432"/>
      <c r="CD108" s="432"/>
      <c r="CE108" s="432"/>
      <c r="CF108" s="432"/>
      <c r="CG108" s="432"/>
      <c r="CH108" s="432"/>
      <c r="CI108" s="432"/>
      <c r="CJ108" s="432"/>
      <c r="CK108" s="432"/>
      <c r="CL108" s="432"/>
      <c r="CM108" s="432"/>
      <c r="CN108" s="432"/>
      <c r="CO108" s="432"/>
      <c r="CP108" s="432"/>
      <c r="CQ108" s="432"/>
      <c r="CR108" s="432"/>
      <c r="CS108" s="432"/>
      <c r="CT108" s="432"/>
      <c r="CU108" s="432"/>
      <c r="CV108" s="432"/>
      <c r="CW108" s="432"/>
      <c r="CX108" s="432"/>
      <c r="CY108" s="432"/>
      <c r="CZ108" s="432"/>
      <c r="DA108" s="432"/>
      <c r="DB108" s="432"/>
      <c r="DC108" s="432"/>
      <c r="DD108" s="432"/>
      <c r="DE108" s="432"/>
      <c r="DF108" s="432"/>
      <c r="DG108" s="432"/>
      <c r="DH108" s="432"/>
      <c r="DI108" s="432"/>
      <c r="DJ108" s="432"/>
      <c r="DK108" s="432"/>
      <c r="DL108" s="432"/>
      <c r="DM108" s="432"/>
      <c r="DN108" s="432"/>
      <c r="DO108" s="432"/>
      <c r="DP108" s="432"/>
      <c r="DQ108" s="432"/>
      <c r="DR108" s="432"/>
      <c r="DS108" s="432"/>
      <c r="DT108" s="432"/>
      <c r="DU108" s="432"/>
      <c r="DV108" s="432"/>
      <c r="DW108" s="432"/>
      <c r="DX108" s="432"/>
      <c r="DY108" s="432"/>
      <c r="DZ108" s="432"/>
      <c r="EA108" s="432"/>
      <c r="EB108" s="432"/>
      <c r="EC108" s="432"/>
      <c r="ED108" s="432"/>
      <c r="EE108" s="432"/>
      <c r="EF108" s="432"/>
      <c r="EG108" s="432"/>
      <c r="EH108" s="432"/>
      <c r="EI108" s="432"/>
      <c r="EJ108" s="432"/>
      <c r="EK108" s="432"/>
      <c r="EL108" s="432"/>
      <c r="EM108" s="432"/>
      <c r="EN108" s="432"/>
      <c r="EO108" s="432"/>
      <c r="EP108" s="432"/>
      <c r="EQ108" s="432"/>
      <c r="ER108" s="432"/>
      <c r="ES108" s="432"/>
      <c r="ET108" s="432"/>
      <c r="EU108" s="432"/>
      <c r="EV108" s="432"/>
      <c r="EW108" s="432"/>
      <c r="EX108" s="432"/>
      <c r="EY108" s="432"/>
      <c r="EZ108" s="432"/>
      <c r="FA108" s="432"/>
      <c r="FB108" s="432"/>
      <c r="FC108" s="432"/>
      <c r="FD108" s="432"/>
      <c r="FE108" s="432"/>
      <c r="FF108" s="432"/>
      <c r="FG108" s="432"/>
      <c r="FH108" s="432"/>
      <c r="FI108" s="432"/>
      <c r="FJ108" s="432"/>
      <c r="FK108" s="432"/>
      <c r="FL108" s="432"/>
      <c r="FM108" s="432"/>
      <c r="FN108" s="432"/>
      <c r="FO108" s="432"/>
      <c r="FP108" s="432"/>
      <c r="FQ108" s="432"/>
      <c r="FR108" s="432"/>
      <c r="FS108" s="432"/>
      <c r="FT108" s="432"/>
      <c r="FU108" s="432"/>
      <c r="FV108" s="432"/>
      <c r="FW108" s="432"/>
      <c r="FX108" s="432"/>
      <c r="FY108" s="432"/>
      <c r="FZ108" s="432"/>
      <c r="GA108" s="432"/>
      <c r="GB108" s="432"/>
      <c r="GC108" s="432"/>
      <c r="GD108" s="432"/>
      <c r="GE108" s="432"/>
      <c r="GF108" s="432"/>
      <c r="GG108" s="432"/>
      <c r="GH108" s="432"/>
      <c r="GI108" s="432"/>
      <c r="GJ108" s="432"/>
      <c r="GK108" s="432"/>
      <c r="GL108" s="432"/>
      <c r="GM108" s="432"/>
      <c r="GN108" s="432"/>
      <c r="GO108" s="432"/>
      <c r="GP108" s="432"/>
      <c r="GQ108" s="432"/>
      <c r="GR108" s="432"/>
      <c r="GS108" s="432"/>
      <c r="GT108" s="432"/>
      <c r="GU108" s="432"/>
      <c r="GV108" s="432"/>
      <c r="GW108" s="432"/>
      <c r="GX108" s="432"/>
      <c r="GY108" s="432"/>
      <c r="GZ108" s="432"/>
      <c r="HA108" s="432"/>
      <c r="HB108" s="432"/>
      <c r="HC108" s="432"/>
      <c r="HD108" s="432"/>
      <c r="HE108" s="432"/>
      <c r="HF108" s="432"/>
      <c r="HG108" s="432"/>
      <c r="HH108" s="432"/>
      <c r="HI108" s="432"/>
      <c r="HJ108" s="432"/>
      <c r="HK108" s="432"/>
      <c r="HL108" s="432"/>
      <c r="HM108" s="432"/>
      <c r="HN108" s="432"/>
      <c r="HO108" s="432"/>
      <c r="HP108" s="432"/>
      <c r="HQ108" s="432"/>
      <c r="HR108" s="432"/>
      <c r="HS108" s="432"/>
      <c r="HT108" s="432"/>
      <c r="HU108" s="432"/>
      <c r="HV108" s="432"/>
      <c r="HW108" s="432"/>
      <c r="HX108" s="432"/>
      <c r="HY108" s="432"/>
      <c r="HZ108" s="432"/>
      <c r="IA108" s="432"/>
      <c r="IB108" s="432"/>
      <c r="IC108" s="432"/>
      <c r="ID108" s="432"/>
      <c r="IE108" s="432"/>
      <c r="IF108" s="432"/>
      <c r="IG108" s="432"/>
      <c r="IH108" s="432"/>
      <c r="II108" s="432"/>
      <c r="IJ108" s="432"/>
      <c r="IK108" s="432"/>
      <c r="IL108" s="432"/>
      <c r="IM108" s="432"/>
      <c r="IN108" s="432"/>
      <c r="IO108" s="432"/>
      <c r="IP108" s="432"/>
      <c r="IQ108" s="432"/>
      <c r="IR108" s="432"/>
      <c r="IS108" s="432"/>
      <c r="IT108" s="432"/>
      <c r="IU108" s="432"/>
      <c r="IV108" s="432"/>
      <c r="IW108" s="432"/>
      <c r="IX108" s="432"/>
      <c r="IY108" s="432"/>
      <c r="IZ108" s="432"/>
      <c r="JA108" s="432"/>
      <c r="JB108" s="432"/>
      <c r="JC108" s="432"/>
      <c r="JD108" s="432"/>
      <c r="JE108" s="432"/>
      <c r="JF108" s="432"/>
      <c r="JG108" s="432"/>
      <c r="JH108" s="432"/>
      <c r="JI108" s="432"/>
      <c r="JJ108" s="432"/>
      <c r="JK108" s="432"/>
      <c r="JL108" s="432"/>
      <c r="JM108" s="432"/>
      <c r="JN108" s="432"/>
      <c r="JO108" s="432"/>
      <c r="JP108" s="432"/>
      <c r="JQ108" s="432"/>
      <c r="JR108" s="432"/>
      <c r="JS108" s="432"/>
      <c r="JT108" s="432"/>
      <c r="JU108" s="432"/>
      <c r="JV108" s="432"/>
      <c r="JW108" s="432"/>
      <c r="JX108" s="432"/>
      <c r="JY108" s="432"/>
      <c r="JZ108" s="432"/>
      <c r="KA108" s="432"/>
      <c r="KB108" s="432"/>
      <c r="KC108" s="432"/>
      <c r="KD108" s="432"/>
      <c r="KE108" s="432"/>
      <c r="KF108" s="432"/>
      <c r="KG108" s="432"/>
      <c r="KH108" s="432"/>
      <c r="KI108" s="432"/>
      <c r="KJ108" s="432"/>
      <c r="KK108" s="432"/>
      <c r="KL108" s="432"/>
      <c r="KM108" s="432"/>
      <c r="KN108" s="432"/>
      <c r="KO108" s="432"/>
      <c r="KP108" s="432"/>
      <c r="KQ108" s="432"/>
      <c r="KR108" s="432"/>
      <c r="KS108" s="432"/>
      <c r="KT108" s="432"/>
      <c r="KU108" s="432"/>
      <c r="KV108" s="432"/>
      <c r="KW108" s="432"/>
      <c r="KX108" s="432"/>
      <c r="KY108" s="432"/>
      <c r="KZ108" s="432"/>
      <c r="LA108" s="432"/>
      <c r="LB108" s="432"/>
      <c r="LC108" s="432"/>
      <c r="LD108" s="432"/>
      <c r="LE108" s="432"/>
      <c r="LF108" s="432"/>
      <c r="LG108" s="432"/>
      <c r="LH108" s="432"/>
      <c r="LI108" s="432"/>
      <c r="LJ108" s="432"/>
      <c r="LK108" s="432"/>
      <c r="LL108" s="432"/>
      <c r="LM108" s="432"/>
      <c r="LN108" s="432"/>
      <c r="LO108" s="432"/>
      <c r="LP108" s="432"/>
      <c r="LQ108" s="432"/>
      <c r="LR108" s="432"/>
      <c r="LS108" s="432"/>
      <c r="LT108" s="432"/>
      <c r="LU108" s="432"/>
      <c r="LV108" s="432"/>
      <c r="LW108" s="432"/>
      <c r="LX108" s="432"/>
      <c r="LY108" s="432"/>
      <c r="LZ108" s="432"/>
      <c r="MA108" s="432"/>
      <c r="MB108" s="432"/>
      <c r="MC108" s="432"/>
      <c r="MD108" s="432"/>
      <c r="ME108" s="432"/>
      <c r="MF108" s="432"/>
      <c r="MG108" s="432"/>
      <c r="MH108" s="432"/>
      <c r="MI108" s="432"/>
      <c r="MJ108" s="432"/>
      <c r="MK108" s="432"/>
      <c r="ML108" s="432"/>
      <c r="MM108" s="432"/>
      <c r="MN108" s="432"/>
      <c r="MO108" s="432"/>
      <c r="MP108" s="432"/>
      <c r="MQ108" s="432"/>
      <c r="MR108" s="432"/>
      <c r="MS108" s="432"/>
      <c r="MT108" s="432"/>
      <c r="MU108" s="432"/>
      <c r="MV108" s="432"/>
      <c r="MW108" s="432"/>
      <c r="MX108" s="432"/>
      <c r="MY108" s="432"/>
      <c r="MZ108" s="432"/>
      <c r="NA108" s="432"/>
      <c r="NB108" s="432"/>
      <c r="NC108" s="432"/>
      <c r="ND108" s="432"/>
      <c r="NE108" s="432"/>
      <c r="NF108" s="432"/>
      <c r="NG108" s="432"/>
      <c r="NH108" s="432"/>
      <c r="NI108" s="432"/>
      <c r="NJ108" s="432"/>
      <c r="NK108" s="432"/>
      <c r="NL108" s="432"/>
      <c r="NM108" s="432"/>
      <c r="NN108" s="432"/>
      <c r="NO108" s="432"/>
      <c r="NP108" s="432"/>
      <c r="NQ108" s="432"/>
      <c r="NR108" s="432"/>
      <c r="NS108" s="432"/>
      <c r="NT108" s="432"/>
      <c r="NU108" s="432"/>
      <c r="NV108" s="432"/>
      <c r="NW108" s="432"/>
      <c r="NX108" s="432"/>
      <c r="NY108" s="432"/>
      <c r="NZ108" s="432"/>
      <c r="OA108" s="432"/>
      <c r="OB108" s="432"/>
      <c r="OC108" s="432"/>
      <c r="OD108" s="432"/>
      <c r="OE108" s="432"/>
      <c r="OF108" s="432"/>
      <c r="OG108" s="432"/>
      <c r="OH108" s="432"/>
      <c r="OI108" s="432"/>
      <c r="OJ108" s="432"/>
      <c r="OK108" s="432"/>
      <c r="OL108" s="432"/>
      <c r="OM108" s="432"/>
      <c r="ON108" s="432"/>
      <c r="OO108" s="432"/>
      <c r="OP108" s="432"/>
      <c r="OQ108" s="432"/>
      <c r="OR108" s="432"/>
      <c r="OS108" s="432"/>
      <c r="OT108" s="432"/>
      <c r="OU108" s="432"/>
      <c r="OV108" s="432"/>
      <c r="OW108" s="432"/>
      <c r="OX108" s="432"/>
      <c r="OY108" s="432"/>
      <c r="OZ108" s="432"/>
      <c r="PA108" s="432"/>
      <c r="PB108" s="432"/>
      <c r="PC108" s="432"/>
      <c r="PD108" s="432"/>
      <c r="PE108" s="432"/>
      <c r="PF108" s="432"/>
      <c r="PG108" s="432"/>
      <c r="PH108" s="432"/>
      <c r="PI108" s="432"/>
      <c r="PJ108" s="432"/>
      <c r="PK108" s="432"/>
      <c r="PL108" s="432"/>
      <c r="PM108" s="432"/>
      <c r="PN108" s="432"/>
      <c r="PO108" s="432"/>
      <c r="PP108" s="432"/>
      <c r="PQ108" s="432"/>
      <c r="PR108" s="432"/>
      <c r="PS108" s="432"/>
      <c r="PT108" s="432"/>
      <c r="PU108" s="432"/>
      <c r="PV108" s="432"/>
      <c r="PW108" s="432"/>
      <c r="PX108" s="432"/>
      <c r="PY108" s="432"/>
      <c r="PZ108" s="432"/>
      <c r="QA108" s="432"/>
      <c r="QB108" s="432"/>
      <c r="QC108" s="432"/>
      <c r="QD108" s="432"/>
      <c r="QE108" s="432"/>
      <c r="QF108" s="432"/>
      <c r="QG108" s="432"/>
      <c r="QH108" s="432"/>
      <c r="QI108" s="432"/>
      <c r="QJ108" s="432"/>
      <c r="QK108" s="432"/>
      <c r="QL108" s="432"/>
      <c r="QM108" s="432"/>
      <c r="QN108" s="432"/>
      <c r="QO108" s="432"/>
      <c r="QP108" s="432"/>
      <c r="QQ108" s="432"/>
      <c r="QR108" s="432"/>
      <c r="QS108" s="432"/>
      <c r="QT108" s="432"/>
      <c r="QU108" s="432"/>
      <c r="QV108" s="432"/>
      <c r="QW108" s="432"/>
      <c r="QX108" s="432"/>
      <c r="QY108" s="432"/>
      <c r="QZ108" s="432"/>
      <c r="RA108" s="432"/>
      <c r="RB108" s="432"/>
      <c r="RC108" s="432"/>
      <c r="RD108" s="432"/>
      <c r="RE108" s="432"/>
      <c r="RF108" s="432"/>
      <c r="RG108" s="432"/>
      <c r="RH108" s="432"/>
      <c r="RI108" s="432"/>
      <c r="RJ108" s="432"/>
      <c r="RK108" s="432"/>
      <c r="RL108" s="432"/>
      <c r="RM108" s="432"/>
      <c r="RN108" s="432"/>
      <c r="RO108" s="432"/>
      <c r="RP108" s="432"/>
      <c r="RQ108" s="432"/>
      <c r="RR108" s="432"/>
      <c r="RS108" s="432"/>
      <c r="RT108" s="432"/>
      <c r="RU108" s="432"/>
      <c r="RV108" s="432"/>
      <c r="RW108" s="432"/>
      <c r="RX108" s="432"/>
      <c r="RY108" s="432"/>
      <c r="RZ108" s="432"/>
      <c r="SA108" s="432"/>
      <c r="SB108" s="432"/>
      <c r="SC108" s="432"/>
      <c r="SD108" s="432"/>
      <c r="SE108" s="432"/>
      <c r="SF108" s="432"/>
      <c r="SG108" s="432"/>
      <c r="SH108" s="432"/>
      <c r="SI108" s="432"/>
      <c r="SJ108" s="432"/>
      <c r="SK108" s="432"/>
      <c r="SL108" s="432"/>
      <c r="SM108" s="432"/>
      <c r="SN108" s="432"/>
      <c r="SO108" s="432"/>
      <c r="SP108" s="432"/>
      <c r="SQ108" s="432"/>
      <c r="SR108" s="432"/>
      <c r="SS108" s="432"/>
      <c r="ST108" s="432"/>
      <c r="SU108" s="432"/>
      <c r="SV108" s="432"/>
      <c r="SW108" s="432"/>
      <c r="SX108" s="432"/>
      <c r="SY108" s="432"/>
      <c r="SZ108" s="432"/>
      <c r="TA108" s="432"/>
      <c r="TB108" s="432"/>
      <c r="TC108" s="432"/>
      <c r="TD108" s="432"/>
      <c r="TE108" s="432"/>
      <c r="TF108" s="432"/>
      <c r="TG108" s="432"/>
      <c r="TH108" s="432"/>
      <c r="TI108" s="432"/>
      <c r="TJ108" s="432"/>
      <c r="TK108" s="432"/>
      <c r="TL108" s="432"/>
      <c r="TM108" s="432"/>
      <c r="TN108" s="432"/>
      <c r="TO108" s="432"/>
      <c r="TP108" s="432"/>
      <c r="TQ108" s="432"/>
      <c r="TR108" s="432"/>
      <c r="TS108" s="432"/>
      <c r="TT108" s="432"/>
      <c r="TU108" s="432"/>
      <c r="TV108" s="432"/>
      <c r="TW108" s="432"/>
      <c r="TX108" s="432"/>
      <c r="TY108" s="432"/>
      <c r="TZ108" s="432"/>
      <c r="UA108" s="432"/>
      <c r="UB108" s="432"/>
      <c r="UC108" s="432"/>
      <c r="UD108" s="432"/>
      <c r="UE108" s="432"/>
      <c r="UF108" s="432"/>
      <c r="UG108" s="432"/>
      <c r="UH108" s="432"/>
      <c r="UI108" s="432"/>
      <c r="UJ108" s="432"/>
      <c r="UK108" s="432"/>
      <c r="UL108" s="432"/>
      <c r="UM108" s="432"/>
      <c r="UN108" s="432"/>
      <c r="UO108" s="432"/>
      <c r="UP108" s="432"/>
      <c r="UQ108" s="432"/>
      <c r="UR108" s="432"/>
      <c r="US108" s="432"/>
      <c r="UT108" s="432"/>
      <c r="UU108" s="432"/>
      <c r="UV108" s="432"/>
      <c r="UW108" s="432"/>
      <c r="UX108" s="432"/>
      <c r="UY108" s="432"/>
      <c r="UZ108" s="432"/>
      <c r="VA108" s="432"/>
      <c r="VB108" s="432"/>
      <c r="VC108" s="432"/>
      <c r="VD108" s="432"/>
      <c r="VE108" s="432"/>
      <c r="VF108" s="432"/>
      <c r="VG108" s="432"/>
      <c r="VH108" s="432"/>
      <c r="VI108" s="432"/>
      <c r="VJ108" s="432"/>
      <c r="VK108" s="432"/>
      <c r="VL108" s="432"/>
      <c r="VM108" s="432"/>
      <c r="VN108" s="432"/>
      <c r="VO108" s="432"/>
      <c r="VP108" s="432"/>
      <c r="VQ108" s="432"/>
      <c r="VR108" s="432"/>
      <c r="VS108" s="432"/>
      <c r="VT108" s="432"/>
      <c r="VU108" s="432"/>
      <c r="VV108" s="432"/>
      <c r="VW108" s="432"/>
      <c r="VX108" s="432"/>
      <c r="VY108" s="432"/>
      <c r="VZ108" s="432"/>
      <c r="WA108" s="432"/>
      <c r="WB108" s="432"/>
    </row>
    <row r="109" spans="2:600" s="433" customFormat="1" ht="17" customHeight="1" x14ac:dyDescent="0.55000000000000004">
      <c r="B109" s="26"/>
      <c r="C109" s="212"/>
      <c r="D109" s="210" t="s">
        <v>311</v>
      </c>
      <c r="E109" s="213"/>
      <c r="F109" s="430"/>
      <c r="G109" s="431"/>
      <c r="H109" s="431"/>
      <c r="I109" s="431"/>
      <c r="J109" s="431"/>
      <c r="K109" s="431"/>
      <c r="L109" s="431"/>
      <c r="M109" s="431"/>
      <c r="N109" s="431"/>
      <c r="O109" s="431"/>
      <c r="P109" s="431"/>
      <c r="Q109" s="431"/>
      <c r="R109" s="431"/>
      <c r="S109" s="431"/>
      <c r="T109" s="431"/>
      <c r="U109" s="431"/>
      <c r="V109" s="431"/>
      <c r="W109" s="431"/>
      <c r="X109" s="431"/>
      <c r="Y109" s="431"/>
      <c r="Z109" s="431"/>
      <c r="AA109" s="431"/>
      <c r="AB109" s="431"/>
      <c r="AC109" s="431"/>
      <c r="AD109" s="431"/>
      <c r="AE109" s="431"/>
      <c r="AF109" s="431"/>
      <c r="AG109" s="431"/>
      <c r="AH109" s="431"/>
      <c r="AI109" s="431"/>
      <c r="AJ109" s="431"/>
      <c r="AK109" s="431"/>
      <c r="AL109" s="431"/>
      <c r="AM109" s="431"/>
      <c r="AN109" s="431"/>
      <c r="AO109" s="431"/>
      <c r="AP109" s="431"/>
      <c r="AQ109" s="431"/>
      <c r="AR109" s="431"/>
      <c r="AS109" s="431"/>
      <c r="AT109" s="431"/>
      <c r="AU109" s="431"/>
      <c r="AV109" s="431"/>
      <c r="AW109" s="431"/>
      <c r="AX109" s="431"/>
      <c r="AY109" s="431"/>
      <c r="AZ109" s="431"/>
      <c r="BA109" s="431"/>
      <c r="BB109" s="431"/>
      <c r="BC109" s="431"/>
      <c r="BD109" s="431"/>
      <c r="BE109" s="431"/>
      <c r="BF109" s="431"/>
      <c r="BG109" s="431"/>
      <c r="BH109" s="431"/>
      <c r="BI109" s="431"/>
      <c r="BJ109" s="431"/>
      <c r="BK109" s="431"/>
      <c r="BL109" s="431"/>
      <c r="BM109" s="431"/>
      <c r="BN109" s="431"/>
      <c r="BO109" s="431"/>
      <c r="BP109" s="431"/>
      <c r="BQ109" s="431"/>
      <c r="BR109" s="431"/>
      <c r="BS109" s="431"/>
      <c r="BT109" s="431"/>
      <c r="BU109" s="431"/>
      <c r="BV109" s="431"/>
      <c r="BW109" s="431"/>
      <c r="BX109" s="431"/>
      <c r="BY109" s="432"/>
      <c r="BZ109" s="432"/>
      <c r="CA109" s="432"/>
      <c r="CB109" s="432"/>
      <c r="CC109" s="432"/>
      <c r="CD109" s="432"/>
      <c r="CE109" s="432"/>
      <c r="CF109" s="432"/>
      <c r="CG109" s="432"/>
      <c r="CH109" s="432"/>
      <c r="CI109" s="432"/>
      <c r="CJ109" s="432"/>
      <c r="CK109" s="432"/>
      <c r="CL109" s="432"/>
      <c r="CM109" s="432"/>
      <c r="CN109" s="432"/>
      <c r="CO109" s="432"/>
      <c r="CP109" s="432"/>
      <c r="CQ109" s="432"/>
      <c r="CR109" s="432"/>
      <c r="CS109" s="432"/>
      <c r="CT109" s="432"/>
      <c r="CU109" s="432"/>
      <c r="CV109" s="432"/>
      <c r="CW109" s="432"/>
      <c r="CX109" s="432"/>
      <c r="CY109" s="432"/>
      <c r="CZ109" s="432"/>
      <c r="DA109" s="432"/>
      <c r="DB109" s="432"/>
      <c r="DC109" s="432"/>
      <c r="DD109" s="432"/>
      <c r="DE109" s="432"/>
      <c r="DF109" s="432"/>
      <c r="DG109" s="432"/>
      <c r="DH109" s="432"/>
      <c r="DI109" s="432"/>
      <c r="DJ109" s="432"/>
      <c r="DK109" s="432"/>
      <c r="DL109" s="432"/>
      <c r="DM109" s="432"/>
      <c r="DN109" s="432"/>
      <c r="DO109" s="432"/>
      <c r="DP109" s="432"/>
      <c r="DQ109" s="432"/>
      <c r="DR109" s="432"/>
      <c r="DS109" s="432"/>
      <c r="DT109" s="432"/>
      <c r="DU109" s="432"/>
      <c r="DV109" s="432"/>
      <c r="DW109" s="432"/>
      <c r="DX109" s="432"/>
      <c r="DY109" s="432"/>
      <c r="DZ109" s="432"/>
      <c r="EA109" s="432"/>
      <c r="EB109" s="432"/>
      <c r="EC109" s="432"/>
      <c r="ED109" s="432"/>
      <c r="EE109" s="432"/>
      <c r="EF109" s="432"/>
      <c r="EG109" s="432"/>
      <c r="EH109" s="432"/>
      <c r="EI109" s="432"/>
      <c r="EJ109" s="432"/>
      <c r="EK109" s="432"/>
      <c r="EL109" s="432"/>
      <c r="EM109" s="432"/>
      <c r="EN109" s="432"/>
      <c r="EO109" s="432"/>
      <c r="EP109" s="432"/>
      <c r="EQ109" s="432"/>
      <c r="ER109" s="432"/>
      <c r="ES109" s="432"/>
      <c r="ET109" s="432"/>
      <c r="EU109" s="432"/>
      <c r="EV109" s="432"/>
      <c r="EW109" s="432"/>
      <c r="EX109" s="432"/>
      <c r="EY109" s="432"/>
      <c r="EZ109" s="432"/>
      <c r="FA109" s="432"/>
      <c r="FB109" s="432"/>
      <c r="FC109" s="432"/>
      <c r="FD109" s="432"/>
      <c r="FE109" s="432"/>
      <c r="FF109" s="432"/>
      <c r="FG109" s="432"/>
      <c r="FH109" s="432"/>
      <c r="FI109" s="432"/>
      <c r="FJ109" s="432"/>
      <c r="FK109" s="432"/>
      <c r="FL109" s="432"/>
      <c r="FM109" s="432"/>
      <c r="FN109" s="432"/>
      <c r="FO109" s="432"/>
      <c r="FP109" s="432"/>
      <c r="FQ109" s="432"/>
      <c r="FR109" s="432"/>
      <c r="FS109" s="432"/>
      <c r="FT109" s="432"/>
      <c r="FU109" s="432"/>
      <c r="FV109" s="432"/>
      <c r="FW109" s="432"/>
      <c r="FX109" s="432"/>
      <c r="FY109" s="432"/>
      <c r="FZ109" s="432"/>
      <c r="GA109" s="432"/>
      <c r="GB109" s="432"/>
      <c r="GC109" s="432"/>
      <c r="GD109" s="432"/>
      <c r="GE109" s="432"/>
      <c r="GF109" s="432"/>
      <c r="GG109" s="432"/>
      <c r="GH109" s="432"/>
      <c r="GI109" s="432"/>
      <c r="GJ109" s="432"/>
      <c r="GK109" s="432"/>
      <c r="GL109" s="432"/>
      <c r="GM109" s="432"/>
      <c r="GN109" s="432"/>
      <c r="GO109" s="432"/>
      <c r="GP109" s="432"/>
      <c r="GQ109" s="432"/>
      <c r="GR109" s="432"/>
      <c r="GS109" s="432"/>
      <c r="GT109" s="432"/>
      <c r="GU109" s="432"/>
      <c r="GV109" s="432"/>
      <c r="GW109" s="432"/>
      <c r="GX109" s="432"/>
      <c r="GY109" s="432"/>
      <c r="GZ109" s="432"/>
      <c r="HA109" s="432"/>
      <c r="HB109" s="432"/>
      <c r="HC109" s="432"/>
      <c r="HD109" s="432"/>
      <c r="HE109" s="432"/>
      <c r="HF109" s="432"/>
      <c r="HG109" s="432"/>
      <c r="HH109" s="432"/>
      <c r="HI109" s="432"/>
      <c r="HJ109" s="432"/>
      <c r="HK109" s="432"/>
      <c r="HL109" s="432"/>
      <c r="HM109" s="432"/>
      <c r="HN109" s="432"/>
      <c r="HO109" s="432"/>
      <c r="HP109" s="432"/>
      <c r="HQ109" s="432"/>
      <c r="HR109" s="432"/>
      <c r="HS109" s="432"/>
      <c r="HT109" s="432"/>
      <c r="HU109" s="432"/>
      <c r="HV109" s="432"/>
      <c r="HW109" s="432"/>
      <c r="HX109" s="432"/>
      <c r="HY109" s="432"/>
      <c r="HZ109" s="432"/>
      <c r="IA109" s="432"/>
      <c r="IB109" s="432"/>
      <c r="IC109" s="432"/>
      <c r="ID109" s="432"/>
      <c r="IE109" s="432"/>
      <c r="IF109" s="432"/>
      <c r="IG109" s="432"/>
      <c r="IH109" s="432"/>
      <c r="II109" s="432"/>
      <c r="IJ109" s="432"/>
      <c r="IK109" s="432"/>
      <c r="IL109" s="432"/>
      <c r="IM109" s="432"/>
      <c r="IN109" s="432"/>
      <c r="IO109" s="432"/>
      <c r="IP109" s="432"/>
      <c r="IQ109" s="432"/>
      <c r="IR109" s="432"/>
      <c r="IS109" s="432"/>
      <c r="IT109" s="432"/>
      <c r="IU109" s="432"/>
      <c r="IV109" s="432"/>
      <c r="IW109" s="432"/>
      <c r="IX109" s="432"/>
      <c r="IY109" s="432"/>
      <c r="IZ109" s="432"/>
      <c r="JA109" s="432"/>
      <c r="JB109" s="432"/>
      <c r="JC109" s="432"/>
      <c r="JD109" s="432"/>
      <c r="JE109" s="432"/>
      <c r="JF109" s="432"/>
      <c r="JG109" s="432"/>
      <c r="JH109" s="432"/>
      <c r="JI109" s="432"/>
      <c r="JJ109" s="432"/>
      <c r="JK109" s="432"/>
      <c r="JL109" s="432"/>
      <c r="JM109" s="432"/>
      <c r="JN109" s="432"/>
      <c r="JO109" s="432"/>
      <c r="JP109" s="432"/>
      <c r="JQ109" s="432"/>
      <c r="JR109" s="432"/>
      <c r="JS109" s="432"/>
      <c r="JT109" s="432"/>
      <c r="JU109" s="432"/>
      <c r="JV109" s="432"/>
      <c r="JW109" s="432"/>
      <c r="JX109" s="432"/>
      <c r="JY109" s="432"/>
      <c r="JZ109" s="432"/>
      <c r="KA109" s="432"/>
      <c r="KB109" s="432"/>
      <c r="KC109" s="432"/>
      <c r="KD109" s="432"/>
      <c r="KE109" s="432"/>
      <c r="KF109" s="432"/>
      <c r="KG109" s="432"/>
      <c r="KH109" s="432"/>
      <c r="KI109" s="432"/>
      <c r="KJ109" s="432"/>
      <c r="KK109" s="432"/>
      <c r="KL109" s="432"/>
      <c r="KM109" s="432"/>
      <c r="KN109" s="432"/>
      <c r="KO109" s="432"/>
      <c r="KP109" s="432"/>
      <c r="KQ109" s="432"/>
      <c r="KR109" s="432"/>
      <c r="KS109" s="432"/>
      <c r="KT109" s="432"/>
      <c r="KU109" s="432"/>
      <c r="KV109" s="432"/>
      <c r="KW109" s="432"/>
      <c r="KX109" s="432"/>
      <c r="KY109" s="432"/>
      <c r="KZ109" s="432"/>
      <c r="LA109" s="432"/>
      <c r="LB109" s="432"/>
      <c r="LC109" s="432"/>
      <c r="LD109" s="432"/>
      <c r="LE109" s="432"/>
      <c r="LF109" s="432"/>
      <c r="LG109" s="432"/>
      <c r="LH109" s="432"/>
      <c r="LI109" s="432"/>
      <c r="LJ109" s="432"/>
      <c r="LK109" s="432"/>
      <c r="LL109" s="432"/>
      <c r="LM109" s="432"/>
      <c r="LN109" s="432"/>
      <c r="LO109" s="432"/>
      <c r="LP109" s="432"/>
      <c r="LQ109" s="432"/>
      <c r="LR109" s="432"/>
      <c r="LS109" s="432"/>
      <c r="LT109" s="432"/>
      <c r="LU109" s="432"/>
      <c r="LV109" s="432"/>
      <c r="LW109" s="432"/>
      <c r="LX109" s="432"/>
      <c r="LY109" s="432"/>
      <c r="LZ109" s="432"/>
      <c r="MA109" s="432"/>
      <c r="MB109" s="432"/>
      <c r="MC109" s="432"/>
      <c r="MD109" s="432"/>
      <c r="ME109" s="432"/>
      <c r="MF109" s="432"/>
      <c r="MG109" s="432"/>
      <c r="MH109" s="432"/>
      <c r="MI109" s="432"/>
      <c r="MJ109" s="432"/>
      <c r="MK109" s="432"/>
      <c r="ML109" s="432"/>
      <c r="MM109" s="432"/>
      <c r="MN109" s="432"/>
      <c r="MO109" s="432"/>
      <c r="MP109" s="432"/>
      <c r="MQ109" s="432"/>
      <c r="MR109" s="432"/>
      <c r="MS109" s="432"/>
      <c r="MT109" s="432"/>
      <c r="MU109" s="432"/>
      <c r="MV109" s="432"/>
      <c r="MW109" s="432"/>
      <c r="MX109" s="432"/>
      <c r="MY109" s="432"/>
      <c r="MZ109" s="432"/>
      <c r="NA109" s="432"/>
      <c r="NB109" s="432"/>
      <c r="NC109" s="432"/>
      <c r="ND109" s="432"/>
      <c r="NE109" s="432"/>
      <c r="NF109" s="432"/>
      <c r="NG109" s="432"/>
      <c r="NH109" s="432"/>
      <c r="NI109" s="432"/>
      <c r="NJ109" s="432"/>
      <c r="NK109" s="432"/>
      <c r="NL109" s="432"/>
      <c r="NM109" s="432"/>
      <c r="NN109" s="432"/>
      <c r="NO109" s="432"/>
      <c r="NP109" s="432"/>
      <c r="NQ109" s="432"/>
      <c r="NR109" s="432"/>
      <c r="NS109" s="432"/>
      <c r="NT109" s="432"/>
      <c r="NU109" s="432"/>
      <c r="NV109" s="432"/>
      <c r="NW109" s="432"/>
      <c r="NX109" s="432"/>
      <c r="NY109" s="432"/>
      <c r="NZ109" s="432"/>
      <c r="OA109" s="432"/>
      <c r="OB109" s="432"/>
      <c r="OC109" s="432"/>
      <c r="OD109" s="432"/>
      <c r="OE109" s="432"/>
      <c r="OF109" s="432"/>
      <c r="OG109" s="432"/>
      <c r="OH109" s="432"/>
      <c r="OI109" s="432"/>
      <c r="OJ109" s="432"/>
      <c r="OK109" s="432"/>
      <c r="OL109" s="432"/>
      <c r="OM109" s="432"/>
      <c r="ON109" s="432"/>
      <c r="OO109" s="432"/>
      <c r="OP109" s="432"/>
      <c r="OQ109" s="432"/>
      <c r="OR109" s="432"/>
      <c r="OS109" s="432"/>
      <c r="OT109" s="432"/>
      <c r="OU109" s="432"/>
      <c r="OV109" s="432"/>
      <c r="OW109" s="432"/>
      <c r="OX109" s="432"/>
      <c r="OY109" s="432"/>
      <c r="OZ109" s="432"/>
      <c r="PA109" s="432"/>
      <c r="PB109" s="432"/>
      <c r="PC109" s="432"/>
      <c r="PD109" s="432"/>
      <c r="PE109" s="432"/>
      <c r="PF109" s="432"/>
      <c r="PG109" s="432"/>
      <c r="PH109" s="432"/>
      <c r="PI109" s="432"/>
      <c r="PJ109" s="432"/>
      <c r="PK109" s="432"/>
      <c r="PL109" s="432"/>
      <c r="PM109" s="432"/>
      <c r="PN109" s="432"/>
      <c r="PO109" s="432"/>
      <c r="PP109" s="432"/>
      <c r="PQ109" s="432"/>
      <c r="PR109" s="432"/>
      <c r="PS109" s="432"/>
      <c r="PT109" s="432"/>
      <c r="PU109" s="432"/>
      <c r="PV109" s="432"/>
      <c r="PW109" s="432"/>
      <c r="PX109" s="432"/>
      <c r="PY109" s="432"/>
      <c r="PZ109" s="432"/>
      <c r="QA109" s="432"/>
      <c r="QB109" s="432"/>
      <c r="QC109" s="432"/>
      <c r="QD109" s="432"/>
      <c r="QE109" s="432"/>
      <c r="QF109" s="432"/>
      <c r="QG109" s="432"/>
      <c r="QH109" s="432"/>
      <c r="QI109" s="432"/>
      <c r="QJ109" s="432"/>
      <c r="QK109" s="432"/>
      <c r="QL109" s="432"/>
      <c r="QM109" s="432"/>
      <c r="QN109" s="432"/>
      <c r="QO109" s="432"/>
      <c r="QP109" s="432"/>
      <c r="QQ109" s="432"/>
      <c r="QR109" s="432"/>
      <c r="QS109" s="432"/>
      <c r="QT109" s="432"/>
      <c r="QU109" s="432"/>
      <c r="QV109" s="432"/>
      <c r="QW109" s="432"/>
      <c r="QX109" s="432"/>
      <c r="QY109" s="432"/>
      <c r="QZ109" s="432"/>
      <c r="RA109" s="432"/>
      <c r="RB109" s="432"/>
      <c r="RC109" s="432"/>
      <c r="RD109" s="432"/>
      <c r="RE109" s="432"/>
      <c r="RF109" s="432"/>
      <c r="RG109" s="432"/>
      <c r="RH109" s="432"/>
      <c r="RI109" s="432"/>
      <c r="RJ109" s="432"/>
      <c r="RK109" s="432"/>
      <c r="RL109" s="432"/>
      <c r="RM109" s="432"/>
      <c r="RN109" s="432"/>
      <c r="RO109" s="432"/>
      <c r="RP109" s="432"/>
      <c r="RQ109" s="432"/>
      <c r="RR109" s="432"/>
      <c r="RS109" s="432"/>
      <c r="RT109" s="432"/>
      <c r="RU109" s="432"/>
      <c r="RV109" s="432"/>
      <c r="RW109" s="432"/>
      <c r="RX109" s="432"/>
      <c r="RY109" s="432"/>
      <c r="RZ109" s="432"/>
      <c r="SA109" s="432"/>
      <c r="SB109" s="432"/>
      <c r="SC109" s="432"/>
      <c r="SD109" s="432"/>
      <c r="SE109" s="432"/>
      <c r="SF109" s="432"/>
      <c r="SG109" s="432"/>
      <c r="SH109" s="432"/>
      <c r="SI109" s="432"/>
      <c r="SJ109" s="432"/>
      <c r="SK109" s="432"/>
      <c r="SL109" s="432"/>
      <c r="SM109" s="432"/>
      <c r="SN109" s="432"/>
      <c r="SO109" s="432"/>
      <c r="SP109" s="432"/>
      <c r="SQ109" s="432"/>
      <c r="SR109" s="432"/>
      <c r="SS109" s="432"/>
      <c r="ST109" s="432"/>
      <c r="SU109" s="432"/>
      <c r="SV109" s="432"/>
      <c r="SW109" s="432"/>
      <c r="SX109" s="432"/>
      <c r="SY109" s="432"/>
      <c r="SZ109" s="432"/>
      <c r="TA109" s="432"/>
      <c r="TB109" s="432"/>
      <c r="TC109" s="432"/>
      <c r="TD109" s="432"/>
      <c r="TE109" s="432"/>
      <c r="TF109" s="432"/>
      <c r="TG109" s="432"/>
      <c r="TH109" s="432"/>
      <c r="TI109" s="432"/>
      <c r="TJ109" s="432"/>
      <c r="TK109" s="432"/>
      <c r="TL109" s="432"/>
      <c r="TM109" s="432"/>
      <c r="TN109" s="432"/>
      <c r="TO109" s="432"/>
      <c r="TP109" s="432"/>
      <c r="TQ109" s="432"/>
      <c r="TR109" s="432"/>
      <c r="TS109" s="432"/>
      <c r="TT109" s="432"/>
      <c r="TU109" s="432"/>
      <c r="TV109" s="432"/>
      <c r="TW109" s="432"/>
      <c r="TX109" s="432"/>
      <c r="TY109" s="432"/>
      <c r="TZ109" s="432"/>
      <c r="UA109" s="432"/>
      <c r="UB109" s="432"/>
      <c r="UC109" s="432"/>
      <c r="UD109" s="432"/>
      <c r="UE109" s="432"/>
      <c r="UF109" s="432"/>
      <c r="UG109" s="432"/>
      <c r="UH109" s="432"/>
      <c r="UI109" s="432"/>
      <c r="UJ109" s="432"/>
      <c r="UK109" s="432"/>
      <c r="UL109" s="432"/>
      <c r="UM109" s="432"/>
      <c r="UN109" s="432"/>
      <c r="UO109" s="432"/>
      <c r="UP109" s="432"/>
      <c r="UQ109" s="432"/>
      <c r="UR109" s="432"/>
      <c r="US109" s="432"/>
      <c r="UT109" s="432"/>
      <c r="UU109" s="432"/>
      <c r="UV109" s="432"/>
      <c r="UW109" s="432"/>
      <c r="UX109" s="432"/>
      <c r="UY109" s="432"/>
      <c r="UZ109" s="432"/>
      <c r="VA109" s="432"/>
      <c r="VB109" s="432"/>
      <c r="VC109" s="432"/>
      <c r="VD109" s="432"/>
      <c r="VE109" s="432"/>
      <c r="VF109" s="432"/>
      <c r="VG109" s="432"/>
      <c r="VH109" s="432"/>
      <c r="VI109" s="432"/>
      <c r="VJ109" s="432"/>
      <c r="VK109" s="432"/>
      <c r="VL109" s="432"/>
      <c r="VM109" s="432"/>
      <c r="VN109" s="432"/>
      <c r="VO109" s="432"/>
      <c r="VP109" s="432"/>
      <c r="VQ109" s="432"/>
      <c r="VR109" s="432"/>
      <c r="VS109" s="432"/>
      <c r="VT109" s="432"/>
      <c r="VU109" s="432"/>
      <c r="VV109" s="432"/>
      <c r="VW109" s="432"/>
      <c r="VX109" s="432"/>
      <c r="VY109" s="432"/>
      <c r="VZ109" s="432"/>
      <c r="WA109" s="432"/>
      <c r="WB109" s="432"/>
    </row>
    <row r="110" spans="2:600" s="433" customFormat="1" ht="20" customHeight="1" x14ac:dyDescent="0.55000000000000004">
      <c r="B110" s="26"/>
      <c r="C110" s="214" t="s">
        <v>312</v>
      </c>
      <c r="D110" s="214"/>
      <c r="E110" s="214"/>
      <c r="F110" s="434"/>
      <c r="G110" s="435"/>
      <c r="H110" s="436"/>
      <c r="I110" s="436"/>
      <c r="J110" s="436"/>
      <c r="K110" s="437"/>
      <c r="L110" s="437"/>
      <c r="M110" s="437"/>
      <c r="N110" s="437"/>
      <c r="O110" s="437"/>
      <c r="P110" s="437"/>
      <c r="Q110" s="437"/>
      <c r="R110" s="438"/>
      <c r="S110" s="438"/>
      <c r="T110" s="438"/>
      <c r="U110" s="438"/>
      <c r="V110" s="439"/>
      <c r="W110" s="439"/>
      <c r="X110" s="439"/>
      <c r="Y110" s="439"/>
      <c r="Z110" s="439"/>
      <c r="AA110" s="439"/>
      <c r="AB110" s="439"/>
      <c r="AC110" s="439"/>
      <c r="AD110" s="439"/>
      <c r="AE110" s="439"/>
      <c r="AF110" s="439"/>
      <c r="AG110" s="439"/>
      <c r="AH110" s="440"/>
      <c r="AI110" s="440"/>
      <c r="AJ110" s="440"/>
      <c r="AK110" s="440"/>
      <c r="AL110" s="441"/>
      <c r="AM110" s="441"/>
      <c r="AN110" s="441"/>
      <c r="AO110" s="441"/>
      <c r="AP110" s="441"/>
      <c r="AQ110" s="441"/>
      <c r="AR110" s="442"/>
      <c r="AS110" s="443"/>
      <c r="AT110" s="443"/>
      <c r="AU110" s="443"/>
      <c r="AV110" s="443"/>
      <c r="AW110" s="443"/>
      <c r="AX110" s="443"/>
      <c r="AY110" s="443"/>
      <c r="AZ110" s="258"/>
      <c r="BA110" s="258"/>
      <c r="BB110" s="258"/>
      <c r="BC110" s="258"/>
      <c r="BD110" s="258"/>
      <c r="BE110" s="258"/>
      <c r="BF110" s="258"/>
      <c r="BG110" s="258"/>
      <c r="BH110" s="258"/>
      <c r="BI110" s="259"/>
      <c r="BJ110" s="259"/>
      <c r="BK110" s="259"/>
      <c r="BL110" s="259"/>
      <c r="BM110" s="259"/>
      <c r="BN110" s="259"/>
      <c r="BO110" s="247"/>
      <c r="BP110" s="247"/>
      <c r="BQ110" s="247"/>
      <c r="BR110" s="247"/>
      <c r="BS110" s="247"/>
      <c r="BT110" s="247"/>
      <c r="BU110" s="444"/>
      <c r="BV110" s="444"/>
      <c r="BW110" s="444"/>
      <c r="BX110" s="444"/>
      <c r="BY110" s="432"/>
      <c r="BZ110" s="432"/>
      <c r="CA110" s="432"/>
      <c r="CB110" s="432"/>
      <c r="CC110" s="432"/>
      <c r="CD110" s="432"/>
      <c r="CE110" s="432"/>
      <c r="CF110" s="432"/>
      <c r="CG110" s="432"/>
      <c r="CH110" s="432"/>
      <c r="CI110" s="432"/>
      <c r="CJ110" s="432"/>
      <c r="CK110" s="432"/>
      <c r="CL110" s="432"/>
      <c r="CM110" s="432"/>
      <c r="CN110" s="432"/>
      <c r="CO110" s="432"/>
      <c r="CP110" s="432"/>
      <c r="CQ110" s="432"/>
      <c r="CR110" s="432"/>
      <c r="CS110" s="432"/>
      <c r="CT110" s="432"/>
      <c r="CU110" s="432"/>
      <c r="CV110" s="432"/>
      <c r="CW110" s="432"/>
      <c r="CX110" s="432"/>
      <c r="CY110" s="432"/>
      <c r="CZ110" s="432"/>
      <c r="DA110" s="432"/>
      <c r="DB110" s="432"/>
      <c r="DC110" s="432"/>
      <c r="DD110" s="432"/>
      <c r="DE110" s="432"/>
      <c r="DF110" s="432"/>
      <c r="DG110" s="432"/>
      <c r="DH110" s="432"/>
      <c r="DI110" s="432"/>
      <c r="DJ110" s="432"/>
      <c r="DK110" s="432"/>
      <c r="DL110" s="432"/>
      <c r="DM110" s="432"/>
      <c r="DN110" s="432"/>
      <c r="DO110" s="432"/>
      <c r="DP110" s="432"/>
      <c r="DQ110" s="432"/>
      <c r="DR110" s="432"/>
      <c r="DS110" s="432"/>
      <c r="DT110" s="432"/>
      <c r="DU110" s="432"/>
      <c r="DV110" s="432"/>
      <c r="DW110" s="432"/>
      <c r="DX110" s="432"/>
      <c r="DY110" s="432"/>
      <c r="DZ110" s="432"/>
      <c r="EA110" s="432"/>
      <c r="EB110" s="432"/>
      <c r="EC110" s="432"/>
      <c r="ED110" s="432"/>
      <c r="EE110" s="432"/>
      <c r="EF110" s="432"/>
      <c r="EG110" s="432"/>
      <c r="EH110" s="432"/>
      <c r="EI110" s="432"/>
      <c r="EJ110" s="432"/>
      <c r="EK110" s="432"/>
      <c r="EL110" s="432"/>
      <c r="EM110" s="432"/>
      <c r="EN110" s="432"/>
      <c r="EO110" s="432"/>
      <c r="EP110" s="432"/>
      <c r="EQ110" s="432"/>
      <c r="ER110" s="432"/>
      <c r="ES110" s="432"/>
      <c r="ET110" s="432"/>
      <c r="EU110" s="432"/>
      <c r="EV110" s="432"/>
      <c r="EW110" s="432"/>
      <c r="EX110" s="432"/>
      <c r="EY110" s="432"/>
      <c r="EZ110" s="432"/>
      <c r="FA110" s="432"/>
      <c r="FB110" s="432"/>
      <c r="FC110" s="432"/>
      <c r="FD110" s="432"/>
      <c r="FE110" s="432"/>
      <c r="FF110" s="432"/>
      <c r="FG110" s="432"/>
      <c r="FH110" s="432"/>
      <c r="FI110" s="432"/>
      <c r="FJ110" s="432"/>
      <c r="FK110" s="432"/>
      <c r="FL110" s="432"/>
      <c r="FM110" s="432"/>
      <c r="FN110" s="432"/>
      <c r="FO110" s="432"/>
      <c r="FP110" s="432"/>
      <c r="FQ110" s="432"/>
      <c r="FR110" s="432"/>
      <c r="FS110" s="432"/>
      <c r="FT110" s="432"/>
      <c r="FU110" s="432"/>
      <c r="FV110" s="432"/>
      <c r="FW110" s="432"/>
      <c r="FX110" s="432"/>
      <c r="FY110" s="432"/>
      <c r="FZ110" s="432"/>
      <c r="GA110" s="432"/>
      <c r="GB110" s="432"/>
      <c r="GC110" s="432"/>
      <c r="GD110" s="432"/>
      <c r="GE110" s="432"/>
      <c r="GF110" s="432"/>
      <c r="GG110" s="432"/>
      <c r="GH110" s="432"/>
      <c r="GI110" s="432"/>
      <c r="GJ110" s="432"/>
      <c r="GK110" s="432"/>
      <c r="GL110" s="432"/>
      <c r="GM110" s="432"/>
      <c r="GN110" s="432"/>
      <c r="GO110" s="432"/>
      <c r="GP110" s="432"/>
      <c r="GQ110" s="432"/>
      <c r="GR110" s="432"/>
      <c r="GS110" s="432"/>
      <c r="GT110" s="432"/>
      <c r="GU110" s="432"/>
      <c r="GV110" s="432"/>
      <c r="GW110" s="432"/>
      <c r="GX110" s="432"/>
      <c r="GY110" s="432"/>
      <c r="GZ110" s="432"/>
      <c r="HA110" s="432"/>
      <c r="HB110" s="432"/>
      <c r="HC110" s="432"/>
      <c r="HD110" s="432"/>
      <c r="HE110" s="432"/>
      <c r="HF110" s="432"/>
      <c r="HG110" s="432"/>
      <c r="HH110" s="432"/>
      <c r="HI110" s="432"/>
      <c r="HJ110" s="432"/>
      <c r="HK110" s="432"/>
      <c r="HL110" s="432"/>
      <c r="HM110" s="432"/>
      <c r="HN110" s="432"/>
      <c r="HO110" s="432"/>
      <c r="HP110" s="432"/>
      <c r="HQ110" s="432"/>
      <c r="HR110" s="432"/>
      <c r="HS110" s="432"/>
      <c r="HT110" s="432"/>
      <c r="HU110" s="432"/>
      <c r="HV110" s="432"/>
      <c r="HW110" s="432"/>
      <c r="HX110" s="432"/>
      <c r="HY110" s="432"/>
      <c r="HZ110" s="432"/>
      <c r="IA110" s="432"/>
      <c r="IB110" s="432"/>
      <c r="IC110" s="432"/>
      <c r="ID110" s="432"/>
      <c r="IE110" s="432"/>
      <c r="IF110" s="432"/>
      <c r="IG110" s="432"/>
      <c r="IH110" s="432"/>
      <c r="II110" s="432"/>
      <c r="IJ110" s="432"/>
      <c r="IK110" s="432"/>
      <c r="IL110" s="432"/>
      <c r="IM110" s="432"/>
      <c r="IN110" s="432"/>
      <c r="IO110" s="432"/>
      <c r="IP110" s="432"/>
      <c r="IQ110" s="432"/>
      <c r="IR110" s="432"/>
      <c r="IS110" s="432"/>
      <c r="IT110" s="432"/>
      <c r="IU110" s="432"/>
      <c r="IV110" s="432"/>
      <c r="IW110" s="432"/>
      <c r="IX110" s="432"/>
      <c r="IY110" s="432"/>
      <c r="IZ110" s="432"/>
      <c r="JA110" s="432"/>
      <c r="JB110" s="432"/>
      <c r="JC110" s="432"/>
      <c r="JD110" s="432"/>
      <c r="JE110" s="432"/>
      <c r="JF110" s="432"/>
      <c r="JG110" s="432"/>
      <c r="JH110" s="432"/>
      <c r="JI110" s="432"/>
      <c r="JJ110" s="432"/>
      <c r="JK110" s="432"/>
      <c r="JL110" s="432"/>
      <c r="JM110" s="432"/>
      <c r="JN110" s="432"/>
      <c r="JO110" s="432"/>
      <c r="JP110" s="432"/>
      <c r="JQ110" s="432"/>
      <c r="JR110" s="432"/>
      <c r="JS110" s="432"/>
      <c r="JT110" s="432"/>
      <c r="JU110" s="432"/>
      <c r="JV110" s="432"/>
      <c r="JW110" s="432"/>
      <c r="JX110" s="432"/>
      <c r="JY110" s="432"/>
      <c r="JZ110" s="432"/>
      <c r="KA110" s="432"/>
      <c r="KB110" s="432"/>
      <c r="KC110" s="432"/>
      <c r="KD110" s="432"/>
      <c r="KE110" s="432"/>
      <c r="KF110" s="432"/>
      <c r="KG110" s="432"/>
      <c r="KH110" s="432"/>
      <c r="KI110" s="432"/>
      <c r="KJ110" s="432"/>
      <c r="KK110" s="432"/>
      <c r="KL110" s="432"/>
      <c r="KM110" s="432"/>
      <c r="KN110" s="432"/>
      <c r="KO110" s="432"/>
      <c r="KP110" s="432"/>
      <c r="KQ110" s="432"/>
      <c r="KR110" s="432"/>
      <c r="KS110" s="432"/>
      <c r="KT110" s="432"/>
      <c r="KU110" s="432"/>
      <c r="KV110" s="432"/>
      <c r="KW110" s="432"/>
      <c r="KX110" s="432"/>
      <c r="KY110" s="432"/>
      <c r="KZ110" s="432"/>
      <c r="LA110" s="432"/>
      <c r="LB110" s="432"/>
      <c r="LC110" s="432"/>
      <c r="LD110" s="432"/>
      <c r="LE110" s="432"/>
      <c r="LF110" s="432"/>
      <c r="LG110" s="432"/>
      <c r="LH110" s="432"/>
      <c r="LI110" s="432"/>
      <c r="LJ110" s="432"/>
      <c r="LK110" s="432"/>
      <c r="LL110" s="432"/>
      <c r="LM110" s="432"/>
      <c r="LN110" s="432"/>
      <c r="LO110" s="432"/>
      <c r="LP110" s="432"/>
      <c r="LQ110" s="432"/>
      <c r="LR110" s="432"/>
      <c r="LS110" s="432"/>
      <c r="LT110" s="432"/>
      <c r="LU110" s="432"/>
      <c r="LV110" s="432"/>
      <c r="LW110" s="432"/>
      <c r="LX110" s="432"/>
      <c r="LY110" s="432"/>
      <c r="LZ110" s="432"/>
      <c r="MA110" s="432"/>
      <c r="MB110" s="432"/>
      <c r="MC110" s="432"/>
      <c r="MD110" s="432"/>
      <c r="ME110" s="432"/>
      <c r="MF110" s="432"/>
      <c r="MG110" s="432"/>
      <c r="MH110" s="432"/>
      <c r="MI110" s="432"/>
      <c r="MJ110" s="432"/>
      <c r="MK110" s="432"/>
      <c r="ML110" s="432"/>
      <c r="MM110" s="432"/>
      <c r="MN110" s="432"/>
      <c r="MO110" s="432"/>
      <c r="MP110" s="432"/>
      <c r="MQ110" s="432"/>
      <c r="MR110" s="432"/>
      <c r="MS110" s="432"/>
      <c r="MT110" s="432"/>
      <c r="MU110" s="432"/>
      <c r="MV110" s="432"/>
      <c r="MW110" s="432"/>
      <c r="MX110" s="432"/>
      <c r="MY110" s="432"/>
      <c r="MZ110" s="432"/>
      <c r="NA110" s="432"/>
      <c r="NB110" s="432"/>
      <c r="NC110" s="432"/>
      <c r="ND110" s="432"/>
      <c r="NE110" s="432"/>
      <c r="NF110" s="432"/>
      <c r="NG110" s="432"/>
      <c r="NH110" s="432"/>
      <c r="NI110" s="432"/>
      <c r="NJ110" s="432"/>
      <c r="NK110" s="432"/>
      <c r="NL110" s="432"/>
      <c r="NM110" s="432"/>
      <c r="NN110" s="432"/>
      <c r="NO110" s="432"/>
      <c r="NP110" s="432"/>
      <c r="NQ110" s="432"/>
      <c r="NR110" s="432"/>
      <c r="NS110" s="432"/>
      <c r="NT110" s="432"/>
      <c r="NU110" s="432"/>
      <c r="NV110" s="432"/>
      <c r="NW110" s="432"/>
      <c r="NX110" s="432"/>
      <c r="NY110" s="432"/>
      <c r="NZ110" s="432"/>
      <c r="OA110" s="432"/>
      <c r="OB110" s="432"/>
      <c r="OC110" s="432"/>
      <c r="OD110" s="432"/>
      <c r="OE110" s="432"/>
      <c r="OF110" s="432"/>
      <c r="OG110" s="432"/>
      <c r="OH110" s="432"/>
      <c r="OI110" s="432"/>
      <c r="OJ110" s="432"/>
      <c r="OK110" s="432"/>
      <c r="OL110" s="432"/>
      <c r="OM110" s="432"/>
      <c r="ON110" s="432"/>
      <c r="OO110" s="432"/>
      <c r="OP110" s="432"/>
      <c r="OQ110" s="432"/>
      <c r="OR110" s="432"/>
      <c r="OS110" s="432"/>
      <c r="OT110" s="432"/>
      <c r="OU110" s="432"/>
      <c r="OV110" s="432"/>
      <c r="OW110" s="432"/>
      <c r="OX110" s="432"/>
      <c r="OY110" s="432"/>
      <c r="OZ110" s="432"/>
      <c r="PA110" s="432"/>
      <c r="PB110" s="432"/>
      <c r="PC110" s="432"/>
      <c r="PD110" s="432"/>
      <c r="PE110" s="432"/>
      <c r="PF110" s="432"/>
      <c r="PG110" s="432"/>
      <c r="PH110" s="432"/>
      <c r="PI110" s="432"/>
      <c r="PJ110" s="432"/>
      <c r="PK110" s="432"/>
      <c r="PL110" s="432"/>
      <c r="PM110" s="432"/>
      <c r="PN110" s="432"/>
      <c r="PO110" s="432"/>
      <c r="PP110" s="432"/>
      <c r="PQ110" s="432"/>
      <c r="PR110" s="432"/>
      <c r="PS110" s="432"/>
      <c r="PT110" s="432"/>
      <c r="PU110" s="432"/>
      <c r="PV110" s="432"/>
      <c r="PW110" s="432"/>
      <c r="PX110" s="432"/>
      <c r="PY110" s="432"/>
      <c r="PZ110" s="432"/>
      <c r="QA110" s="432"/>
      <c r="QB110" s="432"/>
      <c r="QC110" s="432"/>
      <c r="QD110" s="432"/>
      <c r="QE110" s="432"/>
      <c r="QF110" s="432"/>
      <c r="QG110" s="432"/>
      <c r="QH110" s="432"/>
      <c r="QI110" s="432"/>
      <c r="QJ110" s="432"/>
      <c r="QK110" s="432"/>
      <c r="QL110" s="432"/>
      <c r="QM110" s="432"/>
      <c r="QN110" s="432"/>
      <c r="QO110" s="432"/>
      <c r="QP110" s="432"/>
      <c r="QQ110" s="432"/>
      <c r="QR110" s="432"/>
      <c r="QS110" s="432"/>
      <c r="QT110" s="432"/>
      <c r="QU110" s="432"/>
      <c r="QV110" s="432"/>
      <c r="QW110" s="432"/>
      <c r="QX110" s="432"/>
      <c r="QY110" s="432"/>
      <c r="QZ110" s="432"/>
      <c r="RA110" s="432"/>
      <c r="RB110" s="432"/>
      <c r="RC110" s="432"/>
      <c r="RD110" s="432"/>
      <c r="RE110" s="432"/>
      <c r="RF110" s="432"/>
      <c r="RG110" s="432"/>
      <c r="RH110" s="432"/>
      <c r="RI110" s="432"/>
      <c r="RJ110" s="432"/>
      <c r="RK110" s="432"/>
      <c r="RL110" s="432"/>
      <c r="RM110" s="432"/>
      <c r="RN110" s="432"/>
      <c r="RO110" s="432"/>
      <c r="RP110" s="432"/>
      <c r="RQ110" s="432"/>
      <c r="RR110" s="432"/>
      <c r="RS110" s="432"/>
      <c r="RT110" s="432"/>
      <c r="RU110" s="432"/>
      <c r="RV110" s="432"/>
      <c r="RW110" s="432"/>
      <c r="RX110" s="432"/>
      <c r="RY110" s="432"/>
      <c r="RZ110" s="432"/>
      <c r="SA110" s="432"/>
      <c r="SB110" s="432"/>
      <c r="SC110" s="432"/>
      <c r="SD110" s="432"/>
      <c r="SE110" s="432"/>
      <c r="SF110" s="432"/>
      <c r="SG110" s="432"/>
      <c r="SH110" s="432"/>
      <c r="SI110" s="432"/>
      <c r="SJ110" s="432"/>
      <c r="SK110" s="432"/>
      <c r="SL110" s="432"/>
      <c r="SM110" s="432"/>
      <c r="SN110" s="432"/>
      <c r="SO110" s="432"/>
      <c r="SP110" s="432"/>
      <c r="SQ110" s="432"/>
      <c r="SR110" s="432"/>
      <c r="SS110" s="432"/>
      <c r="ST110" s="432"/>
      <c r="SU110" s="432"/>
      <c r="SV110" s="432"/>
      <c r="SW110" s="432"/>
      <c r="SX110" s="432"/>
      <c r="SY110" s="432"/>
      <c r="SZ110" s="432"/>
      <c r="TA110" s="432"/>
      <c r="TB110" s="432"/>
      <c r="TC110" s="432"/>
      <c r="TD110" s="432"/>
      <c r="TE110" s="432"/>
      <c r="TF110" s="432"/>
      <c r="TG110" s="432"/>
      <c r="TH110" s="432"/>
      <c r="TI110" s="432"/>
      <c r="TJ110" s="432"/>
      <c r="TK110" s="432"/>
      <c r="TL110" s="432"/>
      <c r="TM110" s="432"/>
      <c r="TN110" s="432"/>
      <c r="TO110" s="432"/>
      <c r="TP110" s="432"/>
      <c r="TQ110" s="432"/>
      <c r="TR110" s="432"/>
      <c r="TS110" s="432"/>
      <c r="TT110" s="432"/>
      <c r="TU110" s="432"/>
      <c r="TV110" s="432"/>
      <c r="TW110" s="432"/>
      <c r="TX110" s="432"/>
      <c r="TY110" s="432"/>
      <c r="TZ110" s="432"/>
      <c r="UA110" s="432"/>
      <c r="UB110" s="432"/>
      <c r="UC110" s="432"/>
      <c r="UD110" s="432"/>
      <c r="UE110" s="432"/>
      <c r="UF110" s="432"/>
      <c r="UG110" s="432"/>
      <c r="UH110" s="432"/>
      <c r="UI110" s="432"/>
      <c r="UJ110" s="432"/>
      <c r="UK110" s="432"/>
      <c r="UL110" s="432"/>
      <c r="UM110" s="432"/>
      <c r="UN110" s="432"/>
      <c r="UO110" s="432"/>
      <c r="UP110" s="432"/>
      <c r="UQ110" s="432"/>
      <c r="UR110" s="432"/>
      <c r="US110" s="432"/>
      <c r="UT110" s="432"/>
      <c r="UU110" s="432"/>
      <c r="UV110" s="432"/>
      <c r="UW110" s="432"/>
      <c r="UX110" s="432"/>
      <c r="UY110" s="432"/>
      <c r="UZ110" s="432"/>
      <c r="VA110" s="432"/>
      <c r="VB110" s="432"/>
      <c r="VC110" s="432"/>
      <c r="VD110" s="432"/>
      <c r="VE110" s="432"/>
      <c r="VF110" s="432"/>
      <c r="VG110" s="432"/>
      <c r="VH110" s="432"/>
      <c r="VI110" s="432"/>
      <c r="VJ110" s="432"/>
      <c r="VK110" s="432"/>
      <c r="VL110" s="432"/>
      <c r="VM110" s="432"/>
      <c r="VN110" s="432"/>
      <c r="VO110" s="432"/>
      <c r="VP110" s="432"/>
      <c r="VQ110" s="432"/>
      <c r="VR110" s="432"/>
      <c r="VS110" s="432"/>
      <c r="VT110" s="432"/>
      <c r="VU110" s="432"/>
      <c r="VV110" s="432"/>
      <c r="VW110" s="432"/>
      <c r="VX110" s="432"/>
      <c r="VY110" s="432"/>
      <c r="VZ110" s="432"/>
      <c r="WA110" s="432"/>
      <c r="WB110" s="432"/>
    </row>
    <row r="111" spans="2:600" ht="19" hidden="1" customHeight="1" x14ac:dyDescent="0.35">
      <c r="B111" s="445"/>
      <c r="C111" s="446"/>
      <c r="D111" s="447"/>
      <c r="E111" s="447"/>
      <c r="G111" s="224"/>
      <c r="H111" s="224"/>
      <c r="I111" s="224"/>
      <c r="J111" s="449"/>
      <c r="K111" s="449"/>
      <c r="L111" s="449"/>
      <c r="M111" s="449"/>
      <c r="N111" s="449"/>
      <c r="O111" s="449"/>
      <c r="P111" s="449"/>
      <c r="Q111" s="449"/>
      <c r="R111" s="449"/>
      <c r="S111" s="449"/>
      <c r="T111" s="449"/>
      <c r="U111" s="449"/>
      <c r="V111" s="449"/>
      <c r="W111" s="449"/>
      <c r="X111" s="449"/>
      <c r="Y111" s="449"/>
      <c r="Z111" s="449"/>
      <c r="AA111" s="449"/>
      <c r="AB111" s="449"/>
      <c r="AC111" s="449"/>
      <c r="AD111" s="449"/>
      <c r="AE111" s="449"/>
      <c r="AF111" s="449"/>
      <c r="AG111" s="449"/>
      <c r="AH111" s="449"/>
      <c r="AI111" s="449"/>
      <c r="AJ111" s="449"/>
      <c r="AK111" s="449"/>
      <c r="AL111" s="449"/>
      <c r="AM111" s="449"/>
      <c r="AN111" s="449"/>
      <c r="AO111" s="449"/>
      <c r="AP111" s="450"/>
      <c r="AQ111" s="450"/>
      <c r="AR111" s="450"/>
      <c r="AS111" s="449"/>
      <c r="AT111" s="449"/>
      <c r="AU111" s="449"/>
      <c r="AV111" s="449"/>
      <c r="AW111" s="449"/>
      <c r="AX111" s="449"/>
      <c r="AY111" s="449"/>
      <c r="AZ111" s="449"/>
      <c r="BA111" s="449"/>
      <c r="BB111" s="449"/>
      <c r="BC111" s="449"/>
      <c r="BD111" s="449"/>
      <c r="BE111" s="449"/>
      <c r="BF111" s="449"/>
      <c r="BG111" s="449"/>
      <c r="BH111" s="449"/>
      <c r="BI111" s="449"/>
      <c r="BJ111" s="449"/>
      <c r="BK111" s="449"/>
      <c r="BL111" s="449"/>
      <c r="BM111" s="449"/>
      <c r="BN111" s="449"/>
      <c r="BO111" s="449"/>
      <c r="BP111" s="449"/>
      <c r="BQ111" s="449"/>
      <c r="BR111" s="449"/>
      <c r="BS111" s="449"/>
      <c r="BT111" s="449"/>
      <c r="BU111" s="449"/>
      <c r="BV111" s="449"/>
      <c r="BW111" s="449"/>
      <c r="BX111" s="449"/>
    </row>
    <row r="112" spans="2:600" s="455" customFormat="1" ht="18" hidden="1" customHeight="1" x14ac:dyDescent="0.35">
      <c r="B112" s="445"/>
      <c r="C112" s="451"/>
      <c r="D112" s="451"/>
      <c r="E112" s="452"/>
      <c r="F112" s="453"/>
      <c r="G112" s="451"/>
      <c r="H112" s="451"/>
      <c r="I112" s="451"/>
      <c r="J112" s="451"/>
      <c r="K112" s="451"/>
      <c r="L112" s="451"/>
      <c r="M112" s="451"/>
      <c r="N112" s="451"/>
      <c r="O112" s="451"/>
      <c r="P112" s="451"/>
      <c r="Q112" s="451"/>
      <c r="R112" s="451"/>
      <c r="S112" s="451"/>
      <c r="T112" s="451"/>
      <c r="U112" s="451"/>
      <c r="V112" s="451"/>
      <c r="W112" s="451"/>
      <c r="X112" s="451"/>
      <c r="Y112" s="451"/>
      <c r="Z112" s="451"/>
      <c r="AA112" s="451"/>
      <c r="AB112" s="451"/>
      <c r="AC112" s="451"/>
      <c r="AD112" s="451"/>
      <c r="AE112" s="451"/>
      <c r="AF112" s="451"/>
      <c r="AG112" s="451"/>
      <c r="AH112" s="451"/>
      <c r="AI112" s="451"/>
      <c r="AJ112" s="451"/>
      <c r="AK112" s="451"/>
      <c r="AL112" s="451"/>
      <c r="AM112" s="451"/>
      <c r="AN112" s="451"/>
      <c r="AO112" s="451"/>
      <c r="AP112" s="454"/>
      <c r="AQ112" s="454"/>
      <c r="AR112" s="454"/>
      <c r="AS112" s="451"/>
      <c r="AT112" s="451"/>
      <c r="AU112" s="451"/>
      <c r="AV112" s="451"/>
      <c r="AW112" s="451"/>
      <c r="AX112" s="451"/>
      <c r="AY112" s="451"/>
      <c r="AZ112" s="451"/>
      <c r="BA112" s="451"/>
      <c r="BB112" s="451"/>
      <c r="BC112" s="451"/>
      <c r="BD112" s="451"/>
      <c r="BE112" s="451"/>
      <c r="BF112" s="451"/>
      <c r="BG112" s="451"/>
      <c r="BH112" s="451"/>
      <c r="BI112" s="451"/>
      <c r="BJ112" s="451"/>
      <c r="BK112" s="451"/>
      <c r="BL112" s="451"/>
      <c r="BM112" s="451"/>
      <c r="BN112" s="451"/>
      <c r="BO112" s="451"/>
      <c r="BP112" s="451"/>
      <c r="BQ112" s="451"/>
      <c r="BR112" s="451"/>
      <c r="BS112" s="451"/>
      <c r="BT112" s="451"/>
      <c r="BU112" s="451"/>
      <c r="BV112" s="451"/>
      <c r="BW112" s="451"/>
      <c r="BX112" s="451"/>
    </row>
    <row r="113" spans="1:600" ht="29" hidden="1" customHeight="1" x14ac:dyDescent="0.35">
      <c r="A113" s="262"/>
      <c r="B113" s="445"/>
      <c r="C113" s="456"/>
      <c r="D113" s="457"/>
      <c r="E113" s="458"/>
      <c r="F113" s="316"/>
      <c r="G113" s="234" t="s">
        <v>24</v>
      </c>
      <c r="H113" s="235" t="s">
        <v>25</v>
      </c>
      <c r="I113" s="236" t="s">
        <v>26</v>
      </c>
      <c r="J113" s="236" t="s">
        <v>27</v>
      </c>
      <c r="K113" s="237" t="s">
        <v>21</v>
      </c>
      <c r="L113" s="237" t="s">
        <v>40</v>
      </c>
      <c r="M113" s="237" t="s">
        <v>41</v>
      </c>
      <c r="N113" s="237" t="s">
        <v>42</v>
      </c>
      <c r="O113" s="237" t="s">
        <v>43</v>
      </c>
      <c r="P113" s="237" t="s">
        <v>44</v>
      </c>
      <c r="Q113" s="237" t="s">
        <v>45</v>
      </c>
      <c r="R113" s="238" t="s">
        <v>7</v>
      </c>
      <c r="S113" s="238" t="s">
        <v>8</v>
      </c>
      <c r="T113" s="238" t="s">
        <v>9</v>
      </c>
      <c r="U113" s="238" t="s">
        <v>10</v>
      </c>
      <c r="V113" s="239" t="s">
        <v>36</v>
      </c>
      <c r="W113" s="240" t="s">
        <v>46</v>
      </c>
      <c r="X113" s="239" t="s">
        <v>37</v>
      </c>
      <c r="Y113" s="240" t="s">
        <v>46</v>
      </c>
      <c r="Z113" s="239" t="s">
        <v>38</v>
      </c>
      <c r="AA113" s="240" t="s">
        <v>46</v>
      </c>
      <c r="AB113" s="239" t="s">
        <v>39</v>
      </c>
      <c r="AC113" s="240" t="s">
        <v>46</v>
      </c>
      <c r="AD113" s="241" t="s">
        <v>28</v>
      </c>
      <c r="AE113" s="241" t="s">
        <v>51</v>
      </c>
      <c r="AF113" s="241" t="s">
        <v>22</v>
      </c>
      <c r="AG113" s="241" t="s">
        <v>29</v>
      </c>
      <c r="AH113" s="242" t="s">
        <v>47</v>
      </c>
      <c r="AI113" s="242" t="s">
        <v>48</v>
      </c>
      <c r="AJ113" s="242" t="s">
        <v>49</v>
      </c>
      <c r="AK113" s="242" t="s">
        <v>50</v>
      </c>
      <c r="AL113" s="459" t="s">
        <v>35</v>
      </c>
      <c r="AM113" s="459" t="s">
        <v>30</v>
      </c>
      <c r="AN113" s="459" t="s">
        <v>31</v>
      </c>
      <c r="AO113" s="459" t="s">
        <v>32</v>
      </c>
      <c r="AP113" s="459" t="s">
        <v>33</v>
      </c>
      <c r="AQ113" s="459" t="s">
        <v>34</v>
      </c>
      <c r="AR113" s="243" t="s">
        <v>23</v>
      </c>
      <c r="AS113" s="244" t="s">
        <v>58</v>
      </c>
      <c r="AT113" s="244" t="s">
        <v>52</v>
      </c>
      <c r="AU113" s="244" t="s">
        <v>53</v>
      </c>
      <c r="AV113" s="244" t="s">
        <v>54</v>
      </c>
      <c r="AW113" s="244" t="s">
        <v>55</v>
      </c>
      <c r="AX113" s="244" t="s">
        <v>56</v>
      </c>
      <c r="AY113" s="244" t="s">
        <v>57</v>
      </c>
      <c r="AZ113" s="245" t="s">
        <v>59</v>
      </c>
      <c r="BA113" s="245" t="s">
        <v>60</v>
      </c>
      <c r="BB113" s="245" t="s">
        <v>61</v>
      </c>
      <c r="BC113" s="245" t="s">
        <v>62</v>
      </c>
      <c r="BD113" s="245" t="s">
        <v>63</v>
      </c>
      <c r="BE113" s="245" t="s">
        <v>64</v>
      </c>
      <c r="BF113" s="245" t="s">
        <v>65</v>
      </c>
      <c r="BG113" s="245" t="s">
        <v>66</v>
      </c>
      <c r="BH113" s="245" t="s">
        <v>67</v>
      </c>
      <c r="BI113" s="246" t="s">
        <v>11</v>
      </c>
      <c r="BJ113" s="246" t="s">
        <v>12</v>
      </c>
      <c r="BK113" s="246" t="s">
        <v>13</v>
      </c>
      <c r="BL113" s="246" t="s">
        <v>14</v>
      </c>
      <c r="BM113" s="246" t="s">
        <v>15</v>
      </c>
      <c r="BN113" s="246" t="s">
        <v>16</v>
      </c>
      <c r="BO113" s="247" t="s">
        <v>1</v>
      </c>
      <c r="BP113" s="247" t="s">
        <v>2</v>
      </c>
      <c r="BQ113" s="247" t="s">
        <v>3</v>
      </c>
      <c r="BR113" s="247" t="s">
        <v>4</v>
      </c>
      <c r="BS113" s="247" t="s">
        <v>5</v>
      </c>
      <c r="BT113" s="247" t="s">
        <v>6</v>
      </c>
      <c r="BU113" s="248" t="s">
        <v>17</v>
      </c>
      <c r="BV113" s="248" t="s">
        <v>18</v>
      </c>
      <c r="BW113" s="248" t="s">
        <v>19</v>
      </c>
      <c r="BX113" s="248" t="s">
        <v>20</v>
      </c>
    </row>
    <row r="114" spans="1:600" ht="28" x14ac:dyDescent="0.35">
      <c r="A114" s="262"/>
      <c r="B114" s="445"/>
      <c r="C114" s="456"/>
      <c r="D114" s="457"/>
      <c r="E114" s="458"/>
      <c r="F114" s="316"/>
      <c r="G114" s="460"/>
      <c r="H114" s="460"/>
      <c r="I114" s="460"/>
      <c r="J114" s="460"/>
      <c r="K114" s="250"/>
      <c r="L114" s="237"/>
      <c r="M114" s="237"/>
      <c r="N114" s="237"/>
      <c r="O114" s="237"/>
      <c r="P114" s="237"/>
      <c r="Q114" s="237"/>
      <c r="R114" s="251"/>
      <c r="S114" s="251"/>
      <c r="T114" s="251"/>
      <c r="U114" s="251"/>
      <c r="V114" s="252"/>
      <c r="W114" s="253" t="s">
        <v>68</v>
      </c>
      <c r="X114" s="252"/>
      <c r="Y114" s="253" t="s">
        <v>69</v>
      </c>
      <c r="Z114" s="252"/>
      <c r="AA114" s="253" t="s">
        <v>70</v>
      </c>
      <c r="AB114" s="252"/>
      <c r="AC114" s="253" t="s">
        <v>71</v>
      </c>
      <c r="AD114" s="254"/>
      <c r="AE114" s="254"/>
      <c r="AF114" s="254"/>
      <c r="AG114" s="254"/>
      <c r="AH114" s="255"/>
      <c r="AI114" s="255"/>
      <c r="AJ114" s="255"/>
      <c r="AK114" s="255"/>
      <c r="AL114" s="264"/>
      <c r="AM114" s="256"/>
      <c r="AN114" s="256"/>
      <c r="AO114" s="256"/>
      <c r="AP114" s="256"/>
      <c r="AQ114" s="256"/>
      <c r="AR114" s="243"/>
      <c r="AS114" s="257"/>
      <c r="AT114" s="257"/>
      <c r="AU114" s="257"/>
      <c r="AV114" s="257"/>
      <c r="AW114" s="257"/>
      <c r="AX114" s="257"/>
      <c r="AY114" s="257"/>
      <c r="AZ114" s="258"/>
      <c r="BA114" s="258"/>
      <c r="BB114" s="258"/>
      <c r="BC114" s="258"/>
      <c r="BD114" s="258"/>
      <c r="BE114" s="258"/>
      <c r="BF114" s="258"/>
      <c r="BG114" s="258"/>
      <c r="BH114" s="258"/>
      <c r="BI114" s="259"/>
      <c r="BJ114" s="259"/>
      <c r="BK114" s="259"/>
      <c r="BL114" s="259"/>
      <c r="BM114" s="259"/>
      <c r="BN114" s="259"/>
      <c r="BO114" s="260"/>
      <c r="BP114" s="260"/>
      <c r="BQ114" s="260"/>
      <c r="BR114" s="260"/>
      <c r="BS114" s="260"/>
      <c r="BT114" s="260"/>
      <c r="BU114" s="248"/>
      <c r="BV114" s="248"/>
      <c r="BW114" s="261"/>
      <c r="BX114" s="261"/>
    </row>
    <row r="115" spans="1:600" ht="15.5" customHeight="1" x14ac:dyDescent="0.8">
      <c r="C115" s="461"/>
      <c r="D115" s="461"/>
      <c r="E115" s="461"/>
      <c r="F115" s="462"/>
      <c r="G115" s="463"/>
      <c r="H115" s="463"/>
      <c r="I115" s="463"/>
      <c r="J115" s="463"/>
      <c r="K115" s="463"/>
      <c r="L115" s="463"/>
      <c r="M115" s="463"/>
      <c r="N115" s="463"/>
      <c r="O115" s="463"/>
      <c r="P115" s="463"/>
      <c r="Q115" s="463"/>
      <c r="R115" s="463"/>
      <c r="S115" s="463"/>
      <c r="T115" s="463"/>
      <c r="U115" s="463"/>
      <c r="V115" s="463"/>
      <c r="W115" s="463"/>
      <c r="X115" s="463"/>
      <c r="Y115" s="463"/>
      <c r="Z115" s="463"/>
      <c r="AA115" s="463"/>
      <c r="AB115" s="463"/>
      <c r="AC115" s="463"/>
      <c r="AD115" s="463"/>
      <c r="AE115" s="463"/>
      <c r="AF115" s="463"/>
      <c r="AG115" s="463"/>
      <c r="AH115" s="464"/>
      <c r="AI115" s="463"/>
      <c r="AJ115" s="463"/>
      <c r="AK115" s="463"/>
      <c r="AL115" s="463"/>
      <c r="AM115" s="463"/>
      <c r="AN115" s="463"/>
      <c r="AO115" s="463"/>
      <c r="AP115" s="463"/>
      <c r="AQ115" s="463"/>
      <c r="AR115" s="463"/>
      <c r="AS115" s="463"/>
      <c r="AT115" s="463"/>
      <c r="AU115" s="463"/>
      <c r="AV115" s="463"/>
      <c r="AW115" s="463"/>
      <c r="AX115" s="463"/>
      <c r="AY115" s="463"/>
      <c r="AZ115" s="463"/>
      <c r="BA115" s="463"/>
      <c r="BB115" s="463"/>
      <c r="BC115" s="463"/>
      <c r="BD115" s="463"/>
      <c r="BE115" s="463"/>
      <c r="BF115" s="463"/>
      <c r="BG115" s="463"/>
      <c r="BH115" s="463"/>
      <c r="BI115" s="463"/>
      <c r="BJ115" s="463"/>
      <c r="BK115" s="463"/>
      <c r="BL115" s="463"/>
      <c r="BM115" s="463"/>
      <c r="BN115" s="463"/>
      <c r="BO115" s="463"/>
      <c r="BP115" s="463"/>
      <c r="BQ115" s="463"/>
      <c r="BR115" s="463"/>
      <c r="BS115" s="463"/>
      <c r="BT115" s="463"/>
      <c r="BU115" s="463"/>
      <c r="BV115" s="463"/>
      <c r="BW115" s="463"/>
      <c r="BX115" s="463"/>
      <c r="BY115" s="465"/>
      <c r="BZ115" s="465"/>
      <c r="CA115" s="465"/>
      <c r="CB115" s="465"/>
      <c r="CC115" s="465"/>
      <c r="CD115" s="465"/>
      <c r="CE115" s="465"/>
      <c r="CF115" s="465"/>
      <c r="CG115" s="465"/>
      <c r="CH115" s="465"/>
      <c r="CI115" s="465"/>
      <c r="CJ115" s="465"/>
      <c r="CK115" s="465"/>
      <c r="CL115" s="465"/>
      <c r="CM115" s="465"/>
      <c r="CN115" s="465"/>
      <c r="CO115" s="465"/>
      <c r="CP115" s="465"/>
      <c r="CQ115" s="465"/>
      <c r="CR115" s="465"/>
      <c r="CS115" s="465"/>
      <c r="CT115" s="465"/>
      <c r="CU115" s="465"/>
      <c r="CV115" s="465"/>
      <c r="CW115" s="465"/>
      <c r="CX115" s="465"/>
      <c r="CY115" s="465"/>
      <c r="CZ115" s="465"/>
      <c r="DA115" s="465"/>
      <c r="DB115" s="465"/>
      <c r="DC115" s="465"/>
      <c r="DD115" s="465"/>
      <c r="DE115" s="465"/>
      <c r="DF115" s="465"/>
      <c r="DG115" s="465"/>
      <c r="DH115" s="465"/>
      <c r="DI115" s="465"/>
      <c r="DJ115" s="465"/>
      <c r="DK115" s="465"/>
      <c r="DL115" s="465"/>
      <c r="DM115" s="465"/>
      <c r="DN115" s="465"/>
      <c r="DO115" s="465"/>
      <c r="DP115" s="465"/>
      <c r="DQ115" s="465"/>
      <c r="DR115" s="465"/>
      <c r="DS115" s="465"/>
      <c r="DT115" s="465"/>
      <c r="DU115" s="465"/>
      <c r="DV115" s="465"/>
      <c r="DW115" s="465"/>
      <c r="DX115" s="465"/>
      <c r="DY115" s="465"/>
      <c r="DZ115" s="465"/>
      <c r="EA115" s="465"/>
      <c r="EB115" s="465"/>
      <c r="EC115" s="465"/>
      <c r="ED115" s="465"/>
      <c r="EE115" s="465"/>
      <c r="EF115" s="465"/>
      <c r="EG115" s="465"/>
      <c r="EH115" s="465"/>
      <c r="EI115" s="465"/>
      <c r="EJ115" s="465"/>
      <c r="EK115" s="465"/>
      <c r="EL115" s="465"/>
      <c r="EM115" s="465"/>
      <c r="EN115" s="465"/>
      <c r="EO115" s="465"/>
      <c r="EP115" s="465"/>
      <c r="EQ115" s="465"/>
      <c r="ER115" s="465"/>
      <c r="ES115" s="465"/>
      <c r="ET115" s="465"/>
      <c r="EU115" s="465"/>
      <c r="EV115" s="465"/>
      <c r="EW115" s="465"/>
      <c r="EX115" s="465"/>
      <c r="EY115" s="465"/>
      <c r="EZ115" s="465"/>
      <c r="FA115" s="465"/>
      <c r="FB115" s="465"/>
      <c r="FC115" s="465"/>
      <c r="FD115" s="465"/>
      <c r="FE115" s="465"/>
      <c r="FF115" s="465"/>
      <c r="FG115" s="465"/>
      <c r="FH115" s="465"/>
      <c r="FI115" s="465"/>
      <c r="FJ115" s="465"/>
      <c r="FK115" s="465"/>
      <c r="FL115" s="465"/>
      <c r="FM115" s="465"/>
      <c r="FN115" s="465"/>
      <c r="FO115" s="465"/>
      <c r="FP115" s="465"/>
      <c r="FQ115" s="465"/>
      <c r="FR115" s="465"/>
      <c r="FS115" s="465"/>
      <c r="FT115" s="465"/>
      <c r="FU115" s="465"/>
      <c r="FV115" s="465"/>
      <c r="FW115" s="465"/>
      <c r="FX115" s="465"/>
      <c r="FY115" s="465"/>
      <c r="FZ115" s="465"/>
      <c r="GA115" s="465"/>
      <c r="GB115" s="465"/>
      <c r="GC115" s="465"/>
      <c r="GD115" s="465"/>
      <c r="GE115" s="465"/>
      <c r="GF115" s="465"/>
      <c r="GG115" s="465"/>
      <c r="GH115" s="465"/>
      <c r="GI115" s="465"/>
      <c r="GJ115" s="465"/>
      <c r="GK115" s="465"/>
      <c r="GL115" s="465"/>
      <c r="GM115" s="465"/>
      <c r="GN115" s="465"/>
      <c r="GO115" s="465"/>
      <c r="GP115" s="465"/>
      <c r="GQ115" s="465"/>
      <c r="GR115" s="465"/>
      <c r="GS115" s="465"/>
      <c r="GT115" s="465"/>
      <c r="GU115" s="465"/>
      <c r="GV115" s="465"/>
      <c r="GW115" s="465"/>
      <c r="GX115" s="465"/>
      <c r="GY115" s="465"/>
      <c r="GZ115" s="465"/>
      <c r="HA115" s="465"/>
      <c r="HB115" s="465"/>
      <c r="HC115" s="465"/>
      <c r="HD115" s="465"/>
      <c r="HE115" s="465"/>
      <c r="HF115" s="465"/>
      <c r="HG115" s="465"/>
      <c r="HH115" s="465"/>
      <c r="HI115" s="465"/>
      <c r="HJ115" s="465"/>
      <c r="HK115" s="465"/>
      <c r="HL115" s="465"/>
      <c r="HM115" s="465"/>
      <c r="HN115" s="465"/>
      <c r="HO115" s="465"/>
      <c r="HP115" s="465"/>
      <c r="HQ115" s="465"/>
      <c r="HR115" s="465"/>
      <c r="HS115" s="465"/>
      <c r="HT115" s="465"/>
      <c r="HU115" s="465"/>
      <c r="HV115" s="465"/>
      <c r="HW115" s="465"/>
      <c r="HX115" s="465"/>
      <c r="HY115" s="465"/>
      <c r="HZ115" s="465"/>
      <c r="IA115" s="465"/>
      <c r="IB115" s="465"/>
      <c r="IC115" s="465"/>
      <c r="ID115" s="465"/>
      <c r="IE115" s="465"/>
      <c r="IF115" s="465"/>
      <c r="IG115" s="465"/>
      <c r="IH115" s="465"/>
      <c r="II115" s="465"/>
      <c r="IJ115" s="465"/>
      <c r="IK115" s="465"/>
      <c r="IL115" s="465"/>
      <c r="IM115" s="465"/>
      <c r="IN115" s="465"/>
      <c r="IO115" s="465"/>
      <c r="IP115" s="465"/>
      <c r="IQ115" s="465"/>
      <c r="IR115" s="465"/>
      <c r="IS115" s="465"/>
      <c r="IT115" s="465"/>
      <c r="IU115" s="465"/>
      <c r="IV115" s="465"/>
      <c r="IW115" s="465"/>
      <c r="IX115" s="465"/>
      <c r="IY115" s="465"/>
      <c r="IZ115" s="465"/>
      <c r="JA115" s="465"/>
      <c r="JB115" s="465"/>
      <c r="JC115" s="465"/>
      <c r="JD115" s="465"/>
      <c r="JE115" s="465"/>
      <c r="JF115" s="465"/>
      <c r="JG115" s="465"/>
      <c r="JH115" s="465"/>
      <c r="JI115" s="465"/>
      <c r="JJ115" s="465"/>
      <c r="JK115" s="465"/>
      <c r="JL115" s="465"/>
      <c r="JM115" s="465"/>
      <c r="JN115" s="465"/>
      <c r="JO115" s="465"/>
      <c r="JP115" s="465"/>
      <c r="JQ115" s="465"/>
      <c r="JR115" s="465"/>
      <c r="JS115" s="465"/>
      <c r="JT115" s="465"/>
      <c r="JU115" s="465"/>
      <c r="JV115" s="465"/>
      <c r="JW115" s="465"/>
      <c r="JX115" s="465"/>
      <c r="JY115" s="465"/>
      <c r="JZ115" s="465"/>
      <c r="KA115" s="465"/>
      <c r="KB115" s="465"/>
      <c r="KC115" s="465"/>
      <c r="KD115" s="465"/>
      <c r="KE115" s="465"/>
      <c r="KF115" s="465"/>
      <c r="KG115" s="465"/>
      <c r="KH115" s="465"/>
      <c r="KI115" s="465"/>
      <c r="KJ115" s="465"/>
      <c r="KK115" s="465"/>
      <c r="KL115" s="465"/>
      <c r="KM115" s="465"/>
      <c r="KN115" s="465"/>
      <c r="KO115" s="465"/>
      <c r="KP115" s="465"/>
      <c r="KQ115" s="465"/>
      <c r="KR115" s="465"/>
      <c r="KS115" s="465"/>
      <c r="KT115" s="465"/>
      <c r="KU115" s="465"/>
      <c r="KV115" s="465"/>
      <c r="KW115" s="465"/>
      <c r="KX115" s="465"/>
      <c r="KY115" s="465"/>
      <c r="KZ115" s="465"/>
      <c r="LA115" s="465"/>
      <c r="LB115" s="465"/>
      <c r="LC115" s="465"/>
      <c r="LD115" s="465"/>
      <c r="LE115" s="465"/>
      <c r="LF115" s="465"/>
      <c r="LG115" s="465"/>
      <c r="LH115" s="465"/>
      <c r="LI115" s="465"/>
      <c r="LJ115" s="465"/>
      <c r="LK115" s="465"/>
      <c r="LL115" s="465"/>
      <c r="LM115" s="465"/>
      <c r="LN115" s="465"/>
      <c r="LO115" s="465"/>
      <c r="LP115" s="465"/>
      <c r="LQ115" s="465"/>
      <c r="LR115" s="465"/>
      <c r="LS115" s="465"/>
      <c r="LT115" s="465"/>
      <c r="LU115" s="465"/>
      <c r="LV115" s="465"/>
      <c r="LW115" s="465"/>
      <c r="LX115" s="465"/>
      <c r="LY115" s="465"/>
      <c r="LZ115" s="465"/>
      <c r="MA115" s="465"/>
      <c r="MB115" s="465"/>
      <c r="MC115" s="465"/>
      <c r="MD115" s="465"/>
      <c r="ME115" s="465"/>
      <c r="MF115" s="465"/>
      <c r="MG115" s="465"/>
      <c r="MH115" s="465"/>
      <c r="MI115" s="465"/>
      <c r="MJ115" s="465"/>
      <c r="MK115" s="465"/>
      <c r="ML115" s="465"/>
      <c r="MM115" s="465"/>
      <c r="MN115" s="465"/>
      <c r="MO115" s="465"/>
      <c r="MP115" s="465"/>
      <c r="MQ115" s="465"/>
      <c r="MR115" s="465"/>
      <c r="MS115" s="465"/>
      <c r="MT115" s="465"/>
      <c r="MU115" s="465"/>
      <c r="MV115" s="465"/>
      <c r="MW115" s="465"/>
      <c r="MX115" s="465"/>
      <c r="MY115" s="465"/>
      <c r="MZ115" s="465"/>
      <c r="NA115" s="465"/>
      <c r="NB115" s="465"/>
      <c r="NC115" s="465"/>
      <c r="ND115" s="465"/>
      <c r="NE115" s="465"/>
      <c r="NF115" s="465"/>
      <c r="NG115" s="465"/>
      <c r="NH115" s="465"/>
      <c r="NI115" s="465"/>
      <c r="NJ115" s="465"/>
      <c r="NK115" s="465"/>
      <c r="NL115" s="465"/>
      <c r="NM115" s="465"/>
      <c r="NN115" s="465"/>
      <c r="NO115" s="465"/>
      <c r="NP115" s="465"/>
      <c r="NQ115" s="465"/>
      <c r="NR115" s="465"/>
      <c r="NS115" s="465"/>
      <c r="NT115" s="465"/>
      <c r="NU115" s="465"/>
      <c r="NV115" s="465"/>
      <c r="NW115" s="465"/>
      <c r="NX115" s="465"/>
      <c r="NY115" s="465"/>
      <c r="NZ115" s="465"/>
      <c r="OA115" s="465"/>
      <c r="OB115" s="465"/>
      <c r="OC115" s="465"/>
      <c r="OD115" s="465"/>
      <c r="OE115" s="465"/>
      <c r="OF115" s="465"/>
      <c r="OG115" s="465"/>
      <c r="OH115" s="465"/>
      <c r="OI115" s="465"/>
      <c r="OJ115" s="465"/>
      <c r="OK115" s="465"/>
      <c r="OL115" s="465"/>
      <c r="OM115" s="465"/>
      <c r="ON115" s="465"/>
      <c r="OO115" s="465"/>
      <c r="OP115" s="465"/>
      <c r="OQ115" s="465"/>
      <c r="OR115" s="465"/>
      <c r="OS115" s="465"/>
      <c r="OT115" s="465"/>
      <c r="OU115" s="465"/>
      <c r="OV115" s="465"/>
      <c r="OW115" s="465"/>
      <c r="OX115" s="465"/>
      <c r="OY115" s="465"/>
      <c r="OZ115" s="465"/>
      <c r="PA115" s="465"/>
      <c r="PB115" s="465"/>
      <c r="PC115" s="465"/>
      <c r="PD115" s="465"/>
      <c r="PE115" s="465"/>
      <c r="PF115" s="465"/>
      <c r="PG115" s="465"/>
      <c r="PH115" s="465"/>
      <c r="PI115" s="465"/>
    </row>
    <row r="116" spans="1:600" s="466" customFormat="1" ht="37.5" customHeight="1" x14ac:dyDescent="0.8">
      <c r="F116" s="467"/>
      <c r="G116" s="468"/>
      <c r="H116" s="468"/>
      <c r="I116" s="468"/>
      <c r="J116" s="468"/>
      <c r="K116" s="468"/>
      <c r="L116" s="468"/>
      <c r="M116" s="468"/>
      <c r="N116" s="468"/>
      <c r="O116" s="468"/>
      <c r="P116" s="468"/>
      <c r="Q116" s="468"/>
      <c r="R116" s="468"/>
      <c r="S116" s="468"/>
      <c r="T116" s="468"/>
      <c r="U116" s="468"/>
      <c r="V116" s="468"/>
      <c r="W116" s="468"/>
      <c r="X116" s="468"/>
      <c r="Y116" s="468"/>
      <c r="Z116" s="468"/>
      <c r="AA116" s="468"/>
      <c r="AB116" s="468"/>
      <c r="AC116" s="468"/>
      <c r="AD116" s="468"/>
      <c r="AE116" s="468"/>
      <c r="AF116" s="468"/>
      <c r="AG116" s="468"/>
      <c r="AH116" s="468"/>
      <c r="AI116" s="468"/>
      <c r="AJ116" s="468"/>
      <c r="AK116" s="468"/>
      <c r="AL116" s="468"/>
      <c r="AM116" s="468"/>
      <c r="AN116" s="468"/>
      <c r="AO116" s="468"/>
      <c r="AP116" s="468"/>
      <c r="AQ116" s="468"/>
      <c r="AR116" s="468"/>
      <c r="AS116" s="468"/>
      <c r="AT116" s="468"/>
      <c r="AU116" s="468"/>
      <c r="AV116" s="468"/>
      <c r="AW116" s="468"/>
      <c r="AX116" s="468"/>
      <c r="AY116" s="468"/>
      <c r="AZ116" s="468"/>
      <c r="BA116" s="468"/>
      <c r="BB116" s="468"/>
      <c r="BC116" s="468"/>
      <c r="BD116" s="468"/>
      <c r="BE116" s="468"/>
      <c r="BF116" s="468"/>
      <c r="BG116" s="468"/>
      <c r="BH116" s="468"/>
      <c r="BI116" s="468"/>
      <c r="BJ116" s="468"/>
      <c r="BK116" s="468"/>
      <c r="BL116" s="468"/>
      <c r="BM116" s="468"/>
      <c r="BN116" s="468"/>
      <c r="BO116" s="468"/>
      <c r="BP116" s="468"/>
      <c r="BQ116" s="468"/>
      <c r="BR116" s="468"/>
      <c r="BS116" s="468"/>
      <c r="BT116" s="468"/>
      <c r="BU116" s="468"/>
      <c r="BV116" s="468"/>
      <c r="BW116" s="468"/>
      <c r="BX116" s="468"/>
      <c r="BY116" s="469"/>
      <c r="BZ116" s="469"/>
      <c r="CA116" s="469"/>
      <c r="CB116" s="469"/>
      <c r="CC116" s="469"/>
      <c r="CD116" s="469"/>
      <c r="CE116" s="469"/>
      <c r="CF116" s="469"/>
      <c r="CG116" s="469"/>
      <c r="CH116" s="469"/>
      <c r="CI116" s="469"/>
      <c r="CJ116" s="469"/>
      <c r="CK116" s="469"/>
      <c r="CL116" s="469"/>
      <c r="CM116" s="469"/>
      <c r="CN116" s="469"/>
      <c r="CO116" s="469"/>
      <c r="CP116" s="469"/>
      <c r="CQ116" s="469"/>
      <c r="CR116" s="469"/>
      <c r="CS116" s="469"/>
      <c r="CT116" s="469"/>
      <c r="CU116" s="469"/>
      <c r="CV116" s="469"/>
      <c r="CW116" s="469"/>
      <c r="CX116" s="469"/>
      <c r="CY116" s="469"/>
      <c r="CZ116" s="469"/>
      <c r="DA116" s="469"/>
      <c r="DB116" s="469"/>
      <c r="DC116" s="469"/>
      <c r="DD116" s="469"/>
      <c r="DE116" s="469"/>
      <c r="DF116" s="469"/>
      <c r="DG116" s="469"/>
      <c r="DH116" s="469"/>
      <c r="DI116" s="469"/>
      <c r="DJ116" s="469"/>
      <c r="DK116" s="469"/>
      <c r="DL116" s="469"/>
      <c r="DM116" s="469"/>
      <c r="DN116" s="469"/>
      <c r="DO116" s="469"/>
      <c r="DP116" s="469"/>
      <c r="DQ116" s="469"/>
      <c r="DR116" s="469"/>
      <c r="DS116" s="469"/>
      <c r="DT116" s="469"/>
      <c r="DU116" s="469"/>
      <c r="DV116" s="469"/>
      <c r="DW116" s="469"/>
      <c r="DX116" s="469"/>
      <c r="DY116" s="469"/>
      <c r="DZ116" s="469"/>
      <c r="EA116" s="469"/>
      <c r="EB116" s="469"/>
      <c r="EC116" s="469"/>
      <c r="ED116" s="469"/>
      <c r="EE116" s="469"/>
      <c r="EF116" s="469"/>
      <c r="EG116" s="469"/>
      <c r="EH116" s="469"/>
      <c r="EI116" s="469"/>
      <c r="EJ116" s="469"/>
      <c r="EK116" s="469"/>
      <c r="EL116" s="469"/>
      <c r="EM116" s="469"/>
      <c r="EN116" s="469"/>
      <c r="EO116" s="469"/>
      <c r="EP116" s="469"/>
      <c r="EQ116" s="469"/>
      <c r="ER116" s="469"/>
      <c r="ES116" s="469"/>
      <c r="ET116" s="469"/>
      <c r="EU116" s="469"/>
      <c r="EV116" s="469"/>
      <c r="EW116" s="469"/>
      <c r="EX116" s="469"/>
      <c r="EY116" s="469"/>
      <c r="EZ116" s="469"/>
      <c r="FA116" s="469"/>
      <c r="FB116" s="469"/>
      <c r="FC116" s="469"/>
      <c r="FD116" s="469"/>
      <c r="FE116" s="469"/>
      <c r="FF116" s="469"/>
      <c r="FG116" s="469"/>
      <c r="FH116" s="469"/>
      <c r="FI116" s="469"/>
      <c r="FJ116" s="469"/>
      <c r="FK116" s="469"/>
      <c r="FL116" s="469"/>
      <c r="FM116" s="469"/>
      <c r="FN116" s="469"/>
      <c r="FO116" s="469"/>
      <c r="FP116" s="469"/>
      <c r="FQ116" s="469"/>
      <c r="FR116" s="469"/>
      <c r="FS116" s="469"/>
      <c r="FT116" s="469"/>
      <c r="FU116" s="469"/>
      <c r="FV116" s="469"/>
      <c r="FW116" s="469"/>
      <c r="FX116" s="469"/>
      <c r="FY116" s="469"/>
      <c r="FZ116" s="469"/>
      <c r="GA116" s="469"/>
      <c r="GB116" s="469"/>
      <c r="GC116" s="469"/>
      <c r="GD116" s="469"/>
      <c r="GE116" s="469"/>
      <c r="GF116" s="469"/>
      <c r="GG116" s="469"/>
      <c r="GH116" s="469"/>
      <c r="GI116" s="469"/>
      <c r="GJ116" s="469"/>
      <c r="GK116" s="469"/>
      <c r="GL116" s="469"/>
      <c r="GM116" s="469"/>
      <c r="GN116" s="469"/>
      <c r="GO116" s="469"/>
      <c r="GP116" s="469"/>
      <c r="GQ116" s="469"/>
      <c r="GR116" s="469"/>
      <c r="GS116" s="469"/>
      <c r="GT116" s="469"/>
      <c r="GU116" s="469"/>
      <c r="GV116" s="469"/>
      <c r="GW116" s="469"/>
      <c r="GX116" s="469"/>
      <c r="GY116" s="469"/>
      <c r="GZ116" s="469"/>
      <c r="HA116" s="469"/>
      <c r="HB116" s="469"/>
      <c r="HC116" s="469"/>
      <c r="HD116" s="469"/>
      <c r="HE116" s="469"/>
      <c r="HF116" s="469"/>
      <c r="HG116" s="469"/>
      <c r="HH116" s="469"/>
      <c r="HI116" s="469"/>
      <c r="HJ116" s="469"/>
      <c r="HK116" s="469"/>
      <c r="HL116" s="469"/>
      <c r="HM116" s="469"/>
      <c r="HN116" s="469"/>
      <c r="HO116" s="469"/>
      <c r="HP116" s="469"/>
      <c r="HQ116" s="469"/>
      <c r="HR116" s="469"/>
      <c r="HS116" s="469"/>
      <c r="HT116" s="469"/>
      <c r="HU116" s="469"/>
      <c r="HV116" s="469"/>
      <c r="HW116" s="469"/>
      <c r="HX116" s="469"/>
      <c r="HY116" s="469"/>
      <c r="HZ116" s="469"/>
      <c r="IA116" s="469"/>
      <c r="IB116" s="469"/>
      <c r="IC116" s="469"/>
      <c r="ID116" s="469"/>
      <c r="IE116" s="469"/>
      <c r="IF116" s="469"/>
      <c r="IG116" s="469"/>
      <c r="IH116" s="469"/>
      <c r="II116" s="469"/>
      <c r="IJ116" s="469"/>
      <c r="IK116" s="469"/>
      <c r="IL116" s="469"/>
      <c r="IM116" s="469"/>
      <c r="IN116" s="469"/>
      <c r="IO116" s="469"/>
      <c r="IP116" s="469"/>
      <c r="IQ116" s="469"/>
      <c r="IR116" s="469"/>
      <c r="IS116" s="469"/>
      <c r="IT116" s="469"/>
      <c r="IU116" s="469"/>
      <c r="IV116" s="469"/>
      <c r="IW116" s="469"/>
      <c r="IX116" s="469"/>
      <c r="IY116" s="469"/>
      <c r="IZ116" s="469"/>
      <c r="JA116" s="469"/>
      <c r="JB116" s="469"/>
      <c r="JC116" s="469"/>
      <c r="JD116" s="469"/>
      <c r="JE116" s="469"/>
      <c r="JF116" s="469"/>
      <c r="JG116" s="469"/>
      <c r="JH116" s="469"/>
      <c r="JI116" s="469"/>
      <c r="JJ116" s="469"/>
      <c r="JK116" s="469"/>
      <c r="JL116" s="469"/>
      <c r="JM116" s="469"/>
      <c r="JN116" s="469"/>
      <c r="JO116" s="469"/>
      <c r="JP116" s="469"/>
      <c r="JQ116" s="469"/>
      <c r="JR116" s="469"/>
      <c r="JS116" s="469"/>
      <c r="JT116" s="469"/>
      <c r="JU116" s="469"/>
      <c r="JV116" s="469"/>
      <c r="JW116" s="469"/>
      <c r="JX116" s="469"/>
      <c r="JY116" s="469"/>
      <c r="JZ116" s="469"/>
      <c r="KA116" s="469"/>
      <c r="KB116" s="469"/>
      <c r="KC116" s="469"/>
      <c r="KD116" s="469"/>
      <c r="KE116" s="469"/>
      <c r="KF116" s="469"/>
      <c r="KG116" s="469"/>
      <c r="KH116" s="469"/>
      <c r="KI116" s="469"/>
      <c r="KJ116" s="469"/>
      <c r="KK116" s="469"/>
      <c r="KL116" s="469"/>
      <c r="KM116" s="469"/>
      <c r="KN116" s="469"/>
      <c r="KO116" s="469"/>
      <c r="KP116" s="469"/>
      <c r="KQ116" s="469"/>
      <c r="KR116" s="469"/>
      <c r="KS116" s="469"/>
      <c r="KT116" s="469"/>
      <c r="KU116" s="469"/>
      <c r="KV116" s="469"/>
      <c r="KW116" s="469"/>
      <c r="KX116" s="469"/>
      <c r="KY116" s="469"/>
      <c r="KZ116" s="469"/>
      <c r="LA116" s="469"/>
      <c r="LB116" s="469"/>
      <c r="LC116" s="469"/>
      <c r="LD116" s="469"/>
      <c r="LE116" s="469"/>
      <c r="LF116" s="469"/>
      <c r="LG116" s="469"/>
      <c r="LH116" s="469"/>
      <c r="LI116" s="469"/>
      <c r="LJ116" s="469"/>
      <c r="LK116" s="469"/>
      <c r="LL116" s="469"/>
      <c r="LM116" s="469"/>
      <c r="LN116" s="469"/>
      <c r="LO116" s="469"/>
      <c r="LP116" s="469"/>
      <c r="LQ116" s="469"/>
      <c r="LR116" s="469"/>
      <c r="LS116" s="469"/>
      <c r="LT116" s="469"/>
      <c r="LU116" s="469"/>
      <c r="LV116" s="469"/>
      <c r="LW116" s="469"/>
      <c r="LX116" s="469"/>
      <c r="LY116" s="469"/>
      <c r="LZ116" s="469"/>
      <c r="MA116" s="469"/>
      <c r="MB116" s="469"/>
      <c r="MC116" s="469"/>
      <c r="MD116" s="469"/>
      <c r="ME116" s="469"/>
      <c r="MF116" s="469"/>
      <c r="MG116" s="469"/>
      <c r="MH116" s="469"/>
      <c r="MI116" s="469"/>
      <c r="MJ116" s="469"/>
      <c r="MK116" s="469"/>
      <c r="ML116" s="469"/>
      <c r="MM116" s="469"/>
      <c r="MN116" s="469"/>
      <c r="MO116" s="469"/>
      <c r="MP116" s="469"/>
      <c r="MQ116" s="469"/>
      <c r="MR116" s="469"/>
      <c r="MS116" s="469"/>
      <c r="MT116" s="469"/>
      <c r="MU116" s="469"/>
      <c r="MV116" s="469"/>
      <c r="MW116" s="469"/>
      <c r="MX116" s="469"/>
      <c r="MY116" s="469"/>
      <c r="MZ116" s="469"/>
      <c r="NA116" s="469"/>
      <c r="NB116" s="469"/>
      <c r="NC116" s="469"/>
      <c r="ND116" s="469"/>
      <c r="NE116" s="469"/>
      <c r="NF116" s="469"/>
      <c r="NG116" s="469"/>
      <c r="NH116" s="469"/>
      <c r="NI116" s="469"/>
      <c r="NJ116" s="469"/>
      <c r="NK116" s="469"/>
      <c r="NL116" s="469"/>
      <c r="NM116" s="469"/>
      <c r="NN116" s="469"/>
      <c r="NO116" s="469"/>
      <c r="NP116" s="469"/>
      <c r="NQ116" s="469"/>
      <c r="NR116" s="469"/>
      <c r="NS116" s="469"/>
      <c r="NT116" s="469"/>
      <c r="NU116" s="469"/>
      <c r="NV116" s="469"/>
      <c r="NW116" s="469"/>
      <c r="NX116" s="469"/>
      <c r="NY116" s="469"/>
      <c r="NZ116" s="469"/>
      <c r="OA116" s="469"/>
      <c r="OB116" s="469"/>
      <c r="OC116" s="469"/>
      <c r="OD116" s="469"/>
      <c r="OE116" s="469"/>
      <c r="OF116" s="469"/>
      <c r="OG116" s="469"/>
      <c r="OH116" s="469"/>
      <c r="OI116" s="469"/>
      <c r="OJ116" s="469"/>
      <c r="OK116" s="469"/>
      <c r="OL116" s="469"/>
      <c r="OM116" s="469"/>
      <c r="ON116" s="469"/>
      <c r="OO116" s="469"/>
      <c r="OP116" s="469"/>
      <c r="OQ116" s="469"/>
      <c r="OR116" s="469"/>
      <c r="OS116" s="469"/>
      <c r="OT116" s="469"/>
      <c r="OU116" s="469"/>
      <c r="OV116" s="469"/>
      <c r="OW116" s="469"/>
      <c r="OX116" s="469"/>
      <c r="OY116" s="469"/>
      <c r="OZ116" s="469"/>
      <c r="PA116" s="469"/>
      <c r="PB116" s="469"/>
      <c r="PC116" s="469"/>
      <c r="PD116" s="469"/>
      <c r="PE116" s="469"/>
      <c r="PF116" s="469"/>
      <c r="PG116" s="469"/>
      <c r="PH116" s="469"/>
      <c r="PI116" s="469"/>
      <c r="PJ116" s="467"/>
      <c r="PK116" s="467"/>
      <c r="PL116" s="467"/>
      <c r="PM116" s="467"/>
      <c r="PN116" s="467"/>
      <c r="PO116" s="467"/>
      <c r="PP116" s="467"/>
      <c r="PQ116" s="467"/>
      <c r="PR116" s="467"/>
      <c r="PS116" s="467"/>
      <c r="PT116" s="467"/>
      <c r="PU116" s="467"/>
      <c r="PV116" s="467"/>
      <c r="PW116" s="467"/>
      <c r="PX116" s="467"/>
      <c r="PY116" s="467"/>
      <c r="PZ116" s="467"/>
      <c r="QA116" s="467"/>
      <c r="QB116" s="467"/>
      <c r="QC116" s="467"/>
      <c r="QD116" s="467"/>
      <c r="QE116" s="467"/>
      <c r="QF116" s="467"/>
      <c r="QG116" s="467"/>
      <c r="QH116" s="467"/>
      <c r="QI116" s="467"/>
      <c r="QJ116" s="467"/>
      <c r="QK116" s="467"/>
      <c r="QL116" s="467"/>
      <c r="QM116" s="467"/>
      <c r="QN116" s="467"/>
      <c r="QO116" s="467"/>
      <c r="QP116" s="467"/>
      <c r="QQ116" s="467"/>
      <c r="QR116" s="467"/>
      <c r="QS116" s="467"/>
      <c r="QT116" s="467"/>
      <c r="QU116" s="467"/>
      <c r="QV116" s="467"/>
      <c r="QW116" s="467"/>
      <c r="QX116" s="467"/>
      <c r="QY116" s="467"/>
      <c r="QZ116" s="467"/>
      <c r="RA116" s="467"/>
      <c r="RB116" s="467"/>
      <c r="RC116" s="467"/>
      <c r="RD116" s="467"/>
      <c r="RE116" s="467"/>
      <c r="RF116" s="467"/>
      <c r="RG116" s="467"/>
      <c r="RH116" s="467"/>
      <c r="RI116" s="467"/>
      <c r="RJ116" s="467"/>
      <c r="RK116" s="467"/>
      <c r="RL116" s="467"/>
      <c r="RM116" s="467"/>
      <c r="RN116" s="467"/>
      <c r="RO116" s="467"/>
      <c r="RP116" s="467"/>
      <c r="RQ116" s="467"/>
      <c r="RR116" s="467"/>
      <c r="RS116" s="467"/>
      <c r="RT116" s="467"/>
      <c r="RU116" s="467"/>
      <c r="RV116" s="467"/>
      <c r="RW116" s="467"/>
      <c r="RX116" s="467"/>
      <c r="RY116" s="467"/>
      <c r="RZ116" s="467"/>
      <c r="SA116" s="467"/>
      <c r="SB116" s="467"/>
      <c r="SC116" s="467"/>
      <c r="SD116" s="467"/>
      <c r="SE116" s="467"/>
      <c r="SF116" s="467"/>
      <c r="SG116" s="467"/>
      <c r="SH116" s="467"/>
      <c r="SI116" s="467"/>
      <c r="SJ116" s="467"/>
      <c r="SK116" s="467"/>
      <c r="SL116" s="467"/>
      <c r="SM116" s="467"/>
      <c r="SN116" s="467"/>
      <c r="SO116" s="467"/>
      <c r="SP116" s="467"/>
      <c r="SQ116" s="467"/>
      <c r="SR116" s="467"/>
      <c r="SS116" s="467"/>
      <c r="ST116" s="467"/>
      <c r="SU116" s="467"/>
      <c r="SV116" s="467"/>
      <c r="SW116" s="467"/>
      <c r="SX116" s="467"/>
      <c r="SY116" s="467"/>
      <c r="SZ116" s="467"/>
      <c r="TA116" s="467"/>
      <c r="TB116" s="467"/>
      <c r="TC116" s="467"/>
      <c r="TD116" s="467"/>
      <c r="TE116" s="467"/>
      <c r="TF116" s="467"/>
      <c r="TG116" s="467"/>
      <c r="TH116" s="467"/>
      <c r="TI116" s="467"/>
      <c r="TJ116" s="467"/>
      <c r="TK116" s="467"/>
      <c r="TL116" s="467"/>
      <c r="TM116" s="467"/>
      <c r="TN116" s="467"/>
      <c r="TO116" s="467"/>
      <c r="TP116" s="467"/>
      <c r="TQ116" s="467"/>
      <c r="TR116" s="467"/>
      <c r="TS116" s="467"/>
      <c r="TT116" s="467"/>
      <c r="TU116" s="467"/>
      <c r="TV116" s="467"/>
      <c r="TW116" s="467"/>
      <c r="TX116" s="467"/>
      <c r="TY116" s="467"/>
      <c r="TZ116" s="467"/>
      <c r="UA116" s="467"/>
      <c r="UB116" s="467"/>
      <c r="UC116" s="467"/>
      <c r="UD116" s="467"/>
      <c r="UE116" s="467"/>
      <c r="UF116" s="467"/>
      <c r="UG116" s="467"/>
      <c r="UH116" s="467"/>
      <c r="UI116" s="467"/>
      <c r="UJ116" s="467"/>
      <c r="UK116" s="467"/>
      <c r="UL116" s="467"/>
      <c r="UM116" s="467"/>
      <c r="UN116" s="467"/>
      <c r="UO116" s="467"/>
      <c r="UP116" s="467"/>
      <c r="UQ116" s="467"/>
      <c r="UR116" s="467"/>
      <c r="US116" s="467"/>
      <c r="UT116" s="467"/>
      <c r="UU116" s="467"/>
      <c r="UV116" s="467"/>
      <c r="UW116" s="467"/>
      <c r="UX116" s="467"/>
      <c r="UY116" s="467"/>
      <c r="UZ116" s="467"/>
      <c r="VA116" s="467"/>
      <c r="VB116" s="467"/>
      <c r="VC116" s="467"/>
      <c r="VD116" s="467"/>
      <c r="VE116" s="467"/>
      <c r="VF116" s="467"/>
      <c r="VG116" s="467"/>
      <c r="VH116" s="467"/>
      <c r="VI116" s="467"/>
      <c r="VJ116" s="467"/>
      <c r="VK116" s="467"/>
      <c r="VL116" s="467"/>
      <c r="VM116" s="467"/>
      <c r="VN116" s="467"/>
      <c r="VO116" s="467"/>
      <c r="VP116" s="467"/>
      <c r="VQ116" s="467"/>
      <c r="VR116" s="467"/>
      <c r="VS116" s="467"/>
      <c r="VT116" s="467"/>
      <c r="VU116" s="467"/>
      <c r="VV116" s="467"/>
      <c r="VW116" s="467"/>
      <c r="VX116" s="467"/>
      <c r="VY116" s="467"/>
      <c r="VZ116" s="467"/>
      <c r="WA116" s="467"/>
      <c r="WB116" s="467"/>
    </row>
    <row r="117" spans="1:600" ht="52" customHeight="1" thickBot="1" x14ac:dyDescent="0.4">
      <c r="C117" s="470"/>
      <c r="D117" s="470"/>
      <c r="E117" s="471"/>
      <c r="G117" s="472"/>
      <c r="H117" s="472"/>
      <c r="I117" s="472" t="s">
        <v>314</v>
      </c>
      <c r="J117" s="472" t="s">
        <v>314</v>
      </c>
      <c r="K117" s="472" t="s">
        <v>314</v>
      </c>
      <c r="L117" s="472" t="s">
        <v>314</v>
      </c>
      <c r="M117" s="472" t="s">
        <v>314</v>
      </c>
      <c r="N117" s="472" t="s">
        <v>314</v>
      </c>
      <c r="O117" s="472" t="s">
        <v>314</v>
      </c>
      <c r="P117" s="472" t="s">
        <v>314</v>
      </c>
      <c r="Q117" s="472" t="s">
        <v>314</v>
      </c>
      <c r="R117" s="472" t="s">
        <v>314</v>
      </c>
      <c r="S117" s="472" t="s">
        <v>314</v>
      </c>
      <c r="T117" s="472" t="s">
        <v>314</v>
      </c>
      <c r="U117" s="472" t="s">
        <v>314</v>
      </c>
      <c r="V117" s="472" t="s">
        <v>314</v>
      </c>
      <c r="W117" s="472" t="s">
        <v>314</v>
      </c>
      <c r="X117" s="472" t="s">
        <v>314</v>
      </c>
      <c r="Y117" s="472" t="s">
        <v>314</v>
      </c>
      <c r="Z117" s="472" t="s">
        <v>314</v>
      </c>
      <c r="AA117" s="472" t="s">
        <v>314</v>
      </c>
      <c r="AB117" s="472" t="s">
        <v>314</v>
      </c>
      <c r="AC117" s="472" t="s">
        <v>314</v>
      </c>
      <c r="AD117" s="473" t="s">
        <v>315</v>
      </c>
      <c r="AE117" s="473" t="s">
        <v>315</v>
      </c>
      <c r="AF117" s="473" t="s">
        <v>315</v>
      </c>
      <c r="AG117" s="473" t="s">
        <v>315</v>
      </c>
      <c r="AH117" s="473" t="s">
        <v>315</v>
      </c>
      <c r="AI117" s="473" t="s">
        <v>315</v>
      </c>
      <c r="AJ117" s="473" t="s">
        <v>315</v>
      </c>
      <c r="AK117" s="473" t="s">
        <v>315</v>
      </c>
      <c r="AS117" s="472" t="s">
        <v>314</v>
      </c>
      <c r="AT117" s="472" t="s">
        <v>314</v>
      </c>
      <c r="AU117" s="472" t="s">
        <v>314</v>
      </c>
      <c r="AV117" s="472" t="s">
        <v>314</v>
      </c>
      <c r="AW117" s="472" t="s">
        <v>314</v>
      </c>
      <c r="AX117" s="472" t="s">
        <v>314</v>
      </c>
      <c r="AY117" s="472" t="s">
        <v>314</v>
      </c>
      <c r="AZ117" s="472"/>
      <c r="BA117" s="472"/>
      <c r="BB117" s="472"/>
      <c r="BC117" s="472"/>
      <c r="BD117" s="472"/>
      <c r="BE117" s="472"/>
      <c r="BF117" s="472"/>
      <c r="BG117" s="472"/>
      <c r="BH117" s="472"/>
      <c r="BI117" s="472"/>
      <c r="BJ117" s="472"/>
      <c r="BK117" s="472"/>
      <c r="BL117" s="472"/>
      <c r="BM117" s="472"/>
      <c r="BN117" s="472"/>
      <c r="BO117" s="472" t="s">
        <v>316</v>
      </c>
      <c r="BP117" s="472" t="s">
        <v>316</v>
      </c>
      <c r="BQ117" s="472" t="s">
        <v>316</v>
      </c>
      <c r="BR117" s="472" t="s">
        <v>316</v>
      </c>
      <c r="BS117" s="472" t="s">
        <v>316</v>
      </c>
      <c r="BT117" s="472" t="s">
        <v>316</v>
      </c>
      <c r="BU117" s="472"/>
      <c r="BV117" s="472"/>
      <c r="BW117" s="472"/>
      <c r="BX117" s="472"/>
    </row>
    <row r="118" spans="1:600" ht="31.5" customHeight="1" x14ac:dyDescent="0.35">
      <c r="C118" s="474"/>
      <c r="D118" s="475"/>
      <c r="E118" s="471"/>
      <c r="G118" s="472"/>
      <c r="H118" s="472"/>
      <c r="I118" s="472"/>
      <c r="J118" s="472"/>
      <c r="K118" s="472"/>
      <c r="L118" s="472"/>
      <c r="M118" s="472"/>
      <c r="N118" s="472"/>
      <c r="O118" s="472"/>
      <c r="P118" s="472"/>
      <c r="Q118" s="472"/>
      <c r="R118" s="472"/>
      <c r="S118" s="472"/>
      <c r="T118" s="472"/>
      <c r="U118" s="472"/>
      <c r="V118" s="472"/>
      <c r="W118" s="472"/>
      <c r="X118" s="472"/>
      <c r="Y118" s="472"/>
      <c r="Z118" s="472"/>
      <c r="AA118" s="472"/>
      <c r="AB118" s="472"/>
      <c r="AC118" s="472"/>
      <c r="AD118" s="473"/>
      <c r="AE118" s="473"/>
      <c r="AF118" s="473"/>
      <c r="AG118" s="473"/>
      <c r="AH118" s="473"/>
      <c r="AI118" s="473"/>
      <c r="AJ118" s="473"/>
      <c r="AK118" s="473"/>
      <c r="AS118" s="472"/>
      <c r="AT118" s="472"/>
      <c r="AU118" s="472"/>
      <c r="AV118" s="472"/>
      <c r="AW118" s="472"/>
      <c r="AX118" s="472"/>
      <c r="AY118" s="472"/>
      <c r="AZ118" s="472"/>
      <c r="BA118" s="472"/>
      <c r="BB118" s="472"/>
      <c r="BC118" s="472"/>
      <c r="BD118" s="472"/>
      <c r="BE118" s="472"/>
      <c r="BF118" s="472"/>
      <c r="BG118" s="472"/>
      <c r="BH118" s="472"/>
      <c r="BI118" s="472"/>
      <c r="BJ118" s="472"/>
      <c r="BK118" s="472"/>
      <c r="BL118" s="472"/>
      <c r="BM118" s="472"/>
      <c r="BN118" s="472"/>
      <c r="BO118" s="472"/>
      <c r="BP118" s="472"/>
      <c r="BQ118" s="472"/>
      <c r="BR118" s="472"/>
      <c r="BS118" s="472"/>
      <c r="BT118" s="472"/>
      <c r="BU118" s="472"/>
      <c r="BV118" s="472"/>
      <c r="BW118" s="472"/>
      <c r="BX118" s="472"/>
    </row>
    <row r="119" spans="1:600" ht="24" customHeight="1" x14ac:dyDescent="0.35">
      <c r="C119" s="476"/>
      <c r="D119" s="477"/>
      <c r="E119" s="478"/>
      <c r="F119" s="224"/>
      <c r="BO119" s="232" t="s">
        <v>314</v>
      </c>
      <c r="BP119" s="232" t="s">
        <v>314</v>
      </c>
      <c r="BQ119" s="232" t="s">
        <v>314</v>
      </c>
      <c r="BR119" s="232" t="s">
        <v>314</v>
      </c>
      <c r="BS119" s="232" t="s">
        <v>314</v>
      </c>
      <c r="BT119" s="232" t="s">
        <v>314</v>
      </c>
    </row>
    <row r="120" spans="1:600" ht="23" customHeight="1" x14ac:dyDescent="0.35">
      <c r="C120" s="476"/>
      <c r="D120" s="477"/>
      <c r="E120" s="448"/>
      <c r="F120" s="224"/>
    </row>
    <row r="121" spans="1:600" ht="25.5" customHeight="1" x14ac:dyDescent="0.35">
      <c r="C121" s="476"/>
      <c r="D121" s="477"/>
      <c r="E121" s="479"/>
      <c r="F121" s="224"/>
    </row>
    <row r="122" spans="1:600" ht="21" customHeight="1" thickBot="1" x14ac:dyDescent="0.4">
      <c r="C122" s="480"/>
      <c r="D122" s="481"/>
      <c r="E122" s="482"/>
      <c r="F122" s="482"/>
      <c r="G122" s="482"/>
      <c r="H122" s="482"/>
      <c r="I122" s="482"/>
      <c r="K122" s="482"/>
      <c r="L122" s="482"/>
      <c r="M122" s="482"/>
      <c r="N122" s="482"/>
      <c r="O122" s="482"/>
      <c r="P122" s="482"/>
      <c r="Q122" s="482"/>
      <c r="R122" s="482"/>
      <c r="T122" s="482"/>
      <c r="U122" s="482"/>
      <c r="V122" s="482"/>
      <c r="W122" s="482"/>
      <c r="X122" s="482"/>
      <c r="Y122" s="482"/>
      <c r="Z122" s="482"/>
      <c r="AB122" s="482"/>
      <c r="AC122" s="482"/>
      <c r="AD122" s="482"/>
      <c r="AF122" s="482"/>
      <c r="AG122" s="482"/>
      <c r="AH122" s="482"/>
      <c r="AI122" s="482"/>
      <c r="AJ122" s="482"/>
      <c r="AK122" s="482"/>
      <c r="AL122" s="482"/>
      <c r="AM122" s="482"/>
      <c r="AN122" s="482"/>
      <c r="AO122" s="482"/>
      <c r="AP122" s="482"/>
      <c r="AQ122" s="482"/>
      <c r="AR122" s="482"/>
      <c r="AS122" s="482"/>
      <c r="AT122" s="482"/>
      <c r="AV122" s="482"/>
      <c r="AW122" s="482"/>
      <c r="AX122" s="482"/>
      <c r="AY122" s="482"/>
      <c r="AZ122" s="482"/>
      <c r="BA122" s="482"/>
      <c r="BB122" s="482"/>
      <c r="BC122" s="482"/>
      <c r="BD122" s="482"/>
      <c r="BE122" s="482"/>
      <c r="BF122" s="482"/>
      <c r="BG122" s="482"/>
      <c r="BH122" s="482"/>
      <c r="BI122" s="482"/>
      <c r="BJ122" s="482"/>
      <c r="BK122" s="482"/>
      <c r="BL122" s="482"/>
      <c r="BN122" s="482"/>
      <c r="BO122" s="482"/>
      <c r="BP122" s="482"/>
      <c r="BR122" s="482"/>
      <c r="BS122" s="482"/>
      <c r="BT122" s="482"/>
      <c r="BU122" s="482"/>
      <c r="BV122" s="482"/>
      <c r="BW122" s="482"/>
      <c r="BX122" s="482"/>
    </row>
    <row r="123" spans="1:600" s="96" customFormat="1" x14ac:dyDescent="0.35">
      <c r="E123" s="97"/>
      <c r="F123" s="316"/>
      <c r="G123" s="483"/>
      <c r="H123" s="483"/>
      <c r="I123" s="483"/>
      <c r="J123" s="483"/>
      <c r="K123" s="483"/>
      <c r="L123" s="483"/>
      <c r="M123" s="483"/>
      <c r="N123" s="483"/>
      <c r="O123" s="483"/>
      <c r="P123" s="483"/>
      <c r="Q123" s="483"/>
      <c r="R123" s="483"/>
      <c r="S123" s="483"/>
      <c r="T123" s="483"/>
      <c r="U123" s="483"/>
      <c r="V123" s="483"/>
      <c r="W123" s="483"/>
      <c r="X123" s="483"/>
      <c r="Y123" s="483"/>
      <c r="Z123" s="483"/>
      <c r="AA123" s="483"/>
      <c r="AB123" s="483"/>
      <c r="AC123" s="483"/>
      <c r="AD123" s="483"/>
      <c r="AE123" s="483"/>
      <c r="AF123" s="483"/>
      <c r="AG123" s="483"/>
      <c r="AH123" s="483"/>
      <c r="AI123" s="483"/>
      <c r="AJ123" s="483"/>
      <c r="AK123" s="483"/>
      <c r="AL123" s="483"/>
      <c r="AM123" s="483"/>
      <c r="AN123" s="483"/>
      <c r="AO123" s="483"/>
      <c r="AP123" s="483"/>
      <c r="AQ123" s="483"/>
      <c r="AR123" s="483"/>
      <c r="AS123" s="483"/>
      <c r="AT123" s="483"/>
      <c r="AU123" s="483"/>
      <c r="AV123" s="483"/>
      <c r="AW123" s="483"/>
      <c r="AX123" s="483"/>
      <c r="AY123" s="483"/>
      <c r="AZ123" s="483"/>
      <c r="BA123" s="483"/>
      <c r="BB123" s="483"/>
      <c r="BC123" s="483"/>
      <c r="BD123" s="483"/>
      <c r="BE123" s="483"/>
      <c r="BF123" s="483"/>
      <c r="BG123" s="483"/>
      <c r="BH123" s="483"/>
      <c r="BI123" s="483"/>
      <c r="BJ123" s="483"/>
      <c r="BK123" s="483"/>
      <c r="BL123" s="483"/>
      <c r="BM123" s="483"/>
      <c r="BN123" s="483"/>
      <c r="BO123" s="483"/>
      <c r="BP123" s="483"/>
      <c r="BQ123" s="483"/>
      <c r="BR123" s="483"/>
      <c r="BS123" s="483"/>
      <c r="BT123" s="483"/>
      <c r="BU123" s="483"/>
      <c r="BV123" s="483"/>
      <c r="BW123" s="483"/>
      <c r="BX123" s="483"/>
      <c r="BY123" s="483"/>
      <c r="BZ123" s="483"/>
      <c r="CA123" s="483"/>
      <c r="CB123" s="483"/>
      <c r="CC123" s="483"/>
      <c r="CD123" s="483"/>
      <c r="CE123" s="483"/>
      <c r="CF123" s="483"/>
      <c r="CG123" s="483"/>
      <c r="CH123" s="483"/>
      <c r="CI123" s="483"/>
      <c r="CJ123" s="483"/>
      <c r="CK123" s="483"/>
      <c r="CL123" s="483"/>
      <c r="CM123" s="483"/>
      <c r="CN123" s="483"/>
      <c r="CO123" s="483"/>
      <c r="CP123" s="483"/>
      <c r="CQ123" s="483"/>
      <c r="CR123" s="483"/>
      <c r="CS123" s="483"/>
      <c r="CT123" s="483"/>
      <c r="CU123" s="483"/>
      <c r="CV123" s="483"/>
      <c r="CW123" s="483"/>
      <c r="CX123" s="483"/>
      <c r="CY123" s="483"/>
      <c r="CZ123" s="483"/>
      <c r="DA123" s="483"/>
      <c r="DB123" s="483"/>
      <c r="DC123" s="483"/>
      <c r="DD123" s="483"/>
      <c r="DE123" s="483"/>
      <c r="DF123" s="483"/>
      <c r="DG123" s="483"/>
      <c r="DH123" s="483"/>
      <c r="DI123" s="483"/>
      <c r="DJ123" s="483"/>
      <c r="DK123" s="483"/>
      <c r="DL123" s="483"/>
      <c r="DM123" s="483"/>
      <c r="DN123" s="483"/>
      <c r="DO123" s="483"/>
      <c r="DP123" s="483"/>
      <c r="DQ123" s="483"/>
      <c r="DR123" s="483"/>
      <c r="DS123" s="483"/>
      <c r="DT123" s="483"/>
      <c r="DU123" s="483"/>
      <c r="DV123" s="483"/>
      <c r="DW123" s="483"/>
      <c r="DX123" s="483"/>
      <c r="DY123" s="483"/>
      <c r="DZ123" s="483"/>
      <c r="EA123" s="483"/>
      <c r="EB123" s="483"/>
      <c r="EC123" s="483"/>
      <c r="ED123" s="483"/>
      <c r="EE123" s="483"/>
      <c r="EF123" s="483"/>
      <c r="EG123" s="483"/>
      <c r="EH123" s="483"/>
      <c r="EI123" s="483"/>
      <c r="EJ123" s="483"/>
      <c r="EK123" s="483"/>
      <c r="EL123" s="483"/>
      <c r="EM123" s="483"/>
      <c r="EN123" s="483"/>
      <c r="EO123" s="483"/>
      <c r="EP123" s="483"/>
      <c r="EQ123" s="483"/>
      <c r="ER123" s="483"/>
      <c r="ES123" s="483"/>
      <c r="ET123" s="483"/>
      <c r="EU123" s="483"/>
      <c r="EV123" s="483"/>
      <c r="EW123" s="483"/>
      <c r="EX123" s="483"/>
      <c r="EY123" s="483"/>
      <c r="EZ123" s="483"/>
      <c r="FA123" s="483"/>
      <c r="FB123" s="483"/>
      <c r="FC123" s="483"/>
      <c r="FD123" s="483"/>
      <c r="FE123" s="483"/>
      <c r="FF123" s="483"/>
      <c r="FG123" s="483"/>
      <c r="FH123" s="483"/>
      <c r="FI123" s="483"/>
      <c r="FJ123" s="483"/>
      <c r="FK123" s="483"/>
      <c r="FL123" s="483"/>
      <c r="FM123" s="483"/>
      <c r="FN123" s="483"/>
      <c r="FO123" s="483"/>
      <c r="FP123" s="483"/>
      <c r="FQ123" s="483"/>
      <c r="FR123" s="483"/>
      <c r="FS123" s="483"/>
      <c r="FT123" s="483"/>
      <c r="FU123" s="483"/>
      <c r="FV123" s="483"/>
      <c r="FW123" s="483"/>
      <c r="FX123" s="483"/>
      <c r="FY123" s="483"/>
      <c r="FZ123" s="483"/>
      <c r="GA123" s="483"/>
      <c r="GB123" s="483"/>
      <c r="GC123" s="483"/>
      <c r="GD123" s="483"/>
      <c r="GE123" s="483"/>
      <c r="GF123" s="483"/>
      <c r="GG123" s="483"/>
      <c r="GH123" s="483"/>
      <c r="GI123" s="483"/>
      <c r="GJ123" s="483"/>
      <c r="GK123" s="483"/>
      <c r="GL123" s="483"/>
      <c r="GM123" s="483"/>
      <c r="GN123" s="483"/>
      <c r="GO123" s="483"/>
      <c r="GP123" s="483"/>
      <c r="GQ123" s="483"/>
      <c r="GR123" s="483"/>
      <c r="GS123" s="483"/>
      <c r="GT123" s="483"/>
      <c r="GU123" s="483"/>
      <c r="GV123" s="483"/>
      <c r="GW123" s="483"/>
      <c r="GX123" s="483"/>
      <c r="GY123" s="483"/>
      <c r="GZ123" s="483"/>
      <c r="HA123" s="483"/>
      <c r="HB123" s="483"/>
      <c r="HC123" s="483"/>
      <c r="HD123" s="483"/>
      <c r="HE123" s="483"/>
      <c r="HF123" s="483"/>
      <c r="HG123" s="483"/>
      <c r="HH123" s="483"/>
      <c r="HI123" s="483"/>
      <c r="HJ123" s="483"/>
      <c r="HK123" s="483"/>
      <c r="HL123" s="483"/>
      <c r="HM123" s="483"/>
      <c r="HN123" s="483"/>
      <c r="HO123" s="483"/>
      <c r="HP123" s="483"/>
      <c r="HQ123" s="483"/>
      <c r="HR123" s="483"/>
      <c r="HS123" s="483"/>
      <c r="HT123" s="483"/>
      <c r="HU123" s="483"/>
      <c r="HV123" s="483"/>
      <c r="HW123" s="483"/>
      <c r="HX123" s="483"/>
      <c r="HY123" s="483"/>
      <c r="HZ123" s="483"/>
      <c r="IA123" s="483"/>
      <c r="IB123" s="483"/>
      <c r="IC123" s="483"/>
      <c r="ID123" s="483"/>
      <c r="IE123" s="483"/>
      <c r="IF123" s="483"/>
      <c r="IG123" s="483"/>
      <c r="IH123" s="483"/>
      <c r="II123" s="483"/>
      <c r="IJ123" s="483"/>
      <c r="IK123" s="483"/>
      <c r="IL123" s="483"/>
      <c r="IM123" s="483"/>
      <c r="IN123" s="483"/>
      <c r="IO123" s="483"/>
      <c r="IP123" s="483"/>
      <c r="IQ123" s="483"/>
      <c r="IR123" s="483"/>
      <c r="IS123" s="483"/>
      <c r="IT123" s="483"/>
      <c r="IU123" s="483"/>
      <c r="IV123" s="483"/>
      <c r="IW123" s="483"/>
      <c r="IX123" s="483"/>
      <c r="IY123" s="483"/>
      <c r="IZ123" s="483"/>
      <c r="JA123" s="483"/>
      <c r="JB123" s="483"/>
      <c r="JC123" s="483"/>
      <c r="JD123" s="483"/>
      <c r="JE123" s="483"/>
      <c r="JF123" s="483"/>
      <c r="JG123" s="483"/>
      <c r="JH123" s="483"/>
      <c r="JI123" s="483"/>
      <c r="JJ123" s="483"/>
      <c r="JK123" s="483"/>
      <c r="JL123" s="483"/>
      <c r="JM123" s="483"/>
      <c r="JN123" s="483"/>
      <c r="JO123" s="483"/>
      <c r="JP123" s="483"/>
      <c r="JQ123" s="483"/>
      <c r="JR123" s="483"/>
      <c r="JS123" s="483"/>
      <c r="JT123" s="483"/>
      <c r="JU123" s="483"/>
      <c r="JV123" s="483"/>
      <c r="JW123" s="483"/>
      <c r="JX123" s="483"/>
      <c r="JY123" s="483"/>
      <c r="JZ123" s="483"/>
      <c r="KA123" s="483"/>
      <c r="KB123" s="483"/>
      <c r="KC123" s="483"/>
      <c r="KD123" s="483"/>
      <c r="KE123" s="483"/>
      <c r="KF123" s="483"/>
      <c r="KG123" s="483"/>
      <c r="KH123" s="483"/>
      <c r="KI123" s="483"/>
      <c r="KJ123" s="483"/>
      <c r="KK123" s="483"/>
      <c r="KL123" s="483"/>
      <c r="KM123" s="483"/>
      <c r="KN123" s="483"/>
      <c r="KO123" s="483"/>
      <c r="KP123" s="483"/>
      <c r="KQ123" s="483"/>
      <c r="KR123" s="483"/>
      <c r="KS123" s="483"/>
      <c r="KT123" s="483"/>
      <c r="KU123" s="483"/>
      <c r="KV123" s="483"/>
      <c r="KW123" s="483"/>
      <c r="KX123" s="483"/>
      <c r="KY123" s="483"/>
      <c r="KZ123" s="483"/>
      <c r="LA123" s="483"/>
      <c r="LB123" s="483"/>
      <c r="LC123" s="483"/>
      <c r="LD123" s="483"/>
      <c r="LE123" s="483"/>
      <c r="LF123" s="483"/>
      <c r="LG123" s="483"/>
      <c r="LH123" s="483"/>
      <c r="LI123" s="483"/>
      <c r="LJ123" s="483"/>
      <c r="LK123" s="483"/>
      <c r="LL123" s="483"/>
      <c r="LM123" s="483"/>
      <c r="LN123" s="483"/>
      <c r="LO123" s="483"/>
      <c r="LP123" s="483"/>
      <c r="LQ123" s="483"/>
      <c r="LR123" s="483"/>
      <c r="LS123" s="483"/>
      <c r="LT123" s="483"/>
      <c r="LU123" s="483"/>
      <c r="LV123" s="483"/>
      <c r="LW123" s="483"/>
      <c r="LX123" s="483"/>
      <c r="LY123" s="483"/>
      <c r="LZ123" s="483"/>
      <c r="MA123" s="483"/>
      <c r="MB123" s="483"/>
      <c r="MC123" s="483"/>
      <c r="MD123" s="483"/>
      <c r="ME123" s="483"/>
      <c r="MF123" s="483"/>
      <c r="MG123" s="483"/>
      <c r="MH123" s="483"/>
      <c r="MI123" s="483"/>
      <c r="MJ123" s="483"/>
      <c r="MK123" s="483"/>
      <c r="ML123" s="483"/>
      <c r="MM123" s="483"/>
      <c r="MN123" s="483"/>
      <c r="MO123" s="483"/>
      <c r="MP123" s="483"/>
      <c r="MQ123" s="483"/>
      <c r="MR123" s="483"/>
      <c r="MS123" s="483"/>
      <c r="MT123" s="483"/>
      <c r="MU123" s="483"/>
      <c r="MV123" s="483"/>
      <c r="MW123" s="483"/>
      <c r="MX123" s="483"/>
      <c r="MY123" s="483"/>
      <c r="MZ123" s="483"/>
      <c r="NA123" s="483"/>
      <c r="NB123" s="483"/>
      <c r="NC123" s="483"/>
      <c r="ND123" s="483"/>
      <c r="NE123" s="483"/>
      <c r="NF123" s="483"/>
      <c r="NG123" s="483"/>
      <c r="NH123" s="483"/>
      <c r="NI123" s="483"/>
      <c r="NJ123" s="483"/>
      <c r="NK123" s="483"/>
      <c r="NL123" s="483"/>
      <c r="NM123" s="483"/>
      <c r="NN123" s="483"/>
      <c r="NO123" s="483"/>
      <c r="NP123" s="483"/>
      <c r="NQ123" s="483"/>
      <c r="NR123" s="483"/>
      <c r="NS123" s="483"/>
      <c r="NT123" s="483"/>
      <c r="NU123" s="483"/>
      <c r="NV123" s="483"/>
      <c r="NW123" s="483"/>
      <c r="NX123" s="483"/>
      <c r="NY123" s="483"/>
      <c r="NZ123" s="483"/>
      <c r="OA123" s="483"/>
      <c r="OB123" s="483"/>
      <c r="OC123" s="483"/>
      <c r="OD123" s="483"/>
      <c r="OE123" s="483"/>
      <c r="OF123" s="483"/>
      <c r="OG123" s="483"/>
      <c r="OH123" s="483"/>
      <c r="OI123" s="483"/>
      <c r="OJ123" s="483"/>
      <c r="OK123" s="483"/>
      <c r="OL123" s="483"/>
      <c r="OM123" s="483"/>
      <c r="ON123" s="483"/>
      <c r="OO123" s="483"/>
      <c r="OP123" s="483"/>
      <c r="OQ123" s="483"/>
      <c r="OR123" s="483"/>
      <c r="OS123" s="483"/>
      <c r="OT123" s="483"/>
      <c r="OU123" s="483"/>
      <c r="OV123" s="483"/>
      <c r="OW123" s="483"/>
      <c r="OX123" s="483"/>
      <c r="OY123" s="483"/>
      <c r="OZ123" s="483"/>
      <c r="PA123" s="483"/>
      <c r="PB123" s="483"/>
      <c r="PC123" s="483"/>
      <c r="PD123" s="483"/>
      <c r="PE123" s="483"/>
      <c r="PF123" s="483"/>
      <c r="PG123" s="483"/>
      <c r="PH123" s="483"/>
      <c r="PI123" s="483"/>
      <c r="PJ123" s="483"/>
      <c r="PK123" s="483"/>
      <c r="PL123" s="483"/>
      <c r="PM123" s="483"/>
      <c r="PN123" s="483"/>
      <c r="PO123" s="483"/>
      <c r="PP123" s="483"/>
      <c r="PQ123" s="483"/>
      <c r="PR123" s="483"/>
      <c r="PS123" s="483"/>
      <c r="PT123" s="483"/>
      <c r="PU123" s="483"/>
      <c r="PV123" s="483"/>
      <c r="PW123" s="483"/>
      <c r="PX123" s="483"/>
      <c r="PY123" s="483"/>
      <c r="PZ123" s="483"/>
      <c r="QA123" s="483"/>
      <c r="QB123" s="483"/>
      <c r="QC123" s="483"/>
      <c r="QD123" s="483"/>
      <c r="QE123" s="483"/>
      <c r="QF123" s="483"/>
      <c r="QG123" s="483"/>
      <c r="QH123" s="483"/>
      <c r="QI123" s="483"/>
      <c r="QJ123" s="483"/>
      <c r="QK123" s="483"/>
      <c r="QL123" s="483"/>
      <c r="QM123" s="483"/>
      <c r="QN123" s="483"/>
      <c r="QO123" s="483"/>
      <c r="QP123" s="483"/>
      <c r="QQ123" s="483"/>
      <c r="QR123" s="483"/>
      <c r="QS123" s="483"/>
      <c r="QT123" s="483"/>
      <c r="QU123" s="483"/>
      <c r="QV123" s="483"/>
      <c r="QW123" s="483"/>
      <c r="QX123" s="483"/>
      <c r="QY123" s="483"/>
      <c r="QZ123" s="483"/>
      <c r="RA123" s="483"/>
      <c r="RB123" s="483"/>
      <c r="RC123" s="483"/>
      <c r="RD123" s="483"/>
      <c r="RE123" s="483"/>
      <c r="RF123" s="483"/>
      <c r="RG123" s="483"/>
      <c r="RH123" s="483"/>
      <c r="RI123" s="483"/>
      <c r="RJ123" s="483"/>
      <c r="RK123" s="483"/>
      <c r="RL123" s="483"/>
      <c r="RM123" s="483"/>
      <c r="RN123" s="483"/>
      <c r="RO123" s="483"/>
      <c r="RP123" s="483"/>
      <c r="RQ123" s="483"/>
      <c r="RR123" s="483"/>
      <c r="RS123" s="483"/>
      <c r="RT123" s="483"/>
      <c r="RU123" s="483"/>
      <c r="RV123" s="483"/>
      <c r="RW123" s="483"/>
      <c r="RX123" s="483"/>
      <c r="RY123" s="483"/>
      <c r="RZ123" s="483"/>
      <c r="SA123" s="483"/>
      <c r="SB123" s="483"/>
      <c r="SC123" s="483"/>
      <c r="SD123" s="483"/>
      <c r="SE123" s="483"/>
      <c r="SF123" s="483"/>
      <c r="SG123" s="483"/>
      <c r="SH123" s="483"/>
      <c r="SI123" s="483"/>
      <c r="SJ123" s="483"/>
      <c r="SK123" s="483"/>
      <c r="SL123" s="483"/>
      <c r="SM123" s="483"/>
      <c r="SN123" s="483"/>
      <c r="SO123" s="483"/>
      <c r="SP123" s="483"/>
      <c r="SQ123" s="483"/>
      <c r="SR123" s="483"/>
      <c r="SS123" s="483"/>
      <c r="ST123" s="483"/>
      <c r="SU123" s="483"/>
      <c r="SV123" s="483"/>
      <c r="SW123" s="483"/>
      <c r="SX123" s="483"/>
      <c r="SY123" s="483"/>
      <c r="SZ123" s="483"/>
      <c r="TA123" s="483"/>
      <c r="TB123" s="483"/>
      <c r="TC123" s="483"/>
      <c r="TD123" s="483"/>
      <c r="TE123" s="483"/>
      <c r="TF123" s="483"/>
      <c r="TG123" s="483"/>
      <c r="TH123" s="483"/>
      <c r="TI123" s="483"/>
      <c r="TJ123" s="483"/>
      <c r="TK123" s="483"/>
      <c r="TL123" s="483"/>
      <c r="TM123" s="483"/>
      <c r="TN123" s="483"/>
      <c r="TO123" s="483"/>
      <c r="TP123" s="483"/>
      <c r="TQ123" s="483"/>
      <c r="TR123" s="483"/>
      <c r="TS123" s="483"/>
      <c r="TT123" s="483"/>
      <c r="TU123" s="483"/>
      <c r="TV123" s="483"/>
      <c r="TW123" s="483"/>
      <c r="TX123" s="483"/>
      <c r="TY123" s="483"/>
      <c r="TZ123" s="483"/>
      <c r="UA123" s="483"/>
      <c r="UB123" s="483"/>
      <c r="UC123" s="483"/>
      <c r="UD123" s="483"/>
      <c r="UE123" s="483"/>
      <c r="UF123" s="483"/>
      <c r="UG123" s="483"/>
      <c r="UH123" s="483"/>
      <c r="UI123" s="483"/>
      <c r="UJ123" s="483"/>
      <c r="UK123" s="483"/>
      <c r="UL123" s="483"/>
      <c r="UM123" s="483"/>
      <c r="UN123" s="483"/>
      <c r="UO123" s="483"/>
      <c r="UP123" s="483"/>
      <c r="UQ123" s="483"/>
      <c r="UR123" s="483"/>
      <c r="US123" s="483"/>
      <c r="UT123" s="483"/>
      <c r="UU123" s="483"/>
      <c r="UV123" s="483"/>
      <c r="UW123" s="483"/>
      <c r="UX123" s="483"/>
      <c r="UY123" s="483"/>
      <c r="UZ123" s="483"/>
      <c r="VA123" s="483"/>
      <c r="VB123" s="483"/>
      <c r="VC123" s="483"/>
      <c r="VD123" s="483"/>
      <c r="VE123" s="483"/>
      <c r="VF123" s="483"/>
      <c r="VG123" s="483"/>
      <c r="VH123" s="483"/>
      <c r="VI123" s="483"/>
      <c r="VJ123" s="483"/>
      <c r="VK123" s="483"/>
      <c r="VL123" s="483"/>
      <c r="VM123" s="483"/>
      <c r="VN123" s="483"/>
      <c r="VO123" s="483"/>
      <c r="VP123" s="483"/>
      <c r="VQ123" s="483"/>
      <c r="VR123" s="483"/>
      <c r="VS123" s="483"/>
      <c r="VT123" s="483"/>
      <c r="VU123" s="483"/>
      <c r="VV123" s="483"/>
      <c r="VW123" s="483"/>
      <c r="VX123" s="483"/>
      <c r="VY123" s="483"/>
      <c r="VZ123" s="483"/>
      <c r="WA123" s="483"/>
      <c r="WB123" s="483"/>
    </row>
    <row r="129" spans="5:600" s="96" customFormat="1" ht="3" customHeight="1" x14ac:dyDescent="0.35">
      <c r="E129" s="97"/>
      <c r="F129" s="316"/>
      <c r="G129" s="483"/>
      <c r="H129" s="483"/>
      <c r="I129" s="483"/>
      <c r="J129" s="483"/>
      <c r="K129" s="483"/>
      <c r="L129" s="483"/>
      <c r="M129" s="483"/>
      <c r="N129" s="483"/>
      <c r="O129" s="483"/>
      <c r="P129" s="483"/>
      <c r="Q129" s="483"/>
      <c r="R129" s="483"/>
      <c r="S129" s="483"/>
      <c r="T129" s="483"/>
      <c r="U129" s="483"/>
      <c r="V129" s="483"/>
      <c r="W129" s="483"/>
      <c r="X129" s="483"/>
      <c r="Y129" s="483"/>
      <c r="Z129" s="483"/>
      <c r="AA129" s="483"/>
      <c r="AB129" s="483"/>
      <c r="AC129" s="483"/>
      <c r="AD129" s="483"/>
      <c r="AE129" s="483"/>
      <c r="AF129" s="483"/>
      <c r="AG129" s="483"/>
      <c r="AH129" s="483"/>
      <c r="AI129" s="483"/>
      <c r="AJ129" s="483"/>
      <c r="AK129" s="483"/>
      <c r="AL129" s="483"/>
      <c r="AM129" s="483"/>
      <c r="AN129" s="483"/>
      <c r="AO129" s="483"/>
      <c r="AP129" s="483"/>
      <c r="AQ129" s="483"/>
      <c r="AR129" s="483"/>
      <c r="AS129" s="483"/>
      <c r="AT129" s="483"/>
      <c r="AU129" s="483"/>
      <c r="AV129" s="483"/>
      <c r="AW129" s="483"/>
      <c r="AX129" s="483"/>
      <c r="AY129" s="483"/>
      <c r="AZ129" s="483"/>
      <c r="BA129" s="483"/>
      <c r="BB129" s="483"/>
      <c r="BC129" s="483"/>
      <c r="BD129" s="483"/>
      <c r="BE129" s="483"/>
      <c r="BF129" s="483"/>
      <c r="BG129" s="483"/>
      <c r="BH129" s="483"/>
      <c r="BI129" s="483"/>
      <c r="BJ129" s="483"/>
      <c r="BK129" s="483"/>
      <c r="BL129" s="483"/>
      <c r="BM129" s="483"/>
      <c r="BN129" s="483"/>
      <c r="BO129" s="483"/>
      <c r="BP129" s="483"/>
      <c r="BQ129" s="483"/>
      <c r="BR129" s="483"/>
      <c r="BS129" s="483"/>
      <c r="BT129" s="483"/>
      <c r="BU129" s="483"/>
      <c r="BV129" s="483"/>
      <c r="BW129" s="483"/>
      <c r="BX129" s="483"/>
      <c r="BY129" s="483"/>
      <c r="BZ129" s="483"/>
      <c r="CA129" s="483"/>
      <c r="CB129" s="483"/>
      <c r="CC129" s="483"/>
      <c r="CD129" s="483"/>
      <c r="CE129" s="483"/>
      <c r="CF129" s="483"/>
      <c r="CG129" s="483"/>
      <c r="CH129" s="483"/>
      <c r="CI129" s="483"/>
      <c r="CJ129" s="483"/>
      <c r="CK129" s="483"/>
      <c r="CL129" s="483"/>
      <c r="CM129" s="483"/>
      <c r="CN129" s="483"/>
      <c r="CO129" s="483"/>
      <c r="CP129" s="483"/>
      <c r="CQ129" s="483"/>
      <c r="CR129" s="483"/>
      <c r="CS129" s="483"/>
      <c r="CT129" s="483"/>
      <c r="CU129" s="483"/>
      <c r="CV129" s="483"/>
      <c r="CW129" s="483"/>
      <c r="CX129" s="483"/>
      <c r="CY129" s="483"/>
      <c r="CZ129" s="483"/>
      <c r="DA129" s="483"/>
      <c r="DB129" s="483"/>
      <c r="DC129" s="483"/>
      <c r="DD129" s="483"/>
      <c r="DE129" s="483"/>
      <c r="DF129" s="483"/>
      <c r="DG129" s="483"/>
      <c r="DH129" s="483"/>
      <c r="DI129" s="483"/>
      <c r="DJ129" s="483"/>
      <c r="DK129" s="483"/>
      <c r="DL129" s="483"/>
      <c r="DM129" s="483"/>
      <c r="DN129" s="483"/>
      <c r="DO129" s="483"/>
      <c r="DP129" s="483"/>
      <c r="DQ129" s="483"/>
      <c r="DR129" s="483"/>
      <c r="DS129" s="483"/>
      <c r="DT129" s="483"/>
      <c r="DU129" s="483"/>
      <c r="DV129" s="483"/>
      <c r="DW129" s="483"/>
      <c r="DX129" s="483"/>
      <c r="DY129" s="483"/>
      <c r="DZ129" s="483"/>
      <c r="EA129" s="483"/>
      <c r="EB129" s="483"/>
      <c r="EC129" s="483"/>
      <c r="ED129" s="483"/>
      <c r="EE129" s="483"/>
      <c r="EF129" s="483"/>
      <c r="EG129" s="483"/>
      <c r="EH129" s="483"/>
      <c r="EI129" s="483"/>
      <c r="EJ129" s="483"/>
      <c r="EK129" s="483"/>
      <c r="EL129" s="483"/>
      <c r="EM129" s="483"/>
      <c r="EN129" s="483"/>
      <c r="EO129" s="483"/>
      <c r="EP129" s="483"/>
      <c r="EQ129" s="483"/>
      <c r="ER129" s="483"/>
      <c r="ES129" s="483"/>
      <c r="ET129" s="483"/>
      <c r="EU129" s="483"/>
      <c r="EV129" s="483"/>
      <c r="EW129" s="483"/>
      <c r="EX129" s="483"/>
      <c r="EY129" s="483"/>
      <c r="EZ129" s="483"/>
      <c r="FA129" s="483"/>
      <c r="FB129" s="483"/>
      <c r="FC129" s="483"/>
      <c r="FD129" s="483"/>
      <c r="FE129" s="483"/>
      <c r="FF129" s="483"/>
      <c r="FG129" s="483"/>
      <c r="FH129" s="483"/>
      <c r="FI129" s="483"/>
      <c r="FJ129" s="483"/>
      <c r="FK129" s="483"/>
      <c r="FL129" s="483"/>
      <c r="FM129" s="483"/>
      <c r="FN129" s="483"/>
      <c r="FO129" s="483"/>
      <c r="FP129" s="483"/>
      <c r="FQ129" s="483"/>
      <c r="FR129" s="483"/>
      <c r="FS129" s="483"/>
      <c r="FT129" s="483"/>
      <c r="FU129" s="483"/>
      <c r="FV129" s="483"/>
      <c r="FW129" s="483"/>
      <c r="FX129" s="483"/>
      <c r="FY129" s="483"/>
      <c r="FZ129" s="483"/>
      <c r="GA129" s="483"/>
      <c r="GB129" s="483"/>
      <c r="GC129" s="483"/>
      <c r="GD129" s="483"/>
      <c r="GE129" s="483"/>
      <c r="GF129" s="483"/>
      <c r="GG129" s="483"/>
      <c r="GH129" s="483"/>
      <c r="GI129" s="483"/>
      <c r="GJ129" s="483"/>
      <c r="GK129" s="483"/>
      <c r="GL129" s="483"/>
      <c r="GM129" s="483"/>
      <c r="GN129" s="483"/>
      <c r="GO129" s="483"/>
      <c r="GP129" s="483"/>
      <c r="GQ129" s="483"/>
      <c r="GR129" s="483"/>
      <c r="GS129" s="483"/>
      <c r="GT129" s="483"/>
      <c r="GU129" s="483"/>
      <c r="GV129" s="483"/>
      <c r="GW129" s="483"/>
      <c r="GX129" s="483"/>
      <c r="GY129" s="483"/>
      <c r="GZ129" s="483"/>
      <c r="HA129" s="483"/>
      <c r="HB129" s="483"/>
      <c r="HC129" s="483"/>
      <c r="HD129" s="483"/>
      <c r="HE129" s="483"/>
      <c r="HF129" s="483"/>
      <c r="HG129" s="483"/>
      <c r="HH129" s="483"/>
      <c r="HI129" s="483"/>
      <c r="HJ129" s="483"/>
      <c r="HK129" s="483"/>
      <c r="HL129" s="483"/>
      <c r="HM129" s="483"/>
      <c r="HN129" s="483"/>
      <c r="HO129" s="483"/>
      <c r="HP129" s="483"/>
      <c r="HQ129" s="483"/>
      <c r="HR129" s="483"/>
      <c r="HS129" s="483"/>
      <c r="HT129" s="483"/>
      <c r="HU129" s="483"/>
      <c r="HV129" s="483"/>
      <c r="HW129" s="483"/>
      <c r="HX129" s="483"/>
      <c r="HY129" s="483"/>
      <c r="HZ129" s="483"/>
      <c r="IA129" s="483"/>
      <c r="IB129" s="483"/>
      <c r="IC129" s="483"/>
      <c r="ID129" s="483"/>
      <c r="IE129" s="483"/>
      <c r="IF129" s="483"/>
      <c r="IG129" s="483"/>
      <c r="IH129" s="483"/>
      <c r="II129" s="483"/>
      <c r="IJ129" s="483"/>
      <c r="IK129" s="483"/>
      <c r="IL129" s="483"/>
      <c r="IM129" s="483"/>
      <c r="IN129" s="483"/>
      <c r="IO129" s="483"/>
      <c r="IP129" s="483"/>
      <c r="IQ129" s="483"/>
      <c r="IR129" s="483"/>
      <c r="IS129" s="483"/>
      <c r="IT129" s="483"/>
      <c r="IU129" s="483"/>
      <c r="IV129" s="483"/>
      <c r="IW129" s="483"/>
      <c r="IX129" s="483"/>
      <c r="IY129" s="483"/>
      <c r="IZ129" s="483"/>
      <c r="JA129" s="483"/>
      <c r="JB129" s="483"/>
      <c r="JC129" s="483"/>
      <c r="JD129" s="483"/>
      <c r="JE129" s="483"/>
      <c r="JF129" s="483"/>
      <c r="JG129" s="483"/>
      <c r="JH129" s="483"/>
      <c r="JI129" s="483"/>
      <c r="JJ129" s="483"/>
      <c r="JK129" s="483"/>
      <c r="JL129" s="483"/>
      <c r="JM129" s="483"/>
      <c r="JN129" s="483"/>
      <c r="JO129" s="483"/>
      <c r="JP129" s="483"/>
      <c r="JQ129" s="483"/>
      <c r="JR129" s="483"/>
      <c r="JS129" s="483"/>
      <c r="JT129" s="483"/>
      <c r="JU129" s="483"/>
      <c r="JV129" s="483"/>
      <c r="JW129" s="483"/>
      <c r="JX129" s="483"/>
      <c r="JY129" s="483"/>
      <c r="JZ129" s="483"/>
      <c r="KA129" s="483"/>
      <c r="KB129" s="483"/>
      <c r="KC129" s="483"/>
      <c r="KD129" s="483"/>
      <c r="KE129" s="483"/>
      <c r="KF129" s="483"/>
      <c r="KG129" s="483"/>
      <c r="KH129" s="483"/>
      <c r="KI129" s="483"/>
      <c r="KJ129" s="483"/>
      <c r="KK129" s="483"/>
      <c r="KL129" s="483"/>
      <c r="KM129" s="483"/>
      <c r="KN129" s="483"/>
      <c r="KO129" s="483"/>
      <c r="KP129" s="483"/>
      <c r="KQ129" s="483"/>
      <c r="KR129" s="483"/>
      <c r="KS129" s="483"/>
      <c r="KT129" s="483"/>
      <c r="KU129" s="483"/>
      <c r="KV129" s="483"/>
      <c r="KW129" s="483"/>
      <c r="KX129" s="483"/>
      <c r="KY129" s="483"/>
      <c r="KZ129" s="483"/>
      <c r="LA129" s="483"/>
      <c r="LB129" s="483"/>
      <c r="LC129" s="483"/>
      <c r="LD129" s="483"/>
      <c r="LE129" s="483"/>
      <c r="LF129" s="483"/>
      <c r="LG129" s="483"/>
      <c r="LH129" s="483"/>
      <c r="LI129" s="483"/>
      <c r="LJ129" s="483"/>
      <c r="LK129" s="483"/>
      <c r="LL129" s="483"/>
      <c r="LM129" s="483"/>
      <c r="LN129" s="483"/>
      <c r="LO129" s="483"/>
      <c r="LP129" s="483"/>
      <c r="LQ129" s="483"/>
      <c r="LR129" s="483"/>
      <c r="LS129" s="483"/>
      <c r="LT129" s="483"/>
      <c r="LU129" s="483"/>
      <c r="LV129" s="483"/>
      <c r="LW129" s="483"/>
      <c r="LX129" s="483"/>
      <c r="LY129" s="483"/>
      <c r="LZ129" s="483"/>
      <c r="MA129" s="483"/>
      <c r="MB129" s="483"/>
      <c r="MC129" s="483"/>
      <c r="MD129" s="483"/>
      <c r="ME129" s="483"/>
      <c r="MF129" s="483"/>
      <c r="MG129" s="483"/>
      <c r="MH129" s="483"/>
      <c r="MI129" s="483"/>
      <c r="MJ129" s="483"/>
      <c r="MK129" s="483"/>
      <c r="ML129" s="483"/>
      <c r="MM129" s="483"/>
      <c r="MN129" s="483"/>
      <c r="MO129" s="483"/>
      <c r="MP129" s="483"/>
      <c r="MQ129" s="483"/>
      <c r="MR129" s="483"/>
      <c r="MS129" s="483"/>
      <c r="MT129" s="483"/>
      <c r="MU129" s="483"/>
      <c r="MV129" s="483"/>
      <c r="MW129" s="483"/>
      <c r="MX129" s="483"/>
      <c r="MY129" s="483"/>
      <c r="MZ129" s="483"/>
      <c r="NA129" s="483"/>
      <c r="NB129" s="483"/>
      <c r="NC129" s="483"/>
      <c r="ND129" s="483"/>
      <c r="NE129" s="483"/>
      <c r="NF129" s="483"/>
      <c r="NG129" s="483"/>
      <c r="NH129" s="483"/>
      <c r="NI129" s="483"/>
      <c r="NJ129" s="483"/>
      <c r="NK129" s="483"/>
      <c r="NL129" s="483"/>
      <c r="NM129" s="483"/>
      <c r="NN129" s="483"/>
      <c r="NO129" s="483"/>
      <c r="NP129" s="483"/>
      <c r="NQ129" s="483"/>
      <c r="NR129" s="483"/>
      <c r="NS129" s="483"/>
      <c r="NT129" s="483"/>
      <c r="NU129" s="483"/>
      <c r="NV129" s="483"/>
      <c r="NW129" s="483"/>
      <c r="NX129" s="483"/>
      <c r="NY129" s="483"/>
      <c r="NZ129" s="483"/>
      <c r="OA129" s="483"/>
      <c r="OB129" s="483"/>
      <c r="OC129" s="483"/>
      <c r="OD129" s="483"/>
      <c r="OE129" s="483"/>
      <c r="OF129" s="483"/>
      <c r="OG129" s="483"/>
      <c r="OH129" s="483"/>
      <c r="OI129" s="483"/>
      <c r="OJ129" s="483"/>
      <c r="OK129" s="483"/>
      <c r="OL129" s="483"/>
      <c r="OM129" s="483"/>
      <c r="ON129" s="483"/>
      <c r="OO129" s="483"/>
      <c r="OP129" s="483"/>
      <c r="OQ129" s="483"/>
      <c r="OR129" s="483"/>
      <c r="OS129" s="483"/>
      <c r="OT129" s="483"/>
      <c r="OU129" s="483"/>
      <c r="OV129" s="483"/>
      <c r="OW129" s="483"/>
      <c r="OX129" s="483"/>
      <c r="OY129" s="483"/>
      <c r="OZ129" s="483"/>
      <c r="PA129" s="483"/>
      <c r="PB129" s="483"/>
      <c r="PC129" s="483"/>
      <c r="PD129" s="483"/>
      <c r="PE129" s="483"/>
      <c r="PF129" s="483"/>
      <c r="PG129" s="483"/>
      <c r="PH129" s="483"/>
      <c r="PI129" s="483"/>
      <c r="PJ129" s="483"/>
      <c r="PK129" s="483"/>
      <c r="PL129" s="483"/>
      <c r="PM129" s="483"/>
      <c r="PN129" s="483"/>
      <c r="PO129" s="483"/>
      <c r="PP129" s="483"/>
      <c r="PQ129" s="483"/>
      <c r="PR129" s="483"/>
      <c r="PS129" s="483"/>
      <c r="PT129" s="483"/>
      <c r="PU129" s="483"/>
      <c r="PV129" s="483"/>
      <c r="PW129" s="483"/>
      <c r="PX129" s="483"/>
      <c r="PY129" s="483"/>
      <c r="PZ129" s="483"/>
      <c r="QA129" s="483"/>
      <c r="QB129" s="483"/>
      <c r="QC129" s="483"/>
      <c r="QD129" s="483"/>
      <c r="QE129" s="483"/>
      <c r="QF129" s="483"/>
      <c r="QG129" s="483"/>
      <c r="QH129" s="483"/>
      <c r="QI129" s="483"/>
      <c r="QJ129" s="483"/>
      <c r="QK129" s="483"/>
      <c r="QL129" s="483"/>
      <c r="QM129" s="483"/>
      <c r="QN129" s="483"/>
      <c r="QO129" s="483"/>
      <c r="QP129" s="483"/>
      <c r="QQ129" s="483"/>
      <c r="QR129" s="483"/>
      <c r="QS129" s="483"/>
      <c r="QT129" s="483"/>
      <c r="QU129" s="483"/>
      <c r="QV129" s="483"/>
      <c r="QW129" s="483"/>
      <c r="QX129" s="483"/>
      <c r="QY129" s="483"/>
      <c r="QZ129" s="483"/>
      <c r="RA129" s="483"/>
      <c r="RB129" s="483"/>
      <c r="RC129" s="483"/>
      <c r="RD129" s="483"/>
      <c r="RE129" s="483"/>
      <c r="RF129" s="483"/>
      <c r="RG129" s="483"/>
      <c r="RH129" s="483"/>
      <c r="RI129" s="483"/>
      <c r="RJ129" s="483"/>
      <c r="RK129" s="483"/>
      <c r="RL129" s="483"/>
      <c r="RM129" s="483"/>
      <c r="RN129" s="483"/>
      <c r="RO129" s="483"/>
      <c r="RP129" s="483"/>
      <c r="RQ129" s="483"/>
      <c r="RR129" s="483"/>
      <c r="RS129" s="483"/>
      <c r="RT129" s="483"/>
      <c r="RU129" s="483"/>
      <c r="RV129" s="483"/>
      <c r="RW129" s="483"/>
      <c r="RX129" s="483"/>
      <c r="RY129" s="483"/>
      <c r="RZ129" s="483"/>
      <c r="SA129" s="483"/>
      <c r="SB129" s="483"/>
      <c r="SC129" s="483"/>
      <c r="SD129" s="483"/>
      <c r="SE129" s="483"/>
      <c r="SF129" s="483"/>
      <c r="SG129" s="483"/>
      <c r="SH129" s="483"/>
      <c r="SI129" s="483"/>
      <c r="SJ129" s="483"/>
      <c r="SK129" s="483"/>
      <c r="SL129" s="483"/>
      <c r="SM129" s="483"/>
      <c r="SN129" s="483"/>
      <c r="SO129" s="483"/>
      <c r="SP129" s="483"/>
      <c r="SQ129" s="483"/>
      <c r="SR129" s="483"/>
      <c r="SS129" s="483"/>
      <c r="ST129" s="483"/>
      <c r="SU129" s="483"/>
      <c r="SV129" s="483"/>
      <c r="SW129" s="483"/>
      <c r="SX129" s="483"/>
      <c r="SY129" s="483"/>
      <c r="SZ129" s="483"/>
      <c r="TA129" s="483"/>
      <c r="TB129" s="483"/>
      <c r="TC129" s="483"/>
      <c r="TD129" s="483"/>
      <c r="TE129" s="483"/>
      <c r="TF129" s="483"/>
      <c r="TG129" s="483"/>
      <c r="TH129" s="483"/>
      <c r="TI129" s="483"/>
      <c r="TJ129" s="483"/>
      <c r="TK129" s="483"/>
      <c r="TL129" s="483"/>
      <c r="TM129" s="483"/>
      <c r="TN129" s="483"/>
      <c r="TO129" s="483"/>
      <c r="TP129" s="483"/>
      <c r="TQ129" s="483"/>
      <c r="TR129" s="483"/>
      <c r="TS129" s="483"/>
      <c r="TT129" s="483"/>
      <c r="TU129" s="483"/>
      <c r="TV129" s="483"/>
      <c r="TW129" s="483"/>
      <c r="TX129" s="483"/>
      <c r="TY129" s="483"/>
      <c r="TZ129" s="483"/>
      <c r="UA129" s="483"/>
      <c r="UB129" s="483"/>
      <c r="UC129" s="483"/>
      <c r="UD129" s="483"/>
      <c r="UE129" s="483"/>
      <c r="UF129" s="483"/>
      <c r="UG129" s="483"/>
      <c r="UH129" s="483"/>
      <c r="UI129" s="483"/>
      <c r="UJ129" s="483"/>
      <c r="UK129" s="483"/>
      <c r="UL129" s="483"/>
      <c r="UM129" s="483"/>
      <c r="UN129" s="483"/>
      <c r="UO129" s="483"/>
      <c r="UP129" s="483"/>
      <c r="UQ129" s="483"/>
      <c r="UR129" s="483"/>
      <c r="US129" s="483"/>
      <c r="UT129" s="483"/>
      <c r="UU129" s="483"/>
      <c r="UV129" s="483"/>
      <c r="UW129" s="483"/>
      <c r="UX129" s="483"/>
      <c r="UY129" s="483"/>
      <c r="UZ129" s="483"/>
      <c r="VA129" s="483"/>
      <c r="VB129" s="483"/>
      <c r="VC129" s="483"/>
      <c r="VD129" s="483"/>
      <c r="VE129" s="483"/>
      <c r="VF129" s="483"/>
      <c r="VG129" s="483"/>
      <c r="VH129" s="483"/>
      <c r="VI129" s="483"/>
      <c r="VJ129" s="483"/>
      <c r="VK129" s="483"/>
      <c r="VL129" s="483"/>
      <c r="VM129" s="483"/>
      <c r="VN129" s="483"/>
      <c r="VO129" s="483"/>
      <c r="VP129" s="483"/>
      <c r="VQ129" s="483"/>
      <c r="VR129" s="483"/>
      <c r="VS129" s="483"/>
      <c r="VT129" s="483"/>
      <c r="VU129" s="483"/>
      <c r="VV129" s="483"/>
      <c r="VW129" s="483"/>
      <c r="VX129" s="483"/>
      <c r="VY129" s="483"/>
      <c r="VZ129" s="483"/>
      <c r="WA129" s="483"/>
      <c r="WB129" s="483"/>
    </row>
  </sheetData>
  <sortState columnSort="1" ref="G1:BX121">
    <sortCondition ref="G10:BX10"/>
  </sortState>
  <mergeCells count="8">
    <mergeCell ref="C75:D75"/>
    <mergeCell ref="D94:D95"/>
    <mergeCell ref="C108:C109"/>
    <mergeCell ref="C110:E110"/>
    <mergeCell ref="C111:E111"/>
    <mergeCell ref="B11:B110"/>
    <mergeCell ref="C11:D11"/>
    <mergeCell ref="C25:C26"/>
  </mergeCells>
  <conditionalFormatting sqref="V23">
    <cfRule type="expression" priority="229" stopIfTrue="1">
      <formula>ISBLANK($E23)</formula>
    </cfRule>
    <cfRule type="cellIs" dxfId="229" priority="230" stopIfTrue="1" operator="equal">
      <formula>$E23</formula>
    </cfRule>
    <cfRule type="cellIs" dxfId="228" priority="231" stopIfTrue="1" operator="greaterThan">
      <formula>$E23</formula>
    </cfRule>
  </conditionalFormatting>
  <conditionalFormatting sqref="W23">
    <cfRule type="expression" priority="226" stopIfTrue="1">
      <formula>ISBLANK($E23)</formula>
    </cfRule>
    <cfRule type="cellIs" dxfId="227" priority="227" stopIfTrue="1" operator="equal">
      <formula>$E23</formula>
    </cfRule>
    <cfRule type="cellIs" dxfId="226" priority="228" stopIfTrue="1" operator="greaterThan">
      <formula>$E23</formula>
    </cfRule>
  </conditionalFormatting>
  <conditionalFormatting sqref="X23:AC23">
    <cfRule type="expression" priority="223" stopIfTrue="1">
      <formula>ISBLANK($E23)</formula>
    </cfRule>
    <cfRule type="cellIs" dxfId="225" priority="224" stopIfTrue="1" operator="equal">
      <formula>$E23</formula>
    </cfRule>
    <cfRule type="cellIs" dxfId="224" priority="225" stopIfTrue="1" operator="greaterThan">
      <formula>$E23</formula>
    </cfRule>
  </conditionalFormatting>
  <conditionalFormatting sqref="G108:BX109">
    <cfRule type="cellIs" dxfId="223" priority="213" operator="lessThan">
      <formula>0</formula>
    </cfRule>
  </conditionalFormatting>
  <conditionalFormatting sqref="T23">
    <cfRule type="expression" priority="210" stopIfTrue="1">
      <formula>ISBLANK($E23)</formula>
    </cfRule>
    <cfRule type="cellIs" dxfId="222" priority="211" stopIfTrue="1" operator="equal">
      <formula>$E23</formula>
    </cfRule>
    <cfRule type="cellIs" dxfId="221" priority="212" stopIfTrue="1" operator="greaterThan">
      <formula>$E23</formula>
    </cfRule>
  </conditionalFormatting>
  <conditionalFormatting sqref="S23">
    <cfRule type="expression" priority="207" stopIfTrue="1">
      <formula>ISBLANK($E23)</formula>
    </cfRule>
    <cfRule type="cellIs" dxfId="220" priority="208" stopIfTrue="1" operator="equal">
      <formula>$E23</formula>
    </cfRule>
    <cfRule type="cellIs" dxfId="219" priority="209" stopIfTrue="1" operator="greaterThan">
      <formula>$E23</formula>
    </cfRule>
  </conditionalFormatting>
  <conditionalFormatting sqref="R23">
    <cfRule type="expression" priority="204" stopIfTrue="1">
      <formula>ISBLANK($E23)</formula>
    </cfRule>
    <cfRule type="cellIs" dxfId="218" priority="205" stopIfTrue="1" operator="equal">
      <formula>$E23</formula>
    </cfRule>
    <cfRule type="cellIs" dxfId="217" priority="206" stopIfTrue="1" operator="greaterThan">
      <formula>$E23</formula>
    </cfRule>
  </conditionalFormatting>
  <conditionalFormatting sqref="Q23">
    <cfRule type="expression" priority="201" stopIfTrue="1">
      <formula>ISBLANK($E23)</formula>
    </cfRule>
    <cfRule type="cellIs" dxfId="216" priority="202" stopIfTrue="1" operator="equal">
      <formula>$E23</formula>
    </cfRule>
    <cfRule type="cellIs" dxfId="215" priority="203" stopIfTrue="1" operator="greaterThan">
      <formula>$E23</formula>
    </cfRule>
  </conditionalFormatting>
  <conditionalFormatting sqref="P23">
    <cfRule type="expression" priority="198" stopIfTrue="1">
      <formula>ISBLANK($E23)</formula>
    </cfRule>
    <cfRule type="cellIs" dxfId="214" priority="199" stopIfTrue="1" operator="equal">
      <formula>$E23</formula>
    </cfRule>
    <cfRule type="cellIs" dxfId="213" priority="200" stopIfTrue="1" operator="greaterThan">
      <formula>$E23</formula>
    </cfRule>
  </conditionalFormatting>
  <conditionalFormatting sqref="O23">
    <cfRule type="expression" priority="195" stopIfTrue="1">
      <formula>ISBLANK($E23)</formula>
    </cfRule>
    <cfRule type="cellIs" dxfId="212" priority="196" stopIfTrue="1" operator="equal">
      <formula>$E23</formula>
    </cfRule>
    <cfRule type="cellIs" dxfId="211" priority="197" stopIfTrue="1" operator="greaterThan">
      <formula>$E23</formula>
    </cfRule>
  </conditionalFormatting>
  <conditionalFormatting sqref="N23">
    <cfRule type="expression" priority="192" stopIfTrue="1">
      <formula>ISBLANK($E23)</formula>
    </cfRule>
    <cfRule type="cellIs" dxfId="210" priority="193" stopIfTrue="1" operator="equal">
      <formula>$E23</formula>
    </cfRule>
    <cfRule type="cellIs" dxfId="209" priority="194" stopIfTrue="1" operator="greaterThan">
      <formula>$E23</formula>
    </cfRule>
  </conditionalFormatting>
  <conditionalFormatting sqref="M23">
    <cfRule type="expression" priority="189" stopIfTrue="1">
      <formula>ISBLANK($E23)</formula>
    </cfRule>
    <cfRule type="cellIs" dxfId="208" priority="190" stopIfTrue="1" operator="equal">
      <formula>$E23</formula>
    </cfRule>
    <cfRule type="cellIs" dxfId="207" priority="191" stopIfTrue="1" operator="greaterThan">
      <formula>$E23</formula>
    </cfRule>
  </conditionalFormatting>
  <conditionalFormatting sqref="L23">
    <cfRule type="expression" priority="186" stopIfTrue="1">
      <formula>ISBLANK($E23)</formula>
    </cfRule>
    <cfRule type="cellIs" dxfId="206" priority="187" stopIfTrue="1" operator="equal">
      <formula>$E23</formula>
    </cfRule>
    <cfRule type="cellIs" dxfId="205" priority="188" stopIfTrue="1" operator="greaterThan">
      <formula>$E23</formula>
    </cfRule>
  </conditionalFormatting>
  <conditionalFormatting sqref="K23">
    <cfRule type="expression" priority="183" stopIfTrue="1">
      <formula>ISBLANK($E23)</formula>
    </cfRule>
    <cfRule type="cellIs" dxfId="204" priority="184" stopIfTrue="1" operator="equal">
      <formula>$E23</formula>
    </cfRule>
    <cfRule type="cellIs" dxfId="203" priority="185" stopIfTrue="1" operator="greaterThan">
      <formula>$E23</formula>
    </cfRule>
  </conditionalFormatting>
  <conditionalFormatting sqref="BX23">
    <cfRule type="expression" priority="180" stopIfTrue="1">
      <formula>ISBLANK($E23)</formula>
    </cfRule>
    <cfRule type="cellIs" dxfId="202" priority="181" stopIfTrue="1" operator="equal">
      <formula>$E23</formula>
    </cfRule>
    <cfRule type="cellIs" dxfId="201" priority="182" stopIfTrue="1" operator="greaterThan">
      <formula>$E23</formula>
    </cfRule>
  </conditionalFormatting>
  <conditionalFormatting sqref="BW23">
    <cfRule type="expression" priority="177" stopIfTrue="1">
      <formula>ISBLANK($E23)</formula>
    </cfRule>
    <cfRule type="cellIs" dxfId="200" priority="178" stopIfTrue="1" operator="equal">
      <formula>$E23</formula>
    </cfRule>
    <cfRule type="cellIs" dxfId="199" priority="179" stopIfTrue="1" operator="greaterThan">
      <formula>$E23</formula>
    </cfRule>
  </conditionalFormatting>
  <conditionalFormatting sqref="BV23">
    <cfRule type="expression" priority="174" stopIfTrue="1">
      <formula>ISBLANK($E23)</formula>
    </cfRule>
    <cfRule type="cellIs" dxfId="198" priority="175" stopIfTrue="1" operator="equal">
      <formula>$E23</formula>
    </cfRule>
    <cfRule type="cellIs" dxfId="197" priority="176" stopIfTrue="1" operator="greaterThan">
      <formula>$E23</formula>
    </cfRule>
  </conditionalFormatting>
  <conditionalFormatting sqref="BU23">
    <cfRule type="expression" priority="171" stopIfTrue="1">
      <formula>ISBLANK($E23)</formula>
    </cfRule>
    <cfRule type="cellIs" dxfId="196" priority="172" stopIfTrue="1" operator="equal">
      <formula>$E23</formula>
    </cfRule>
    <cfRule type="cellIs" dxfId="195" priority="173" stopIfTrue="1" operator="greaterThan">
      <formula>$E23</formula>
    </cfRule>
  </conditionalFormatting>
  <conditionalFormatting sqref="AV23">
    <cfRule type="expression" priority="168" stopIfTrue="1">
      <formula>ISBLANK($E23)</formula>
    </cfRule>
    <cfRule type="cellIs" dxfId="194" priority="169" stopIfTrue="1" operator="equal">
      <formula>$E23</formula>
    </cfRule>
    <cfRule type="cellIs" dxfId="193" priority="170" stopIfTrue="1" operator="greaterThan">
      <formula>$E23</formula>
    </cfRule>
  </conditionalFormatting>
  <conditionalFormatting sqref="AU23">
    <cfRule type="expression" priority="165" stopIfTrue="1">
      <formula>ISBLANK($E23)</formula>
    </cfRule>
    <cfRule type="cellIs" dxfId="192" priority="166" stopIfTrue="1" operator="equal">
      <formula>$E23</formula>
    </cfRule>
    <cfRule type="cellIs" dxfId="191" priority="167" stopIfTrue="1" operator="greaterThan">
      <formula>$E23</formula>
    </cfRule>
  </conditionalFormatting>
  <conditionalFormatting sqref="AT23">
    <cfRule type="expression" priority="162" stopIfTrue="1">
      <formula>ISBLANK($E23)</formula>
    </cfRule>
    <cfRule type="cellIs" dxfId="190" priority="163" stopIfTrue="1" operator="equal">
      <formula>$E23</formula>
    </cfRule>
    <cfRule type="cellIs" dxfId="189" priority="164" stopIfTrue="1" operator="greaterThan">
      <formula>$E23</formula>
    </cfRule>
  </conditionalFormatting>
  <conditionalFormatting sqref="AS23">
    <cfRule type="expression" priority="159" stopIfTrue="1">
      <formula>ISBLANK($E23)</formula>
    </cfRule>
    <cfRule type="cellIs" dxfId="188" priority="160" stopIfTrue="1" operator="equal">
      <formula>$E23</formula>
    </cfRule>
    <cfRule type="cellIs" dxfId="187" priority="161" stopIfTrue="1" operator="greaterThan">
      <formula>$E23</formula>
    </cfRule>
  </conditionalFormatting>
  <conditionalFormatting sqref="AY23:BR23 BT23">
    <cfRule type="expression" priority="150" stopIfTrue="1">
      <formula>ISBLANK($E23)</formula>
    </cfRule>
    <cfRule type="cellIs" dxfId="186" priority="151" stopIfTrue="1" operator="equal">
      <formula>$E23</formula>
    </cfRule>
    <cfRule type="cellIs" dxfId="185" priority="152" stopIfTrue="1" operator="greaterThan">
      <formula>$E23</formula>
    </cfRule>
  </conditionalFormatting>
  <conditionalFormatting sqref="AX23">
    <cfRule type="expression" priority="156" stopIfTrue="1">
      <formula>ISBLANK($E23)</formula>
    </cfRule>
    <cfRule type="cellIs" dxfId="184" priority="157" stopIfTrue="1" operator="equal">
      <formula>$E23</formula>
    </cfRule>
    <cfRule type="cellIs" dxfId="183" priority="158" stopIfTrue="1" operator="greaterThan">
      <formula>$E23</formula>
    </cfRule>
  </conditionalFormatting>
  <conditionalFormatting sqref="AW23">
    <cfRule type="expression" priority="153" stopIfTrue="1">
      <formula>ISBLANK($E23)</formula>
    </cfRule>
    <cfRule type="cellIs" dxfId="182" priority="154" stopIfTrue="1" operator="equal">
      <formula>$E23</formula>
    </cfRule>
    <cfRule type="cellIs" dxfId="181" priority="155" stopIfTrue="1" operator="greaterThan">
      <formula>$E23</formula>
    </cfRule>
  </conditionalFormatting>
  <conditionalFormatting sqref="BS23">
    <cfRule type="expression" priority="147" stopIfTrue="1">
      <formula>ISBLANK($E23)</formula>
    </cfRule>
    <cfRule type="cellIs" dxfId="180" priority="148" stopIfTrue="1" operator="equal">
      <formula>$E23</formula>
    </cfRule>
    <cfRule type="cellIs" dxfId="179" priority="149" stopIfTrue="1" operator="greaterThan">
      <formula>$E23</formula>
    </cfRule>
  </conditionalFormatting>
  <conditionalFormatting sqref="BO89:BT89">
    <cfRule type="expression" priority="119" stopIfTrue="1">
      <formula>ISBLANK($E89)</formula>
    </cfRule>
    <cfRule type="cellIs" dxfId="178" priority="120" stopIfTrue="1" operator="equal">
      <formula>$E89</formula>
    </cfRule>
    <cfRule type="cellIs" dxfId="177" priority="121" stopIfTrue="1" operator="greaterThan">
      <formula>$E89</formula>
    </cfRule>
  </conditionalFormatting>
  <conditionalFormatting sqref="G51:BX51">
    <cfRule type="expression" priority="116" stopIfTrue="1">
      <formula>ISBLANK($E51)</formula>
    </cfRule>
    <cfRule type="cellIs" dxfId="176" priority="117" stopIfTrue="1" operator="equal">
      <formula>$E51</formula>
    </cfRule>
    <cfRule type="cellIs" dxfId="175" priority="118" stopIfTrue="1" operator="greaterThan">
      <formula>$E51</formula>
    </cfRule>
  </conditionalFormatting>
  <conditionalFormatting sqref="G106:BX106">
    <cfRule type="expression" priority="104" stopIfTrue="1">
      <formula>ISBLANK($E106)</formula>
    </cfRule>
    <cfRule type="cellIs" dxfId="174" priority="105" stopIfTrue="1" operator="equal">
      <formula>$E106</formula>
    </cfRule>
    <cfRule type="cellIs" dxfId="173" priority="106" stopIfTrue="1" operator="greaterThan">
      <formula>$E106</formula>
    </cfRule>
  </conditionalFormatting>
  <conditionalFormatting sqref="G21:T21 V21:BX21">
    <cfRule type="expression" priority="98" stopIfTrue="1">
      <formula>ISBLANK($E21)</formula>
    </cfRule>
    <cfRule type="cellIs" dxfId="172" priority="99" stopIfTrue="1" operator="equal">
      <formula>$E21</formula>
    </cfRule>
    <cfRule type="cellIs" dxfId="171" priority="100" stopIfTrue="1" operator="greaterThan">
      <formula>$E21</formula>
    </cfRule>
  </conditionalFormatting>
  <conditionalFormatting sqref="G17:T17 AL17:BX17 V17:AJ17">
    <cfRule type="expression" priority="343" stopIfTrue="1">
      <formula>ISBLANK($E17)</formula>
    </cfRule>
    <cfRule type="cellIs" dxfId="170" priority="344" stopIfTrue="1" operator="equal">
      <formula>$E17</formula>
    </cfRule>
    <cfRule type="cellIs" dxfId="169" priority="345" stopIfTrue="1" operator="greaterThan">
      <formula>$E17</formula>
    </cfRule>
  </conditionalFormatting>
  <conditionalFormatting sqref="G22:T22 V22:BX22">
    <cfRule type="expression" priority="331" stopIfTrue="1">
      <formula>ISBLANK($E22)</formula>
    </cfRule>
    <cfRule type="cellIs" dxfId="168" priority="332" stopIfTrue="1" operator="equal">
      <formula>$E22</formula>
    </cfRule>
    <cfRule type="cellIs" dxfId="167" priority="333" stopIfTrue="1" operator="greaterThan">
      <formula>$E22</formula>
    </cfRule>
  </conditionalFormatting>
  <conditionalFormatting sqref="G24:T24 W24:BX24">
    <cfRule type="expression" priority="328" stopIfTrue="1">
      <formula>ISBLANK($E24)</formula>
    </cfRule>
    <cfRule type="cellIs" dxfId="166" priority="329" stopIfTrue="1" operator="equal">
      <formula>$E24</formula>
    </cfRule>
    <cfRule type="cellIs" dxfId="165" priority="330" stopIfTrue="1" operator="greaterThan">
      <formula>$E24</formula>
    </cfRule>
  </conditionalFormatting>
  <conditionalFormatting sqref="G25:T25 Z25 AI25:BX25">
    <cfRule type="expression" priority="144" stopIfTrue="1">
      <formula>ISBLANK($E25)</formula>
    </cfRule>
    <cfRule type="cellIs" dxfId="164" priority="145" stopIfTrue="1" operator="equal">
      <formula>$E25</formula>
    </cfRule>
    <cfRule type="cellIs" dxfId="163" priority="146" stopIfTrue="1" operator="greaterThan">
      <formula>$E25</formula>
    </cfRule>
  </conditionalFormatting>
  <conditionalFormatting sqref="G26:T26 V26:BX26">
    <cfRule type="expression" priority="325" stopIfTrue="1">
      <formula>ISBLANK($E26)</formula>
    </cfRule>
    <cfRule type="cellIs" dxfId="162" priority="326" stopIfTrue="1" operator="equal">
      <formula>$E26</formula>
    </cfRule>
    <cfRule type="cellIs" dxfId="161" priority="327" stopIfTrue="1" operator="greaterThan">
      <formula>$E26</formula>
    </cfRule>
  </conditionalFormatting>
  <conditionalFormatting sqref="G27:T27 W27:BX27">
    <cfRule type="expression" priority="322" stopIfTrue="1">
      <formula>ISBLANK($E27)</formula>
    </cfRule>
    <cfRule type="cellIs" dxfId="160" priority="323" stopIfTrue="1" operator="equal">
      <formula>$E27</formula>
    </cfRule>
    <cfRule type="cellIs" dxfId="159" priority="324" stopIfTrue="1" operator="greaterThan">
      <formula>$E27</formula>
    </cfRule>
  </conditionalFormatting>
  <conditionalFormatting sqref="G28:T28 V28:BX28">
    <cfRule type="expression" priority="319" stopIfTrue="1">
      <formula>ISBLANK($E28)</formula>
    </cfRule>
    <cfRule type="cellIs" dxfId="158" priority="320" stopIfTrue="1" operator="equal">
      <formula>$E28</formula>
    </cfRule>
    <cfRule type="cellIs" dxfId="157" priority="321" stopIfTrue="1" operator="greaterThan">
      <formula>$E28</formula>
    </cfRule>
  </conditionalFormatting>
  <conditionalFormatting sqref="G31:AG31 AR31:BX31 AL31">
    <cfRule type="expression" priority="316" stopIfTrue="1">
      <formula>ISBLANK($E31)</formula>
    </cfRule>
    <cfRule type="cellIs" dxfId="156" priority="317" stopIfTrue="1" operator="equal">
      <formula>$E31</formula>
    </cfRule>
    <cfRule type="cellIs" dxfId="155" priority="318" stopIfTrue="1" operator="greaterThan">
      <formula>$E31</formula>
    </cfRule>
  </conditionalFormatting>
  <conditionalFormatting sqref="G32:BX32 G31:AG31 AR31:BX31 AL31">
    <cfRule type="cellIs" dxfId="154" priority="315" stopIfTrue="1" operator="greaterThan">
      <formula>$E31</formula>
    </cfRule>
  </conditionalFormatting>
  <conditionalFormatting sqref="G32:BX32">
    <cfRule type="expression" priority="313" stopIfTrue="1">
      <formula>ISBLANK($E32)</formula>
    </cfRule>
    <cfRule type="cellIs" dxfId="153" priority="314" stopIfTrue="1" operator="equal">
      <formula>$E32</formula>
    </cfRule>
  </conditionalFormatting>
  <conditionalFormatting sqref="G33:BX33">
    <cfRule type="expression" priority="310" stopIfTrue="1">
      <formula>ISBLANK($E33)</formula>
    </cfRule>
    <cfRule type="cellIs" dxfId="152" priority="311" stopIfTrue="1" operator="equal">
      <formula>$E33</formula>
    </cfRule>
    <cfRule type="cellIs" dxfId="151" priority="312" stopIfTrue="1" operator="greaterThan">
      <formula>$E33</formula>
    </cfRule>
  </conditionalFormatting>
  <conditionalFormatting sqref="G38:BX38">
    <cfRule type="expression" priority="304" stopIfTrue="1">
      <formula>ISBLANK($E38)</formula>
    </cfRule>
    <cfRule type="cellIs" dxfId="150" priority="305" stopIfTrue="1" operator="equal">
      <formula>$E38</formula>
    </cfRule>
    <cfRule type="cellIs" dxfId="149" priority="306" stopIfTrue="1" operator="greaterThan">
      <formula>$E38</formula>
    </cfRule>
  </conditionalFormatting>
  <conditionalFormatting sqref="G42:BX42">
    <cfRule type="expression" priority="301" stopIfTrue="1">
      <formula>ISBLANK($E42)</formula>
    </cfRule>
    <cfRule type="cellIs" dxfId="148" priority="302" stopIfTrue="1" operator="equal">
      <formula>$E42</formula>
    </cfRule>
    <cfRule type="cellIs" dxfId="147" priority="303" stopIfTrue="1" operator="greaterThan">
      <formula>$E42</formula>
    </cfRule>
  </conditionalFormatting>
  <conditionalFormatting sqref="G43:BX43">
    <cfRule type="expression" priority="138" stopIfTrue="1">
      <formula>ISBLANK($E43)</formula>
    </cfRule>
    <cfRule type="cellIs" dxfId="146" priority="139" stopIfTrue="1" operator="equal">
      <formula>$E43</formula>
    </cfRule>
    <cfRule type="cellIs" dxfId="145" priority="140" stopIfTrue="1" operator="greaterThan">
      <formula>$E43</formula>
    </cfRule>
  </conditionalFormatting>
  <conditionalFormatting sqref="G43:BX44">
    <cfRule type="cellIs" dxfId="144" priority="136" stopIfTrue="1" operator="equal">
      <formula>$E43</formula>
    </cfRule>
  </conditionalFormatting>
  <conditionalFormatting sqref="G44:BX44">
    <cfRule type="expression" priority="135" stopIfTrue="1">
      <formula>ISBLANK($E44)</formula>
    </cfRule>
    <cfRule type="cellIs" dxfId="143" priority="137" stopIfTrue="1" operator="greaterThan">
      <formula>$E44</formula>
    </cfRule>
  </conditionalFormatting>
  <conditionalFormatting sqref="G45:BX45">
    <cfRule type="expression" priority="129" stopIfTrue="1">
      <formula>ISBLANK($E45)</formula>
    </cfRule>
    <cfRule type="expression" priority="132" stopIfTrue="1">
      <formula>ISBLANK($E45)</formula>
    </cfRule>
    <cfRule type="cellIs" dxfId="142" priority="133" stopIfTrue="1" operator="equal">
      <formula>$E45</formula>
    </cfRule>
    <cfRule type="cellIs" dxfId="141" priority="134" stopIfTrue="1" operator="greaterThan">
      <formula>$E45</formula>
    </cfRule>
  </conditionalFormatting>
  <conditionalFormatting sqref="G46:BX46">
    <cfRule type="expression" priority="128" stopIfTrue="1">
      <formula>ISBLANK($E46)</formula>
    </cfRule>
    <cfRule type="cellIs" dxfId="140" priority="130" stopIfTrue="1" operator="equal">
      <formula>$E46</formula>
    </cfRule>
    <cfRule type="cellIs" dxfId="139" priority="131" stopIfTrue="1" operator="greaterThan">
      <formula>$E46</formula>
    </cfRule>
  </conditionalFormatting>
  <conditionalFormatting sqref="G47:BX47">
    <cfRule type="expression" priority="125" stopIfTrue="1">
      <formula>ISBLANK($E47)</formula>
    </cfRule>
    <cfRule type="cellIs" dxfId="138" priority="126" stopIfTrue="1" operator="equal">
      <formula>$E47</formula>
    </cfRule>
    <cfRule type="cellIs" dxfId="137" priority="127" stopIfTrue="1" operator="greaterThan">
      <formula>$E47</formula>
    </cfRule>
  </conditionalFormatting>
  <conditionalFormatting sqref="G49:BX49">
    <cfRule type="expression" priority="298" stopIfTrue="1">
      <formula>ISBLANK($E49)</formula>
    </cfRule>
    <cfRule type="cellIs" dxfId="136" priority="299" stopIfTrue="1" operator="equal">
      <formula>$E49</formula>
    </cfRule>
    <cfRule type="cellIs" dxfId="135" priority="300" stopIfTrue="1" operator="greaterThan">
      <formula>$E49</formula>
    </cfRule>
  </conditionalFormatting>
  <conditionalFormatting sqref="G53:BX53">
    <cfRule type="expression" priority="295" stopIfTrue="1">
      <formula>ISBLANK($E53)</formula>
    </cfRule>
    <cfRule type="cellIs" dxfId="134" priority="296" stopIfTrue="1" operator="equal">
      <formula>$E53</formula>
    </cfRule>
    <cfRule type="cellIs" dxfId="133" priority="297" stopIfTrue="1" operator="greaterThan">
      <formula>$E53</formula>
    </cfRule>
  </conditionalFormatting>
  <conditionalFormatting sqref="G54:BX54">
    <cfRule type="expression" priority="292" stopIfTrue="1">
      <formula>ISBLANK($E54)</formula>
    </cfRule>
    <cfRule type="cellIs" dxfId="132" priority="293" stopIfTrue="1" operator="equal">
      <formula>$E54</formula>
    </cfRule>
    <cfRule type="cellIs" dxfId="131" priority="294" stopIfTrue="1" operator="greaterThan">
      <formula>$E54</formula>
    </cfRule>
  </conditionalFormatting>
  <conditionalFormatting sqref="G55:BX55">
    <cfRule type="expression" priority="289" stopIfTrue="1">
      <formula>ISBLANK($E55)</formula>
    </cfRule>
    <cfRule type="cellIs" dxfId="130" priority="290" stopIfTrue="1" operator="equal">
      <formula>$E55</formula>
    </cfRule>
    <cfRule type="cellIs" dxfId="129" priority="291" stopIfTrue="1" operator="greaterThan">
      <formula>$E55</formula>
    </cfRule>
  </conditionalFormatting>
  <conditionalFormatting sqref="G56:BX56">
    <cfRule type="expression" priority="286" stopIfTrue="1">
      <formula>ISBLANK($E56)</formula>
    </cfRule>
    <cfRule type="cellIs" dxfId="128" priority="287" stopIfTrue="1" operator="equal">
      <formula>$E56</formula>
    </cfRule>
    <cfRule type="cellIs" dxfId="127" priority="288" stopIfTrue="1" operator="greaterThan">
      <formula>$E56</formula>
    </cfRule>
  </conditionalFormatting>
  <conditionalFormatting sqref="G57:BX57">
    <cfRule type="expression" priority="283" stopIfTrue="1">
      <formula>ISBLANK($E57)</formula>
    </cfRule>
    <cfRule type="cellIs" dxfId="126" priority="284" stopIfTrue="1" operator="equal">
      <formula>$E57</formula>
    </cfRule>
    <cfRule type="cellIs" dxfId="125" priority="285" stopIfTrue="1" operator="greaterThan">
      <formula>$E57</formula>
    </cfRule>
  </conditionalFormatting>
  <conditionalFormatting sqref="G58:BX58">
    <cfRule type="expression" priority="95" stopIfTrue="1">
      <formula>ISBLANK($E58)</formula>
    </cfRule>
    <cfRule type="cellIs" dxfId="124" priority="96" stopIfTrue="1" operator="equal">
      <formula>$E58</formula>
    </cfRule>
    <cfRule type="cellIs" dxfId="123" priority="97" stopIfTrue="1" operator="greaterThan">
      <formula>$E58</formula>
    </cfRule>
  </conditionalFormatting>
  <conditionalFormatting sqref="G59:BX59">
    <cfRule type="expression" priority="280" stopIfTrue="1">
      <formula>ISBLANK($E59)</formula>
    </cfRule>
    <cfRule type="cellIs" dxfId="122" priority="281" stopIfTrue="1" operator="equal">
      <formula>$E59</formula>
    </cfRule>
    <cfRule type="cellIs" dxfId="121" priority="282" stopIfTrue="1" operator="greaterThan">
      <formula>$E59</formula>
    </cfRule>
  </conditionalFormatting>
  <conditionalFormatting sqref="G60:BX60">
    <cfRule type="expression" priority="110" stopIfTrue="1">
      <formula>ISBLANK($E60)</formula>
    </cfRule>
    <cfRule type="cellIs" dxfId="120" priority="111" stopIfTrue="1" operator="equal">
      <formula>$E60</formula>
    </cfRule>
    <cfRule type="cellIs" dxfId="119" priority="112" stopIfTrue="1" operator="greaterThan">
      <formula>$E60</formula>
    </cfRule>
  </conditionalFormatting>
  <conditionalFormatting sqref="G61:BX61">
    <cfRule type="expression" priority="122" stopIfTrue="1">
      <formula>ISBLANK($E61)</formula>
    </cfRule>
    <cfRule type="cellIs" dxfId="118" priority="123" stopIfTrue="1" operator="equal">
      <formula>$E61</formula>
    </cfRule>
    <cfRule type="cellIs" dxfId="117" priority="124" stopIfTrue="1" operator="greaterThan">
      <formula>$E61</formula>
    </cfRule>
  </conditionalFormatting>
  <conditionalFormatting sqref="G64:BX64">
    <cfRule type="expression" priority="277" stopIfTrue="1">
      <formula>ISBLANK($E64)</formula>
    </cfRule>
    <cfRule type="cellIs" dxfId="116" priority="278" stopIfTrue="1" operator="equal">
      <formula>$E64</formula>
    </cfRule>
    <cfRule type="cellIs" dxfId="115" priority="279" stopIfTrue="1" operator="greaterThan">
      <formula>$E64</formula>
    </cfRule>
  </conditionalFormatting>
  <conditionalFormatting sqref="G66:BX66">
    <cfRule type="expression" priority="274" stopIfTrue="1">
      <formula>ISBLANK($E66)</formula>
    </cfRule>
    <cfRule type="cellIs" dxfId="114" priority="275" stopIfTrue="1" operator="equal">
      <formula>$E66</formula>
    </cfRule>
    <cfRule type="cellIs" dxfId="113" priority="276" stopIfTrue="1" operator="greaterThan">
      <formula>$E66</formula>
    </cfRule>
  </conditionalFormatting>
  <conditionalFormatting sqref="G65:BX65">
    <cfRule type="expression" priority="92" stopIfTrue="1">
      <formula>ISBLANK($E65)</formula>
    </cfRule>
    <cfRule type="cellIs" dxfId="112" priority="93" stopIfTrue="1" operator="equal">
      <formula>$E65</formula>
    </cfRule>
    <cfRule type="cellIs" dxfId="111" priority="94" stopIfTrue="1" operator="greaterThan">
      <formula>$E65</formula>
    </cfRule>
  </conditionalFormatting>
  <conditionalFormatting sqref="G67:BX67">
    <cfRule type="expression" priority="268" stopIfTrue="1">
      <formula>ISBLANK($E67)</formula>
    </cfRule>
    <cfRule type="cellIs" dxfId="110" priority="269" stopIfTrue="1" operator="equal">
      <formula>$E67</formula>
    </cfRule>
    <cfRule type="cellIs" dxfId="109" priority="270" stopIfTrue="1" operator="greaterThan">
      <formula>$E67</formula>
    </cfRule>
  </conditionalFormatting>
  <conditionalFormatting sqref="G68:BX68">
    <cfRule type="expression" priority="271" stopIfTrue="1">
      <formula>ISBLANK($E68)</formula>
    </cfRule>
    <cfRule type="cellIs" dxfId="108" priority="272" stopIfTrue="1" operator="equal">
      <formula>$E68</formula>
    </cfRule>
    <cfRule type="cellIs" dxfId="107" priority="273" stopIfTrue="1" operator="greaterThan">
      <formula>$E68</formula>
    </cfRule>
  </conditionalFormatting>
  <conditionalFormatting sqref="G69:BX69">
    <cfRule type="expression" priority="265" stopIfTrue="1">
      <formula>ISBLANK($E69)</formula>
    </cfRule>
    <cfRule type="cellIs" dxfId="106" priority="266" stopIfTrue="1" operator="equal">
      <formula>$E69</formula>
    </cfRule>
    <cfRule type="cellIs" dxfId="105" priority="267" stopIfTrue="1" operator="greaterThan">
      <formula>$E69</formula>
    </cfRule>
  </conditionalFormatting>
  <conditionalFormatting sqref="G70:BX70">
    <cfRule type="expression" priority="113" stopIfTrue="1">
      <formula>ISBLANK($E70)</formula>
    </cfRule>
    <cfRule type="cellIs" dxfId="104" priority="114" stopIfTrue="1" operator="equal">
      <formula>$E70</formula>
    </cfRule>
    <cfRule type="cellIs" dxfId="103" priority="115" stopIfTrue="1" operator="greaterThan">
      <formula>$E70</formula>
    </cfRule>
  </conditionalFormatting>
  <conditionalFormatting sqref="G73:BX73">
    <cfRule type="expression" priority="107" stopIfTrue="1">
      <formula>ISBLANK($E73)</formula>
    </cfRule>
    <cfRule type="cellIs" dxfId="102" priority="108" stopIfTrue="1" operator="equal">
      <formula>$E73</formula>
    </cfRule>
    <cfRule type="cellIs" dxfId="101" priority="109" stopIfTrue="1" operator="greaterThan">
      <formula>$E73</formula>
    </cfRule>
  </conditionalFormatting>
  <conditionalFormatting sqref="G80:BX80 S81:V82">
    <cfRule type="expression" priority="259" stopIfTrue="1">
      <formula>ISBLANK($E80)</formula>
    </cfRule>
    <cfRule type="cellIs" dxfId="100" priority="260" stopIfTrue="1" operator="equal">
      <formula>$E80</formula>
    </cfRule>
    <cfRule type="cellIs" dxfId="99" priority="261" stopIfTrue="1" operator="greaterThan">
      <formula>$E80</formula>
    </cfRule>
  </conditionalFormatting>
  <conditionalFormatting sqref="G81:R81 W81:BX81">
    <cfRule type="expression" priority="89" stopIfTrue="1">
      <formula>ISBLANK($E81)</formula>
    </cfRule>
    <cfRule type="cellIs" dxfId="98" priority="90" stopIfTrue="1" operator="equal">
      <formula>$E81</formula>
    </cfRule>
    <cfRule type="cellIs" dxfId="97" priority="91" stopIfTrue="1" operator="greaterThan">
      <formula>$E81</formula>
    </cfRule>
  </conditionalFormatting>
  <conditionalFormatting sqref="G82:R82 W82:BX82">
    <cfRule type="expression" priority="86" stopIfTrue="1">
      <formula>ISBLANK($E82)</formula>
    </cfRule>
    <cfRule type="cellIs" dxfId="96" priority="87" stopIfTrue="1" operator="equal">
      <formula>$E82</formula>
    </cfRule>
    <cfRule type="cellIs" dxfId="95" priority="88" stopIfTrue="1" operator="greaterThan">
      <formula>$E82</formula>
    </cfRule>
  </conditionalFormatting>
  <conditionalFormatting sqref="G87:BX89">
    <cfRule type="expression" priority="256" stopIfTrue="1">
      <formula>ISBLANK($E87)</formula>
    </cfRule>
    <cfRule type="cellIs" dxfId="94" priority="257" stopIfTrue="1" operator="equal">
      <formula>$E87</formula>
    </cfRule>
    <cfRule type="cellIs" dxfId="93" priority="258" stopIfTrue="1" operator="greaterThan">
      <formula>$E87</formula>
    </cfRule>
  </conditionalFormatting>
  <conditionalFormatting sqref="G90:BX90">
    <cfRule type="expression" priority="253" stopIfTrue="1">
      <formula>ISBLANK($E90)</formula>
    </cfRule>
    <cfRule type="cellIs" dxfId="92" priority="254" stopIfTrue="1" operator="equal">
      <formula>$E90</formula>
    </cfRule>
    <cfRule type="cellIs" dxfId="91" priority="255" stopIfTrue="1" operator="greaterThan">
      <formula>$E90</formula>
    </cfRule>
  </conditionalFormatting>
  <conditionalFormatting sqref="G91:BX91">
    <cfRule type="expression" priority="250" stopIfTrue="1">
      <formula>ISBLANK($E91)</formula>
    </cfRule>
    <cfRule type="cellIs" dxfId="90" priority="251" stopIfTrue="1" operator="equal">
      <formula>$E91</formula>
    </cfRule>
    <cfRule type="cellIs" dxfId="89" priority="252" stopIfTrue="1" operator="greaterThan">
      <formula>$E91</formula>
    </cfRule>
  </conditionalFormatting>
  <conditionalFormatting sqref="G94:BX94">
    <cfRule type="expression" priority="220" stopIfTrue="1">
      <formula>ISBLANK($E94)</formula>
    </cfRule>
    <cfRule type="cellIs" dxfId="88" priority="221" stopIfTrue="1" operator="equal">
      <formula>$E94</formula>
    </cfRule>
    <cfRule type="cellIs" dxfId="87" priority="222" stopIfTrue="1" operator="greaterThan">
      <formula>$E94</formula>
    </cfRule>
  </conditionalFormatting>
  <conditionalFormatting sqref="G95:BX95">
    <cfRule type="expression" priority="214" stopIfTrue="1">
      <formula>ISBLANK($E95)</formula>
    </cfRule>
    <cfRule type="cellIs" dxfId="86" priority="215" stopIfTrue="1" operator="equal">
      <formula>$E95</formula>
    </cfRule>
    <cfRule type="cellIs" dxfId="85" priority="216" stopIfTrue="1" operator="greaterThan">
      <formula>$E95</formula>
    </cfRule>
  </conditionalFormatting>
  <conditionalFormatting sqref="G96:BX96">
    <cfRule type="expression" priority="217" stopIfTrue="1">
      <formula>ISBLANK($E96)</formula>
    </cfRule>
    <cfRule type="cellIs" dxfId="84" priority="218" stopIfTrue="1" operator="equal">
      <formula>$E96</formula>
    </cfRule>
    <cfRule type="cellIs" dxfId="83" priority="219" stopIfTrue="1" operator="greaterThan">
      <formula>$E96</formula>
    </cfRule>
  </conditionalFormatting>
  <conditionalFormatting sqref="G97:BX97">
    <cfRule type="expression" priority="247" stopIfTrue="1">
      <formula>ISBLANK($E97)</formula>
    </cfRule>
    <cfRule type="cellIs" dxfId="82" priority="248" stopIfTrue="1" operator="equal">
      <formula>$E97</formula>
    </cfRule>
    <cfRule type="cellIs" dxfId="81" priority="249" stopIfTrue="1" operator="greaterThan">
      <formula>$E97</formula>
    </cfRule>
  </conditionalFormatting>
  <conditionalFormatting sqref="G98:BX98">
    <cfRule type="expression" priority="244" stopIfTrue="1">
      <formula>ISBLANK($E98)</formula>
    </cfRule>
    <cfRule type="cellIs" dxfId="80" priority="245" stopIfTrue="1" operator="equal">
      <formula>$E98</formula>
    </cfRule>
    <cfRule type="cellIs" dxfId="79" priority="246" stopIfTrue="1" operator="greaterThan">
      <formula>$E98</formula>
    </cfRule>
  </conditionalFormatting>
  <conditionalFormatting sqref="G99:BX99">
    <cfRule type="expression" priority="83" stopIfTrue="1">
      <formula>ISBLANK($E99)</formula>
    </cfRule>
    <cfRule type="cellIs" dxfId="78" priority="84" stopIfTrue="1" operator="equal">
      <formula>$E99</formula>
    </cfRule>
    <cfRule type="cellIs" dxfId="77" priority="85" stopIfTrue="1" operator="greaterThan">
      <formula>$E99</formula>
    </cfRule>
  </conditionalFormatting>
  <conditionalFormatting sqref="G100:BX100">
    <cfRule type="expression" priority="241" stopIfTrue="1">
      <formula>ISBLANK($E100)</formula>
    </cfRule>
    <cfRule type="cellIs" dxfId="76" priority="242" stopIfTrue="1" operator="equal">
      <formula>$E100</formula>
    </cfRule>
    <cfRule type="cellIs" dxfId="75" priority="243" stopIfTrue="1" operator="greaterThan">
      <formula>$E100</formula>
    </cfRule>
  </conditionalFormatting>
  <conditionalFormatting sqref="G101:BX101">
    <cfRule type="expression" priority="238" stopIfTrue="1">
      <formula>ISBLANK($E101)</formula>
    </cfRule>
    <cfRule type="cellIs" dxfId="74" priority="239" stopIfTrue="1" operator="equal">
      <formula>$E101</formula>
    </cfRule>
    <cfRule type="cellIs" dxfId="73" priority="240" stopIfTrue="1" operator="greaterThan">
      <formula>$E101</formula>
    </cfRule>
  </conditionalFormatting>
  <conditionalFormatting sqref="G102:BX102">
    <cfRule type="expression" priority="235" stopIfTrue="1">
      <formula>ISBLANK($E102)</formula>
    </cfRule>
    <cfRule type="cellIs" dxfId="72" priority="236" stopIfTrue="1" operator="equal">
      <formula>$E102</formula>
    </cfRule>
    <cfRule type="cellIs" dxfId="71" priority="237" stopIfTrue="1" operator="greaterThan">
      <formula>$E102</formula>
    </cfRule>
  </conditionalFormatting>
  <conditionalFormatting sqref="G104:BX104">
    <cfRule type="expression" priority="101" stopIfTrue="1">
      <formula>ISBLANK($E104)</formula>
    </cfRule>
    <cfRule type="cellIs" dxfId="70" priority="102" stopIfTrue="1" operator="equal">
      <formula>$E104</formula>
    </cfRule>
    <cfRule type="cellIs" dxfId="69" priority="103" stopIfTrue="1" operator="greaterThan">
      <formula>$E104</formula>
    </cfRule>
  </conditionalFormatting>
  <conditionalFormatting sqref="W25">
    <cfRule type="expression" priority="80" stopIfTrue="1">
      <formula>ISBLANK($E25)</formula>
    </cfRule>
    <cfRule type="cellIs" dxfId="68" priority="81" stopIfTrue="1" operator="equal">
      <formula>$E25</formula>
    </cfRule>
    <cfRule type="cellIs" dxfId="67" priority="82" stopIfTrue="1" operator="greaterThan">
      <formula>$E25</formula>
    </cfRule>
  </conditionalFormatting>
  <conditionalFormatting sqref="X25">
    <cfRule type="expression" priority="77" stopIfTrue="1">
      <formula>ISBLANK($E25)</formula>
    </cfRule>
    <cfRule type="cellIs" dxfId="66" priority="78" stopIfTrue="1" operator="equal">
      <formula>$E25</formula>
    </cfRule>
    <cfRule type="cellIs" dxfId="65" priority="79" stopIfTrue="1" operator="greaterThan">
      <formula>$E25</formula>
    </cfRule>
  </conditionalFormatting>
  <conditionalFormatting sqref="Y25">
    <cfRule type="expression" priority="74" stopIfTrue="1">
      <formula>ISBLANK($E25)</formula>
    </cfRule>
    <cfRule type="cellIs" dxfId="64" priority="75" stopIfTrue="1" operator="equal">
      <formula>$E25</formula>
    </cfRule>
    <cfRule type="cellIs" dxfId="63" priority="76" stopIfTrue="1" operator="greaterThan">
      <formula>$E25</formula>
    </cfRule>
  </conditionalFormatting>
  <conditionalFormatting sqref="AA25">
    <cfRule type="expression" priority="71" stopIfTrue="1">
      <formula>ISBLANK($E25)</formula>
    </cfRule>
    <cfRule type="cellIs" dxfId="62" priority="72" stopIfTrue="1" operator="equal">
      <formula>$E25</formula>
    </cfRule>
    <cfRule type="cellIs" dxfId="61" priority="73" stopIfTrue="1" operator="greaterThan">
      <formula>$E25</formula>
    </cfRule>
  </conditionalFormatting>
  <conditionalFormatting sqref="AB25">
    <cfRule type="expression" priority="68" stopIfTrue="1">
      <formula>ISBLANK($E25)</formula>
    </cfRule>
    <cfRule type="cellIs" dxfId="60" priority="69" stopIfTrue="1" operator="equal">
      <formula>$E25</formula>
    </cfRule>
    <cfRule type="cellIs" dxfId="59" priority="70" stopIfTrue="1" operator="greaterThan">
      <formula>$E25</formula>
    </cfRule>
  </conditionalFormatting>
  <conditionalFormatting sqref="AC25">
    <cfRule type="expression" priority="65" stopIfTrue="1">
      <formula>ISBLANK($E25)</formula>
    </cfRule>
    <cfRule type="cellIs" dxfId="58" priority="66" stopIfTrue="1" operator="equal">
      <formula>$E25</formula>
    </cfRule>
    <cfRule type="cellIs" dxfId="57" priority="67" stopIfTrue="1" operator="greaterThan">
      <formula>$E25</formula>
    </cfRule>
  </conditionalFormatting>
  <conditionalFormatting sqref="AD25">
    <cfRule type="expression" priority="62" stopIfTrue="1">
      <formula>ISBLANK($E25)</formula>
    </cfRule>
    <cfRule type="cellIs" dxfId="56" priority="63" stopIfTrue="1" operator="equal">
      <formula>$E25</formula>
    </cfRule>
    <cfRule type="cellIs" dxfId="55" priority="64" stopIfTrue="1" operator="greaterThan">
      <formula>$E25</formula>
    </cfRule>
  </conditionalFormatting>
  <conditionalFormatting sqref="AE25">
    <cfRule type="expression" priority="59" stopIfTrue="1">
      <formula>ISBLANK($E25)</formula>
    </cfRule>
    <cfRule type="cellIs" dxfId="54" priority="60" stopIfTrue="1" operator="equal">
      <formula>$E25</formula>
    </cfRule>
    <cfRule type="cellIs" dxfId="53" priority="61" stopIfTrue="1" operator="greaterThan">
      <formula>$E25</formula>
    </cfRule>
  </conditionalFormatting>
  <conditionalFormatting sqref="AF25">
    <cfRule type="expression" priority="56" stopIfTrue="1">
      <formula>ISBLANK($E25)</formula>
    </cfRule>
    <cfRule type="cellIs" dxfId="52" priority="57" stopIfTrue="1" operator="equal">
      <formula>$E25</formula>
    </cfRule>
    <cfRule type="cellIs" dxfId="51" priority="58" stopIfTrue="1" operator="greaterThan">
      <formula>$E25</formula>
    </cfRule>
  </conditionalFormatting>
  <conditionalFormatting sqref="AG25">
    <cfRule type="expression" priority="53" stopIfTrue="1">
      <formula>ISBLANK($E25)</formula>
    </cfRule>
    <cfRule type="cellIs" dxfId="50" priority="54" stopIfTrue="1" operator="equal">
      <formula>$E25</formula>
    </cfRule>
    <cfRule type="cellIs" dxfId="49" priority="55" stopIfTrue="1" operator="greaterThan">
      <formula>$E25</formula>
    </cfRule>
  </conditionalFormatting>
  <conditionalFormatting sqref="AH25">
    <cfRule type="expression" priority="50" stopIfTrue="1">
      <formula>ISBLANK($E25)</formula>
    </cfRule>
    <cfRule type="cellIs" dxfId="48" priority="51" stopIfTrue="1" operator="equal">
      <formula>$E25</formula>
    </cfRule>
    <cfRule type="cellIs" dxfId="47" priority="52" stopIfTrue="1" operator="greaterThan">
      <formula>$E25</formula>
    </cfRule>
  </conditionalFormatting>
  <conditionalFormatting sqref="AQ31">
    <cfRule type="expression" priority="47" stopIfTrue="1">
      <formula>ISBLANK($E31)</formula>
    </cfRule>
    <cfRule type="cellIs" dxfId="46" priority="48" stopIfTrue="1" operator="equal">
      <formula>$E31</formula>
    </cfRule>
    <cfRule type="cellIs" dxfId="45" priority="49" stopIfTrue="1" operator="greaterThan">
      <formula>$E31</formula>
    </cfRule>
  </conditionalFormatting>
  <conditionalFormatting sqref="AP31">
    <cfRule type="expression" priority="44" stopIfTrue="1">
      <formula>ISBLANK($E31)</formula>
    </cfRule>
    <cfRule type="cellIs" dxfId="44" priority="45" stopIfTrue="1" operator="equal">
      <formula>$E31</formula>
    </cfRule>
    <cfRule type="cellIs" dxfId="43" priority="46" stopIfTrue="1" operator="greaterThan">
      <formula>$E31</formula>
    </cfRule>
  </conditionalFormatting>
  <conditionalFormatting sqref="AM31:AO31">
    <cfRule type="expression" priority="41" stopIfTrue="1">
      <formula>ISBLANK($E31)</formula>
    </cfRule>
    <cfRule type="cellIs" dxfId="42" priority="42" stopIfTrue="1" operator="equal">
      <formula>$E31</formula>
    </cfRule>
    <cfRule type="cellIs" dxfId="41" priority="43" stopIfTrue="1" operator="greaterThan">
      <formula>$E31</formula>
    </cfRule>
  </conditionalFormatting>
  <conditionalFormatting sqref="AK17">
    <cfRule type="cellIs" dxfId="40" priority="40" stopIfTrue="1" operator="greaterThan">
      <formula>$E17</formula>
    </cfRule>
  </conditionalFormatting>
  <conditionalFormatting sqref="AH31:AK31">
    <cfRule type="expression" priority="37" stopIfTrue="1">
      <formula>ISBLANK($E31)</formula>
    </cfRule>
    <cfRule type="cellIs" dxfId="39" priority="38" stopIfTrue="1" operator="equal">
      <formula>$E31</formula>
    </cfRule>
    <cfRule type="cellIs" dxfId="38" priority="39" stopIfTrue="1" operator="greaterThan">
      <formula>$E31</formula>
    </cfRule>
  </conditionalFormatting>
  <conditionalFormatting sqref="G34:BX34">
    <cfRule type="expression" priority="307" stopIfTrue="1">
      <formula>ISBLANK($E34)</formula>
    </cfRule>
    <cfRule type="cellIs" dxfId="37" priority="308" stopIfTrue="1" operator="equal">
      <formula>$E34</formula>
    </cfRule>
    <cfRule type="cellIs" dxfId="36" priority="309" stopIfTrue="1" operator="greaterThan">
      <formula>$E34</formula>
    </cfRule>
  </conditionalFormatting>
  <conditionalFormatting sqref="G35:BX35">
    <cfRule type="expression" priority="141" stopIfTrue="1">
      <formula>ISBLANK($E35)</formula>
    </cfRule>
    <cfRule type="cellIs" dxfId="35" priority="142" stopIfTrue="1" operator="equal">
      <formula>$E35</formula>
    </cfRule>
    <cfRule type="cellIs" dxfId="34" priority="143" stopIfTrue="1" operator="greaterThan">
      <formula>$E35</formula>
    </cfRule>
  </conditionalFormatting>
  <conditionalFormatting sqref="G20:T20 V20:BX20">
    <cfRule type="expression" priority="334" stopIfTrue="1">
      <formula>ISBLANK($E20)</formula>
    </cfRule>
    <cfRule type="cellIs" dxfId="33" priority="335" stopIfTrue="1" operator="equal">
      <formula>$E20</formula>
    </cfRule>
    <cfRule type="cellIs" dxfId="32" priority="336" stopIfTrue="1" operator="greaterThan">
      <formula>$E20</formula>
    </cfRule>
  </conditionalFormatting>
  <conditionalFormatting sqref="G19:T19 V19:BX19">
    <cfRule type="expression" priority="337" stopIfTrue="1">
      <formula>ISBLANK($E19)</formula>
    </cfRule>
    <cfRule type="cellIs" dxfId="31" priority="338" stopIfTrue="1" operator="equal">
      <formula>$E19</formula>
    </cfRule>
    <cfRule type="cellIs" dxfId="30" priority="339" stopIfTrue="1" operator="greaterThan">
      <formula>$E19</formula>
    </cfRule>
  </conditionalFormatting>
  <conditionalFormatting sqref="G18:T18 V18:BX18">
    <cfRule type="expression" priority="340" stopIfTrue="1">
      <formula>ISBLANK($E18)</formula>
    </cfRule>
    <cfRule type="cellIs" dxfId="29" priority="341" stopIfTrue="1" operator="equal">
      <formula>$E18</formula>
    </cfRule>
    <cfRule type="cellIs" dxfId="28" priority="342" stopIfTrue="1" operator="greaterThan">
      <formula>$E18</formula>
    </cfRule>
  </conditionalFormatting>
  <conditionalFormatting sqref="G16:T16 V16:BX16">
    <cfRule type="expression" priority="232" stopIfTrue="1">
      <formula>ISBLANK($E16)</formula>
    </cfRule>
    <cfRule type="cellIs" dxfId="27" priority="233" stopIfTrue="1" operator="equal">
      <formula>$E16</formula>
    </cfRule>
    <cfRule type="cellIs" dxfId="26" priority="234" stopIfTrue="1" operator="greaterThan">
      <formula>$E16</formula>
    </cfRule>
  </conditionalFormatting>
  <conditionalFormatting sqref="G71:BX71">
    <cfRule type="expression" priority="262" stopIfTrue="1">
      <formula>ISBLANK($E71)</formula>
    </cfRule>
    <cfRule type="cellIs" dxfId="25" priority="263" stopIfTrue="1" operator="equal">
      <formula>$E71</formula>
    </cfRule>
    <cfRule type="cellIs" dxfId="24" priority="264" stopIfTrue="1" operator="greaterThan">
      <formula>$E71</formula>
    </cfRule>
  </conditionalFormatting>
  <conditionalFormatting sqref="U23">
    <cfRule type="expression" priority="4" stopIfTrue="1">
      <formula>ISBLANK($E23)</formula>
    </cfRule>
    <cfRule type="cellIs" dxfId="23" priority="5" stopIfTrue="1" operator="equal">
      <formula>$E23</formula>
    </cfRule>
    <cfRule type="cellIs" dxfId="22" priority="6" stopIfTrue="1" operator="greaterThan">
      <formula>$E23</formula>
    </cfRule>
  </conditionalFormatting>
  <conditionalFormatting sqref="U21">
    <cfRule type="expression" priority="1" stopIfTrue="1">
      <formula>ISBLANK($E21)</formula>
    </cfRule>
    <cfRule type="cellIs" dxfId="21" priority="2" stopIfTrue="1" operator="equal">
      <formula>$E21</formula>
    </cfRule>
    <cfRule type="cellIs" dxfId="20" priority="3" stopIfTrue="1" operator="greaterThan">
      <formula>$E21</formula>
    </cfRule>
  </conditionalFormatting>
  <conditionalFormatting sqref="U17">
    <cfRule type="expression" priority="34" stopIfTrue="1">
      <formula>ISBLANK($E17)</formula>
    </cfRule>
    <cfRule type="cellIs" dxfId="19" priority="35" stopIfTrue="1" operator="equal">
      <formula>$E17</formula>
    </cfRule>
    <cfRule type="cellIs" dxfId="18" priority="36" stopIfTrue="1" operator="greaterThan">
      <formula>$E17</formula>
    </cfRule>
  </conditionalFormatting>
  <conditionalFormatting sqref="U22">
    <cfRule type="expression" priority="22" stopIfTrue="1">
      <formula>ISBLANK($E22)</formula>
    </cfRule>
    <cfRule type="cellIs" dxfId="17" priority="23" stopIfTrue="1" operator="equal">
      <formula>$E22</formula>
    </cfRule>
    <cfRule type="cellIs" dxfId="16" priority="24" stopIfTrue="1" operator="greaterThan">
      <formula>$E22</formula>
    </cfRule>
  </conditionalFormatting>
  <conditionalFormatting sqref="U24:V25">
    <cfRule type="expression" priority="19" stopIfTrue="1">
      <formula>ISBLANK($E24)</formula>
    </cfRule>
    <cfRule type="cellIs" dxfId="15" priority="20" stopIfTrue="1" operator="equal">
      <formula>$E24</formula>
    </cfRule>
    <cfRule type="cellIs" dxfId="14" priority="21" stopIfTrue="1" operator="greaterThan">
      <formula>$E24</formula>
    </cfRule>
  </conditionalFormatting>
  <conditionalFormatting sqref="U26">
    <cfRule type="expression" priority="16" stopIfTrue="1">
      <formula>ISBLANK($E26)</formula>
    </cfRule>
    <cfRule type="cellIs" dxfId="13" priority="17" stopIfTrue="1" operator="equal">
      <formula>$E26</formula>
    </cfRule>
    <cfRule type="cellIs" dxfId="12" priority="18" stopIfTrue="1" operator="greaterThan">
      <formula>$E26</formula>
    </cfRule>
  </conditionalFormatting>
  <conditionalFormatting sqref="U27:V27">
    <cfRule type="expression" priority="13" stopIfTrue="1">
      <formula>ISBLANK($E27)</formula>
    </cfRule>
    <cfRule type="cellIs" dxfId="11" priority="14" stopIfTrue="1" operator="equal">
      <formula>$E27</formula>
    </cfRule>
    <cfRule type="cellIs" dxfId="10" priority="15" stopIfTrue="1" operator="greaterThan">
      <formula>$E27</formula>
    </cfRule>
  </conditionalFormatting>
  <conditionalFormatting sqref="U28">
    <cfRule type="expression" priority="10" stopIfTrue="1">
      <formula>ISBLANK($E28)</formula>
    </cfRule>
    <cfRule type="cellIs" dxfId="9" priority="11" stopIfTrue="1" operator="equal">
      <formula>$E28</formula>
    </cfRule>
    <cfRule type="cellIs" dxfId="8" priority="12" stopIfTrue="1" operator="greaterThan">
      <formula>$E28</formula>
    </cfRule>
  </conditionalFormatting>
  <conditionalFormatting sqref="U20">
    <cfRule type="expression" priority="25" stopIfTrue="1">
      <formula>ISBLANK($E20)</formula>
    </cfRule>
    <cfRule type="cellIs" dxfId="7" priority="26" stopIfTrue="1" operator="equal">
      <formula>$E20</formula>
    </cfRule>
    <cfRule type="cellIs" dxfId="6" priority="27" stopIfTrue="1" operator="greaterThan">
      <formula>$E20</formula>
    </cfRule>
  </conditionalFormatting>
  <conditionalFormatting sqref="U19">
    <cfRule type="expression" priority="28" stopIfTrue="1">
      <formula>ISBLANK($E19)</formula>
    </cfRule>
    <cfRule type="cellIs" dxfId="5" priority="29" stopIfTrue="1" operator="equal">
      <formula>$E19</formula>
    </cfRule>
    <cfRule type="cellIs" dxfId="4" priority="30" stopIfTrue="1" operator="greaterThan">
      <formula>$E19</formula>
    </cfRule>
  </conditionalFormatting>
  <conditionalFormatting sqref="U18">
    <cfRule type="expression" priority="31" stopIfTrue="1">
      <formula>ISBLANK($E18)</formula>
    </cfRule>
    <cfRule type="cellIs" dxfId="3" priority="32" stopIfTrue="1" operator="equal">
      <formula>$E18</formula>
    </cfRule>
    <cfRule type="cellIs" dxfId="2" priority="33" stopIfTrue="1" operator="greaterThan">
      <formula>$E18</formula>
    </cfRule>
  </conditionalFormatting>
  <conditionalFormatting sqref="U16">
    <cfRule type="expression" priority="7" stopIfTrue="1">
      <formula>ISBLANK($E16)</formula>
    </cfRule>
    <cfRule type="cellIs" dxfId="1" priority="8" stopIfTrue="1" operator="equal">
      <formula>$E16</formula>
    </cfRule>
    <cfRule type="cellIs" dxfId="0" priority="9" stopIfTrue="1" operator="greaterThan">
      <formula>$E16</formula>
    </cfRule>
  </conditionalFormatting>
  <dataValidations count="1">
    <dataValidation allowBlank="1" showInputMessage="1" promptTitle="Y compris à domicile" sqref="E13" xr:uid="{BA832AAB-BBD4-48D4-A296-DE90333A1675}"/>
  </dataValidation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025" r:id="rId3" name="Button 1">
              <controlPr defaultSize="0" print="0" autoFill="0" autoPict="0" macro="[1]!Bouton23_Cliquer">
                <anchor moveWithCells="1" sizeWithCells="1">
                  <from>
                    <xdr:col>2</xdr:col>
                    <xdr:colOff>1460500</xdr:colOff>
                    <xdr:row>115</xdr:row>
                    <xdr:rowOff>25400</xdr:rowOff>
                  </from>
                  <to>
                    <xdr:col>3</xdr:col>
                    <xdr:colOff>3625850</xdr:colOff>
                    <xdr:row>116</xdr:row>
                    <xdr:rowOff>63500</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7">
        <x14:dataValidation type="list" allowBlank="1" showInputMessage="1" showErrorMessage="1" xr:uid="{4721C7E7-AEB7-42AA-A82E-4F31D0CFA98C}">
          <x14:formula1>
            <xm:f>'Formules santé éxistantes'!$B$1:$BS$1</xm:f>
          </x14:formula1>
          <xm:sqref>E12</xm:sqref>
        </x14:dataValidation>
        <x14:dataValidation type="list" showInputMessage="1" promptTitle="Inclus" xr:uid="{0EC83A2C-CD99-4010-95BA-A2214A9A4A2A}">
          <x14:formula1>
            <xm:f>'[Copie de Mask Etude FM ACC4 mac Rectifé RO 4 bis (version3).xlsm]Listes D'!#REF!</xm:f>
          </x14:formula1>
          <xm:sqref>E19</xm:sqref>
        </x14:dataValidation>
        <x14:dataValidation type="list" allowBlank="1" showInputMessage="1" showErrorMessage="1" xr:uid="{10297097-5455-49C8-B93F-F1C3B43372E7}">
          <x14:formula1>
            <xm:f>'[Copie de Mask Etude FM ACC4 mac Rectifé RO 4 bis (version3).xlsm]Listes D'!#REF!</xm:f>
          </x14:formula1>
          <xm:sqref>D118</xm:sqref>
        </x14:dataValidation>
        <x14:dataValidation type="list" allowBlank="1" showInputMessage="1" showErrorMessage="1" xr:uid="{D5BD975B-3CC6-46FC-A9D7-4023E1A2EF04}">
          <x14:formula1>
            <xm:f>'[Copie de Mask Etude FM ACC4 mac Rectifé RO 4 bis (version3).xlsm]Listes D'!#REF!</xm:f>
          </x14:formula1>
          <xm:sqref>D122</xm:sqref>
        </x14:dataValidation>
        <x14:dataValidation type="list" allowBlank="1" showInputMessage="1" showErrorMessage="1" xr:uid="{EA123387-E18D-42E9-AB7F-15409A43FDD1}">
          <x14:formula1>
            <xm:f>'[Copie de Mask Etude FM ACC4 mac Rectifé RO 4 bis (version3).xlsm]Tarif SPVie'!#REF!</xm:f>
          </x14:formula1>
          <xm:sqref>D121</xm:sqref>
        </x14:dataValidation>
        <x14:dataValidation type="list" allowBlank="1" showInputMessage="1" showErrorMessage="1" xr:uid="{EBEE57A8-014B-4A59-82BF-DCD1F9188E56}">
          <x14:formula1>
            <xm:f>'[Copie de Mask Etude FM ACC4 mac Rectifé RO 4 bis (version3).xlsm]Listes D'!#REF!</xm:f>
          </x14:formula1>
          <xm:sqref>D120</xm:sqref>
        </x14:dataValidation>
        <x14:dataValidation type="list" allowBlank="1" showInputMessage="1" showErrorMessage="1" xr:uid="{A5A5FDCD-5990-40AC-B36F-22B948B34F63}">
          <x14:formula1>
            <xm:f>'[Copie de Mask Etude FM ACC4 mac Rectifé RO 4 bis (version3).xlsm]Listes D'!#REF!</xm:f>
          </x14:formula1>
          <xm:sqref>D119</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1B93331-74A9-48ED-BEF0-AC0905A69EC3}">
  <sheetPr codeName="Feuil1"/>
  <dimension ref="A1:BS95"/>
  <sheetViews>
    <sheetView zoomScale="40" zoomScaleNormal="40" workbookViewId="0">
      <selection activeCell="N93" sqref="N93"/>
    </sheetView>
  </sheetViews>
  <sheetFormatPr baseColWidth="10" defaultRowHeight="14.5" x14ac:dyDescent="0.35"/>
  <cols>
    <col min="1" max="1" width="21.453125" bestFit="1" customWidth="1"/>
    <col min="2" max="2" width="15.453125" bestFit="1" customWidth="1"/>
  </cols>
  <sheetData>
    <row r="1" spans="1:71" s="1" customFormat="1" x14ac:dyDescent="0.35">
      <c r="A1" s="1" t="s">
        <v>0</v>
      </c>
      <c r="B1" s="1" t="s">
        <v>126</v>
      </c>
      <c r="C1" s="1" t="s">
        <v>127</v>
      </c>
      <c r="D1" s="1" t="s">
        <v>128</v>
      </c>
      <c r="E1" s="1" t="s">
        <v>129</v>
      </c>
      <c r="F1" s="1" t="s">
        <v>130</v>
      </c>
      <c r="G1" s="1" t="s">
        <v>131</v>
      </c>
      <c r="H1" s="1" t="s">
        <v>132</v>
      </c>
      <c r="I1" s="1" t="s">
        <v>133</v>
      </c>
      <c r="J1" s="1" t="s">
        <v>134</v>
      </c>
      <c r="K1" s="1" t="s">
        <v>135</v>
      </c>
      <c r="L1" s="1" t="s">
        <v>136</v>
      </c>
      <c r="M1" s="1" t="s">
        <v>137</v>
      </c>
      <c r="N1" s="1" t="s">
        <v>138</v>
      </c>
      <c r="O1" s="1" t="s">
        <v>139</v>
      </c>
      <c r="P1" s="1" t="s">
        <v>140</v>
      </c>
      <c r="Q1" s="1" t="s">
        <v>141</v>
      </c>
      <c r="R1" s="1" t="s">
        <v>142</v>
      </c>
      <c r="S1" s="1" t="s">
        <v>143</v>
      </c>
      <c r="T1" s="1" t="s">
        <v>144</v>
      </c>
      <c r="U1" s="1" t="s">
        <v>145</v>
      </c>
      <c r="V1" s="1" t="s">
        <v>146</v>
      </c>
      <c r="W1" s="1" t="s">
        <v>147</v>
      </c>
      <c r="X1" s="1" t="s">
        <v>148</v>
      </c>
      <c r="Y1" s="1" t="s">
        <v>149</v>
      </c>
      <c r="Z1" s="1" t="s">
        <v>150</v>
      </c>
      <c r="AA1" s="1" t="s">
        <v>151</v>
      </c>
      <c r="AB1" s="1" t="s">
        <v>152</v>
      </c>
      <c r="AC1" s="1" t="s">
        <v>153</v>
      </c>
      <c r="AD1" s="1" t="s">
        <v>154</v>
      </c>
      <c r="AE1" s="1" t="s">
        <v>155</v>
      </c>
      <c r="AF1" s="1" t="s">
        <v>156</v>
      </c>
      <c r="AG1" s="1" t="s">
        <v>157</v>
      </c>
      <c r="AH1" s="1" t="s">
        <v>158</v>
      </c>
      <c r="AI1" s="1" t="s">
        <v>159</v>
      </c>
      <c r="AJ1" s="1" t="s">
        <v>160</v>
      </c>
      <c r="AK1" s="1" t="s">
        <v>161</v>
      </c>
      <c r="AL1" s="1" t="s">
        <v>162</v>
      </c>
      <c r="AM1" s="1" t="s">
        <v>163</v>
      </c>
      <c r="AN1" s="1" t="s">
        <v>164</v>
      </c>
      <c r="AO1" s="1" t="s">
        <v>165</v>
      </c>
      <c r="AP1" s="1" t="s">
        <v>166</v>
      </c>
      <c r="AQ1" s="1" t="s">
        <v>167</v>
      </c>
      <c r="AR1" s="1" t="s">
        <v>168</v>
      </c>
      <c r="AS1" s="1" t="s">
        <v>169</v>
      </c>
      <c r="AT1" s="1" t="s">
        <v>170</v>
      </c>
      <c r="AU1" s="1" t="s">
        <v>171</v>
      </c>
      <c r="AV1" s="1" t="s">
        <v>172</v>
      </c>
      <c r="AW1" s="1" t="s">
        <v>173</v>
      </c>
      <c r="AX1" s="1" t="s">
        <v>174</v>
      </c>
      <c r="AY1" s="1" t="s">
        <v>175</v>
      </c>
      <c r="AZ1" s="1" t="s">
        <v>176</v>
      </c>
      <c r="BA1" s="1" t="s">
        <v>177</v>
      </c>
      <c r="BB1" s="1" t="s">
        <v>178</v>
      </c>
      <c r="BC1" s="1" t="s">
        <v>179</v>
      </c>
      <c r="BD1" s="1" t="s">
        <v>180</v>
      </c>
      <c r="BE1" s="1" t="s">
        <v>181</v>
      </c>
      <c r="BF1" s="1" t="s">
        <v>182</v>
      </c>
      <c r="BG1" s="1" t="s">
        <v>183</v>
      </c>
      <c r="BH1" s="1" t="s">
        <v>184</v>
      </c>
      <c r="BI1" s="1" t="s">
        <v>185</v>
      </c>
      <c r="BJ1" s="1" t="s">
        <v>186</v>
      </c>
      <c r="BK1" s="1" t="s">
        <v>187</v>
      </c>
      <c r="BL1" s="1" t="s">
        <v>188</v>
      </c>
      <c r="BM1" s="1" t="s">
        <v>189</v>
      </c>
      <c r="BN1" s="1" t="s">
        <v>190</v>
      </c>
      <c r="BO1" s="1" t="s">
        <v>191</v>
      </c>
      <c r="BP1" s="1" t="s">
        <v>192</v>
      </c>
      <c r="BQ1" s="1" t="s">
        <v>193</v>
      </c>
      <c r="BR1" s="1" t="s">
        <v>194</v>
      </c>
      <c r="BS1" s="1" t="s">
        <v>195</v>
      </c>
    </row>
    <row r="2" spans="1:71" x14ac:dyDescent="0.35">
      <c r="A2">
        <v>1</v>
      </c>
      <c r="R2" s="2"/>
      <c r="S2" s="2"/>
      <c r="AO2" s="2"/>
      <c r="AP2" s="2"/>
      <c r="AQ2" s="2"/>
      <c r="AR2" s="2"/>
      <c r="AS2" s="2"/>
      <c r="AT2" s="2"/>
      <c r="AU2" t="s">
        <v>68</v>
      </c>
      <c r="AV2" t="s">
        <v>69</v>
      </c>
      <c r="AW2" t="s">
        <v>70</v>
      </c>
      <c r="AX2" t="s">
        <v>71</v>
      </c>
    </row>
    <row r="3" spans="1:71" x14ac:dyDescent="0.35">
      <c r="W3" t="s">
        <v>72</v>
      </c>
      <c r="Y3" t="s">
        <v>72</v>
      </c>
      <c r="Z3" t="s">
        <v>72</v>
      </c>
      <c r="AA3" t="s">
        <v>72</v>
      </c>
      <c r="AB3" t="s">
        <v>72</v>
      </c>
      <c r="AC3" t="s">
        <v>72</v>
      </c>
      <c r="AD3" t="s">
        <v>72</v>
      </c>
      <c r="AK3" t="s">
        <v>72</v>
      </c>
      <c r="AL3" t="s">
        <v>72</v>
      </c>
      <c r="AM3" t="s">
        <v>72</v>
      </c>
      <c r="AN3" t="s">
        <v>72</v>
      </c>
      <c r="AU3" t="s">
        <v>72</v>
      </c>
      <c r="AV3" t="s">
        <v>72</v>
      </c>
      <c r="AW3" t="s">
        <v>72</v>
      </c>
      <c r="AX3" t="s">
        <v>72</v>
      </c>
      <c r="BC3" t="s">
        <v>72</v>
      </c>
    </row>
    <row r="6" spans="1:71" x14ac:dyDescent="0.35">
      <c r="B6" s="3">
        <v>1</v>
      </c>
      <c r="C6" s="3">
        <v>1.5</v>
      </c>
      <c r="D6" s="3">
        <v>2</v>
      </c>
      <c r="E6" s="3">
        <v>3</v>
      </c>
      <c r="F6" s="3">
        <v>4</v>
      </c>
      <c r="G6" s="3" t="s">
        <v>73</v>
      </c>
      <c r="H6" s="3">
        <v>3</v>
      </c>
      <c r="I6" s="3">
        <v>3</v>
      </c>
      <c r="J6" s="3">
        <v>3</v>
      </c>
      <c r="K6" s="3">
        <v>4</v>
      </c>
      <c r="L6" s="3"/>
      <c r="M6" s="3"/>
      <c r="N6" s="3"/>
      <c r="O6" s="3"/>
      <c r="P6" s="3"/>
      <c r="Q6" s="3"/>
      <c r="R6" s="3"/>
      <c r="S6" s="3"/>
      <c r="T6" s="3"/>
      <c r="U6" s="3"/>
      <c r="V6" s="3">
        <v>1.25</v>
      </c>
      <c r="W6" s="3">
        <v>5.8</v>
      </c>
      <c r="X6" s="3">
        <v>2.5</v>
      </c>
      <c r="Y6" s="4" t="s">
        <v>73</v>
      </c>
      <c r="Z6" s="4" t="s">
        <v>73</v>
      </c>
      <c r="AA6" s="4" t="s">
        <v>73</v>
      </c>
      <c r="AB6" s="4" t="s">
        <v>73</v>
      </c>
      <c r="AC6" s="3">
        <v>5.8</v>
      </c>
      <c r="AD6" s="4" t="s">
        <v>73</v>
      </c>
      <c r="AE6" s="3">
        <v>1</v>
      </c>
      <c r="AF6" s="3" t="s">
        <v>73</v>
      </c>
      <c r="AG6" s="3" t="s">
        <v>73</v>
      </c>
      <c r="AH6" s="3" t="s">
        <v>73</v>
      </c>
      <c r="AI6" s="3" t="s">
        <v>73</v>
      </c>
      <c r="AJ6" s="3" t="s">
        <v>73</v>
      </c>
      <c r="AK6" s="3">
        <v>5.8</v>
      </c>
      <c r="AL6" s="3">
        <v>5.8</v>
      </c>
      <c r="AM6" s="3">
        <v>5.8</v>
      </c>
      <c r="AN6" s="3" t="s">
        <v>73</v>
      </c>
      <c r="AO6" s="3">
        <v>2</v>
      </c>
      <c r="AP6" s="3">
        <v>3</v>
      </c>
      <c r="AQ6" s="3">
        <v>4</v>
      </c>
      <c r="AR6" s="3">
        <v>5</v>
      </c>
      <c r="AS6" s="3">
        <v>6</v>
      </c>
      <c r="AT6" s="3">
        <v>7</v>
      </c>
      <c r="AU6" s="3">
        <v>5.8</v>
      </c>
      <c r="AV6" s="3">
        <v>5.8</v>
      </c>
      <c r="AW6" s="3">
        <v>5.8</v>
      </c>
      <c r="AX6" s="3" t="s">
        <v>73</v>
      </c>
      <c r="AY6" s="3">
        <v>2.5</v>
      </c>
      <c r="AZ6" s="3">
        <v>3.5</v>
      </c>
      <c r="BA6" s="3">
        <v>4.5</v>
      </c>
      <c r="BB6" s="3" t="s">
        <v>73</v>
      </c>
      <c r="BC6" s="3">
        <v>5.8</v>
      </c>
      <c r="BD6" s="3">
        <v>1.45</v>
      </c>
      <c r="BE6" s="3">
        <v>1.7</v>
      </c>
      <c r="BF6" s="3">
        <v>1.95</v>
      </c>
      <c r="BG6" s="3">
        <v>2.5</v>
      </c>
      <c r="BH6" s="3">
        <v>3.5</v>
      </c>
      <c r="BI6" s="3">
        <v>4.5</v>
      </c>
      <c r="BJ6" s="3">
        <v>1</v>
      </c>
      <c r="BK6" s="3"/>
      <c r="BL6" s="3"/>
      <c r="BM6" s="3"/>
      <c r="BN6" s="3"/>
      <c r="BO6" s="3"/>
      <c r="BP6" s="3"/>
      <c r="BQ6" s="3"/>
      <c r="BR6" s="3"/>
      <c r="BS6" s="3"/>
    </row>
    <row r="7" spans="1:71" x14ac:dyDescent="0.35">
      <c r="B7" s="3">
        <v>1</v>
      </c>
      <c r="C7" s="3">
        <v>1.5</v>
      </c>
      <c r="D7" s="3">
        <v>2</v>
      </c>
      <c r="E7" s="3">
        <v>3</v>
      </c>
      <c r="F7" s="3">
        <v>4</v>
      </c>
      <c r="G7" s="5">
        <v>0.9</v>
      </c>
      <c r="H7" s="3">
        <v>2.25</v>
      </c>
      <c r="I7" s="3">
        <v>2.25</v>
      </c>
      <c r="J7" s="3">
        <v>2.25</v>
      </c>
      <c r="K7" s="3">
        <v>3</v>
      </c>
      <c r="L7" s="3"/>
      <c r="M7" s="3"/>
      <c r="N7" s="3"/>
      <c r="O7" s="3"/>
      <c r="P7" s="3"/>
      <c r="Q7" s="3"/>
      <c r="R7" s="3"/>
      <c r="S7" s="3"/>
      <c r="T7" s="3"/>
      <c r="U7" s="3"/>
      <c r="V7" s="3">
        <v>1</v>
      </c>
      <c r="W7" s="3">
        <v>5.8</v>
      </c>
      <c r="X7" s="3" t="s">
        <v>74</v>
      </c>
      <c r="Y7" s="3">
        <v>2.5</v>
      </c>
      <c r="Z7" s="3">
        <v>2.5</v>
      </c>
      <c r="AA7" s="3">
        <v>3</v>
      </c>
      <c r="AB7" s="3">
        <v>2.5</v>
      </c>
      <c r="AC7" s="3">
        <v>5</v>
      </c>
      <c r="AD7" s="3" t="s">
        <v>73</v>
      </c>
      <c r="AE7" s="3">
        <v>1</v>
      </c>
      <c r="AF7" s="3">
        <v>2</v>
      </c>
      <c r="AG7" s="3">
        <v>2</v>
      </c>
      <c r="AH7" s="3">
        <v>2</v>
      </c>
      <c r="AI7" s="3">
        <v>2</v>
      </c>
      <c r="AJ7" s="3">
        <v>2</v>
      </c>
      <c r="AK7" s="3">
        <v>2</v>
      </c>
      <c r="AL7" s="3">
        <v>2</v>
      </c>
      <c r="AM7" s="3">
        <v>2</v>
      </c>
      <c r="AN7" s="3">
        <v>2</v>
      </c>
      <c r="AO7" s="3">
        <v>1.5</v>
      </c>
      <c r="AP7" s="3">
        <v>2</v>
      </c>
      <c r="AQ7" s="3">
        <v>2</v>
      </c>
      <c r="AR7" s="3">
        <v>2</v>
      </c>
      <c r="AS7" s="3">
        <v>2</v>
      </c>
      <c r="AT7" s="3">
        <v>2</v>
      </c>
      <c r="AU7" s="3">
        <v>5.8</v>
      </c>
      <c r="AV7" s="3">
        <v>5.8</v>
      </c>
      <c r="AW7" s="3">
        <v>5.8</v>
      </c>
      <c r="AX7" s="3">
        <v>6.8</v>
      </c>
      <c r="AY7" s="3">
        <v>2.5</v>
      </c>
      <c r="AZ7" s="3">
        <v>3.5</v>
      </c>
      <c r="BA7" s="3">
        <v>4.5</v>
      </c>
      <c r="BB7" s="3" t="s">
        <v>73</v>
      </c>
      <c r="BC7" s="3">
        <v>5.8</v>
      </c>
      <c r="BD7" s="3">
        <v>1</v>
      </c>
      <c r="BE7" s="3">
        <v>1</v>
      </c>
      <c r="BF7" s="3">
        <v>1</v>
      </c>
      <c r="BG7" s="3">
        <v>1</v>
      </c>
      <c r="BH7" s="3">
        <v>1</v>
      </c>
      <c r="BI7" s="3">
        <v>1</v>
      </c>
      <c r="BJ7" s="3">
        <v>1</v>
      </c>
      <c r="BK7" s="3"/>
      <c r="BL7" s="3"/>
      <c r="BM7" s="3"/>
      <c r="BN7" s="3"/>
      <c r="BO7" s="3"/>
      <c r="BP7" s="3"/>
      <c r="BQ7" s="3"/>
      <c r="BR7" s="3"/>
      <c r="BS7" s="3"/>
    </row>
    <row r="8" spans="1:71" x14ac:dyDescent="0.35">
      <c r="B8" s="3">
        <v>1</v>
      </c>
      <c r="C8" s="3">
        <v>1.3</v>
      </c>
      <c r="D8" s="3">
        <v>1.8</v>
      </c>
      <c r="E8" s="3">
        <v>2</v>
      </c>
      <c r="F8" s="3">
        <v>2</v>
      </c>
      <c r="G8" s="3">
        <v>2</v>
      </c>
      <c r="H8" s="3">
        <v>2</v>
      </c>
      <c r="I8" s="3">
        <v>2</v>
      </c>
      <c r="J8" s="3">
        <v>2</v>
      </c>
      <c r="K8" s="3">
        <v>4</v>
      </c>
      <c r="L8" s="3"/>
      <c r="M8" s="3"/>
      <c r="N8" s="3"/>
      <c r="O8" s="3"/>
      <c r="P8" s="3"/>
      <c r="Q8" s="3"/>
      <c r="R8" s="3"/>
      <c r="S8" s="3"/>
      <c r="T8" s="3"/>
      <c r="U8" s="3"/>
      <c r="V8" s="3">
        <v>1</v>
      </c>
      <c r="W8" s="3">
        <v>2</v>
      </c>
      <c r="X8" s="3">
        <v>2</v>
      </c>
      <c r="Y8" s="3">
        <v>2.25</v>
      </c>
      <c r="Z8" s="3">
        <v>2.25</v>
      </c>
      <c r="AA8" s="3">
        <v>2.25</v>
      </c>
      <c r="AB8" s="3">
        <v>2.25</v>
      </c>
      <c r="AC8" s="3">
        <v>2</v>
      </c>
      <c r="AD8" s="3">
        <v>2</v>
      </c>
      <c r="AE8" s="3">
        <v>1</v>
      </c>
      <c r="AF8" s="3">
        <v>2</v>
      </c>
      <c r="AG8" s="3">
        <v>2</v>
      </c>
      <c r="AH8" s="3">
        <v>2</v>
      </c>
      <c r="AI8" s="3">
        <v>2</v>
      </c>
      <c r="AJ8" s="3">
        <v>2</v>
      </c>
      <c r="AK8" s="3">
        <v>2</v>
      </c>
      <c r="AL8" s="3">
        <v>2</v>
      </c>
      <c r="AM8" s="3">
        <v>2</v>
      </c>
      <c r="AN8" s="3">
        <v>2</v>
      </c>
      <c r="AO8" s="3">
        <v>1.5</v>
      </c>
      <c r="AP8" s="3">
        <v>2</v>
      </c>
      <c r="AQ8" s="3">
        <v>2</v>
      </c>
      <c r="AR8" s="3">
        <v>2</v>
      </c>
      <c r="AS8" s="3">
        <v>2</v>
      </c>
      <c r="AT8" s="3">
        <v>2</v>
      </c>
      <c r="AU8" s="3">
        <v>5.8</v>
      </c>
      <c r="AV8" s="3">
        <v>5.8</v>
      </c>
      <c r="AW8" s="3">
        <v>5.8</v>
      </c>
      <c r="AX8" s="3">
        <v>6.8</v>
      </c>
      <c r="AY8" s="3">
        <v>1.8</v>
      </c>
      <c r="AZ8" s="3">
        <v>2</v>
      </c>
      <c r="BA8" s="3">
        <v>2</v>
      </c>
      <c r="BB8" s="3">
        <v>2</v>
      </c>
      <c r="BC8" s="3">
        <v>2</v>
      </c>
      <c r="BD8" s="3">
        <v>1.25</v>
      </c>
      <c r="BE8" s="3">
        <v>1.5</v>
      </c>
      <c r="BF8" s="3">
        <v>1.75</v>
      </c>
      <c r="BG8" s="3">
        <v>2</v>
      </c>
      <c r="BH8" s="3">
        <v>2</v>
      </c>
      <c r="BI8" s="3">
        <v>2</v>
      </c>
      <c r="BJ8" s="3">
        <v>1</v>
      </c>
      <c r="BK8" s="3"/>
      <c r="BL8" s="3"/>
      <c r="BM8" s="3"/>
      <c r="BN8" s="3"/>
      <c r="BO8" s="3"/>
      <c r="BP8" s="3"/>
      <c r="BQ8" s="3"/>
      <c r="BR8" s="3"/>
      <c r="BS8" s="3"/>
    </row>
    <row r="9" spans="1:71" x14ac:dyDescent="0.35">
      <c r="B9" s="3">
        <v>1</v>
      </c>
      <c r="C9" s="3">
        <v>1</v>
      </c>
      <c r="D9" s="3">
        <v>1</v>
      </c>
      <c r="E9" s="3">
        <v>1</v>
      </c>
      <c r="F9" s="3">
        <v>1</v>
      </c>
      <c r="G9" s="3">
        <v>1</v>
      </c>
      <c r="H9" s="3" t="s">
        <v>75</v>
      </c>
      <c r="I9" s="3" t="s">
        <v>75</v>
      </c>
      <c r="J9" s="3" t="s">
        <v>75</v>
      </c>
      <c r="K9" s="3" t="s">
        <v>75</v>
      </c>
      <c r="L9" s="3"/>
      <c r="M9" s="3"/>
      <c r="N9" s="3"/>
      <c r="O9" s="3"/>
      <c r="P9" s="3"/>
      <c r="Q9" s="3"/>
      <c r="R9" s="3"/>
      <c r="S9" s="3"/>
      <c r="T9" s="3"/>
      <c r="U9" s="3"/>
      <c r="V9" s="3" t="s">
        <v>75</v>
      </c>
      <c r="W9" s="3" t="s">
        <v>75</v>
      </c>
      <c r="X9" s="3" t="s">
        <v>74</v>
      </c>
      <c r="Y9" s="3" t="s">
        <v>75</v>
      </c>
      <c r="Z9" s="3" t="s">
        <v>75</v>
      </c>
      <c r="AA9" s="3" t="s">
        <v>75</v>
      </c>
      <c r="AB9" s="3" t="s">
        <v>75</v>
      </c>
      <c r="AC9" s="3" t="s">
        <v>75</v>
      </c>
      <c r="AD9" s="3" t="s">
        <v>75</v>
      </c>
      <c r="AE9" s="3" t="s">
        <v>76</v>
      </c>
      <c r="AF9" s="3" t="s">
        <v>76</v>
      </c>
      <c r="AG9" s="3" t="s">
        <v>76</v>
      </c>
      <c r="AH9" s="3" t="s">
        <v>76</v>
      </c>
      <c r="AI9" s="3" t="s">
        <v>76</v>
      </c>
      <c r="AJ9" s="3" t="s">
        <v>76</v>
      </c>
      <c r="AK9" s="3" t="s">
        <v>75</v>
      </c>
      <c r="AL9" s="3" t="s">
        <v>75</v>
      </c>
      <c r="AM9" s="3" t="s">
        <v>75</v>
      </c>
      <c r="AN9" s="3" t="s">
        <v>75</v>
      </c>
      <c r="AO9" s="3" t="s">
        <v>75</v>
      </c>
      <c r="AP9" s="3" t="s">
        <v>75</v>
      </c>
      <c r="AQ9" s="3" t="s">
        <v>75</v>
      </c>
      <c r="AR9" s="3" t="s">
        <v>75</v>
      </c>
      <c r="AS9" s="3" t="s">
        <v>75</v>
      </c>
      <c r="AT9" s="3" t="s">
        <v>75</v>
      </c>
      <c r="AU9" s="3" t="s">
        <v>75</v>
      </c>
      <c r="AV9" s="3" t="s">
        <v>75</v>
      </c>
      <c r="AW9" s="3" t="s">
        <v>75</v>
      </c>
      <c r="AX9" s="3" t="s">
        <v>75</v>
      </c>
      <c r="AY9" s="3" t="s">
        <v>76</v>
      </c>
      <c r="AZ9" s="3" t="s">
        <v>76</v>
      </c>
      <c r="BA9" s="3" t="s">
        <v>76</v>
      </c>
      <c r="BB9" s="3" t="s">
        <v>76</v>
      </c>
      <c r="BC9" s="3" t="s">
        <v>75</v>
      </c>
      <c r="BD9" s="3" t="s">
        <v>74</v>
      </c>
      <c r="BE9" s="3" t="s">
        <v>74</v>
      </c>
      <c r="BF9" s="3" t="s">
        <v>74</v>
      </c>
      <c r="BG9" s="3" t="s">
        <v>74</v>
      </c>
      <c r="BH9" s="3" t="s">
        <v>74</v>
      </c>
      <c r="BI9" s="3" t="s">
        <v>74</v>
      </c>
      <c r="BJ9" s="3" t="s">
        <v>74</v>
      </c>
      <c r="BK9" s="3"/>
      <c r="BL9" s="3"/>
      <c r="BM9" s="3"/>
      <c r="BN9" s="3"/>
      <c r="BO9" s="3"/>
      <c r="BP9" s="3"/>
      <c r="BQ9" s="3"/>
      <c r="BR9" s="3"/>
      <c r="BS9" s="3"/>
    </row>
    <row r="10" spans="1:71" x14ac:dyDescent="0.35">
      <c r="B10" s="3">
        <v>1</v>
      </c>
      <c r="C10" s="3">
        <v>1</v>
      </c>
      <c r="D10" s="3">
        <v>1</v>
      </c>
      <c r="E10" s="3">
        <v>1</v>
      </c>
      <c r="F10" s="3">
        <v>1</v>
      </c>
      <c r="G10" s="3">
        <v>1</v>
      </c>
      <c r="H10" s="3" t="s">
        <v>73</v>
      </c>
      <c r="I10" s="3" t="s">
        <v>73</v>
      </c>
      <c r="J10" s="3" t="s">
        <v>73</v>
      </c>
      <c r="K10" s="3" t="s">
        <v>73</v>
      </c>
      <c r="L10" s="3"/>
      <c r="M10" s="3"/>
      <c r="N10" s="3"/>
      <c r="O10" s="3"/>
      <c r="P10" s="3"/>
      <c r="Q10" s="3"/>
      <c r="R10" s="3"/>
      <c r="S10" s="3"/>
      <c r="T10" s="3"/>
      <c r="U10" s="3"/>
      <c r="V10" s="3" t="s">
        <v>73</v>
      </c>
      <c r="W10" s="3" t="s">
        <v>73</v>
      </c>
      <c r="X10" s="3" t="s">
        <v>73</v>
      </c>
      <c r="Y10" s="3" t="s">
        <v>73</v>
      </c>
      <c r="Z10" s="3" t="s">
        <v>73</v>
      </c>
      <c r="AA10" s="3" t="s">
        <v>73</v>
      </c>
      <c r="AB10" s="3" t="s">
        <v>73</v>
      </c>
      <c r="AC10" s="3" t="s">
        <v>73</v>
      </c>
      <c r="AD10" s="3" t="s">
        <v>73</v>
      </c>
      <c r="AE10" s="3" t="s">
        <v>73</v>
      </c>
      <c r="AF10" s="3" t="s">
        <v>73</v>
      </c>
      <c r="AG10" s="3" t="s">
        <v>73</v>
      </c>
      <c r="AH10" s="3" t="s">
        <v>73</v>
      </c>
      <c r="AI10" s="3" t="s">
        <v>73</v>
      </c>
      <c r="AJ10" s="3" t="s">
        <v>73</v>
      </c>
      <c r="AK10" s="3">
        <v>1</v>
      </c>
      <c r="AL10" s="3">
        <v>1</v>
      </c>
      <c r="AM10" s="3" t="s">
        <v>73</v>
      </c>
      <c r="AN10" s="3" t="s">
        <v>73</v>
      </c>
      <c r="AO10" s="3" t="s">
        <v>73</v>
      </c>
      <c r="AP10" s="3" t="s">
        <v>73</v>
      </c>
      <c r="AQ10" s="3" t="s">
        <v>73</v>
      </c>
      <c r="AR10" s="3" t="s">
        <v>73</v>
      </c>
      <c r="AS10" s="3" t="s">
        <v>73</v>
      </c>
      <c r="AT10" s="3" t="s">
        <v>73</v>
      </c>
      <c r="AU10" s="3">
        <v>1</v>
      </c>
      <c r="AV10" s="3">
        <v>1</v>
      </c>
      <c r="AW10" s="3" t="s">
        <v>73</v>
      </c>
      <c r="AX10" s="3" t="s">
        <v>73</v>
      </c>
      <c r="AY10" s="3" t="s">
        <v>73</v>
      </c>
      <c r="AZ10" s="3" t="s">
        <v>73</v>
      </c>
      <c r="BA10" s="3" t="s">
        <v>73</v>
      </c>
      <c r="BB10" s="3" t="s">
        <v>73</v>
      </c>
      <c r="BC10" s="3" t="s">
        <v>73</v>
      </c>
      <c r="BD10" s="3" t="s">
        <v>77</v>
      </c>
      <c r="BE10" s="3" t="s">
        <v>77</v>
      </c>
      <c r="BF10" s="3" t="s">
        <v>77</v>
      </c>
      <c r="BG10" s="3" t="s">
        <v>77</v>
      </c>
      <c r="BH10" s="3" t="s">
        <v>77</v>
      </c>
      <c r="BI10" s="3"/>
      <c r="BJ10" s="3" t="s">
        <v>77</v>
      </c>
      <c r="BK10" s="3"/>
      <c r="BL10" s="3"/>
      <c r="BM10" s="3"/>
      <c r="BN10" s="3"/>
      <c r="BO10" s="3"/>
      <c r="BP10" s="3"/>
      <c r="BQ10" s="3"/>
      <c r="BR10" s="3"/>
      <c r="BS10" s="3"/>
    </row>
    <row r="11" spans="1:71" x14ac:dyDescent="0.35">
      <c r="B11" s="3">
        <v>1</v>
      </c>
      <c r="C11" s="3">
        <v>1.5</v>
      </c>
      <c r="D11" s="3">
        <v>2</v>
      </c>
      <c r="E11" s="3">
        <v>3</v>
      </c>
      <c r="F11" s="3">
        <v>4</v>
      </c>
      <c r="G11" s="3" t="s">
        <v>73</v>
      </c>
      <c r="H11" s="3">
        <v>1</v>
      </c>
      <c r="I11" s="3">
        <v>1</v>
      </c>
      <c r="J11" s="3">
        <v>1</v>
      </c>
      <c r="K11" s="3">
        <v>4</v>
      </c>
      <c r="L11" s="3"/>
      <c r="M11" s="3"/>
      <c r="N11" s="3"/>
      <c r="O11" s="3"/>
      <c r="P11" s="3"/>
      <c r="Q11" s="3"/>
      <c r="R11" s="3"/>
      <c r="S11" s="3"/>
      <c r="T11" s="3"/>
      <c r="U11" s="3"/>
      <c r="V11" s="3" t="s">
        <v>73</v>
      </c>
      <c r="W11" s="3" t="s">
        <v>73</v>
      </c>
      <c r="X11" s="3" t="s">
        <v>73</v>
      </c>
      <c r="Y11" s="3">
        <v>1.5</v>
      </c>
      <c r="Z11" s="3">
        <v>2</v>
      </c>
      <c r="AA11" s="3">
        <v>2.5</v>
      </c>
      <c r="AB11" s="3" t="s">
        <v>73</v>
      </c>
      <c r="AC11" s="3" t="s">
        <v>73</v>
      </c>
      <c r="AD11" s="3" t="s">
        <v>73</v>
      </c>
      <c r="AE11" s="3" t="s">
        <v>73</v>
      </c>
      <c r="AF11" s="3" t="s">
        <v>73</v>
      </c>
      <c r="AG11" s="3" t="s">
        <v>73</v>
      </c>
      <c r="AH11" s="3" t="s">
        <v>73</v>
      </c>
      <c r="AI11" s="3" t="s">
        <v>73</v>
      </c>
      <c r="AJ11" s="3" t="s">
        <v>73</v>
      </c>
      <c r="AK11" s="3" t="s">
        <v>73</v>
      </c>
      <c r="AL11" s="3" t="s">
        <v>73</v>
      </c>
      <c r="AM11" s="3" t="s">
        <v>73</v>
      </c>
      <c r="AN11" s="3" t="s">
        <v>73</v>
      </c>
      <c r="AO11" s="3" t="s">
        <v>73</v>
      </c>
      <c r="AP11" s="3" t="s">
        <v>73</v>
      </c>
      <c r="AQ11" s="3" t="s">
        <v>73</v>
      </c>
      <c r="AR11" s="3" t="s">
        <v>73</v>
      </c>
      <c r="AS11" s="3" t="s">
        <v>73</v>
      </c>
      <c r="AT11" s="3" t="s">
        <v>73</v>
      </c>
      <c r="AU11" s="3" t="s">
        <v>73</v>
      </c>
      <c r="AV11" s="3" t="s">
        <v>73</v>
      </c>
      <c r="AW11" s="3" t="s">
        <v>77</v>
      </c>
      <c r="AX11" s="3" t="s">
        <v>73</v>
      </c>
      <c r="AY11" s="3" t="s">
        <v>73</v>
      </c>
      <c r="AZ11" s="3" t="s">
        <v>73</v>
      </c>
      <c r="BA11" s="3" t="s">
        <v>73</v>
      </c>
      <c r="BB11" s="3" t="s">
        <v>73</v>
      </c>
      <c r="BC11" s="3" t="s">
        <v>73</v>
      </c>
      <c r="BD11" s="3">
        <v>1.45</v>
      </c>
      <c r="BE11" s="3">
        <v>1.7</v>
      </c>
      <c r="BF11" s="3">
        <v>1.95</v>
      </c>
      <c r="BG11" s="3">
        <v>2.5</v>
      </c>
      <c r="BH11" s="3">
        <v>3.5</v>
      </c>
      <c r="BI11" s="3">
        <v>4.5</v>
      </c>
      <c r="BJ11" s="3">
        <v>1</v>
      </c>
      <c r="BK11" s="3"/>
      <c r="BL11" s="3"/>
      <c r="BM11" s="3"/>
      <c r="BN11" s="3"/>
      <c r="BO11" s="3"/>
      <c r="BP11" s="3"/>
      <c r="BQ11" s="3"/>
      <c r="BR11" s="3"/>
      <c r="BS11" s="3"/>
    </row>
    <row r="12" spans="1:71" x14ac:dyDescent="0.35">
      <c r="B12" s="3">
        <v>1</v>
      </c>
      <c r="C12" s="3">
        <v>1.5</v>
      </c>
      <c r="D12" s="3">
        <v>2</v>
      </c>
      <c r="E12" s="3">
        <v>3</v>
      </c>
      <c r="F12" s="3">
        <v>4</v>
      </c>
      <c r="G12" s="5">
        <v>0.9</v>
      </c>
      <c r="H12" s="5">
        <v>1</v>
      </c>
      <c r="I12" s="5">
        <v>1</v>
      </c>
      <c r="J12" s="5">
        <v>1</v>
      </c>
      <c r="K12" s="5">
        <v>1</v>
      </c>
      <c r="L12" s="5"/>
      <c r="M12" s="5"/>
      <c r="N12" s="5"/>
      <c r="O12" s="5"/>
      <c r="P12" s="5"/>
      <c r="Q12" s="5"/>
      <c r="R12" s="5"/>
      <c r="S12" s="5"/>
      <c r="T12" s="5"/>
      <c r="U12" s="5"/>
      <c r="V12" s="3">
        <v>1</v>
      </c>
      <c r="W12" s="5">
        <v>0.8</v>
      </c>
      <c r="X12" s="4" t="s">
        <v>78</v>
      </c>
      <c r="Y12" s="5">
        <v>0.9</v>
      </c>
      <c r="Z12" s="5">
        <v>0.9</v>
      </c>
      <c r="AA12" s="5">
        <v>0.9</v>
      </c>
      <c r="AB12" s="5">
        <v>0.9</v>
      </c>
      <c r="AC12" s="5">
        <v>0.8</v>
      </c>
      <c r="AD12" s="5">
        <v>0.8</v>
      </c>
      <c r="AE12" s="3">
        <v>1</v>
      </c>
      <c r="AF12" s="3">
        <v>1.5</v>
      </c>
      <c r="AG12" s="5">
        <v>0.7</v>
      </c>
      <c r="AH12" s="5">
        <v>0.7</v>
      </c>
      <c r="AI12" s="5">
        <v>0.9</v>
      </c>
      <c r="AJ12" s="5">
        <v>0.9</v>
      </c>
      <c r="AK12" s="5">
        <v>0.8</v>
      </c>
      <c r="AL12" s="5">
        <v>0.8</v>
      </c>
      <c r="AM12" s="5">
        <v>0.8</v>
      </c>
      <c r="AN12" s="5">
        <v>0.8</v>
      </c>
      <c r="AO12" s="3">
        <v>1.5</v>
      </c>
      <c r="AP12" s="3">
        <v>2</v>
      </c>
      <c r="AQ12" s="3">
        <v>2</v>
      </c>
      <c r="AR12" s="3">
        <v>2</v>
      </c>
      <c r="AS12" s="3">
        <v>2</v>
      </c>
      <c r="AT12" s="3">
        <v>2</v>
      </c>
      <c r="AU12" s="5">
        <v>0.8</v>
      </c>
      <c r="AV12" s="5">
        <v>0.8</v>
      </c>
      <c r="AW12" s="5">
        <v>0.8</v>
      </c>
      <c r="AX12" s="5">
        <v>0.8</v>
      </c>
      <c r="AY12" s="5">
        <v>0.9</v>
      </c>
      <c r="AZ12" s="5">
        <v>0.9</v>
      </c>
      <c r="BA12" s="5">
        <v>0.9</v>
      </c>
      <c r="BB12" s="5">
        <v>0.9</v>
      </c>
      <c r="BC12" s="5">
        <v>0.8</v>
      </c>
      <c r="BD12" s="3">
        <v>1</v>
      </c>
      <c r="BE12" s="3">
        <v>1</v>
      </c>
      <c r="BF12" s="3">
        <v>1</v>
      </c>
      <c r="BG12" s="3">
        <v>1</v>
      </c>
      <c r="BH12" s="3">
        <v>1</v>
      </c>
      <c r="BI12" s="3">
        <v>1</v>
      </c>
      <c r="BJ12" s="3">
        <v>1</v>
      </c>
      <c r="BK12" s="5"/>
      <c r="BL12" s="5"/>
      <c r="BM12" s="5"/>
      <c r="BN12" s="5"/>
      <c r="BO12" s="5"/>
      <c r="BP12" s="5"/>
      <c r="BQ12" s="5"/>
      <c r="BR12" s="5"/>
      <c r="BS12" s="5"/>
    </row>
    <row r="13" spans="1:71" x14ac:dyDescent="0.35">
      <c r="B13" s="3"/>
      <c r="C13" s="3"/>
      <c r="D13" s="3"/>
      <c r="E13" s="3"/>
      <c r="F13" s="3"/>
      <c r="G13" s="3"/>
      <c r="H13" s="3"/>
      <c r="I13" s="3"/>
      <c r="J13" s="3"/>
      <c r="K13" s="3"/>
      <c r="L13" s="3"/>
      <c r="M13" s="3"/>
      <c r="N13" s="3"/>
      <c r="O13" s="3"/>
      <c r="P13" s="3"/>
      <c r="Q13" s="3"/>
      <c r="R13" s="3"/>
      <c r="S13" s="3"/>
      <c r="T13" s="3"/>
      <c r="U13" s="3"/>
      <c r="V13" s="3"/>
      <c r="W13" t="s">
        <v>79</v>
      </c>
      <c r="X13" s="4"/>
      <c r="Y13" t="s">
        <v>80</v>
      </c>
      <c r="Z13" t="s">
        <v>80</v>
      </c>
      <c r="AA13" t="s">
        <v>81</v>
      </c>
      <c r="AB13" t="s">
        <v>82</v>
      </c>
      <c r="AC13" t="s">
        <v>83</v>
      </c>
      <c r="AD13" t="s">
        <v>79</v>
      </c>
      <c r="AE13" s="3"/>
      <c r="AF13" s="3"/>
      <c r="AG13" s="5"/>
      <c r="AH13" s="5"/>
      <c r="AI13" s="5"/>
      <c r="AJ13" s="5"/>
      <c r="AK13" s="3">
        <v>2</v>
      </c>
      <c r="AL13" s="3">
        <v>2</v>
      </c>
      <c r="AM13" s="3">
        <v>2</v>
      </c>
      <c r="AN13" s="3">
        <v>2</v>
      </c>
      <c r="AO13" s="3"/>
      <c r="AP13" s="3"/>
      <c r="AQ13" s="3"/>
      <c r="AR13" s="3"/>
      <c r="AS13" s="3"/>
      <c r="AT13" s="3"/>
      <c r="AU13" s="3">
        <v>2</v>
      </c>
      <c r="AV13" s="3">
        <v>2</v>
      </c>
      <c r="AW13" s="3">
        <v>2</v>
      </c>
      <c r="AX13" s="3">
        <v>2</v>
      </c>
      <c r="AY13" s="3">
        <v>3</v>
      </c>
      <c r="AZ13" s="3">
        <v>3</v>
      </c>
      <c r="BA13" s="3" t="s">
        <v>84</v>
      </c>
      <c r="BB13" s="3">
        <v>3.5</v>
      </c>
      <c r="BC13" t="s">
        <v>79</v>
      </c>
      <c r="BD13" s="3"/>
      <c r="BE13" s="3"/>
      <c r="BF13" s="3"/>
      <c r="BG13" s="3"/>
      <c r="BH13" s="3"/>
      <c r="BI13" s="3"/>
      <c r="BJ13" s="3"/>
      <c r="BK13" s="3"/>
      <c r="BL13" s="3"/>
      <c r="BM13" s="3"/>
      <c r="BN13" s="3"/>
      <c r="BO13" s="3"/>
      <c r="BP13" s="3"/>
      <c r="BQ13" s="3"/>
      <c r="BR13" s="3"/>
      <c r="BS13" s="3"/>
    </row>
    <row r="14" spans="1:71" x14ac:dyDescent="0.35">
      <c r="B14" s="6">
        <v>70</v>
      </c>
      <c r="C14" s="6" t="s">
        <v>73</v>
      </c>
      <c r="D14" s="6" t="s">
        <v>73</v>
      </c>
      <c r="E14" s="6" t="s">
        <v>73</v>
      </c>
      <c r="F14" s="6" t="s">
        <v>73</v>
      </c>
      <c r="G14" s="6" t="s">
        <v>73</v>
      </c>
      <c r="H14" s="6">
        <v>99.33</v>
      </c>
      <c r="I14" s="6">
        <v>132.44</v>
      </c>
      <c r="J14" s="6">
        <v>165.55</v>
      </c>
      <c r="K14" s="6">
        <v>165.55</v>
      </c>
      <c r="L14" s="6"/>
      <c r="M14" s="6"/>
      <c r="N14" s="6"/>
      <c r="O14" s="6"/>
      <c r="P14" s="6"/>
      <c r="Q14" s="6"/>
      <c r="R14" s="6"/>
      <c r="S14" s="6"/>
      <c r="T14" s="6"/>
      <c r="U14" s="6"/>
      <c r="V14" s="6">
        <v>30</v>
      </c>
      <c r="W14" s="6">
        <v>115.88500000000001</v>
      </c>
      <c r="X14" s="6">
        <v>70</v>
      </c>
      <c r="Y14" s="6">
        <v>99.33</v>
      </c>
      <c r="Z14" s="6">
        <v>132.44</v>
      </c>
      <c r="AA14" s="6">
        <v>165.55</v>
      </c>
      <c r="AB14" s="6">
        <v>231.77</v>
      </c>
      <c r="AC14" s="6">
        <v>66.22</v>
      </c>
      <c r="AD14" s="6">
        <v>132.44</v>
      </c>
      <c r="AE14" s="6">
        <v>49.664999999999999</v>
      </c>
      <c r="AF14" s="6">
        <v>132.44</v>
      </c>
      <c r="AG14" s="6">
        <v>165.55</v>
      </c>
      <c r="AH14" s="6">
        <v>165.55</v>
      </c>
      <c r="AI14" s="6">
        <v>165.55</v>
      </c>
      <c r="AJ14" s="6">
        <v>264.88</v>
      </c>
      <c r="AK14" s="6">
        <v>66.22</v>
      </c>
      <c r="AL14" s="6">
        <v>82.775000000000006</v>
      </c>
      <c r="AM14" s="6">
        <v>115.88500000000001</v>
      </c>
      <c r="AN14" s="6">
        <v>132.44</v>
      </c>
      <c r="AO14" s="6">
        <v>50</v>
      </c>
      <c r="AP14" s="6">
        <v>70</v>
      </c>
      <c r="AQ14" s="6">
        <v>100</v>
      </c>
      <c r="AR14" s="6">
        <v>120</v>
      </c>
      <c r="AS14" s="6">
        <v>140</v>
      </c>
      <c r="AT14" s="6">
        <v>160</v>
      </c>
      <c r="AU14" s="6">
        <v>66.22</v>
      </c>
      <c r="AV14" s="6">
        <v>82.775000000000006</v>
      </c>
      <c r="AW14" s="6">
        <v>115.88500000000001</v>
      </c>
      <c r="AX14" s="6">
        <v>132.44</v>
      </c>
      <c r="AY14" s="6">
        <v>75</v>
      </c>
      <c r="AZ14" s="6">
        <v>90</v>
      </c>
      <c r="BA14" s="6">
        <v>115</v>
      </c>
      <c r="BB14" s="6">
        <v>130</v>
      </c>
      <c r="BC14" s="6">
        <v>82.775000000000006</v>
      </c>
      <c r="BD14" s="6">
        <v>75</v>
      </c>
      <c r="BE14" s="6">
        <v>90</v>
      </c>
      <c r="BF14" s="6">
        <v>105</v>
      </c>
      <c r="BG14" s="6">
        <v>135</v>
      </c>
      <c r="BH14" s="6">
        <v>155</v>
      </c>
      <c r="BI14" s="6">
        <v>155</v>
      </c>
      <c r="BJ14" s="6">
        <v>0</v>
      </c>
      <c r="BK14" s="6"/>
      <c r="BL14" s="6"/>
      <c r="BM14" s="6"/>
      <c r="BN14" s="6"/>
      <c r="BO14" s="6"/>
      <c r="BP14" s="6"/>
      <c r="BQ14" s="6"/>
      <c r="BR14" s="6"/>
      <c r="BS14" s="6"/>
    </row>
    <row r="15" spans="1:71" x14ac:dyDescent="0.35">
      <c r="B15" s="6">
        <v>70</v>
      </c>
      <c r="C15" s="6" t="s">
        <v>73</v>
      </c>
      <c r="D15" s="6" t="s">
        <v>73</v>
      </c>
      <c r="E15" s="6" t="s">
        <v>73</v>
      </c>
      <c r="F15" s="6" t="s">
        <v>73</v>
      </c>
      <c r="G15" s="6" t="s">
        <v>73</v>
      </c>
      <c r="H15" s="6">
        <v>99.33</v>
      </c>
      <c r="I15" s="6">
        <v>132.44</v>
      </c>
      <c r="J15" s="6">
        <v>165.55</v>
      </c>
      <c r="K15" s="6">
        <v>165.55</v>
      </c>
      <c r="L15" s="6"/>
      <c r="M15" s="6"/>
      <c r="N15" s="6"/>
      <c r="O15" s="6"/>
      <c r="P15" s="6"/>
      <c r="Q15" s="6"/>
      <c r="R15" s="6"/>
      <c r="S15" s="6"/>
      <c r="T15" s="6"/>
      <c r="U15" s="6"/>
      <c r="V15" s="6">
        <v>0</v>
      </c>
      <c r="W15" s="6">
        <v>115.88500000000001</v>
      </c>
      <c r="X15" s="6">
        <v>70</v>
      </c>
      <c r="Y15" s="6">
        <v>99.33</v>
      </c>
      <c r="Z15" s="6">
        <v>132.44</v>
      </c>
      <c r="AA15" s="6">
        <v>165.55</v>
      </c>
      <c r="AB15" s="6">
        <v>231.77</v>
      </c>
      <c r="AC15" s="6">
        <v>66.22</v>
      </c>
      <c r="AD15" s="6">
        <v>132.44</v>
      </c>
      <c r="AE15" s="3">
        <v>1</v>
      </c>
      <c r="AF15" s="3">
        <v>2.5</v>
      </c>
      <c r="AG15" s="5">
        <v>0.9</v>
      </c>
      <c r="AH15" s="5">
        <v>0.9</v>
      </c>
      <c r="AI15" s="6" t="s">
        <v>73</v>
      </c>
      <c r="AJ15" s="6" t="s">
        <v>73</v>
      </c>
      <c r="AK15" s="6">
        <v>66.22</v>
      </c>
      <c r="AL15" s="6">
        <v>82.775000000000006</v>
      </c>
      <c r="AM15" s="6">
        <v>115.88500000000001</v>
      </c>
      <c r="AN15" s="6">
        <v>132.44</v>
      </c>
      <c r="AO15" s="6">
        <v>0</v>
      </c>
      <c r="AP15" s="6">
        <v>0</v>
      </c>
      <c r="AQ15" s="6">
        <v>30</v>
      </c>
      <c r="AR15" s="6">
        <v>40</v>
      </c>
      <c r="AS15" s="6">
        <v>50</v>
      </c>
      <c r="AT15" s="6">
        <v>60</v>
      </c>
      <c r="AU15" s="6">
        <v>66.22</v>
      </c>
      <c r="AV15" s="6">
        <v>82.775000000000006</v>
      </c>
      <c r="AW15" s="6">
        <v>115.88500000000001</v>
      </c>
      <c r="AX15" s="6">
        <v>132.44</v>
      </c>
      <c r="AY15" s="6">
        <v>75</v>
      </c>
      <c r="AZ15" s="6">
        <v>90</v>
      </c>
      <c r="BA15" s="6">
        <v>115</v>
      </c>
      <c r="BB15" s="6">
        <v>130</v>
      </c>
      <c r="BC15" s="6">
        <v>82.775000000000006</v>
      </c>
      <c r="BD15" s="6">
        <v>75</v>
      </c>
      <c r="BE15" s="6">
        <v>90</v>
      </c>
      <c r="BF15" s="6">
        <v>105</v>
      </c>
      <c r="BG15" s="6">
        <v>130</v>
      </c>
      <c r="BH15" s="6">
        <v>140</v>
      </c>
      <c r="BI15" s="6">
        <v>140</v>
      </c>
      <c r="BJ15" s="6">
        <v>0</v>
      </c>
      <c r="BK15" s="6"/>
      <c r="BL15" s="6"/>
      <c r="BM15" s="6"/>
      <c r="BN15" s="6"/>
      <c r="BO15" s="6"/>
      <c r="BP15" s="6"/>
      <c r="BQ15" s="6"/>
      <c r="BR15" s="6"/>
      <c r="BS15" s="6"/>
    </row>
    <row r="16" spans="1:71" x14ac:dyDescent="0.35">
      <c r="B16" s="7">
        <v>30</v>
      </c>
      <c r="C16" s="7">
        <v>30</v>
      </c>
      <c r="D16" s="7">
        <v>30</v>
      </c>
      <c r="E16" s="7">
        <v>30</v>
      </c>
      <c r="F16" s="7">
        <v>30</v>
      </c>
      <c r="G16" s="7">
        <v>30</v>
      </c>
      <c r="H16" s="7">
        <v>30</v>
      </c>
      <c r="I16" s="7">
        <v>30</v>
      </c>
      <c r="J16" s="7">
        <v>30</v>
      </c>
      <c r="K16" s="7">
        <v>30</v>
      </c>
      <c r="L16" s="7"/>
      <c r="M16" s="7"/>
      <c r="N16" s="7"/>
      <c r="O16" s="7"/>
      <c r="P16" s="7"/>
      <c r="Q16" s="7"/>
      <c r="R16" s="7"/>
      <c r="S16" s="7"/>
      <c r="T16" s="7"/>
      <c r="U16" s="7"/>
      <c r="V16" s="7"/>
      <c r="W16" s="7">
        <v>90</v>
      </c>
      <c r="X16" s="7">
        <v>60</v>
      </c>
      <c r="Y16" s="7">
        <v>45</v>
      </c>
      <c r="Z16" s="7">
        <v>45</v>
      </c>
      <c r="AA16" s="7">
        <v>60</v>
      </c>
      <c r="AB16" s="7">
        <v>90</v>
      </c>
      <c r="AC16" s="7">
        <v>90</v>
      </c>
      <c r="AD16" s="7">
        <v>90</v>
      </c>
      <c r="AE16" s="7">
        <v>30</v>
      </c>
      <c r="AF16" s="7">
        <v>30</v>
      </c>
      <c r="AG16" s="7">
        <v>30</v>
      </c>
      <c r="AH16" s="7">
        <v>60</v>
      </c>
      <c r="AI16" s="7">
        <v>90</v>
      </c>
      <c r="AJ16" s="7">
        <v>90</v>
      </c>
      <c r="AK16" s="7">
        <v>90</v>
      </c>
      <c r="AL16" s="7">
        <v>90</v>
      </c>
      <c r="AM16" s="7">
        <v>90</v>
      </c>
      <c r="AN16" s="7">
        <v>90</v>
      </c>
      <c r="AO16" s="7"/>
      <c r="AP16" s="7"/>
      <c r="AQ16" s="7">
        <v>30</v>
      </c>
      <c r="AR16" s="7">
        <v>45</v>
      </c>
      <c r="AS16" s="7">
        <v>60</v>
      </c>
      <c r="AT16" s="7">
        <v>60</v>
      </c>
      <c r="AU16" s="7">
        <v>90</v>
      </c>
      <c r="AV16" s="7">
        <v>90</v>
      </c>
      <c r="AW16" s="7">
        <v>90</v>
      </c>
      <c r="AX16" s="7">
        <v>90</v>
      </c>
      <c r="AY16" s="7">
        <v>90</v>
      </c>
      <c r="AZ16" s="7">
        <v>90</v>
      </c>
      <c r="BA16" s="7">
        <v>90</v>
      </c>
      <c r="BB16" s="7">
        <v>90</v>
      </c>
      <c r="BC16" s="7">
        <v>90</v>
      </c>
      <c r="BD16" s="7">
        <v>60</v>
      </c>
      <c r="BE16" s="7">
        <v>60</v>
      </c>
      <c r="BF16" s="7">
        <v>60</v>
      </c>
      <c r="BG16" s="7">
        <v>60</v>
      </c>
      <c r="BH16" s="7">
        <v>60</v>
      </c>
      <c r="BI16" s="7">
        <v>60</v>
      </c>
      <c r="BJ16" s="7"/>
      <c r="BK16" s="7"/>
      <c r="BL16" s="7"/>
      <c r="BM16" s="7"/>
      <c r="BN16" s="7"/>
      <c r="BO16" s="7"/>
      <c r="BP16" s="7"/>
      <c r="BQ16" s="7"/>
      <c r="BR16" s="7"/>
      <c r="BS16" s="7"/>
    </row>
    <row r="17" spans="2:71" x14ac:dyDescent="0.35">
      <c r="B17" s="6">
        <v>16</v>
      </c>
      <c r="C17" s="6">
        <v>16</v>
      </c>
      <c r="D17" s="6">
        <v>16</v>
      </c>
      <c r="E17" s="6">
        <v>16</v>
      </c>
      <c r="F17" s="6">
        <v>16</v>
      </c>
      <c r="G17" s="6">
        <v>16</v>
      </c>
      <c r="H17" s="6">
        <v>33.11</v>
      </c>
      <c r="I17" s="6">
        <v>49.664999999999999</v>
      </c>
      <c r="J17" s="6">
        <v>66.22</v>
      </c>
      <c r="K17" s="6">
        <v>66.22</v>
      </c>
      <c r="L17" s="6"/>
      <c r="M17" s="6"/>
      <c r="N17" s="6"/>
      <c r="O17" s="6"/>
      <c r="P17" s="6"/>
      <c r="Q17" s="6"/>
      <c r="R17" s="6"/>
      <c r="S17" s="6"/>
      <c r="T17" s="6"/>
      <c r="U17" s="6"/>
      <c r="V17" s="6">
        <v>0</v>
      </c>
      <c r="W17" s="6">
        <v>49.664999999999999</v>
      </c>
      <c r="X17" s="6" t="s">
        <v>78</v>
      </c>
      <c r="Y17" s="6">
        <v>33.11</v>
      </c>
      <c r="Z17" s="6">
        <v>49.664999999999999</v>
      </c>
      <c r="AA17" s="6">
        <v>66.22</v>
      </c>
      <c r="AB17" s="6">
        <v>99.33</v>
      </c>
      <c r="AC17" s="6">
        <v>49.664999999999999</v>
      </c>
      <c r="AD17" s="6">
        <v>49.664999999999999</v>
      </c>
      <c r="AE17" s="6">
        <v>20</v>
      </c>
      <c r="AF17" s="6">
        <v>20</v>
      </c>
      <c r="AG17" s="6">
        <v>30</v>
      </c>
      <c r="AH17" s="6">
        <v>30</v>
      </c>
      <c r="AI17" s="6">
        <v>50</v>
      </c>
      <c r="AJ17" s="6">
        <v>60</v>
      </c>
      <c r="AK17" s="6">
        <v>49.664999999999999</v>
      </c>
      <c r="AL17" s="6">
        <v>49.664999999999999</v>
      </c>
      <c r="AM17" s="6">
        <v>49.664999999999999</v>
      </c>
      <c r="AN17" s="6">
        <v>49.664999999999999</v>
      </c>
      <c r="AO17" s="6">
        <v>10</v>
      </c>
      <c r="AP17" s="6">
        <v>10</v>
      </c>
      <c r="AQ17" s="6">
        <v>15</v>
      </c>
      <c r="AR17" s="6">
        <v>25</v>
      </c>
      <c r="AS17" s="6">
        <v>30</v>
      </c>
      <c r="AT17" s="6">
        <v>40</v>
      </c>
      <c r="AU17" s="6">
        <v>49.664999999999999</v>
      </c>
      <c r="AV17" s="6">
        <v>49.664999999999999</v>
      </c>
      <c r="AW17" s="6">
        <v>49.664999999999999</v>
      </c>
      <c r="AX17" s="6">
        <v>49.664999999999999</v>
      </c>
      <c r="AY17" s="6">
        <v>40</v>
      </c>
      <c r="AZ17" s="6">
        <v>50</v>
      </c>
      <c r="BA17" s="6">
        <v>55</v>
      </c>
      <c r="BB17" s="6">
        <v>60</v>
      </c>
      <c r="BC17" s="6">
        <v>49.664999999999999</v>
      </c>
      <c r="BD17" s="6">
        <v>35</v>
      </c>
      <c r="BE17" s="6">
        <v>45</v>
      </c>
      <c r="BF17" s="6">
        <v>55</v>
      </c>
      <c r="BG17" s="6">
        <v>75</v>
      </c>
      <c r="BH17" s="6">
        <v>95</v>
      </c>
      <c r="BI17" s="6">
        <v>115</v>
      </c>
      <c r="BJ17" s="6">
        <v>0</v>
      </c>
      <c r="BK17" s="6"/>
      <c r="BL17" s="6"/>
      <c r="BM17" s="6"/>
      <c r="BN17" s="6"/>
      <c r="BO17" s="6"/>
      <c r="BP17" s="6"/>
      <c r="BQ17" s="6"/>
      <c r="BR17" s="6"/>
      <c r="BS17" s="6"/>
    </row>
    <row r="18" spans="2:71" x14ac:dyDescent="0.35">
      <c r="B18" s="3">
        <v>1</v>
      </c>
      <c r="C18" s="3">
        <v>1</v>
      </c>
      <c r="D18" s="3">
        <v>1</v>
      </c>
      <c r="E18" s="3">
        <v>1</v>
      </c>
      <c r="F18" s="3">
        <v>1</v>
      </c>
      <c r="G18" s="3">
        <v>1</v>
      </c>
      <c r="H18" s="3">
        <v>2</v>
      </c>
      <c r="I18" s="3">
        <v>2</v>
      </c>
      <c r="J18" s="3">
        <v>2</v>
      </c>
      <c r="K18" s="3">
        <v>3</v>
      </c>
      <c r="L18" s="3"/>
      <c r="M18" s="3"/>
      <c r="N18" s="3"/>
      <c r="O18" s="3"/>
      <c r="P18" s="3"/>
      <c r="Q18" s="3"/>
      <c r="R18" s="3"/>
      <c r="S18" s="3"/>
      <c r="T18" s="3"/>
      <c r="U18" s="3"/>
      <c r="V18" s="3">
        <v>1</v>
      </c>
      <c r="W18" s="3">
        <v>1</v>
      </c>
      <c r="X18" s="3" t="s">
        <v>85</v>
      </c>
      <c r="Y18" s="3" t="s">
        <v>86</v>
      </c>
      <c r="Z18" s="3" t="s">
        <v>86</v>
      </c>
      <c r="AA18" s="3" t="s">
        <v>87</v>
      </c>
      <c r="AB18" s="3" t="s">
        <v>88</v>
      </c>
      <c r="AC18" s="3" t="s">
        <v>85</v>
      </c>
      <c r="AD18" s="3">
        <v>1</v>
      </c>
      <c r="AE18" s="3" t="s">
        <v>85</v>
      </c>
      <c r="AF18" s="3">
        <v>1</v>
      </c>
      <c r="AG18" s="3">
        <v>2</v>
      </c>
      <c r="AH18" s="3">
        <v>2</v>
      </c>
      <c r="AI18" s="3">
        <v>3</v>
      </c>
      <c r="AJ18" s="3">
        <v>3</v>
      </c>
      <c r="AK18" s="3">
        <v>1</v>
      </c>
      <c r="AL18" s="3">
        <v>1</v>
      </c>
      <c r="AM18" s="3">
        <v>1</v>
      </c>
      <c r="AN18" s="3">
        <v>1</v>
      </c>
      <c r="AO18" s="3">
        <v>1.25</v>
      </c>
      <c r="AP18" s="3">
        <v>1.5</v>
      </c>
      <c r="AQ18" s="3">
        <v>1.75</v>
      </c>
      <c r="AR18" s="3">
        <v>2</v>
      </c>
      <c r="AS18" s="3">
        <v>2</v>
      </c>
      <c r="AT18" s="3">
        <v>2.5</v>
      </c>
      <c r="AU18" s="3">
        <v>1</v>
      </c>
      <c r="AV18" s="3">
        <v>1</v>
      </c>
      <c r="AW18" s="3">
        <v>1</v>
      </c>
      <c r="AX18" s="3">
        <v>1</v>
      </c>
      <c r="AY18" s="3" t="s">
        <v>85</v>
      </c>
      <c r="AZ18" s="3" t="s">
        <v>85</v>
      </c>
      <c r="BA18" s="3">
        <v>1</v>
      </c>
      <c r="BB18" s="3">
        <v>1</v>
      </c>
      <c r="BC18" s="3" t="s">
        <v>85</v>
      </c>
      <c r="BD18" s="3">
        <v>1</v>
      </c>
      <c r="BE18" s="3">
        <v>1</v>
      </c>
      <c r="BF18" s="3">
        <v>1</v>
      </c>
      <c r="BG18" s="3">
        <v>1</v>
      </c>
      <c r="BH18" s="3">
        <v>1</v>
      </c>
      <c r="BI18" s="3">
        <v>1</v>
      </c>
      <c r="BJ18" s="3">
        <v>1</v>
      </c>
      <c r="BK18" s="3"/>
      <c r="BL18" s="3"/>
      <c r="BM18" s="3"/>
      <c r="BN18" s="3"/>
      <c r="BO18" s="3"/>
      <c r="BP18" s="3"/>
      <c r="BQ18" s="3"/>
      <c r="BR18" s="3"/>
      <c r="BS18" s="3"/>
    </row>
    <row r="19" spans="2:71" x14ac:dyDescent="0.35">
      <c r="B19" s="8"/>
      <c r="C19" s="8"/>
      <c r="D19" s="8"/>
      <c r="E19" s="8"/>
      <c r="F19" s="8"/>
      <c r="G19" s="8"/>
      <c r="H19" s="8"/>
      <c r="I19" s="8"/>
      <c r="J19" s="8"/>
      <c r="K19" s="8"/>
      <c r="L19" s="8"/>
      <c r="M19" s="8"/>
      <c r="N19" s="8"/>
      <c r="O19" s="8"/>
      <c r="P19" s="8"/>
      <c r="Q19" s="8"/>
      <c r="R19" s="8"/>
      <c r="S19" s="8"/>
      <c r="T19" s="8"/>
      <c r="U19" s="8"/>
      <c r="V19" s="8"/>
      <c r="W19" s="8"/>
      <c r="X19" s="8"/>
      <c r="Y19" s="8"/>
      <c r="Z19" s="8"/>
      <c r="AA19" s="8"/>
      <c r="AB19" s="8"/>
      <c r="AC19" s="8"/>
      <c r="AD19" s="8"/>
      <c r="AE19" s="8"/>
      <c r="AF19" s="8"/>
      <c r="AG19" s="8"/>
      <c r="AH19" s="8"/>
      <c r="AI19" s="8"/>
      <c r="AJ19" s="8"/>
      <c r="AK19" s="8"/>
      <c r="AL19" s="8"/>
      <c r="AM19" s="8"/>
      <c r="AN19" s="8"/>
      <c r="AO19" s="8"/>
      <c r="AP19" s="8"/>
      <c r="AQ19" s="8"/>
      <c r="AR19" s="8"/>
      <c r="AS19" s="8"/>
      <c r="AT19" s="8"/>
      <c r="AU19" s="8"/>
      <c r="AV19" s="8"/>
      <c r="AW19" s="8"/>
      <c r="AX19" s="8"/>
      <c r="AY19" s="8"/>
      <c r="AZ19" s="8"/>
      <c r="BA19" s="8"/>
      <c r="BB19" s="8"/>
      <c r="BC19" s="8"/>
      <c r="BD19" s="8"/>
      <c r="BE19" s="8"/>
      <c r="BF19" s="8"/>
      <c r="BG19" s="8"/>
      <c r="BH19" s="8"/>
      <c r="BI19" s="8"/>
      <c r="BJ19" s="8"/>
      <c r="BK19" s="8"/>
      <c r="BL19" s="8"/>
      <c r="BM19" s="8"/>
      <c r="BN19" s="8"/>
      <c r="BO19" s="8"/>
      <c r="BP19" s="8"/>
      <c r="BQ19" s="8"/>
      <c r="BR19" s="8"/>
      <c r="BS19" s="8"/>
    </row>
    <row r="20" spans="2:71" x14ac:dyDescent="0.35">
      <c r="B20" s="2"/>
      <c r="C20" s="2"/>
      <c r="D20" s="2"/>
      <c r="E20" s="2"/>
      <c r="F20" s="2"/>
      <c r="G20" s="2"/>
      <c r="V20" s="2"/>
      <c r="AO20" s="2"/>
      <c r="AP20" s="2"/>
      <c r="AQ20" s="2"/>
      <c r="AR20" s="2"/>
      <c r="AS20" s="2"/>
      <c r="AT20" s="2"/>
    </row>
    <row r="21" spans="2:71" x14ac:dyDescent="0.35">
      <c r="B21" s="6">
        <v>70</v>
      </c>
      <c r="C21" s="6" t="s">
        <v>73</v>
      </c>
      <c r="D21" s="6" t="s">
        <v>73</v>
      </c>
      <c r="E21" s="6" t="s">
        <v>73</v>
      </c>
      <c r="F21" s="6" t="s">
        <v>73</v>
      </c>
      <c r="G21" s="6" t="s">
        <v>73</v>
      </c>
      <c r="H21" s="6">
        <v>99.33</v>
      </c>
      <c r="I21" s="6">
        <v>132.44</v>
      </c>
      <c r="J21" s="6">
        <v>165.55</v>
      </c>
      <c r="K21" s="6">
        <v>165.55</v>
      </c>
      <c r="L21" s="6"/>
      <c r="M21" s="6"/>
      <c r="N21" s="6"/>
      <c r="O21" s="6"/>
      <c r="P21" s="6"/>
      <c r="Q21" s="6"/>
      <c r="R21" s="6"/>
      <c r="S21" s="6"/>
      <c r="T21" s="6"/>
      <c r="U21" s="6"/>
      <c r="V21" s="6">
        <v>30</v>
      </c>
      <c r="W21" s="6">
        <v>115.88500000000001</v>
      </c>
      <c r="X21" s="6"/>
      <c r="Y21" s="6">
        <v>99.33</v>
      </c>
      <c r="Z21" s="6">
        <v>132.44</v>
      </c>
      <c r="AA21" s="6">
        <v>165.55</v>
      </c>
      <c r="AB21" s="6">
        <v>231.77</v>
      </c>
      <c r="AC21" s="6">
        <v>66.22</v>
      </c>
      <c r="AD21" s="6">
        <v>132.44</v>
      </c>
      <c r="AE21" s="6">
        <v>49.664999999999999</v>
      </c>
      <c r="AF21" s="6">
        <v>132.44</v>
      </c>
      <c r="AG21" s="6">
        <v>165.55</v>
      </c>
      <c r="AH21" s="6">
        <v>165.55</v>
      </c>
      <c r="AI21" s="6">
        <v>165.55</v>
      </c>
      <c r="AJ21" s="6">
        <v>264.88</v>
      </c>
      <c r="AK21" s="6">
        <v>66.22</v>
      </c>
      <c r="AL21" s="6">
        <v>82.775000000000006</v>
      </c>
      <c r="AM21" s="6">
        <v>115.88500000000001</v>
      </c>
      <c r="AN21" s="6">
        <v>132.44</v>
      </c>
      <c r="AO21" s="6">
        <v>50</v>
      </c>
      <c r="AP21" s="6">
        <v>70</v>
      </c>
      <c r="AQ21" s="6">
        <v>100</v>
      </c>
      <c r="AR21" s="6">
        <v>120</v>
      </c>
      <c r="AS21" s="6">
        <v>140</v>
      </c>
      <c r="AT21" s="6">
        <v>160</v>
      </c>
      <c r="AU21" s="6">
        <v>66.22</v>
      </c>
      <c r="AV21" s="6">
        <v>82.775000000000006</v>
      </c>
      <c r="AW21" s="6">
        <v>115.88500000000001</v>
      </c>
      <c r="AX21" s="6">
        <v>132.44</v>
      </c>
      <c r="AY21" s="6">
        <v>75</v>
      </c>
      <c r="AZ21" s="6">
        <v>90</v>
      </c>
      <c r="BA21" s="6">
        <v>115</v>
      </c>
      <c r="BB21" s="6">
        <v>130</v>
      </c>
      <c r="BC21" s="6">
        <v>82.775000000000006</v>
      </c>
      <c r="BD21" s="6">
        <v>75</v>
      </c>
      <c r="BE21" s="6">
        <v>90</v>
      </c>
      <c r="BF21" s="6">
        <v>105</v>
      </c>
      <c r="BG21" s="6">
        <v>135</v>
      </c>
      <c r="BH21" s="6">
        <v>155</v>
      </c>
      <c r="BI21" s="6">
        <v>155</v>
      </c>
      <c r="BJ21" s="6">
        <v>0</v>
      </c>
      <c r="BK21" s="6"/>
      <c r="BL21" s="6"/>
      <c r="BM21" s="6"/>
      <c r="BN21" s="6"/>
      <c r="BO21" s="6"/>
      <c r="BP21" s="6"/>
      <c r="BQ21" s="6"/>
      <c r="BR21" s="6"/>
      <c r="BS21" s="6"/>
    </row>
    <row r="22" spans="2:71" x14ac:dyDescent="0.35">
      <c r="B22" s="9"/>
      <c r="C22" s="9"/>
      <c r="D22" s="9"/>
      <c r="E22" s="9"/>
      <c r="F22" s="9"/>
      <c r="G22" s="9"/>
      <c r="H22" s="9">
        <v>50</v>
      </c>
      <c r="I22" s="9">
        <v>50</v>
      </c>
      <c r="J22" s="9">
        <v>60</v>
      </c>
      <c r="K22" s="9">
        <v>60</v>
      </c>
      <c r="L22" s="9"/>
      <c r="M22" s="9"/>
      <c r="N22" s="9"/>
      <c r="O22" s="9"/>
      <c r="P22" s="9"/>
      <c r="Q22" s="9"/>
      <c r="R22" s="9"/>
      <c r="S22" s="9"/>
      <c r="T22" s="9"/>
      <c r="U22" s="9"/>
      <c r="V22" s="9"/>
      <c r="W22" s="9" t="s">
        <v>78</v>
      </c>
      <c r="X22" s="9"/>
      <c r="Y22" s="9">
        <v>50</v>
      </c>
      <c r="Z22" s="9">
        <v>50</v>
      </c>
      <c r="AA22" s="9">
        <v>60</v>
      </c>
      <c r="AB22" s="9">
        <v>80</v>
      </c>
      <c r="AC22" s="9" t="s">
        <v>78</v>
      </c>
      <c r="AD22" s="9" t="s">
        <v>78</v>
      </c>
      <c r="AE22" s="9" t="s">
        <v>78</v>
      </c>
      <c r="AF22" s="9" t="s">
        <v>78</v>
      </c>
      <c r="AG22" s="9" t="s">
        <v>78</v>
      </c>
      <c r="AH22" s="9" t="s">
        <v>78</v>
      </c>
      <c r="AI22" s="9" t="s">
        <v>78</v>
      </c>
      <c r="AJ22" s="9" t="s">
        <v>78</v>
      </c>
      <c r="AK22" s="9"/>
      <c r="AL22" s="9"/>
      <c r="AM22" s="9"/>
      <c r="AN22" s="9"/>
      <c r="AO22" s="9"/>
      <c r="AP22" s="9"/>
      <c r="AQ22" s="9"/>
      <c r="AR22" s="9"/>
      <c r="AS22" s="9"/>
      <c r="AT22" s="9"/>
      <c r="AU22" s="9"/>
      <c r="AV22" s="9"/>
      <c r="AW22" s="9"/>
      <c r="AX22" s="9"/>
      <c r="AY22" s="9" t="s">
        <v>78</v>
      </c>
      <c r="AZ22" s="9" t="s">
        <v>78</v>
      </c>
      <c r="BA22" s="9" t="s">
        <v>78</v>
      </c>
      <c r="BB22" s="9" t="s">
        <v>78</v>
      </c>
      <c r="BC22" s="9" t="s">
        <v>78</v>
      </c>
      <c r="BD22" s="9"/>
      <c r="BE22" s="9"/>
      <c r="BF22" s="9"/>
      <c r="BG22" s="9"/>
      <c r="BH22" s="9"/>
      <c r="BI22" s="9"/>
      <c r="BJ22" s="9"/>
      <c r="BK22" s="9"/>
      <c r="BL22" s="9"/>
      <c r="BM22" s="9"/>
      <c r="BN22" s="9"/>
      <c r="BO22" s="9"/>
      <c r="BP22" s="9"/>
      <c r="BQ22" s="9"/>
      <c r="BR22" s="9"/>
      <c r="BS22" s="9"/>
    </row>
    <row r="23" spans="2:71" x14ac:dyDescent="0.35">
      <c r="B23" s="9"/>
      <c r="C23" s="9"/>
      <c r="D23" s="9"/>
      <c r="E23" s="9"/>
      <c r="F23" s="9"/>
      <c r="G23" s="9"/>
      <c r="H23" s="9"/>
      <c r="I23" s="9"/>
      <c r="J23" s="9"/>
      <c r="K23" s="9"/>
      <c r="L23" s="9"/>
      <c r="M23" s="9"/>
      <c r="N23" s="9"/>
      <c r="O23" s="9"/>
      <c r="P23" s="9"/>
      <c r="Q23" s="9"/>
      <c r="R23" s="9"/>
      <c r="S23" s="9"/>
      <c r="T23" s="9"/>
      <c r="U23" s="9"/>
      <c r="V23" s="9"/>
      <c r="W23" s="9" t="s">
        <v>78</v>
      </c>
      <c r="X23" s="9"/>
      <c r="Y23" s="9">
        <v>150</v>
      </c>
      <c r="Z23" s="9">
        <v>150</v>
      </c>
      <c r="AA23" s="9">
        <v>200</v>
      </c>
      <c r="AB23" s="9">
        <v>250</v>
      </c>
      <c r="AC23" s="9" t="s">
        <v>78</v>
      </c>
      <c r="AD23" s="9" t="s">
        <v>78</v>
      </c>
      <c r="AE23" s="9" t="s">
        <v>78</v>
      </c>
      <c r="AF23" s="9" t="s">
        <v>78</v>
      </c>
      <c r="AG23" s="9" t="s">
        <v>78</v>
      </c>
      <c r="AH23" s="9" t="s">
        <v>78</v>
      </c>
      <c r="AI23" s="9" t="s">
        <v>78</v>
      </c>
      <c r="AJ23" s="9" t="s">
        <v>78</v>
      </c>
      <c r="AK23" s="9"/>
      <c r="AL23" s="9"/>
      <c r="AM23" s="9"/>
      <c r="AN23" s="9"/>
      <c r="AO23" s="9"/>
      <c r="AP23" s="9"/>
      <c r="AQ23" s="9"/>
      <c r="AR23" s="9"/>
      <c r="AS23" s="9"/>
      <c r="AT23" s="9"/>
      <c r="AU23" s="9"/>
      <c r="AV23" s="9"/>
      <c r="AW23" s="9"/>
      <c r="AX23" s="9"/>
      <c r="AY23" s="9" t="s">
        <v>78</v>
      </c>
      <c r="AZ23" s="9" t="s">
        <v>78</v>
      </c>
      <c r="BA23" s="9" t="s">
        <v>78</v>
      </c>
      <c r="BB23" s="9" t="s">
        <v>78</v>
      </c>
      <c r="BC23" s="9" t="s">
        <v>78</v>
      </c>
      <c r="BD23" s="9" t="s">
        <v>89</v>
      </c>
      <c r="BE23" s="9" t="s">
        <v>89</v>
      </c>
      <c r="BF23" s="9" t="s">
        <v>89</v>
      </c>
      <c r="BG23" s="9" t="s">
        <v>89</v>
      </c>
      <c r="BH23" s="9" t="s">
        <v>89</v>
      </c>
      <c r="BI23" s="9" t="s">
        <v>89</v>
      </c>
      <c r="BJ23" s="9" t="s">
        <v>89</v>
      </c>
      <c r="BK23" s="9"/>
      <c r="BL23" s="9"/>
      <c r="BM23" s="9"/>
      <c r="BN23" s="9"/>
      <c r="BO23" s="9"/>
      <c r="BP23" s="9"/>
      <c r="BQ23" s="9"/>
      <c r="BR23" s="9"/>
      <c r="BS23" s="9"/>
    </row>
    <row r="24" spans="2:71" x14ac:dyDescent="0.35">
      <c r="B24" s="3">
        <v>1</v>
      </c>
      <c r="C24" s="3">
        <v>1.5</v>
      </c>
      <c r="D24" s="3">
        <v>2</v>
      </c>
      <c r="E24" s="3">
        <v>3</v>
      </c>
      <c r="F24" s="3">
        <v>4</v>
      </c>
      <c r="G24" s="3" t="s">
        <v>73</v>
      </c>
      <c r="H24" s="3">
        <v>3</v>
      </c>
      <c r="I24" s="3">
        <v>3</v>
      </c>
      <c r="J24" s="3">
        <v>3</v>
      </c>
      <c r="K24" s="3">
        <v>4</v>
      </c>
      <c r="L24" s="3"/>
      <c r="M24" s="3"/>
      <c r="N24" s="3"/>
      <c r="O24" s="3"/>
      <c r="P24" s="3"/>
      <c r="Q24" s="3"/>
      <c r="R24" s="3"/>
      <c r="S24" s="3"/>
      <c r="T24" s="3"/>
      <c r="U24" s="3"/>
      <c r="V24" s="3">
        <v>1.25</v>
      </c>
      <c r="W24" s="3">
        <v>5.8</v>
      </c>
      <c r="X24" s="8"/>
      <c r="Y24" s="3" t="s">
        <v>90</v>
      </c>
      <c r="Z24" s="3" t="s">
        <v>86</v>
      </c>
      <c r="AA24" s="3" t="s">
        <v>84</v>
      </c>
      <c r="AB24" s="3" t="s">
        <v>87</v>
      </c>
      <c r="AC24" s="3">
        <v>5</v>
      </c>
      <c r="AD24" s="3" t="s">
        <v>73</v>
      </c>
      <c r="AE24" s="3">
        <v>1</v>
      </c>
      <c r="AF24" s="3" t="s">
        <v>73</v>
      </c>
      <c r="AG24" s="3" t="s">
        <v>73</v>
      </c>
      <c r="AH24" s="3" t="s">
        <v>73</v>
      </c>
      <c r="AI24" s="3" t="s">
        <v>73</v>
      </c>
      <c r="AJ24" s="3" t="s">
        <v>73</v>
      </c>
      <c r="AK24" s="3">
        <v>5.8</v>
      </c>
      <c r="AL24" s="3">
        <v>5.8</v>
      </c>
      <c r="AM24" s="3">
        <v>5.8</v>
      </c>
      <c r="AN24" s="3" t="s">
        <v>73</v>
      </c>
      <c r="AO24" s="3">
        <v>2</v>
      </c>
      <c r="AP24" s="3">
        <v>3</v>
      </c>
      <c r="AQ24" s="3">
        <v>4</v>
      </c>
      <c r="AR24" s="3">
        <v>5</v>
      </c>
      <c r="AS24" s="3">
        <v>6</v>
      </c>
      <c r="AT24" s="3">
        <v>7</v>
      </c>
      <c r="AU24" s="3">
        <v>5.8</v>
      </c>
      <c r="AV24" s="3">
        <v>5.8</v>
      </c>
      <c r="AW24" s="3">
        <v>5.8</v>
      </c>
      <c r="AX24" s="3" t="s">
        <v>73</v>
      </c>
      <c r="AY24" s="3">
        <v>2.5</v>
      </c>
      <c r="AZ24" s="3">
        <v>3.5</v>
      </c>
      <c r="BA24" s="3">
        <v>4.5</v>
      </c>
      <c r="BB24" s="3" t="s">
        <v>73</v>
      </c>
      <c r="BC24" s="3">
        <v>5.8</v>
      </c>
      <c r="BD24" s="3">
        <v>1.45</v>
      </c>
      <c r="BE24" s="3">
        <v>1.7</v>
      </c>
      <c r="BF24" s="3">
        <v>1.95</v>
      </c>
      <c r="BG24" s="3">
        <v>2.5</v>
      </c>
      <c r="BH24" s="3">
        <v>3.5</v>
      </c>
      <c r="BI24" s="3">
        <v>4.5</v>
      </c>
      <c r="BJ24" s="3">
        <v>1</v>
      </c>
      <c r="BK24" s="3"/>
      <c r="BL24" s="3"/>
      <c r="BM24" s="3"/>
      <c r="BN24" s="3"/>
      <c r="BO24" s="3"/>
      <c r="BP24" s="3"/>
      <c r="BQ24" s="3"/>
      <c r="BR24" s="3"/>
      <c r="BS24" s="3"/>
    </row>
    <row r="25" spans="2:71" x14ac:dyDescent="0.35">
      <c r="B25" s="3">
        <v>1</v>
      </c>
      <c r="C25" s="3">
        <v>1.3</v>
      </c>
      <c r="D25" s="3">
        <v>1.8</v>
      </c>
      <c r="E25" s="3">
        <v>2</v>
      </c>
      <c r="F25" s="3">
        <v>2</v>
      </c>
      <c r="G25" s="3">
        <v>2</v>
      </c>
      <c r="H25" s="3">
        <v>2</v>
      </c>
      <c r="I25" s="3">
        <v>2</v>
      </c>
      <c r="J25" s="3">
        <v>2</v>
      </c>
      <c r="K25" s="3">
        <v>4</v>
      </c>
      <c r="L25" s="3"/>
      <c r="M25" s="3"/>
      <c r="N25" s="3"/>
      <c r="O25" s="3"/>
      <c r="P25" s="3"/>
      <c r="Q25" s="3"/>
      <c r="R25" s="3"/>
      <c r="S25" s="3"/>
      <c r="T25" s="3"/>
      <c r="U25" s="3"/>
      <c r="V25" s="3">
        <v>1</v>
      </c>
      <c r="W25" s="3">
        <v>2</v>
      </c>
      <c r="X25" s="8"/>
      <c r="Y25" s="3" t="s">
        <v>91</v>
      </c>
      <c r="Z25" s="3" t="s">
        <v>91</v>
      </c>
      <c r="AA25" s="3" t="s">
        <v>91</v>
      </c>
      <c r="AB25" s="3" t="s">
        <v>91</v>
      </c>
      <c r="AC25" s="3">
        <v>2</v>
      </c>
      <c r="AD25" s="3">
        <v>2</v>
      </c>
      <c r="AE25" s="3">
        <v>1</v>
      </c>
      <c r="AF25" s="3">
        <v>2</v>
      </c>
      <c r="AG25" s="3">
        <v>2</v>
      </c>
      <c r="AH25" s="3">
        <v>2</v>
      </c>
      <c r="AI25" s="3">
        <v>2</v>
      </c>
      <c r="AJ25" s="3">
        <v>2</v>
      </c>
      <c r="AK25" s="3">
        <v>2</v>
      </c>
      <c r="AL25" s="3">
        <v>2</v>
      </c>
      <c r="AM25" s="3">
        <v>2</v>
      </c>
      <c r="AN25" s="3" t="s">
        <v>73</v>
      </c>
      <c r="AO25" s="3">
        <v>1.5</v>
      </c>
      <c r="AP25" s="3">
        <v>2</v>
      </c>
      <c r="AQ25" s="3">
        <v>2</v>
      </c>
      <c r="AR25" s="3">
        <v>2</v>
      </c>
      <c r="AS25" s="3">
        <v>2</v>
      </c>
      <c r="AT25" s="3">
        <v>2</v>
      </c>
      <c r="AU25" s="3">
        <v>2</v>
      </c>
      <c r="AV25" s="3">
        <v>5.8</v>
      </c>
      <c r="AW25" s="3">
        <v>5.8</v>
      </c>
      <c r="AX25" s="3" t="s">
        <v>73</v>
      </c>
      <c r="AY25" s="3">
        <v>1.8</v>
      </c>
      <c r="AZ25" s="3">
        <v>2</v>
      </c>
      <c r="BA25" s="3">
        <v>2</v>
      </c>
      <c r="BB25" s="3">
        <v>2</v>
      </c>
      <c r="BC25" s="3">
        <v>2</v>
      </c>
      <c r="BD25" s="3">
        <v>1</v>
      </c>
      <c r="BE25" s="3">
        <v>1</v>
      </c>
      <c r="BF25" s="3">
        <v>1</v>
      </c>
      <c r="BG25" s="3">
        <v>1</v>
      </c>
      <c r="BH25" s="3">
        <v>1</v>
      </c>
      <c r="BI25" s="3">
        <v>1</v>
      </c>
      <c r="BJ25" s="3">
        <v>1</v>
      </c>
      <c r="BK25" s="3"/>
      <c r="BL25" s="3"/>
      <c r="BM25" s="3"/>
      <c r="BN25" s="3"/>
      <c r="BO25" s="3"/>
      <c r="BP25" s="3"/>
      <c r="BQ25" s="3"/>
      <c r="BR25" s="3"/>
      <c r="BS25" s="3"/>
    </row>
    <row r="28" spans="2:71" x14ac:dyDescent="0.35">
      <c r="B28" s="10">
        <v>50</v>
      </c>
      <c r="C28" s="10">
        <v>100</v>
      </c>
      <c r="D28" s="10">
        <v>150</v>
      </c>
      <c r="E28" s="10">
        <v>300</v>
      </c>
      <c r="F28" s="10">
        <v>300</v>
      </c>
      <c r="G28" s="10">
        <v>300</v>
      </c>
      <c r="H28" s="10" t="s">
        <v>92</v>
      </c>
      <c r="I28" s="10" t="s">
        <v>92</v>
      </c>
      <c r="J28" s="10" t="s">
        <v>93</v>
      </c>
      <c r="K28" s="10" t="s">
        <v>93</v>
      </c>
      <c r="L28" s="10"/>
      <c r="M28" s="10"/>
      <c r="N28" s="10"/>
      <c r="O28" s="10"/>
      <c r="P28" s="10"/>
      <c r="Q28" s="10"/>
      <c r="R28" s="10"/>
      <c r="S28" s="10"/>
      <c r="T28" s="10"/>
      <c r="U28" s="10"/>
      <c r="V28" s="10">
        <v>0</v>
      </c>
      <c r="W28" s="10">
        <v>331.1</v>
      </c>
      <c r="X28" s="10"/>
      <c r="Y28" s="10">
        <v>165.55</v>
      </c>
      <c r="Z28" s="10">
        <v>331.1</v>
      </c>
      <c r="AA28" s="10">
        <v>331.1</v>
      </c>
      <c r="AB28" s="10">
        <v>496.65</v>
      </c>
      <c r="AC28" s="10">
        <v>215.215</v>
      </c>
      <c r="AD28" s="10">
        <v>380.76500000000004</v>
      </c>
      <c r="AE28" s="10">
        <v>165.55</v>
      </c>
      <c r="AF28" s="10">
        <v>331.1</v>
      </c>
      <c r="AG28" s="10">
        <v>496.65</v>
      </c>
      <c r="AH28" s="10">
        <v>662.2</v>
      </c>
      <c r="AI28" s="10">
        <v>827.75</v>
      </c>
      <c r="AJ28" s="10" t="s">
        <v>78</v>
      </c>
      <c r="AK28" s="10">
        <v>215.215</v>
      </c>
      <c r="AL28" s="10">
        <v>264.88</v>
      </c>
      <c r="AM28" s="10">
        <v>331.1</v>
      </c>
      <c r="AN28" s="10">
        <v>380.76500000000004</v>
      </c>
      <c r="AO28" s="10">
        <v>50</v>
      </c>
      <c r="AP28" s="10">
        <v>150</v>
      </c>
      <c r="AQ28" s="10">
        <v>200</v>
      </c>
      <c r="AR28" s="10">
        <v>250</v>
      </c>
      <c r="AS28" s="10">
        <v>300</v>
      </c>
      <c r="AT28" s="10">
        <v>350</v>
      </c>
      <c r="AU28" s="10">
        <v>264.88</v>
      </c>
      <c r="AV28" s="10">
        <v>264.88</v>
      </c>
      <c r="AW28" s="10">
        <v>331.1</v>
      </c>
      <c r="AX28" s="10">
        <v>380.76500000000004</v>
      </c>
      <c r="AY28" s="10">
        <v>250</v>
      </c>
      <c r="AZ28" s="10">
        <v>300</v>
      </c>
      <c r="BA28" s="10">
        <v>350</v>
      </c>
      <c r="BB28" s="10">
        <v>400</v>
      </c>
      <c r="BC28" s="10">
        <v>264.88</v>
      </c>
      <c r="BD28" s="10">
        <v>250</v>
      </c>
      <c r="BE28" s="10">
        <v>250</v>
      </c>
      <c r="BF28" s="10">
        <v>300</v>
      </c>
      <c r="BG28" s="10">
        <v>350</v>
      </c>
      <c r="BH28" s="10">
        <v>400</v>
      </c>
      <c r="BI28" s="10">
        <v>500</v>
      </c>
      <c r="BJ28" s="10">
        <v>0</v>
      </c>
      <c r="BK28" s="10"/>
      <c r="BL28" s="10"/>
      <c r="BM28" s="10"/>
      <c r="BN28" s="10"/>
      <c r="BO28" s="10"/>
      <c r="BP28" s="10"/>
      <c r="BQ28" s="10"/>
      <c r="BR28" s="10"/>
      <c r="BS28" s="10"/>
    </row>
    <row r="30" spans="2:71" x14ac:dyDescent="0.35">
      <c r="B30" s="2"/>
      <c r="C30" s="2"/>
      <c r="D30" s="2"/>
      <c r="E30" s="2"/>
      <c r="F30" s="2"/>
      <c r="G30" s="2"/>
      <c r="V30" s="2"/>
      <c r="AO30" s="2"/>
      <c r="AP30" s="2"/>
      <c r="AQ30" s="2"/>
      <c r="AR30" s="2"/>
      <c r="AS30" s="2"/>
      <c r="AT30" s="2"/>
    </row>
    <row r="31" spans="2:71" x14ac:dyDescent="0.35">
      <c r="B31" s="4"/>
      <c r="C31" s="4"/>
      <c r="D31" s="4"/>
      <c r="E31" s="4"/>
      <c r="F31" s="4"/>
      <c r="G31" s="4"/>
      <c r="H31" s="4"/>
      <c r="I31" s="4"/>
      <c r="J31" s="4"/>
      <c r="K31" s="4"/>
      <c r="L31" s="4"/>
      <c r="M31" s="4"/>
      <c r="N31" s="4"/>
      <c r="O31" s="4"/>
      <c r="P31" s="4"/>
      <c r="Q31" s="4"/>
      <c r="R31" s="4"/>
      <c r="S31" s="4"/>
      <c r="T31" s="4"/>
      <c r="U31" s="4"/>
      <c r="V31" s="4"/>
      <c r="W31" s="4"/>
      <c r="X31" s="4"/>
      <c r="Y31" s="4"/>
      <c r="Z31" s="4"/>
      <c r="AA31" s="4"/>
      <c r="AB31" s="4"/>
      <c r="AC31" s="4"/>
      <c r="AD31" s="4"/>
      <c r="AE31" s="4"/>
      <c r="AF31" s="4"/>
      <c r="AG31" s="4"/>
      <c r="AH31" s="4"/>
      <c r="AI31" s="4"/>
      <c r="AJ31" s="4"/>
      <c r="AK31" s="4"/>
      <c r="AL31" s="4"/>
      <c r="AM31" s="4"/>
      <c r="AN31" s="4"/>
      <c r="AO31" s="4"/>
      <c r="AP31" s="4"/>
      <c r="AQ31" s="4"/>
      <c r="AR31" s="4"/>
      <c r="AS31" s="4"/>
      <c r="AT31" s="4"/>
      <c r="AU31" s="4"/>
      <c r="AV31" s="4"/>
      <c r="AW31" s="4"/>
      <c r="AX31" s="4"/>
      <c r="AY31" s="4"/>
      <c r="AZ31" s="4"/>
      <c r="BA31" s="4"/>
      <c r="BB31" s="4"/>
      <c r="BC31" s="4"/>
      <c r="BD31" s="4"/>
      <c r="BE31" s="4"/>
      <c r="BF31" s="4"/>
      <c r="BG31" s="4"/>
      <c r="BH31" s="4"/>
      <c r="BI31" s="4"/>
      <c r="BJ31" s="4"/>
      <c r="BK31" s="4"/>
      <c r="BL31" s="4"/>
      <c r="BM31" s="4"/>
      <c r="BN31" s="4"/>
      <c r="BO31" s="4"/>
      <c r="BP31" s="4"/>
      <c r="BQ31" s="4"/>
      <c r="BR31" s="4"/>
      <c r="BS31" s="4"/>
    </row>
    <row r="32" spans="2:71" x14ac:dyDescent="0.35">
      <c r="B32" s="3">
        <v>1</v>
      </c>
      <c r="C32" s="3">
        <v>1.5</v>
      </c>
      <c r="D32" s="3">
        <v>2</v>
      </c>
      <c r="E32" s="3">
        <v>3</v>
      </c>
      <c r="F32" s="3">
        <v>4</v>
      </c>
      <c r="G32" s="3">
        <v>4</v>
      </c>
      <c r="H32" s="3">
        <v>1.5</v>
      </c>
      <c r="I32" s="3">
        <v>2</v>
      </c>
      <c r="J32" s="3">
        <v>2.5</v>
      </c>
      <c r="K32" s="3">
        <v>3.5</v>
      </c>
      <c r="L32" s="3"/>
      <c r="M32" s="3"/>
      <c r="N32" s="3"/>
      <c r="O32" s="3"/>
      <c r="P32" s="3"/>
      <c r="Q32" s="3"/>
      <c r="R32" s="3"/>
      <c r="S32" s="3"/>
      <c r="T32" s="3"/>
      <c r="U32" s="3"/>
      <c r="V32" s="3">
        <v>1.25</v>
      </c>
      <c r="W32" s="3">
        <v>3.2</v>
      </c>
      <c r="X32" s="3">
        <v>1.5</v>
      </c>
      <c r="Y32" s="3">
        <v>1.5</v>
      </c>
      <c r="Z32" s="3">
        <v>2</v>
      </c>
      <c r="AA32" s="3">
        <v>2.5</v>
      </c>
      <c r="AB32" s="3">
        <v>8</v>
      </c>
      <c r="AC32" s="3">
        <v>1.7</v>
      </c>
      <c r="AD32" s="3">
        <v>4.2</v>
      </c>
      <c r="AE32" s="3">
        <v>1</v>
      </c>
      <c r="AF32" s="3">
        <v>2</v>
      </c>
      <c r="AG32" s="3">
        <v>2.5</v>
      </c>
      <c r="AH32" s="3">
        <v>3</v>
      </c>
      <c r="AI32" s="3" t="s">
        <v>73</v>
      </c>
      <c r="AJ32" s="3">
        <v>1</v>
      </c>
      <c r="AK32" s="3">
        <v>1.7</v>
      </c>
      <c r="AL32" s="3">
        <v>2.2000000000000002</v>
      </c>
      <c r="AM32" s="3">
        <v>3.2</v>
      </c>
      <c r="AN32" s="3">
        <v>4.2</v>
      </c>
      <c r="AO32" s="3">
        <v>1.5</v>
      </c>
      <c r="AP32" s="3">
        <v>1.75</v>
      </c>
      <c r="AQ32" s="3">
        <v>2.25</v>
      </c>
      <c r="AR32" s="3">
        <v>2.5</v>
      </c>
      <c r="AS32" s="3">
        <v>3</v>
      </c>
      <c r="AT32" s="3">
        <v>4</v>
      </c>
      <c r="AU32" s="3">
        <v>1.7</v>
      </c>
      <c r="AV32" s="3">
        <v>2.2000000000000002</v>
      </c>
      <c r="AW32" s="3">
        <v>3.2</v>
      </c>
      <c r="AX32" s="3">
        <v>4.2</v>
      </c>
      <c r="AY32" s="3">
        <v>2</v>
      </c>
      <c r="AZ32" s="3">
        <v>3</v>
      </c>
      <c r="BA32" s="3">
        <v>4</v>
      </c>
      <c r="BB32" s="3">
        <v>4.5</v>
      </c>
      <c r="BC32" s="3">
        <v>2.2000000000000002</v>
      </c>
      <c r="BD32" s="3">
        <v>1.45</v>
      </c>
      <c r="BE32" s="3">
        <v>1.7</v>
      </c>
      <c r="BF32" s="3">
        <v>1.95</v>
      </c>
      <c r="BG32" s="3">
        <v>2.5</v>
      </c>
      <c r="BH32" s="3">
        <v>3.5</v>
      </c>
      <c r="BI32" s="3">
        <v>4.5</v>
      </c>
      <c r="BJ32" s="3">
        <v>1</v>
      </c>
      <c r="BK32" s="3"/>
      <c r="BL32" s="3"/>
      <c r="BM32" s="3"/>
      <c r="BN32" s="3"/>
      <c r="BO32" s="3"/>
      <c r="BP32" s="3"/>
      <c r="BQ32" s="3"/>
      <c r="BR32" s="3"/>
      <c r="BS32" s="3"/>
    </row>
    <row r="33" spans="2:71" x14ac:dyDescent="0.35">
      <c r="B33" s="3">
        <v>1</v>
      </c>
      <c r="C33" s="3">
        <v>1.5</v>
      </c>
      <c r="D33" s="3">
        <v>2</v>
      </c>
      <c r="E33" s="3">
        <v>3</v>
      </c>
      <c r="F33" s="3">
        <v>4</v>
      </c>
      <c r="G33" s="3">
        <v>4</v>
      </c>
      <c r="H33" s="3">
        <v>1.5</v>
      </c>
      <c r="I33" s="3">
        <v>2</v>
      </c>
      <c r="J33" s="3">
        <v>2.5</v>
      </c>
      <c r="K33" s="3">
        <v>3.5</v>
      </c>
      <c r="L33" s="3"/>
      <c r="M33" s="3"/>
      <c r="N33" s="3"/>
      <c r="O33" s="3"/>
      <c r="P33" s="3"/>
      <c r="Q33" s="3"/>
      <c r="R33" s="3"/>
      <c r="S33" s="3"/>
      <c r="T33" s="3"/>
      <c r="U33" s="3"/>
      <c r="V33" s="3">
        <v>1.25</v>
      </c>
      <c r="W33" s="3">
        <v>3.7</v>
      </c>
      <c r="X33" s="3">
        <v>2</v>
      </c>
      <c r="Y33" s="3">
        <v>1.5</v>
      </c>
      <c r="Z33" s="3">
        <v>2</v>
      </c>
      <c r="AA33" s="3">
        <v>2.5</v>
      </c>
      <c r="AB33" s="3">
        <v>8</v>
      </c>
      <c r="AC33" s="3">
        <v>1.7</v>
      </c>
      <c r="AD33" s="3">
        <v>4.7</v>
      </c>
      <c r="AE33" s="3">
        <v>1</v>
      </c>
      <c r="AF33" s="3">
        <v>2</v>
      </c>
      <c r="AG33" s="3">
        <v>2.5</v>
      </c>
      <c r="AH33" s="3">
        <v>3</v>
      </c>
      <c r="AI33" s="3" t="s">
        <v>73</v>
      </c>
      <c r="AJ33" s="3">
        <v>1</v>
      </c>
      <c r="AK33" s="3">
        <v>1.7</v>
      </c>
      <c r="AL33" s="3">
        <v>2.7</v>
      </c>
      <c r="AM33" s="3">
        <v>3.7</v>
      </c>
      <c r="AN33" s="3">
        <v>4.7</v>
      </c>
      <c r="AO33" s="3">
        <v>1.5</v>
      </c>
      <c r="AP33" s="3">
        <v>1.75</v>
      </c>
      <c r="AQ33" s="3">
        <v>2.25</v>
      </c>
      <c r="AR33" s="3">
        <v>2.5</v>
      </c>
      <c r="AS33" s="3">
        <v>3</v>
      </c>
      <c r="AT33" s="3">
        <v>4</v>
      </c>
      <c r="AU33" s="3">
        <v>1.7</v>
      </c>
      <c r="AV33" s="3">
        <v>3.4000000000000004</v>
      </c>
      <c r="AW33" s="3">
        <v>3.7</v>
      </c>
      <c r="AX33" s="3">
        <v>4.7</v>
      </c>
      <c r="AY33" s="3">
        <v>2</v>
      </c>
      <c r="AZ33" s="3">
        <v>3</v>
      </c>
      <c r="BA33" s="3">
        <v>4</v>
      </c>
      <c r="BB33" s="3">
        <v>4.5</v>
      </c>
      <c r="BC33" s="3">
        <v>2.7</v>
      </c>
      <c r="BD33" s="3">
        <v>1.45</v>
      </c>
      <c r="BE33" s="3">
        <v>1.7</v>
      </c>
      <c r="BF33" s="3">
        <v>1.95</v>
      </c>
      <c r="BG33" s="3">
        <v>2.5</v>
      </c>
      <c r="BH33" s="3">
        <v>3.5</v>
      </c>
      <c r="BI33" s="3">
        <v>4.5</v>
      </c>
      <c r="BJ33" s="3">
        <v>1</v>
      </c>
      <c r="BK33" s="3"/>
      <c r="BL33" s="3"/>
      <c r="BM33" s="3"/>
      <c r="BN33" s="3"/>
      <c r="BO33" s="3"/>
      <c r="BP33" s="3"/>
      <c r="BQ33" s="3"/>
      <c r="BR33" s="3"/>
      <c r="BS33" s="3"/>
    </row>
    <row r="34" spans="2:71" x14ac:dyDescent="0.35">
      <c r="B34" s="3">
        <v>1</v>
      </c>
      <c r="C34" s="3">
        <v>1.3</v>
      </c>
      <c r="D34" s="3">
        <v>1.8</v>
      </c>
      <c r="E34" s="3">
        <v>2</v>
      </c>
      <c r="F34" s="3">
        <v>2</v>
      </c>
      <c r="G34" s="3">
        <v>2</v>
      </c>
      <c r="H34" s="3">
        <v>1.3</v>
      </c>
      <c r="I34" s="3">
        <v>1.8</v>
      </c>
      <c r="J34" s="3">
        <v>2</v>
      </c>
      <c r="K34" s="3">
        <v>3.5</v>
      </c>
      <c r="L34" s="3"/>
      <c r="M34" s="3"/>
      <c r="N34" s="3"/>
      <c r="O34" s="3"/>
      <c r="P34" s="3"/>
      <c r="Q34" s="3"/>
      <c r="R34" s="3"/>
      <c r="S34" s="3"/>
      <c r="T34" s="3"/>
      <c r="U34" s="3"/>
      <c r="V34" s="3">
        <v>1</v>
      </c>
      <c r="W34" s="3">
        <v>2</v>
      </c>
      <c r="X34" s="3" t="s">
        <v>74</v>
      </c>
      <c r="Y34" s="3">
        <v>1.3</v>
      </c>
      <c r="Z34" s="3">
        <v>1.8</v>
      </c>
      <c r="AA34" s="3">
        <v>2.25</v>
      </c>
      <c r="AB34" s="3">
        <v>2.25</v>
      </c>
      <c r="AC34" s="3">
        <v>1.5</v>
      </c>
      <c r="AD34" s="3">
        <v>2</v>
      </c>
      <c r="AE34" s="3">
        <v>1</v>
      </c>
      <c r="AF34" s="3">
        <v>1.8</v>
      </c>
      <c r="AG34" s="3">
        <v>2</v>
      </c>
      <c r="AH34" s="3">
        <v>2</v>
      </c>
      <c r="AI34" s="3">
        <v>2</v>
      </c>
      <c r="AJ34" s="3">
        <v>1</v>
      </c>
      <c r="AK34" s="3">
        <v>0.96</v>
      </c>
      <c r="AL34" s="3">
        <v>1.46</v>
      </c>
      <c r="AM34" s="3">
        <v>1.46</v>
      </c>
      <c r="AN34" s="3">
        <v>1.46</v>
      </c>
      <c r="AO34" s="3">
        <v>1.25</v>
      </c>
      <c r="AP34" s="3">
        <v>1.5</v>
      </c>
      <c r="AQ34" s="3">
        <v>2</v>
      </c>
      <c r="AR34" s="3">
        <v>2</v>
      </c>
      <c r="AS34" s="3">
        <v>2</v>
      </c>
      <c r="AT34" s="3">
        <v>2</v>
      </c>
      <c r="AU34" s="3">
        <v>1.1599999999999999</v>
      </c>
      <c r="AV34" s="3">
        <v>1.66</v>
      </c>
      <c r="AW34" s="3">
        <v>3.16</v>
      </c>
      <c r="AX34" s="3">
        <v>4.16</v>
      </c>
      <c r="AY34" s="3">
        <v>1.5</v>
      </c>
      <c r="AZ34" s="3">
        <v>2</v>
      </c>
      <c r="BA34" s="3">
        <v>2</v>
      </c>
      <c r="BB34" s="3">
        <v>2</v>
      </c>
      <c r="BC34" s="3">
        <v>2</v>
      </c>
      <c r="BD34" s="3">
        <v>1.25</v>
      </c>
      <c r="BE34" s="3">
        <v>1.5</v>
      </c>
      <c r="BF34" s="3">
        <v>1.75</v>
      </c>
      <c r="BG34" s="3">
        <v>2</v>
      </c>
      <c r="BH34" s="3">
        <v>2</v>
      </c>
      <c r="BI34" s="3">
        <v>2</v>
      </c>
      <c r="BJ34" s="3">
        <v>1</v>
      </c>
      <c r="BK34" s="3"/>
      <c r="BL34" s="3"/>
      <c r="BM34" s="3"/>
      <c r="BN34" s="3"/>
      <c r="BO34" s="3"/>
      <c r="BP34" s="3"/>
      <c r="BQ34" s="3"/>
      <c r="BR34" s="3"/>
      <c r="BS34" s="3"/>
    </row>
    <row r="35" spans="2:71" x14ac:dyDescent="0.35">
      <c r="B35" s="3">
        <v>1</v>
      </c>
      <c r="C35" s="3">
        <v>1.5</v>
      </c>
      <c r="D35" s="3">
        <v>2</v>
      </c>
      <c r="E35" s="3">
        <v>3</v>
      </c>
      <c r="F35" s="3">
        <v>4</v>
      </c>
      <c r="G35" s="3">
        <v>4</v>
      </c>
      <c r="H35" s="3">
        <v>2</v>
      </c>
      <c r="I35" s="3">
        <v>2</v>
      </c>
      <c r="J35" s="3">
        <v>2.5</v>
      </c>
      <c r="K35" s="3">
        <v>3</v>
      </c>
      <c r="L35" s="3"/>
      <c r="M35" s="3"/>
      <c r="N35" s="3"/>
      <c r="O35" s="3"/>
      <c r="P35" s="3"/>
      <c r="Q35" s="3"/>
      <c r="R35" s="3"/>
      <c r="S35" s="3"/>
      <c r="T35" s="3"/>
      <c r="U35" s="3"/>
      <c r="V35" s="3">
        <v>1.25</v>
      </c>
      <c r="W35" s="3">
        <v>3.2</v>
      </c>
      <c r="X35" s="3">
        <v>1</v>
      </c>
      <c r="Y35" s="3">
        <v>1.5</v>
      </c>
      <c r="Z35" s="3">
        <v>2</v>
      </c>
      <c r="AA35" s="3">
        <v>2.5</v>
      </c>
      <c r="AB35" s="3">
        <v>8</v>
      </c>
      <c r="AC35" s="3">
        <v>1.7</v>
      </c>
      <c r="AD35" s="3">
        <v>4.2</v>
      </c>
      <c r="AE35" s="3">
        <v>1</v>
      </c>
      <c r="AF35" s="3">
        <v>1.5</v>
      </c>
      <c r="AG35" s="3">
        <v>2</v>
      </c>
      <c r="AH35" s="3">
        <v>2</v>
      </c>
      <c r="AI35" s="3">
        <v>4</v>
      </c>
      <c r="AJ35" s="3">
        <v>1</v>
      </c>
      <c r="AK35" s="3">
        <v>1.7</v>
      </c>
      <c r="AL35" s="3">
        <v>2.7</v>
      </c>
      <c r="AM35" s="3">
        <v>3.7</v>
      </c>
      <c r="AN35" s="3">
        <v>4.7</v>
      </c>
      <c r="AO35" s="3">
        <v>1.5</v>
      </c>
      <c r="AP35" s="3">
        <v>1.75</v>
      </c>
      <c r="AQ35" s="3">
        <v>2.25</v>
      </c>
      <c r="AR35" s="3">
        <v>2.5</v>
      </c>
      <c r="AS35" s="3">
        <v>3</v>
      </c>
      <c r="AT35" s="3">
        <v>4</v>
      </c>
      <c r="AU35" s="3">
        <v>1.9</v>
      </c>
      <c r="AV35" s="3">
        <v>3.4000000000000004</v>
      </c>
      <c r="AW35" s="3">
        <v>3.7</v>
      </c>
      <c r="AX35" s="3">
        <v>4.7</v>
      </c>
      <c r="AY35" s="3">
        <v>2</v>
      </c>
      <c r="AZ35" s="3">
        <v>3</v>
      </c>
      <c r="BA35" s="3">
        <v>4</v>
      </c>
      <c r="BB35" s="3">
        <v>4.5</v>
      </c>
      <c r="BC35" s="3">
        <v>2.2000000000000002</v>
      </c>
      <c r="BD35" s="3">
        <v>1.45</v>
      </c>
      <c r="BE35" s="3">
        <v>1.7</v>
      </c>
      <c r="BF35" s="3">
        <v>1.95</v>
      </c>
      <c r="BG35" s="3">
        <v>2.5</v>
      </c>
      <c r="BH35" s="3">
        <v>3.5</v>
      </c>
      <c r="BI35" s="3">
        <v>4.5</v>
      </c>
      <c r="BJ35" s="3">
        <v>1</v>
      </c>
      <c r="BK35" s="3"/>
      <c r="BL35" s="3"/>
      <c r="BM35" s="3"/>
      <c r="BN35" s="3"/>
      <c r="BO35" s="3"/>
      <c r="BP35" s="3"/>
      <c r="BQ35" s="3"/>
      <c r="BR35" s="3"/>
      <c r="BS35" s="3"/>
    </row>
    <row r="36" spans="2:71" x14ac:dyDescent="0.35">
      <c r="B36" s="3">
        <v>1</v>
      </c>
      <c r="C36" s="3">
        <v>1.5</v>
      </c>
      <c r="D36" s="3">
        <v>2</v>
      </c>
      <c r="E36" s="3">
        <v>3</v>
      </c>
      <c r="F36" s="3">
        <v>4</v>
      </c>
      <c r="G36" s="3">
        <v>4</v>
      </c>
      <c r="H36" s="3">
        <v>1.5</v>
      </c>
      <c r="I36" s="3">
        <v>1.5</v>
      </c>
      <c r="J36" s="3">
        <v>2</v>
      </c>
      <c r="K36" s="3">
        <v>2</v>
      </c>
      <c r="L36" s="3"/>
      <c r="M36" s="3"/>
      <c r="N36" s="3"/>
      <c r="O36" s="3"/>
      <c r="P36" s="3"/>
      <c r="Q36" s="3"/>
      <c r="R36" s="3"/>
      <c r="S36" s="3"/>
      <c r="T36" s="3"/>
      <c r="U36" s="3"/>
      <c r="V36" s="3">
        <v>1</v>
      </c>
      <c r="W36" s="3">
        <v>3.7</v>
      </c>
      <c r="X36" s="3">
        <v>1</v>
      </c>
      <c r="Y36" s="3">
        <v>1.5</v>
      </c>
      <c r="Z36" s="3">
        <v>1.5</v>
      </c>
      <c r="AA36" s="3">
        <v>2</v>
      </c>
      <c r="AB36" s="3">
        <v>2.5</v>
      </c>
      <c r="AC36" s="3">
        <v>1.6</v>
      </c>
      <c r="AD36" s="3">
        <v>4.7</v>
      </c>
      <c r="AE36" s="3">
        <v>1</v>
      </c>
      <c r="AF36" s="3">
        <v>1.5</v>
      </c>
      <c r="AG36" s="3">
        <v>2</v>
      </c>
      <c r="AH36" s="3">
        <v>2</v>
      </c>
      <c r="AI36" s="3">
        <v>4</v>
      </c>
      <c r="AJ36" s="3">
        <v>1</v>
      </c>
      <c r="AK36" s="3">
        <v>1.6</v>
      </c>
      <c r="AL36" s="3">
        <v>2.6</v>
      </c>
      <c r="AM36" s="3">
        <v>3.6</v>
      </c>
      <c r="AN36" s="3">
        <v>4.5999999999999996</v>
      </c>
      <c r="AO36" s="3">
        <v>1.25</v>
      </c>
      <c r="AP36" s="3">
        <v>1.5</v>
      </c>
      <c r="AQ36" s="3">
        <v>1.75</v>
      </c>
      <c r="AR36" s="3">
        <v>2</v>
      </c>
      <c r="AS36" s="3">
        <v>3</v>
      </c>
      <c r="AT36" s="3">
        <v>4</v>
      </c>
      <c r="AU36" s="3">
        <v>1.6</v>
      </c>
      <c r="AV36" s="3">
        <v>2.6</v>
      </c>
      <c r="AW36" s="3">
        <v>3.6</v>
      </c>
      <c r="AX36" s="3">
        <v>4.5999999999999996</v>
      </c>
      <c r="AY36" s="3">
        <v>2</v>
      </c>
      <c r="AZ36" s="3">
        <v>3</v>
      </c>
      <c r="BA36" s="3">
        <v>4</v>
      </c>
      <c r="BB36" s="3">
        <v>4.5</v>
      </c>
      <c r="BC36" s="3">
        <v>2.7</v>
      </c>
      <c r="BD36" s="3">
        <v>1</v>
      </c>
      <c r="BE36" s="3">
        <v>1</v>
      </c>
      <c r="BF36" s="3">
        <v>1</v>
      </c>
      <c r="BG36" s="3">
        <v>1</v>
      </c>
      <c r="BH36" s="3">
        <v>1</v>
      </c>
      <c r="BI36" s="3">
        <v>1</v>
      </c>
      <c r="BJ36" s="3">
        <v>1</v>
      </c>
      <c r="BK36" s="3"/>
      <c r="BL36" s="3"/>
      <c r="BM36" s="3"/>
      <c r="BN36" s="3"/>
      <c r="BO36" s="3"/>
      <c r="BP36" s="3"/>
      <c r="BQ36" s="3"/>
      <c r="BR36" s="3"/>
      <c r="BS36" s="3"/>
    </row>
    <row r="37" spans="2:71" x14ac:dyDescent="0.35">
      <c r="B37" s="3">
        <v>1</v>
      </c>
      <c r="C37" s="3">
        <v>1.5</v>
      </c>
      <c r="D37" s="3">
        <v>2</v>
      </c>
      <c r="E37" s="3">
        <v>3</v>
      </c>
      <c r="F37" s="3">
        <v>4</v>
      </c>
      <c r="G37" s="3">
        <v>4</v>
      </c>
      <c r="H37" s="3">
        <v>1.5</v>
      </c>
      <c r="I37" s="3">
        <v>1.5</v>
      </c>
      <c r="J37" s="3">
        <v>2</v>
      </c>
      <c r="K37" s="3">
        <v>2</v>
      </c>
      <c r="L37" s="3"/>
      <c r="M37" s="3"/>
      <c r="N37" s="3"/>
      <c r="O37" s="3"/>
      <c r="P37" s="3"/>
      <c r="Q37" s="3"/>
      <c r="R37" s="3"/>
      <c r="S37" s="3"/>
      <c r="T37" s="3"/>
      <c r="U37" s="3"/>
      <c r="V37" s="3">
        <v>1</v>
      </c>
      <c r="W37" s="3">
        <v>3.7</v>
      </c>
      <c r="X37" s="3">
        <v>1</v>
      </c>
      <c r="Y37" s="3">
        <v>1.5</v>
      </c>
      <c r="Z37" s="3">
        <v>1.5</v>
      </c>
      <c r="AA37" s="3">
        <v>2</v>
      </c>
      <c r="AB37" s="3">
        <v>3</v>
      </c>
      <c r="AC37" s="3">
        <v>1.7</v>
      </c>
      <c r="AD37" s="3">
        <v>4.7</v>
      </c>
      <c r="AE37" s="3">
        <v>1</v>
      </c>
      <c r="AF37" s="3">
        <v>1.5</v>
      </c>
      <c r="AG37" s="3">
        <v>2</v>
      </c>
      <c r="AH37" s="3">
        <v>2</v>
      </c>
      <c r="AI37" s="3">
        <v>4</v>
      </c>
      <c r="AJ37" s="3">
        <v>1</v>
      </c>
      <c r="AK37" s="3">
        <v>1.7</v>
      </c>
      <c r="AL37" s="3">
        <v>2.7</v>
      </c>
      <c r="AM37" s="3">
        <v>3.7</v>
      </c>
      <c r="AN37" s="3">
        <v>4.7</v>
      </c>
      <c r="AO37" s="3">
        <v>1.25</v>
      </c>
      <c r="AP37" s="3">
        <v>1.5</v>
      </c>
      <c r="AQ37" s="3">
        <v>1.75</v>
      </c>
      <c r="AR37" s="3">
        <v>2</v>
      </c>
      <c r="AS37" s="3">
        <v>3</v>
      </c>
      <c r="AT37" s="3">
        <v>4</v>
      </c>
      <c r="AU37" s="3">
        <v>1.7</v>
      </c>
      <c r="AV37" s="3">
        <v>2.7</v>
      </c>
      <c r="AW37" s="3">
        <v>3.7</v>
      </c>
      <c r="AX37" s="3">
        <v>4.7</v>
      </c>
      <c r="AY37" s="3">
        <v>2</v>
      </c>
      <c r="AZ37" s="3">
        <v>3</v>
      </c>
      <c r="BA37" s="3">
        <v>4</v>
      </c>
      <c r="BB37" s="3">
        <v>4.5</v>
      </c>
      <c r="BC37" s="3">
        <v>2.7</v>
      </c>
      <c r="BD37" s="3">
        <v>1</v>
      </c>
      <c r="BE37" s="3">
        <v>1</v>
      </c>
      <c r="BF37" s="3">
        <v>1</v>
      </c>
      <c r="BG37" s="3">
        <v>1</v>
      </c>
      <c r="BH37" s="3">
        <v>1</v>
      </c>
      <c r="BI37" s="3">
        <v>1</v>
      </c>
      <c r="BJ37" s="3">
        <v>1</v>
      </c>
      <c r="BK37" s="3"/>
      <c r="BL37" s="3"/>
      <c r="BM37" s="3"/>
      <c r="BN37" s="3"/>
      <c r="BO37" s="3"/>
      <c r="BP37" s="3"/>
      <c r="BQ37" s="3"/>
      <c r="BR37" s="3"/>
      <c r="BS37" s="3"/>
    </row>
    <row r="38" spans="2:71" x14ac:dyDescent="0.35">
      <c r="B38" s="8">
        <v>16</v>
      </c>
      <c r="C38" s="8">
        <v>16</v>
      </c>
      <c r="D38" s="8">
        <v>16</v>
      </c>
      <c r="E38" s="8">
        <v>16</v>
      </c>
      <c r="F38" s="8">
        <v>16</v>
      </c>
      <c r="G38" s="8">
        <v>16</v>
      </c>
      <c r="H38" s="8">
        <v>40</v>
      </c>
      <c r="I38" s="8">
        <v>40</v>
      </c>
      <c r="J38" s="8">
        <v>50</v>
      </c>
      <c r="K38" s="8">
        <v>50</v>
      </c>
      <c r="L38" s="8"/>
      <c r="M38" s="8"/>
      <c r="N38" s="8"/>
      <c r="O38" s="8"/>
      <c r="P38" s="8"/>
      <c r="Q38" s="8"/>
      <c r="R38" s="8"/>
      <c r="S38" s="8"/>
      <c r="T38" s="8"/>
      <c r="U38" s="8"/>
      <c r="V38" s="8"/>
      <c r="W38" t="s">
        <v>94</v>
      </c>
      <c r="X38" s="9">
        <v>30</v>
      </c>
      <c r="Y38" s="5" t="s">
        <v>95</v>
      </c>
      <c r="Z38" s="5" t="s">
        <v>95</v>
      </c>
      <c r="AA38" s="5" t="s">
        <v>96</v>
      </c>
      <c r="AB38" s="5" t="s">
        <v>97</v>
      </c>
      <c r="AC38" t="s">
        <v>94</v>
      </c>
      <c r="AD38" t="s">
        <v>94</v>
      </c>
      <c r="AE38" s="9">
        <v>30</v>
      </c>
      <c r="AF38" s="9">
        <v>60</v>
      </c>
      <c r="AG38" s="9">
        <v>80</v>
      </c>
      <c r="AH38" s="9">
        <v>80</v>
      </c>
      <c r="AI38" s="9">
        <v>150</v>
      </c>
      <c r="AJ38" s="9" t="s">
        <v>78</v>
      </c>
      <c r="AK38" s="8">
        <v>80</v>
      </c>
      <c r="AL38" s="5">
        <v>1</v>
      </c>
      <c r="AM38" s="5">
        <v>1</v>
      </c>
      <c r="AN38" s="5">
        <v>1</v>
      </c>
      <c r="AO38" s="8"/>
      <c r="AP38" s="8"/>
      <c r="AQ38" s="8"/>
      <c r="AR38" s="8"/>
      <c r="AS38" s="8"/>
      <c r="AT38" s="8"/>
      <c r="AU38" s="5">
        <v>1</v>
      </c>
      <c r="AV38" s="5">
        <v>1</v>
      </c>
      <c r="AW38" s="5">
        <v>1</v>
      </c>
      <c r="AX38" s="5">
        <v>1</v>
      </c>
      <c r="AY38" s="9" t="s">
        <v>78</v>
      </c>
      <c r="AZ38" s="9" t="s">
        <v>78</v>
      </c>
      <c r="BA38" s="9" t="s">
        <v>78</v>
      </c>
      <c r="BB38" s="9" t="s">
        <v>78</v>
      </c>
      <c r="BC38" t="s">
        <v>94</v>
      </c>
      <c r="BD38" s="10">
        <v>55</v>
      </c>
      <c r="BE38" s="10">
        <v>62.5</v>
      </c>
      <c r="BF38" s="10">
        <v>70</v>
      </c>
      <c r="BG38" s="10">
        <v>85</v>
      </c>
      <c r="BH38" s="10">
        <v>100</v>
      </c>
      <c r="BI38" s="10">
        <v>115</v>
      </c>
      <c r="BJ38" s="10"/>
      <c r="BK38" s="8"/>
      <c r="BL38" s="8"/>
      <c r="BM38" s="8"/>
      <c r="BN38" s="8"/>
      <c r="BO38" s="8"/>
      <c r="BP38" s="8"/>
      <c r="BQ38" s="8"/>
      <c r="BR38" s="8"/>
      <c r="BS38" s="8"/>
    </row>
    <row r="39" spans="2:71" x14ac:dyDescent="0.35">
      <c r="B39" s="3">
        <v>1</v>
      </c>
      <c r="C39" s="3">
        <v>1</v>
      </c>
      <c r="D39" s="3">
        <v>1</v>
      </c>
      <c r="E39" s="3">
        <v>1</v>
      </c>
      <c r="F39" s="3">
        <v>1</v>
      </c>
      <c r="G39" s="3">
        <v>1</v>
      </c>
      <c r="H39" s="3">
        <v>1</v>
      </c>
      <c r="I39" s="3">
        <v>1</v>
      </c>
      <c r="J39" s="3">
        <v>1</v>
      </c>
      <c r="K39" s="3">
        <v>1</v>
      </c>
      <c r="L39" s="3"/>
      <c r="M39" s="3"/>
      <c r="N39" s="3"/>
      <c r="O39" s="3"/>
      <c r="P39" s="3"/>
      <c r="Q39" s="3"/>
      <c r="R39" s="3"/>
      <c r="S39" s="3"/>
      <c r="T39" s="3"/>
      <c r="U39" s="3"/>
      <c r="V39" s="3">
        <v>1</v>
      </c>
      <c r="W39" s="3">
        <v>1</v>
      </c>
      <c r="X39" s="3">
        <v>1</v>
      </c>
      <c r="Y39" s="3">
        <v>1</v>
      </c>
      <c r="Z39" s="3">
        <v>1</v>
      </c>
      <c r="AA39" s="3">
        <v>1</v>
      </c>
      <c r="AB39" s="3">
        <v>1</v>
      </c>
      <c r="AC39" s="3">
        <v>1</v>
      </c>
      <c r="AD39" s="3">
        <v>1</v>
      </c>
      <c r="AE39" s="3">
        <v>1</v>
      </c>
      <c r="AF39" s="3">
        <v>1</v>
      </c>
      <c r="AG39" s="3">
        <v>1</v>
      </c>
      <c r="AH39" s="3">
        <v>1</v>
      </c>
      <c r="AI39" s="3" t="s">
        <v>73</v>
      </c>
      <c r="AJ39" s="3">
        <v>1</v>
      </c>
      <c r="AK39" s="3">
        <v>1</v>
      </c>
      <c r="AL39" s="3">
        <v>1</v>
      </c>
      <c r="AM39" s="3">
        <v>1</v>
      </c>
      <c r="AN39" s="3">
        <v>1</v>
      </c>
      <c r="AO39" s="3">
        <v>1</v>
      </c>
      <c r="AP39" s="3">
        <v>1</v>
      </c>
      <c r="AQ39" s="3">
        <v>1</v>
      </c>
      <c r="AR39" s="3">
        <v>1</v>
      </c>
      <c r="AS39" s="3">
        <v>1</v>
      </c>
      <c r="AT39" s="3">
        <v>1</v>
      </c>
      <c r="AU39" s="3">
        <v>1</v>
      </c>
      <c r="AV39" s="3">
        <v>1</v>
      </c>
      <c r="AW39" s="3">
        <v>1</v>
      </c>
      <c r="AX39" s="3">
        <v>1</v>
      </c>
      <c r="AY39" s="3">
        <v>1</v>
      </c>
      <c r="AZ39" s="3">
        <v>1</v>
      </c>
      <c r="BA39" s="3">
        <v>1</v>
      </c>
      <c r="BB39" s="3">
        <v>1</v>
      </c>
      <c r="BC39" s="3">
        <v>1</v>
      </c>
      <c r="BD39" s="3">
        <v>1</v>
      </c>
      <c r="BE39" s="3">
        <v>1</v>
      </c>
      <c r="BF39" s="3">
        <v>1</v>
      </c>
      <c r="BG39" s="3">
        <v>1</v>
      </c>
      <c r="BH39" s="3">
        <v>1</v>
      </c>
      <c r="BI39" s="3">
        <v>1</v>
      </c>
      <c r="BJ39" s="3">
        <v>1</v>
      </c>
      <c r="BK39" s="3"/>
      <c r="BL39" s="3"/>
      <c r="BM39" s="3"/>
      <c r="BN39" s="3"/>
      <c r="BO39" s="3"/>
      <c r="BP39" s="3"/>
      <c r="BQ39" s="3"/>
      <c r="BR39" s="3"/>
      <c r="BS39" s="3"/>
    </row>
    <row r="41" spans="2:71" x14ac:dyDescent="0.35">
      <c r="B41" s="10"/>
      <c r="C41" s="10"/>
      <c r="D41" s="10"/>
      <c r="E41" s="10"/>
      <c r="F41" s="10"/>
      <c r="G41" s="10"/>
      <c r="H41" s="10"/>
      <c r="I41" s="10"/>
      <c r="J41" s="10"/>
      <c r="K41" s="10"/>
      <c r="L41" s="10"/>
      <c r="M41" s="10"/>
      <c r="N41" s="10"/>
      <c r="O41" s="10"/>
      <c r="P41" s="10"/>
      <c r="Q41" s="10"/>
      <c r="R41" s="10"/>
      <c r="S41" s="10"/>
      <c r="T41" s="10"/>
      <c r="U41" s="10"/>
      <c r="V41" s="10" t="s">
        <v>98</v>
      </c>
      <c r="W41" s="10">
        <v>40</v>
      </c>
      <c r="X41" s="10"/>
      <c r="Y41" s="10"/>
      <c r="Z41" s="10"/>
      <c r="AA41" s="10"/>
      <c r="AB41" s="10"/>
      <c r="AC41" s="10">
        <v>20</v>
      </c>
      <c r="AD41" s="10">
        <v>50</v>
      </c>
      <c r="AE41" s="10"/>
      <c r="AF41" s="10"/>
      <c r="AG41" s="10"/>
      <c r="AH41" s="10"/>
      <c r="AI41" s="10"/>
      <c r="AJ41" s="10"/>
      <c r="AK41" s="10">
        <v>20</v>
      </c>
      <c r="AL41" s="10">
        <v>30</v>
      </c>
      <c r="AM41" s="10">
        <v>40</v>
      </c>
      <c r="AN41" s="10">
        <v>50</v>
      </c>
      <c r="AO41" s="10" t="s">
        <v>98</v>
      </c>
      <c r="AP41" s="10" t="s">
        <v>98</v>
      </c>
      <c r="AQ41" s="10" t="s">
        <v>98</v>
      </c>
      <c r="AR41" s="10" t="s">
        <v>98</v>
      </c>
      <c r="AS41" s="10" t="s">
        <v>98</v>
      </c>
      <c r="AT41" s="10" t="s">
        <v>98</v>
      </c>
      <c r="AU41" s="10">
        <v>20</v>
      </c>
      <c r="AV41" s="10">
        <v>30</v>
      </c>
      <c r="AW41" s="10">
        <v>40</v>
      </c>
      <c r="AX41" s="10">
        <v>50</v>
      </c>
      <c r="AY41" s="10"/>
      <c r="AZ41" s="10"/>
      <c r="BA41" s="10"/>
      <c r="BB41" s="10"/>
      <c r="BC41" s="10">
        <v>30</v>
      </c>
      <c r="BD41" s="10">
        <v>20</v>
      </c>
      <c r="BE41" s="10">
        <v>22.2</v>
      </c>
      <c r="BF41" s="10">
        <v>25</v>
      </c>
      <c r="BG41" s="10">
        <v>30</v>
      </c>
      <c r="BH41" s="10">
        <v>35</v>
      </c>
      <c r="BI41" s="10">
        <v>40</v>
      </c>
      <c r="BJ41" s="10">
        <v>0</v>
      </c>
      <c r="BK41" s="10"/>
      <c r="BL41" s="10"/>
      <c r="BM41" s="10"/>
      <c r="BN41" s="10"/>
      <c r="BO41" s="10"/>
      <c r="BP41" s="10"/>
      <c r="BQ41" s="10"/>
      <c r="BR41" s="10"/>
      <c r="BS41" s="10"/>
    </row>
    <row r="42" spans="2:71" x14ac:dyDescent="0.35">
      <c r="B42" s="2"/>
      <c r="C42" s="2"/>
      <c r="D42" s="2"/>
      <c r="E42" s="2"/>
      <c r="F42" s="2"/>
      <c r="G42" s="2"/>
      <c r="V42" s="2"/>
      <c r="AO42" s="2"/>
      <c r="AP42" s="2"/>
      <c r="AQ42" s="2"/>
      <c r="AR42" s="2"/>
      <c r="AS42" s="2"/>
      <c r="AT42" s="2"/>
    </row>
    <row r="43" spans="2:71" x14ac:dyDescent="0.35">
      <c r="B43" s="9">
        <v>50</v>
      </c>
      <c r="C43" s="9">
        <v>100</v>
      </c>
      <c r="D43" s="9">
        <v>150</v>
      </c>
      <c r="E43" s="9">
        <v>200</v>
      </c>
      <c r="F43" s="9">
        <v>250</v>
      </c>
      <c r="G43" s="9">
        <v>250</v>
      </c>
      <c r="H43" s="9">
        <v>100</v>
      </c>
      <c r="I43" s="9">
        <v>100</v>
      </c>
      <c r="J43" s="9">
        <v>150</v>
      </c>
      <c r="K43" s="9">
        <v>200</v>
      </c>
      <c r="L43" s="9"/>
      <c r="M43" s="9"/>
      <c r="N43" s="9"/>
      <c r="O43" s="9"/>
      <c r="P43" s="9"/>
      <c r="Q43" s="9"/>
      <c r="R43" s="9"/>
      <c r="S43" s="9"/>
      <c r="T43" s="9"/>
      <c r="U43" s="9"/>
      <c r="V43" s="9">
        <v>0</v>
      </c>
      <c r="W43" s="9">
        <v>135</v>
      </c>
      <c r="X43" s="9">
        <v>90</v>
      </c>
      <c r="Y43" s="9">
        <v>100</v>
      </c>
      <c r="Z43" s="9">
        <v>100</v>
      </c>
      <c r="AA43" s="9">
        <v>150</v>
      </c>
      <c r="AB43" s="9">
        <v>250</v>
      </c>
      <c r="AC43" s="9">
        <v>105</v>
      </c>
      <c r="AD43" s="9">
        <v>150</v>
      </c>
      <c r="AE43" s="9">
        <v>66.22</v>
      </c>
      <c r="AF43" s="9">
        <v>132.44</v>
      </c>
      <c r="AG43" s="9">
        <v>198.66</v>
      </c>
      <c r="AH43" s="9">
        <v>264.88</v>
      </c>
      <c r="AI43" s="9">
        <v>331.1</v>
      </c>
      <c r="AJ43" s="9"/>
      <c r="AK43" s="9">
        <v>240</v>
      </c>
      <c r="AL43" s="9">
        <v>285</v>
      </c>
      <c r="AM43" s="9">
        <v>330</v>
      </c>
      <c r="AN43" s="9">
        <v>375</v>
      </c>
      <c r="AO43" s="9">
        <v>75</v>
      </c>
      <c r="AP43" s="9">
        <v>90</v>
      </c>
      <c r="AQ43" s="9">
        <v>120</v>
      </c>
      <c r="AR43" s="9">
        <v>140</v>
      </c>
      <c r="AS43" s="9">
        <v>160</v>
      </c>
      <c r="AT43" s="9">
        <v>225</v>
      </c>
      <c r="AU43" s="9">
        <v>240</v>
      </c>
      <c r="AV43" s="9">
        <v>285</v>
      </c>
      <c r="AW43" s="9">
        <v>330</v>
      </c>
      <c r="AX43" s="9">
        <v>375</v>
      </c>
      <c r="AY43" s="9">
        <v>105</v>
      </c>
      <c r="AZ43" s="9">
        <v>120</v>
      </c>
      <c r="BA43" s="9">
        <v>150</v>
      </c>
      <c r="BB43" s="9">
        <v>165</v>
      </c>
      <c r="BC43" s="9">
        <v>120</v>
      </c>
      <c r="BD43" s="9">
        <v>75</v>
      </c>
      <c r="BE43" s="9">
        <v>75</v>
      </c>
      <c r="BF43" s="9">
        <v>90</v>
      </c>
      <c r="BG43" s="9">
        <v>120</v>
      </c>
      <c r="BH43" s="9">
        <v>150</v>
      </c>
      <c r="BI43" s="9">
        <v>150</v>
      </c>
      <c r="BJ43" s="9"/>
      <c r="BK43" s="9"/>
      <c r="BL43" s="9"/>
      <c r="BM43" s="9"/>
      <c r="BN43" s="9"/>
      <c r="BO43" s="9"/>
      <c r="BP43" s="9"/>
      <c r="BQ43" s="9"/>
      <c r="BR43" s="9"/>
      <c r="BS43" s="9"/>
    </row>
    <row r="44" spans="2:71" x14ac:dyDescent="0.35">
      <c r="B44" s="11"/>
      <c r="C44" s="11"/>
      <c r="D44" s="11"/>
      <c r="E44" s="11"/>
      <c r="F44" s="11"/>
      <c r="G44" s="11"/>
      <c r="H44" s="11"/>
      <c r="I44" s="11"/>
      <c r="J44" s="11"/>
      <c r="K44" s="11"/>
      <c r="L44" s="11"/>
      <c r="M44" s="11"/>
      <c r="N44" s="11"/>
      <c r="O44" s="11"/>
      <c r="P44" s="11"/>
      <c r="Q44" s="11"/>
      <c r="R44" s="11"/>
      <c r="S44" s="11"/>
      <c r="T44" s="11"/>
      <c r="U44" s="11"/>
      <c r="V44" s="11"/>
      <c r="W44" s="11">
        <v>3</v>
      </c>
      <c r="X44" s="11">
        <v>3</v>
      </c>
      <c r="Y44" s="11"/>
      <c r="Z44" s="11"/>
      <c r="AA44" s="11"/>
      <c r="AB44" s="11"/>
      <c r="AC44" s="11">
        <v>3</v>
      </c>
      <c r="AD44" s="11">
        <v>3</v>
      </c>
      <c r="AE44" s="11"/>
      <c r="AF44" s="11"/>
      <c r="AG44" s="11"/>
      <c r="AH44" s="11"/>
      <c r="AI44" s="11"/>
      <c r="AJ44" s="11"/>
      <c r="AK44" s="11" t="s">
        <v>99</v>
      </c>
      <c r="AL44" s="11" t="s">
        <v>99</v>
      </c>
      <c r="AM44" s="11" t="s">
        <v>99</v>
      </c>
      <c r="AN44" s="11" t="s">
        <v>99</v>
      </c>
      <c r="AO44" s="11">
        <v>3</v>
      </c>
      <c r="AP44" s="11">
        <v>3</v>
      </c>
      <c r="AQ44" s="11">
        <v>4</v>
      </c>
      <c r="AR44" s="11">
        <v>4</v>
      </c>
      <c r="AS44" s="11">
        <v>4</v>
      </c>
      <c r="AT44" s="11">
        <v>5</v>
      </c>
      <c r="AU44" s="11" t="s">
        <v>99</v>
      </c>
      <c r="AV44" s="11" t="s">
        <v>99</v>
      </c>
      <c r="AW44" s="11" t="s">
        <v>99</v>
      </c>
      <c r="AX44" s="11" t="s">
        <v>99</v>
      </c>
      <c r="AY44" s="11">
        <v>3</v>
      </c>
      <c r="AZ44" s="11">
        <v>3</v>
      </c>
      <c r="BA44" s="11">
        <v>3</v>
      </c>
      <c r="BB44" s="11">
        <v>3</v>
      </c>
      <c r="BC44" s="11">
        <v>3</v>
      </c>
      <c r="BD44" s="11">
        <v>3</v>
      </c>
      <c r="BE44" s="11">
        <v>3</v>
      </c>
      <c r="BF44" s="11">
        <v>3</v>
      </c>
      <c r="BG44" s="11">
        <v>3</v>
      </c>
      <c r="BH44" s="11">
        <v>3</v>
      </c>
      <c r="BI44" s="11">
        <v>3</v>
      </c>
      <c r="BJ44" s="11"/>
      <c r="BK44" s="11"/>
      <c r="BL44" s="11"/>
      <c r="BM44" s="11"/>
      <c r="BN44" s="11"/>
      <c r="BO44" s="11"/>
      <c r="BP44" s="11"/>
      <c r="BQ44" s="11"/>
      <c r="BR44" s="11"/>
      <c r="BS44" s="11"/>
    </row>
    <row r="45" spans="2:71" x14ac:dyDescent="0.35">
      <c r="B45" s="12"/>
      <c r="C45" s="12"/>
      <c r="D45" s="12"/>
      <c r="E45" s="12"/>
      <c r="F45" s="12"/>
      <c r="G45" s="12"/>
      <c r="H45" s="12"/>
      <c r="I45" s="12"/>
      <c r="J45" s="12"/>
      <c r="K45" s="12"/>
      <c r="L45" s="12"/>
      <c r="M45" s="12"/>
      <c r="N45" s="12"/>
      <c r="O45" s="12"/>
      <c r="P45" s="12"/>
      <c r="Q45" s="12"/>
      <c r="R45" s="12"/>
      <c r="S45" s="12"/>
      <c r="T45" s="12"/>
      <c r="U45" s="12"/>
      <c r="V45" s="12"/>
      <c r="W45" s="12">
        <v>45</v>
      </c>
      <c r="X45" s="12"/>
      <c r="Y45" s="12"/>
      <c r="Z45" s="12"/>
      <c r="AA45" s="12"/>
      <c r="AB45" s="12"/>
      <c r="AC45" s="12">
        <v>35</v>
      </c>
      <c r="AD45" s="12">
        <v>50</v>
      </c>
      <c r="AE45" s="12"/>
      <c r="AF45" s="12"/>
      <c r="AG45" s="12"/>
      <c r="AH45" s="12"/>
      <c r="AI45" s="12"/>
      <c r="AJ45" s="12"/>
      <c r="AK45" s="12">
        <v>35</v>
      </c>
      <c r="AL45" s="12">
        <v>40</v>
      </c>
      <c r="AM45" s="12">
        <v>45</v>
      </c>
      <c r="AN45" s="12">
        <v>50</v>
      </c>
      <c r="AO45" s="12">
        <v>25</v>
      </c>
      <c r="AP45" s="12">
        <v>30</v>
      </c>
      <c r="AQ45" s="12">
        <v>30</v>
      </c>
      <c r="AR45" s="12">
        <v>35</v>
      </c>
      <c r="AS45" s="12">
        <v>40</v>
      </c>
      <c r="AT45" s="12">
        <v>45</v>
      </c>
      <c r="AU45" s="12">
        <v>35</v>
      </c>
      <c r="AV45" s="12">
        <v>40</v>
      </c>
      <c r="AW45" s="12">
        <v>45</v>
      </c>
      <c r="AX45" s="12">
        <v>50</v>
      </c>
      <c r="AY45" s="12">
        <v>35</v>
      </c>
      <c r="AZ45" s="12">
        <v>40</v>
      </c>
      <c r="BA45" s="12">
        <v>50</v>
      </c>
      <c r="BB45" s="12">
        <v>55</v>
      </c>
      <c r="BC45" s="12">
        <v>40</v>
      </c>
      <c r="BD45" s="12">
        <v>25</v>
      </c>
      <c r="BE45" s="12">
        <v>25</v>
      </c>
      <c r="BF45" s="12">
        <v>30</v>
      </c>
      <c r="BG45" s="12">
        <v>40</v>
      </c>
      <c r="BH45" s="12">
        <v>50</v>
      </c>
      <c r="BI45" s="12">
        <v>50</v>
      </c>
      <c r="BJ45" s="12"/>
      <c r="BK45" s="12"/>
      <c r="BL45" s="12"/>
      <c r="BM45" s="12"/>
      <c r="BN45" s="12"/>
      <c r="BO45" s="12"/>
      <c r="BP45" s="12"/>
      <c r="BQ45" s="12"/>
      <c r="BR45" s="12"/>
      <c r="BS45" s="12"/>
    </row>
    <row r="46" spans="2:71" x14ac:dyDescent="0.35">
      <c r="B46" s="3">
        <v>1</v>
      </c>
      <c r="C46" s="3">
        <v>1</v>
      </c>
      <c r="D46" s="3">
        <v>1</v>
      </c>
      <c r="E46" s="3">
        <v>1</v>
      </c>
      <c r="F46" s="3">
        <v>1</v>
      </c>
      <c r="G46" s="3">
        <v>1</v>
      </c>
      <c r="H46" s="3">
        <v>1</v>
      </c>
      <c r="I46" s="3">
        <v>1</v>
      </c>
      <c r="J46" s="3">
        <v>1</v>
      </c>
      <c r="K46" s="3">
        <v>1</v>
      </c>
      <c r="L46" s="3"/>
      <c r="M46" s="3"/>
      <c r="N46" s="3"/>
      <c r="O46" s="3"/>
      <c r="P46" s="3"/>
      <c r="Q46" s="3"/>
      <c r="R46" s="3"/>
      <c r="S46" s="3"/>
      <c r="T46" s="3"/>
      <c r="U46" s="3"/>
      <c r="V46" s="3" t="s">
        <v>74</v>
      </c>
      <c r="W46" s="3">
        <v>0.7</v>
      </c>
      <c r="X46" s="3">
        <v>1</v>
      </c>
      <c r="Y46" s="3">
        <v>1.4</v>
      </c>
      <c r="Z46" s="3">
        <v>1.6</v>
      </c>
      <c r="AA46" s="3">
        <v>1.8</v>
      </c>
      <c r="AB46" s="3">
        <v>2.4</v>
      </c>
      <c r="AC46" s="3">
        <v>0.7</v>
      </c>
      <c r="AD46" s="3">
        <v>0.7</v>
      </c>
      <c r="AE46" s="3">
        <v>0.7</v>
      </c>
      <c r="AF46" s="3">
        <v>0.7</v>
      </c>
      <c r="AG46" s="3">
        <v>0.7</v>
      </c>
      <c r="AH46" s="3">
        <v>0.7</v>
      </c>
      <c r="AI46" s="3">
        <v>0.7</v>
      </c>
      <c r="AJ46" s="3">
        <v>1</v>
      </c>
      <c r="AK46" s="3">
        <v>0.7</v>
      </c>
      <c r="AL46" s="3">
        <v>0.7</v>
      </c>
      <c r="AM46" s="3">
        <v>0.7</v>
      </c>
      <c r="AN46" s="3">
        <v>0.7</v>
      </c>
      <c r="AO46" s="3" t="s">
        <v>74</v>
      </c>
      <c r="AP46" s="3" t="s">
        <v>74</v>
      </c>
      <c r="AQ46" s="3" t="s">
        <v>74</v>
      </c>
      <c r="AR46" s="3" t="s">
        <v>74</v>
      </c>
      <c r="AS46" s="3" t="s">
        <v>74</v>
      </c>
      <c r="AT46" s="3" t="s">
        <v>74</v>
      </c>
      <c r="AU46" s="3">
        <v>0.7</v>
      </c>
      <c r="AV46" s="3">
        <v>0.7</v>
      </c>
      <c r="AW46" s="3">
        <v>0.7</v>
      </c>
      <c r="AX46" s="3">
        <v>0.7</v>
      </c>
      <c r="AY46" s="3">
        <v>0.7</v>
      </c>
      <c r="AZ46" s="3">
        <v>0.7</v>
      </c>
      <c r="BA46" s="3">
        <v>0.7</v>
      </c>
      <c r="BB46" s="3">
        <v>0.7</v>
      </c>
      <c r="BC46" s="3">
        <v>0.7</v>
      </c>
      <c r="BD46" s="3">
        <v>1</v>
      </c>
      <c r="BE46" s="3">
        <v>1</v>
      </c>
      <c r="BF46" s="3">
        <v>1</v>
      </c>
      <c r="BG46" s="3">
        <v>1</v>
      </c>
      <c r="BH46" s="3">
        <v>1</v>
      </c>
      <c r="BI46" s="3">
        <v>1</v>
      </c>
      <c r="BJ46" s="3">
        <v>1</v>
      </c>
      <c r="BK46" s="3"/>
      <c r="BL46" s="3"/>
      <c r="BM46" s="3"/>
      <c r="BN46" s="3"/>
      <c r="BO46" s="3"/>
      <c r="BP46" s="3"/>
      <c r="BQ46" s="3"/>
      <c r="BR46" s="3"/>
      <c r="BS46" s="3"/>
    </row>
    <row r="47" spans="2:71" x14ac:dyDescent="0.35">
      <c r="B47" s="9">
        <v>229</v>
      </c>
      <c r="C47" s="9">
        <v>458</v>
      </c>
      <c r="D47" s="9">
        <v>458</v>
      </c>
      <c r="E47" s="9">
        <v>458</v>
      </c>
      <c r="F47" s="9">
        <v>458</v>
      </c>
      <c r="G47" s="9">
        <v>458</v>
      </c>
      <c r="H47" s="9">
        <v>150</v>
      </c>
      <c r="I47" s="9">
        <v>175</v>
      </c>
      <c r="J47" s="9">
        <v>200</v>
      </c>
      <c r="K47" s="9">
        <v>200</v>
      </c>
      <c r="L47" s="9"/>
      <c r="M47" s="9"/>
      <c r="N47" s="9"/>
      <c r="O47" s="9"/>
      <c r="P47" s="9"/>
      <c r="Q47" s="9"/>
      <c r="R47" s="9"/>
      <c r="S47" s="9"/>
      <c r="T47" s="9"/>
      <c r="U47" s="9"/>
      <c r="V47" s="9"/>
      <c r="W47" s="9">
        <v>761.53000000000009</v>
      </c>
      <c r="X47" s="9">
        <v>300</v>
      </c>
      <c r="Y47" s="9">
        <v>150</v>
      </c>
      <c r="Z47" s="9">
        <v>175</v>
      </c>
      <c r="AA47" s="9">
        <v>200</v>
      </c>
      <c r="AB47" s="9">
        <v>300</v>
      </c>
      <c r="AC47" s="9">
        <v>331.1</v>
      </c>
      <c r="AD47" s="9">
        <v>976.745</v>
      </c>
      <c r="AE47" s="9">
        <v>165.55</v>
      </c>
      <c r="AF47" s="9">
        <v>331.1</v>
      </c>
      <c r="AG47" s="9">
        <v>413.875</v>
      </c>
      <c r="AH47" s="9">
        <v>496.65</v>
      </c>
      <c r="AI47" s="9">
        <v>662.2</v>
      </c>
      <c r="AJ47" s="9"/>
      <c r="AK47" s="9">
        <v>331.1</v>
      </c>
      <c r="AL47" s="9">
        <v>546.31500000000005</v>
      </c>
      <c r="AM47" s="9">
        <v>761.53000000000009</v>
      </c>
      <c r="AN47" s="9">
        <v>976.745</v>
      </c>
      <c r="AO47" s="9"/>
      <c r="AP47" s="9"/>
      <c r="AQ47" s="9"/>
      <c r="AR47" s="9"/>
      <c r="AS47" s="9"/>
      <c r="AT47" s="9"/>
      <c r="AU47" s="9">
        <v>331.1</v>
      </c>
      <c r="AV47" s="9">
        <v>546.31500000000005</v>
      </c>
      <c r="AW47" s="9">
        <v>761.53000000000009</v>
      </c>
      <c r="AX47" s="9">
        <v>976.745</v>
      </c>
      <c r="AY47" s="9">
        <v>480</v>
      </c>
      <c r="AZ47" s="9">
        <v>640</v>
      </c>
      <c r="BA47" s="9">
        <v>965</v>
      </c>
      <c r="BB47" s="9">
        <v>965</v>
      </c>
      <c r="BC47" s="9">
        <v>546.31500000000005</v>
      </c>
      <c r="BD47" s="9"/>
      <c r="BE47" s="9"/>
      <c r="BF47" s="9"/>
      <c r="BG47" s="9"/>
      <c r="BH47" s="9"/>
      <c r="BI47" s="9"/>
      <c r="BJ47" s="9"/>
      <c r="BK47" s="9"/>
      <c r="BL47" s="9"/>
      <c r="BM47" s="9"/>
      <c r="BN47" s="9"/>
      <c r="BO47" s="9"/>
      <c r="BP47" s="9"/>
      <c r="BQ47" s="9"/>
      <c r="BR47" s="9"/>
      <c r="BS47" s="9"/>
    </row>
    <row r="48" spans="2:71" x14ac:dyDescent="0.35">
      <c r="B48" s="9"/>
      <c r="C48" s="9"/>
      <c r="D48" s="9"/>
      <c r="E48" s="9"/>
      <c r="F48" s="9"/>
      <c r="G48" s="9"/>
      <c r="H48" s="9"/>
      <c r="I48" s="9"/>
      <c r="J48" s="9"/>
      <c r="K48" s="9"/>
      <c r="L48" s="9"/>
      <c r="M48" s="9"/>
      <c r="N48" s="9"/>
      <c r="O48" s="9"/>
      <c r="P48" s="9"/>
      <c r="Q48" s="9"/>
      <c r="R48" s="9"/>
      <c r="S48" s="9"/>
      <c r="T48" s="9"/>
      <c r="U48" s="9"/>
      <c r="V48" s="9"/>
      <c r="W48" s="9" t="s">
        <v>78</v>
      </c>
      <c r="X48" s="9" t="s">
        <v>78</v>
      </c>
      <c r="Y48" s="9">
        <v>150</v>
      </c>
      <c r="Z48" s="9">
        <v>175</v>
      </c>
      <c r="AA48" s="9">
        <v>200</v>
      </c>
      <c r="AB48" s="9">
        <v>300</v>
      </c>
      <c r="AC48" s="9" t="s">
        <v>78</v>
      </c>
      <c r="AD48" s="9" t="s">
        <v>78</v>
      </c>
      <c r="AE48" s="9" t="s">
        <v>78</v>
      </c>
      <c r="AF48" s="9" t="s">
        <v>78</v>
      </c>
      <c r="AG48" s="9" t="s">
        <v>78</v>
      </c>
      <c r="AH48" s="9" t="s">
        <v>78</v>
      </c>
      <c r="AI48" s="9" t="s">
        <v>78</v>
      </c>
      <c r="AJ48" s="9" t="s">
        <v>78</v>
      </c>
      <c r="AK48" s="9"/>
      <c r="AL48" s="9"/>
      <c r="AM48" s="9"/>
      <c r="AN48" s="9"/>
      <c r="AO48" s="9"/>
      <c r="AP48" s="9"/>
      <c r="AQ48" s="9"/>
      <c r="AR48" s="9"/>
      <c r="AS48" s="9"/>
      <c r="AT48" s="9"/>
      <c r="AU48" s="9"/>
      <c r="AV48" s="9"/>
      <c r="AW48" s="9"/>
      <c r="AX48" s="9"/>
      <c r="AY48" s="9" t="s">
        <v>78</v>
      </c>
      <c r="AZ48" s="9" t="s">
        <v>78</v>
      </c>
      <c r="BA48" s="9" t="s">
        <v>78</v>
      </c>
      <c r="BB48" s="9" t="s">
        <v>78</v>
      </c>
      <c r="BC48" s="9" t="s">
        <v>78</v>
      </c>
      <c r="BD48" s="9"/>
      <c r="BE48" s="9"/>
      <c r="BF48" s="9"/>
      <c r="BG48" s="9"/>
      <c r="BH48" s="9"/>
      <c r="BI48" s="9"/>
      <c r="BJ48" s="9"/>
      <c r="BK48" s="9"/>
      <c r="BL48" s="9"/>
      <c r="BM48" s="9"/>
      <c r="BN48" s="9"/>
      <c r="BO48" s="9"/>
      <c r="BP48" s="9"/>
      <c r="BQ48" s="9"/>
      <c r="BR48" s="9"/>
      <c r="BS48" s="9"/>
    </row>
    <row r="49" spans="2:71" x14ac:dyDescent="0.35">
      <c r="B49" s="3">
        <v>1</v>
      </c>
      <c r="C49" s="3">
        <v>1.5</v>
      </c>
      <c r="D49" s="3">
        <v>0.2</v>
      </c>
      <c r="E49" s="3">
        <v>3</v>
      </c>
      <c r="F49" s="3">
        <v>4</v>
      </c>
      <c r="G49" s="3">
        <v>4</v>
      </c>
      <c r="H49" s="9">
        <v>50</v>
      </c>
      <c r="I49" s="9">
        <v>50</v>
      </c>
      <c r="J49" s="9">
        <v>75</v>
      </c>
      <c r="K49" s="9">
        <v>75</v>
      </c>
      <c r="L49" s="9"/>
      <c r="M49" s="9"/>
      <c r="N49" s="9"/>
      <c r="O49" s="9"/>
      <c r="P49" s="9"/>
      <c r="Q49" s="9"/>
      <c r="R49" s="9"/>
      <c r="S49" s="9"/>
      <c r="T49" s="9"/>
      <c r="U49" s="9"/>
      <c r="V49" s="9">
        <v>50</v>
      </c>
      <c r="W49" s="9">
        <v>50</v>
      </c>
      <c r="X49" s="9">
        <v>50</v>
      </c>
      <c r="Y49" s="9">
        <v>50</v>
      </c>
      <c r="Z49" s="9">
        <v>50</v>
      </c>
      <c r="AA49" s="9">
        <v>75</v>
      </c>
      <c r="AB49" s="9">
        <v>100</v>
      </c>
      <c r="AC49" s="9">
        <v>50</v>
      </c>
      <c r="AD49" s="9">
        <v>50</v>
      </c>
      <c r="AE49" s="9"/>
      <c r="AF49" s="9">
        <v>60</v>
      </c>
      <c r="AG49" s="9">
        <v>80</v>
      </c>
      <c r="AH49" s="9">
        <v>80</v>
      </c>
      <c r="AI49" s="9">
        <v>100</v>
      </c>
      <c r="AJ49" s="9"/>
      <c r="AK49" s="9">
        <v>50</v>
      </c>
      <c r="AL49" s="9">
        <v>60</v>
      </c>
      <c r="AM49" s="9">
        <v>50</v>
      </c>
      <c r="AN49" s="9">
        <v>50</v>
      </c>
      <c r="AO49" s="9">
        <v>50</v>
      </c>
      <c r="AP49" s="9">
        <v>50</v>
      </c>
      <c r="AQ49" s="9">
        <v>50</v>
      </c>
      <c r="AR49" s="9">
        <v>50</v>
      </c>
      <c r="AS49" s="9">
        <v>50</v>
      </c>
      <c r="AT49" s="9">
        <v>50</v>
      </c>
      <c r="AU49" s="9">
        <v>50</v>
      </c>
      <c r="AV49" s="9">
        <v>50</v>
      </c>
      <c r="AW49" s="9">
        <v>50</v>
      </c>
      <c r="AX49" s="9">
        <v>50</v>
      </c>
      <c r="AY49" s="9">
        <v>30</v>
      </c>
      <c r="AZ49" s="9">
        <v>40</v>
      </c>
      <c r="BA49" s="9">
        <v>50</v>
      </c>
      <c r="BB49" s="9">
        <v>60</v>
      </c>
      <c r="BC49" s="9">
        <v>50</v>
      </c>
      <c r="BD49" s="9">
        <v>30</v>
      </c>
      <c r="BE49" s="9">
        <v>32.5</v>
      </c>
      <c r="BF49" s="9">
        <v>35</v>
      </c>
      <c r="BG49" s="9">
        <v>40</v>
      </c>
      <c r="BH49" s="9">
        <v>45</v>
      </c>
      <c r="BI49" s="9">
        <v>50</v>
      </c>
      <c r="BJ49" s="9"/>
      <c r="BK49" s="9"/>
      <c r="BL49" s="9"/>
      <c r="BM49" s="9"/>
      <c r="BN49" s="9"/>
      <c r="BO49" s="9"/>
      <c r="BP49" s="9"/>
      <c r="BQ49" s="9"/>
      <c r="BR49" s="9"/>
      <c r="BS49" s="9"/>
    </row>
    <row r="50" spans="2:71" x14ac:dyDescent="0.35">
      <c r="B50" s="9"/>
      <c r="C50" s="9"/>
      <c r="D50" s="9"/>
      <c r="E50" s="9"/>
      <c r="F50" s="9"/>
      <c r="G50" s="9"/>
      <c r="H50" s="9">
        <v>50</v>
      </c>
      <c r="I50" s="9">
        <v>75</v>
      </c>
      <c r="J50" s="9">
        <v>100</v>
      </c>
      <c r="K50" s="9">
        <v>100</v>
      </c>
      <c r="L50" s="9"/>
      <c r="M50" s="9"/>
      <c r="N50" s="9"/>
      <c r="O50" s="9"/>
      <c r="P50" s="9"/>
      <c r="Q50" s="9"/>
      <c r="R50" s="9"/>
      <c r="S50" s="9"/>
      <c r="T50" s="9"/>
      <c r="U50" s="9"/>
      <c r="V50" s="9"/>
      <c r="W50" s="9">
        <v>50</v>
      </c>
      <c r="X50" s="9">
        <v>50</v>
      </c>
      <c r="Y50" s="9">
        <v>50</v>
      </c>
      <c r="Z50" s="9">
        <v>75</v>
      </c>
      <c r="AA50" s="9">
        <v>100</v>
      </c>
      <c r="AB50" s="9">
        <v>150</v>
      </c>
      <c r="AC50" s="9">
        <v>50</v>
      </c>
      <c r="AD50" s="9">
        <v>50</v>
      </c>
      <c r="AE50" s="9"/>
      <c r="AF50" s="9">
        <v>50</v>
      </c>
      <c r="AG50" s="9">
        <v>75</v>
      </c>
      <c r="AH50" s="9">
        <v>75</v>
      </c>
      <c r="AI50" s="9">
        <v>150</v>
      </c>
      <c r="AJ50" s="9"/>
      <c r="AK50" s="9">
        <v>50</v>
      </c>
      <c r="AL50" s="9">
        <v>50</v>
      </c>
      <c r="AM50" s="9">
        <v>50</v>
      </c>
      <c r="AN50" s="9">
        <v>50</v>
      </c>
      <c r="AO50" s="9"/>
      <c r="AP50" s="9"/>
      <c r="AQ50" s="9"/>
      <c r="AR50" s="9"/>
      <c r="AS50" s="9"/>
      <c r="AT50" s="9"/>
      <c r="AU50" s="9">
        <v>50</v>
      </c>
      <c r="AV50" s="9">
        <v>50</v>
      </c>
      <c r="AW50" s="9">
        <v>50</v>
      </c>
      <c r="AX50" s="9">
        <v>50</v>
      </c>
      <c r="AY50" s="9"/>
      <c r="AZ50" s="9"/>
      <c r="BA50" s="9"/>
      <c r="BB50" s="9"/>
      <c r="BC50" s="9">
        <v>50</v>
      </c>
      <c r="BD50" s="9">
        <v>25</v>
      </c>
      <c r="BE50" s="9">
        <v>27.5</v>
      </c>
      <c r="BF50" s="9">
        <v>30</v>
      </c>
      <c r="BG50" s="9">
        <v>35</v>
      </c>
      <c r="BH50" s="9">
        <v>40</v>
      </c>
      <c r="BI50" s="9">
        <v>45</v>
      </c>
      <c r="BJ50" s="9"/>
      <c r="BK50" s="9"/>
      <c r="BL50" s="9"/>
      <c r="BM50" s="9"/>
      <c r="BN50" s="9"/>
      <c r="BO50" s="9"/>
      <c r="BP50" s="9"/>
      <c r="BQ50" s="9"/>
      <c r="BR50" s="9"/>
      <c r="BS50" s="9"/>
    </row>
    <row r="51" spans="2:71" x14ac:dyDescent="0.35">
      <c r="B51" s="9">
        <v>25</v>
      </c>
      <c r="C51" s="9">
        <v>50</v>
      </c>
      <c r="D51" s="9">
        <v>75</v>
      </c>
      <c r="E51" s="9">
        <v>100</v>
      </c>
      <c r="F51" s="9">
        <v>100</v>
      </c>
      <c r="G51" s="9">
        <v>100</v>
      </c>
      <c r="H51" s="13">
        <v>50</v>
      </c>
      <c r="I51" s="13">
        <v>50</v>
      </c>
      <c r="J51" s="13">
        <v>60</v>
      </c>
      <c r="K51" s="13">
        <v>60</v>
      </c>
      <c r="L51" s="13"/>
      <c r="M51" s="13"/>
      <c r="N51" s="13"/>
      <c r="O51" s="13"/>
      <c r="P51" s="13"/>
      <c r="Q51" s="13"/>
      <c r="R51" s="13"/>
      <c r="S51" s="13"/>
      <c r="T51" s="13"/>
      <c r="U51" s="13"/>
      <c r="V51" s="13"/>
      <c r="W51" s="13">
        <v>150</v>
      </c>
      <c r="X51" s="9">
        <v>40</v>
      </c>
      <c r="Y51" t="s">
        <v>95</v>
      </c>
      <c r="Z51" t="s">
        <v>95</v>
      </c>
      <c r="AA51" t="s">
        <v>96</v>
      </c>
      <c r="AB51" t="s">
        <v>97</v>
      </c>
      <c r="AC51" s="13">
        <v>100</v>
      </c>
      <c r="AD51" s="13">
        <v>200</v>
      </c>
      <c r="AE51" s="9"/>
      <c r="AF51" s="9"/>
      <c r="AG51" s="9"/>
      <c r="AH51" s="9"/>
      <c r="AI51" s="9"/>
      <c r="AJ51" s="9"/>
      <c r="AK51" s="9">
        <v>50</v>
      </c>
      <c r="AL51" s="9">
        <v>100</v>
      </c>
      <c r="AM51" s="9">
        <v>150</v>
      </c>
      <c r="AN51" s="9">
        <v>200</v>
      </c>
      <c r="AO51" s="13"/>
      <c r="AP51" s="13"/>
      <c r="AQ51" s="13"/>
      <c r="AR51" s="13"/>
      <c r="AS51" s="13"/>
      <c r="AT51" s="13"/>
      <c r="AU51" s="9">
        <v>50</v>
      </c>
      <c r="AV51" s="9">
        <v>100</v>
      </c>
      <c r="AW51" s="9">
        <v>150</v>
      </c>
      <c r="AX51" s="9">
        <v>200</v>
      </c>
      <c r="AY51" s="9"/>
      <c r="AZ51" s="9"/>
      <c r="BA51" s="9"/>
      <c r="BB51" s="9"/>
      <c r="BC51" s="13">
        <v>100</v>
      </c>
      <c r="BD51" s="13"/>
      <c r="BE51" s="13"/>
      <c r="BF51" s="13"/>
      <c r="BG51" s="13"/>
      <c r="BH51" s="13"/>
      <c r="BI51" s="13"/>
      <c r="BJ51" s="13"/>
      <c r="BK51" s="13"/>
      <c r="BL51" s="13"/>
      <c r="BM51" s="13"/>
      <c r="BN51" s="13"/>
      <c r="BO51" s="13"/>
      <c r="BP51" s="13"/>
      <c r="BQ51" s="13"/>
      <c r="BR51" s="13"/>
      <c r="BS51" s="13"/>
    </row>
    <row r="53" spans="2:71" x14ac:dyDescent="0.35">
      <c r="B53" s="2"/>
      <c r="C53" s="2"/>
      <c r="D53" s="2"/>
      <c r="E53" s="2"/>
      <c r="F53" s="2"/>
      <c r="G53" s="2"/>
      <c r="V53" s="2"/>
      <c r="AO53" s="2"/>
      <c r="AP53" s="2"/>
      <c r="AQ53" s="2"/>
      <c r="AR53" s="2"/>
      <c r="AS53" s="2"/>
      <c r="AT53" s="2"/>
    </row>
    <row r="54" spans="2:71" x14ac:dyDescent="0.35">
      <c r="B54" s="3">
        <v>1</v>
      </c>
      <c r="C54" s="3">
        <v>1.5</v>
      </c>
      <c r="D54" s="3">
        <v>2.5</v>
      </c>
      <c r="E54" s="3">
        <v>3.5</v>
      </c>
      <c r="F54" s="3">
        <v>4.5</v>
      </c>
      <c r="G54" s="3">
        <v>4.5</v>
      </c>
      <c r="H54" s="3">
        <v>1</v>
      </c>
      <c r="I54" s="3">
        <v>1</v>
      </c>
      <c r="J54" s="3">
        <v>1</v>
      </c>
      <c r="K54" s="3">
        <v>1</v>
      </c>
      <c r="L54" s="3"/>
      <c r="M54" s="3"/>
      <c r="N54" s="3"/>
      <c r="O54" s="3"/>
      <c r="P54" s="3"/>
      <c r="Q54" s="3"/>
      <c r="R54" s="3"/>
      <c r="S54" s="3"/>
      <c r="T54" s="3"/>
      <c r="U54" s="3"/>
      <c r="V54" s="3">
        <v>1</v>
      </c>
      <c r="W54" s="3">
        <v>4.5999999999999996</v>
      </c>
      <c r="X54" s="3"/>
      <c r="Y54" s="3">
        <v>1</v>
      </c>
      <c r="Z54" s="3">
        <v>1</v>
      </c>
      <c r="AA54" s="3">
        <v>1</v>
      </c>
      <c r="AB54" s="3">
        <v>1</v>
      </c>
      <c r="AC54" s="3">
        <v>2.6</v>
      </c>
      <c r="AD54" s="3">
        <v>5.6</v>
      </c>
      <c r="AE54" s="3">
        <v>1</v>
      </c>
      <c r="AF54" s="3">
        <v>1.5</v>
      </c>
      <c r="AG54" s="3">
        <v>2.5</v>
      </c>
      <c r="AH54" s="3">
        <v>3</v>
      </c>
      <c r="AI54" s="3">
        <v>5</v>
      </c>
      <c r="AJ54" s="3">
        <v>1</v>
      </c>
      <c r="AK54" s="3">
        <v>2.7</v>
      </c>
      <c r="AL54" s="3">
        <v>3.7</v>
      </c>
      <c r="AM54" s="3">
        <v>4.7</v>
      </c>
      <c r="AN54" s="3">
        <v>5.7</v>
      </c>
      <c r="AO54" s="3">
        <v>1.25</v>
      </c>
      <c r="AP54" s="3">
        <v>1.5</v>
      </c>
      <c r="AQ54" s="3">
        <v>1.75</v>
      </c>
      <c r="AR54" s="3">
        <v>2</v>
      </c>
      <c r="AS54" s="3">
        <v>3</v>
      </c>
      <c r="AT54" s="3">
        <v>4</v>
      </c>
      <c r="AU54" s="3">
        <v>2.7</v>
      </c>
      <c r="AV54" s="3">
        <v>3.7</v>
      </c>
      <c r="AW54" s="3">
        <v>4.7</v>
      </c>
      <c r="AX54" s="3">
        <v>5.7</v>
      </c>
      <c r="AY54" s="3">
        <v>3</v>
      </c>
      <c r="AZ54" s="3">
        <v>4</v>
      </c>
      <c r="BA54" s="3">
        <v>5</v>
      </c>
      <c r="BB54" s="3">
        <v>5.5</v>
      </c>
      <c r="BC54" s="3">
        <v>3.6</v>
      </c>
      <c r="BD54" s="3">
        <v>1</v>
      </c>
      <c r="BE54" s="3">
        <v>1</v>
      </c>
      <c r="BF54" s="3">
        <v>1</v>
      </c>
      <c r="BG54" s="3">
        <v>1</v>
      </c>
      <c r="BH54" s="3">
        <v>1</v>
      </c>
      <c r="BI54" s="3">
        <v>1</v>
      </c>
      <c r="BJ54" s="3">
        <v>1</v>
      </c>
      <c r="BK54" s="3"/>
      <c r="BL54" s="3"/>
      <c r="BM54" s="3"/>
      <c r="BN54" s="3"/>
      <c r="BO54" s="3"/>
      <c r="BP54" s="3"/>
      <c r="BQ54" s="3"/>
      <c r="BR54" s="3"/>
      <c r="BS54" s="3"/>
    </row>
    <row r="55" spans="2:71" x14ac:dyDescent="0.35">
      <c r="B55" s="10"/>
      <c r="C55" s="10"/>
      <c r="D55" s="10"/>
      <c r="E55" s="10"/>
      <c r="F55" s="10"/>
      <c r="G55" s="10"/>
      <c r="H55" s="10">
        <v>650</v>
      </c>
      <c r="I55" s="10">
        <v>700</v>
      </c>
      <c r="J55" s="10">
        <v>750</v>
      </c>
      <c r="K55" s="10">
        <v>750</v>
      </c>
      <c r="L55" s="10"/>
      <c r="M55" s="10"/>
      <c r="N55" s="10"/>
      <c r="O55" s="10"/>
      <c r="P55" s="10"/>
      <c r="Q55" s="10"/>
      <c r="R55" s="10"/>
      <c r="S55" s="10"/>
      <c r="T55" s="10"/>
      <c r="U55" s="10"/>
      <c r="V55" s="10"/>
      <c r="W55" s="10"/>
      <c r="X55" s="10">
        <v>1200</v>
      </c>
      <c r="Y55" s="10">
        <v>650</v>
      </c>
      <c r="Z55" s="10">
        <v>700</v>
      </c>
      <c r="AA55" s="10">
        <v>750</v>
      </c>
      <c r="AB55" s="10">
        <v>850</v>
      </c>
      <c r="AC55" s="10"/>
      <c r="AD55" s="10"/>
      <c r="AE55" s="10"/>
      <c r="AF55" s="10"/>
      <c r="AG55" s="10"/>
      <c r="AH55" s="10"/>
      <c r="AI55" s="10"/>
      <c r="AJ55" s="10"/>
      <c r="AK55" s="10"/>
      <c r="AL55" s="10"/>
      <c r="AM55" s="10"/>
      <c r="AN55" s="10"/>
      <c r="AO55" s="10"/>
      <c r="AP55" s="10"/>
      <c r="AQ55" s="10"/>
      <c r="AR55" s="10"/>
      <c r="AS55" s="10"/>
      <c r="AT55" s="10"/>
      <c r="AU55" s="10"/>
      <c r="AV55" s="10"/>
      <c r="AW55" s="10"/>
      <c r="AX55" s="10"/>
      <c r="AY55" s="10"/>
      <c r="AZ55" s="10"/>
      <c r="BA55" s="10"/>
      <c r="BB55" s="10"/>
      <c r="BC55" s="10"/>
      <c r="BD55" s="10">
        <v>100</v>
      </c>
      <c r="BE55" s="10">
        <v>150</v>
      </c>
      <c r="BF55" s="10">
        <v>200</v>
      </c>
      <c r="BG55" s="10">
        <v>300</v>
      </c>
      <c r="BH55" s="10">
        <v>400</v>
      </c>
      <c r="BI55" s="10">
        <v>500</v>
      </c>
      <c r="BJ55" s="10"/>
      <c r="BK55" s="10"/>
      <c r="BL55" s="10"/>
      <c r="BM55" s="10"/>
      <c r="BN55" s="10"/>
      <c r="BO55" s="10"/>
      <c r="BP55" s="10"/>
      <c r="BQ55" s="10"/>
      <c r="BR55" s="10"/>
      <c r="BS55" s="10"/>
    </row>
    <row r="56" spans="2:71" x14ac:dyDescent="0.35">
      <c r="B56" s="10">
        <v>199</v>
      </c>
      <c r="C56" s="10">
        <v>298.5</v>
      </c>
      <c r="D56" s="10">
        <v>497.5</v>
      </c>
      <c r="E56" s="10">
        <v>696.5</v>
      </c>
      <c r="F56" s="10">
        <v>895.5</v>
      </c>
      <c r="G56" s="10">
        <v>895.5</v>
      </c>
      <c r="H56" s="10">
        <v>849</v>
      </c>
      <c r="I56" s="10">
        <v>899</v>
      </c>
      <c r="J56" s="10">
        <v>949</v>
      </c>
      <c r="K56" s="10">
        <v>949</v>
      </c>
      <c r="L56" s="10"/>
      <c r="M56" s="10"/>
      <c r="N56" s="10"/>
      <c r="O56" s="10"/>
      <c r="P56" s="10"/>
      <c r="Q56" s="10"/>
      <c r="R56" s="10"/>
      <c r="S56" s="10"/>
      <c r="T56" s="10"/>
      <c r="U56" s="10"/>
      <c r="V56" s="10">
        <v>199</v>
      </c>
      <c r="W56" s="10">
        <v>915.4</v>
      </c>
      <c r="X56" s="10">
        <v>1200</v>
      </c>
      <c r="Y56" s="10">
        <v>849</v>
      </c>
      <c r="Z56" s="10">
        <v>899</v>
      </c>
      <c r="AA56" s="10">
        <v>949</v>
      </c>
      <c r="AB56" s="10">
        <v>1049</v>
      </c>
      <c r="AC56" s="10">
        <v>517.4</v>
      </c>
      <c r="AD56" s="10">
        <v>1114.3999999999999</v>
      </c>
      <c r="AE56" s="10">
        <v>199</v>
      </c>
      <c r="AF56" s="10">
        <v>298.5</v>
      </c>
      <c r="AG56" s="10">
        <v>497.5</v>
      </c>
      <c r="AH56" s="10">
        <v>597</v>
      </c>
      <c r="AI56" s="10">
        <v>995</v>
      </c>
      <c r="AJ56" s="10">
        <v>199</v>
      </c>
      <c r="AK56" s="10">
        <v>537.30000000000007</v>
      </c>
      <c r="AL56" s="10">
        <v>736.30000000000007</v>
      </c>
      <c r="AM56" s="10">
        <v>935.30000000000007</v>
      </c>
      <c r="AN56" s="10">
        <v>1134.3</v>
      </c>
      <c r="AO56" s="10">
        <v>248.75</v>
      </c>
      <c r="AP56" s="10">
        <v>298.5</v>
      </c>
      <c r="AQ56" s="10">
        <v>348.25</v>
      </c>
      <c r="AR56" s="10">
        <v>398</v>
      </c>
      <c r="AS56" s="10">
        <v>597</v>
      </c>
      <c r="AT56" s="10">
        <v>796</v>
      </c>
      <c r="AU56" s="10">
        <v>537.30000000000007</v>
      </c>
      <c r="AV56" s="10">
        <v>736.30000000000007</v>
      </c>
      <c r="AW56" s="10">
        <v>935.30000000000007</v>
      </c>
      <c r="AX56" s="10">
        <v>1134.3</v>
      </c>
      <c r="AY56" s="10">
        <v>597</v>
      </c>
      <c r="AZ56" s="10">
        <v>796</v>
      </c>
      <c r="BA56" s="10">
        <v>995</v>
      </c>
      <c r="BB56" s="10">
        <v>1094.5</v>
      </c>
      <c r="BC56" s="10">
        <v>716.4</v>
      </c>
      <c r="BD56" s="10">
        <v>299</v>
      </c>
      <c r="BE56" s="10">
        <v>349</v>
      </c>
      <c r="BF56" s="10">
        <v>399</v>
      </c>
      <c r="BG56" s="10">
        <v>499</v>
      </c>
      <c r="BH56" s="10">
        <v>599</v>
      </c>
      <c r="BI56" s="10">
        <v>699</v>
      </c>
      <c r="BJ56" s="10">
        <v>199</v>
      </c>
      <c r="BK56" s="10"/>
      <c r="BL56" s="10"/>
      <c r="BM56" s="10"/>
      <c r="BN56" s="10"/>
      <c r="BO56" s="10"/>
      <c r="BP56" s="10"/>
      <c r="BQ56" s="10"/>
      <c r="BR56" s="10"/>
      <c r="BS56" s="10"/>
    </row>
    <row r="57" spans="2:71" x14ac:dyDescent="0.35">
      <c r="B57" s="3">
        <v>1.5</v>
      </c>
      <c r="C57" s="3">
        <v>2.5</v>
      </c>
      <c r="D57" s="3">
        <v>3.5</v>
      </c>
      <c r="E57" s="3">
        <v>4.5</v>
      </c>
      <c r="F57" s="3">
        <v>4.5</v>
      </c>
      <c r="G57" s="3">
        <v>4.5</v>
      </c>
      <c r="H57" s="3">
        <v>2.5</v>
      </c>
      <c r="I57" s="3">
        <v>3</v>
      </c>
      <c r="J57" s="3">
        <v>3.5</v>
      </c>
      <c r="K57" s="3">
        <v>3.5</v>
      </c>
      <c r="L57" s="3"/>
      <c r="M57" s="3"/>
      <c r="N57" s="3"/>
      <c r="O57" s="3"/>
      <c r="P57" s="3"/>
      <c r="Q57" s="3"/>
      <c r="R57" s="3"/>
      <c r="S57" s="3"/>
      <c r="T57" s="3"/>
      <c r="U57" s="3"/>
      <c r="V57" s="3">
        <v>1</v>
      </c>
      <c r="W57" s="3">
        <v>4.5999999999999996</v>
      </c>
      <c r="Y57" s="3">
        <v>2.5</v>
      </c>
      <c r="Z57" s="3">
        <v>3</v>
      </c>
      <c r="AA57" s="3">
        <v>3.5</v>
      </c>
      <c r="AB57" s="3">
        <v>5</v>
      </c>
      <c r="AC57" s="3">
        <v>2.6</v>
      </c>
      <c r="AD57" s="3">
        <v>5.6</v>
      </c>
      <c r="AE57" s="3">
        <v>1</v>
      </c>
      <c r="AF57" s="3">
        <v>1.5</v>
      </c>
      <c r="AG57" s="3">
        <v>2.5</v>
      </c>
      <c r="AH57" s="3">
        <v>3</v>
      </c>
      <c r="AI57" s="3">
        <v>5</v>
      </c>
      <c r="AJ57" s="3">
        <v>1</v>
      </c>
      <c r="AK57" s="3">
        <v>2.7</v>
      </c>
      <c r="AL57" s="3">
        <v>3.7</v>
      </c>
      <c r="AM57" s="3">
        <v>4.7</v>
      </c>
      <c r="AN57" s="3">
        <v>5.7</v>
      </c>
      <c r="AO57" s="3">
        <v>1.25</v>
      </c>
      <c r="AP57" s="3">
        <v>1.5</v>
      </c>
      <c r="AQ57" s="3">
        <v>1.75</v>
      </c>
      <c r="AR57" s="3">
        <v>2</v>
      </c>
      <c r="AS57" s="3">
        <v>3</v>
      </c>
      <c r="AT57" s="3">
        <v>4</v>
      </c>
      <c r="AU57" s="3">
        <v>2.7</v>
      </c>
      <c r="AV57" s="3">
        <v>3.7</v>
      </c>
      <c r="AW57" s="3">
        <v>4.7</v>
      </c>
      <c r="AX57" s="3">
        <v>5.7</v>
      </c>
      <c r="AY57" s="3">
        <v>3</v>
      </c>
      <c r="AZ57" s="3">
        <v>4</v>
      </c>
      <c r="BA57" s="3">
        <v>5</v>
      </c>
      <c r="BB57" s="3">
        <v>5.5</v>
      </c>
      <c r="BC57" s="3">
        <v>3.6</v>
      </c>
      <c r="BD57" s="3">
        <v>1</v>
      </c>
      <c r="BE57" s="3">
        <v>1</v>
      </c>
      <c r="BF57" s="3">
        <v>1</v>
      </c>
      <c r="BG57" s="3">
        <v>1</v>
      </c>
      <c r="BH57" s="3">
        <v>1</v>
      </c>
      <c r="BI57" s="3">
        <v>1</v>
      </c>
      <c r="BJ57" s="3">
        <v>1</v>
      </c>
      <c r="BK57" s="3"/>
      <c r="BL57" s="3"/>
      <c r="BM57" s="3"/>
      <c r="BN57" s="3"/>
      <c r="BO57" s="3"/>
      <c r="BP57" s="3"/>
      <c r="BQ57" s="3"/>
      <c r="BR57" s="3"/>
      <c r="BS57" s="3"/>
    </row>
    <row r="58" spans="2:71" x14ac:dyDescent="0.35">
      <c r="B58" s="10">
        <v>2100</v>
      </c>
      <c r="C58" s="10">
        <v>3500</v>
      </c>
      <c r="D58" s="10">
        <v>4900</v>
      </c>
      <c r="E58" s="10">
        <v>6300</v>
      </c>
      <c r="F58" s="10">
        <v>6300</v>
      </c>
      <c r="G58" s="10">
        <v>6300</v>
      </c>
      <c r="H58" s="10">
        <v>3500</v>
      </c>
      <c r="I58" s="10">
        <v>4200</v>
      </c>
      <c r="J58" s="10">
        <v>4900</v>
      </c>
      <c r="K58" s="10">
        <v>4900</v>
      </c>
      <c r="L58" s="10"/>
      <c r="M58" s="10"/>
      <c r="N58" s="10"/>
      <c r="O58" s="10"/>
      <c r="P58" s="10"/>
      <c r="Q58" s="10"/>
      <c r="R58" s="10"/>
      <c r="S58" s="10"/>
      <c r="T58" s="10"/>
      <c r="U58" s="10"/>
      <c r="V58" s="10">
        <v>1400</v>
      </c>
      <c r="W58" s="10">
        <v>6439.9999999999991</v>
      </c>
      <c r="Y58" s="10">
        <v>3500</v>
      </c>
      <c r="Z58" s="10">
        <v>4200</v>
      </c>
      <c r="AA58" s="10">
        <v>4900</v>
      </c>
      <c r="AB58" s="10">
        <v>7000</v>
      </c>
      <c r="AC58" s="10">
        <v>3640</v>
      </c>
      <c r="AD58" s="10">
        <v>7839.9999999999991</v>
      </c>
      <c r="AE58" s="10">
        <v>1400</v>
      </c>
      <c r="AF58" s="10">
        <v>2100</v>
      </c>
      <c r="AG58" s="10">
        <v>3500</v>
      </c>
      <c r="AH58" s="10">
        <v>4200</v>
      </c>
      <c r="AI58" s="10">
        <v>7000</v>
      </c>
      <c r="AJ58" s="10">
        <v>1400</v>
      </c>
      <c r="AK58" s="10">
        <v>3780.0000000000005</v>
      </c>
      <c r="AL58" s="10">
        <v>5180</v>
      </c>
      <c r="AM58" s="10">
        <v>6580</v>
      </c>
      <c r="AN58" s="10">
        <v>7980</v>
      </c>
      <c r="AO58" s="10">
        <v>1750</v>
      </c>
      <c r="AP58" s="10">
        <v>2100</v>
      </c>
      <c r="AQ58" s="10">
        <v>2450</v>
      </c>
      <c r="AR58" s="10">
        <v>2800</v>
      </c>
      <c r="AS58" s="10">
        <v>4200</v>
      </c>
      <c r="AT58" s="10">
        <v>5600</v>
      </c>
      <c r="AU58" s="10">
        <v>3780.0000000000005</v>
      </c>
      <c r="AV58" s="10">
        <v>5180</v>
      </c>
      <c r="AW58" s="10">
        <v>6580</v>
      </c>
      <c r="AX58" s="10">
        <v>7980</v>
      </c>
      <c r="AY58" s="10">
        <v>4200</v>
      </c>
      <c r="AZ58" s="10">
        <v>5600</v>
      </c>
      <c r="BA58" s="10">
        <v>7000</v>
      </c>
      <c r="BB58" s="10">
        <v>7700</v>
      </c>
      <c r="BC58" s="10">
        <v>5040</v>
      </c>
      <c r="BD58" s="10">
        <v>1500</v>
      </c>
      <c r="BE58" s="10">
        <v>1550</v>
      </c>
      <c r="BF58" s="10">
        <v>1600</v>
      </c>
      <c r="BG58" s="10">
        <v>1700</v>
      </c>
      <c r="BH58" s="10">
        <v>1800</v>
      </c>
      <c r="BI58" s="10">
        <v>1900</v>
      </c>
      <c r="BJ58" s="10">
        <v>1400</v>
      </c>
      <c r="BK58" s="10"/>
      <c r="BL58" s="10"/>
      <c r="BM58" s="10"/>
      <c r="BN58" s="10"/>
      <c r="BO58" s="10"/>
      <c r="BP58" s="10"/>
      <c r="BQ58" s="10"/>
      <c r="BR58" s="10"/>
      <c r="BS58" s="10"/>
    </row>
    <row r="59" spans="2:71" x14ac:dyDescent="0.35">
      <c r="B59" s="3">
        <v>1</v>
      </c>
      <c r="C59" s="3">
        <v>1.5</v>
      </c>
      <c r="D59" s="3">
        <v>2.5</v>
      </c>
      <c r="E59" s="3">
        <v>3.5</v>
      </c>
      <c r="F59" s="3">
        <v>4.5</v>
      </c>
      <c r="G59" s="3">
        <v>4.5</v>
      </c>
      <c r="H59" s="3">
        <v>1.2</v>
      </c>
      <c r="I59" s="3">
        <v>1.4</v>
      </c>
      <c r="J59" s="3">
        <v>1.6</v>
      </c>
      <c r="K59" s="3">
        <v>1.6</v>
      </c>
      <c r="L59" s="3"/>
      <c r="M59" s="3"/>
      <c r="N59" s="3"/>
      <c r="O59" s="3"/>
      <c r="P59" s="3"/>
      <c r="Q59" s="3"/>
      <c r="R59" s="3"/>
      <c r="S59" s="3"/>
      <c r="T59" s="3"/>
      <c r="U59" s="3"/>
      <c r="V59" s="3">
        <v>1</v>
      </c>
      <c r="W59" s="3">
        <v>4.5999999999999996</v>
      </c>
      <c r="X59" t="s">
        <v>100</v>
      </c>
      <c r="Y59" s="3">
        <v>1.2</v>
      </c>
      <c r="Z59" s="3">
        <v>1.4</v>
      </c>
      <c r="AA59" s="3">
        <v>1.6</v>
      </c>
      <c r="AB59" s="3">
        <v>2.5</v>
      </c>
      <c r="AC59" s="3">
        <v>2.6</v>
      </c>
      <c r="AD59" s="3">
        <v>5.6</v>
      </c>
      <c r="AE59" s="3">
        <v>1</v>
      </c>
      <c r="AF59" s="3">
        <v>1.5</v>
      </c>
      <c r="AG59" s="3">
        <v>2.5</v>
      </c>
      <c r="AH59" s="3">
        <v>3</v>
      </c>
      <c r="AI59" s="3">
        <v>5</v>
      </c>
      <c r="AJ59" s="3">
        <v>1</v>
      </c>
      <c r="AK59" s="3">
        <v>2.6</v>
      </c>
      <c r="AL59" s="3">
        <v>3.7</v>
      </c>
      <c r="AM59" s="3">
        <v>4.7</v>
      </c>
      <c r="AN59" s="3">
        <v>5.7</v>
      </c>
      <c r="AO59" s="3">
        <v>1.25</v>
      </c>
      <c r="AP59" s="3">
        <v>1.5</v>
      </c>
      <c r="AQ59" s="3">
        <v>1.75</v>
      </c>
      <c r="AR59" s="3">
        <v>2</v>
      </c>
      <c r="AS59" s="3">
        <v>3</v>
      </c>
      <c r="AT59" s="3">
        <v>4</v>
      </c>
      <c r="AU59" s="3">
        <v>2.6</v>
      </c>
      <c r="AV59" s="3">
        <v>3.7</v>
      </c>
      <c r="AW59" s="3">
        <v>4.7</v>
      </c>
      <c r="AX59" s="3">
        <v>5.7</v>
      </c>
      <c r="AY59" s="3">
        <v>3</v>
      </c>
      <c r="AZ59" s="3">
        <v>4</v>
      </c>
      <c r="BA59" s="3">
        <v>5</v>
      </c>
      <c r="BB59" s="3">
        <v>5.5</v>
      </c>
      <c r="BC59" s="3">
        <v>3.6</v>
      </c>
      <c r="BD59" s="3">
        <v>1</v>
      </c>
      <c r="BE59" s="3">
        <v>1.5</v>
      </c>
      <c r="BF59" s="3">
        <v>2</v>
      </c>
      <c r="BG59" s="3">
        <v>3</v>
      </c>
      <c r="BH59" s="3">
        <v>4</v>
      </c>
      <c r="BI59" s="3">
        <v>5</v>
      </c>
      <c r="BJ59" s="3">
        <v>1</v>
      </c>
      <c r="BK59" s="3"/>
      <c r="BL59" s="3"/>
      <c r="BM59" s="3"/>
      <c r="BN59" s="3"/>
      <c r="BO59" s="3"/>
      <c r="BP59" s="3"/>
      <c r="BQ59" s="3"/>
      <c r="BR59" s="3"/>
      <c r="BS59" s="3"/>
    </row>
    <row r="60" spans="2:71" x14ac:dyDescent="0.35">
      <c r="B60" s="3"/>
      <c r="C60" s="3"/>
      <c r="D60" s="3"/>
      <c r="E60" s="3"/>
      <c r="F60" s="3"/>
      <c r="G60" s="3"/>
      <c r="H60" s="3"/>
      <c r="I60" s="3"/>
      <c r="J60" s="3"/>
      <c r="K60" s="3"/>
      <c r="L60" s="3"/>
      <c r="M60" s="3"/>
      <c r="N60" s="3"/>
      <c r="O60" s="3"/>
      <c r="P60" s="3"/>
      <c r="Q60" s="3"/>
      <c r="R60" s="3"/>
      <c r="S60" s="3"/>
      <c r="T60" s="3"/>
      <c r="U60" s="3"/>
      <c r="V60" s="3"/>
      <c r="W60" s="3"/>
      <c r="X60" s="8">
        <v>100</v>
      </c>
      <c r="Y60" s="4"/>
      <c r="Z60" s="4"/>
      <c r="AA60" s="4"/>
      <c r="AB60" s="4"/>
      <c r="AC60" s="3"/>
      <c r="AD60" s="3"/>
      <c r="AE60" s="3"/>
      <c r="AF60" s="3"/>
      <c r="AG60" s="3"/>
      <c r="AH60" s="3"/>
      <c r="AI60" s="3"/>
      <c r="AJ60" s="3"/>
      <c r="AK60" s="3"/>
      <c r="AL60" s="3"/>
      <c r="AM60" s="3"/>
      <c r="AN60" s="3"/>
      <c r="AO60" s="3"/>
      <c r="AP60" s="3"/>
      <c r="AQ60" s="3"/>
      <c r="AR60" s="3"/>
      <c r="AS60" s="3"/>
      <c r="AT60" s="3"/>
      <c r="AU60" s="3"/>
      <c r="AV60" s="3"/>
      <c r="AW60" s="3"/>
      <c r="AX60" s="3"/>
      <c r="AY60" s="3"/>
      <c r="AZ60" s="3"/>
      <c r="BA60" s="3"/>
      <c r="BB60" s="3"/>
      <c r="BC60" s="3"/>
      <c r="BD60" s="3"/>
      <c r="BE60" s="3"/>
      <c r="BF60" s="3"/>
      <c r="BG60" s="3"/>
      <c r="BH60" s="3"/>
      <c r="BI60" s="3"/>
      <c r="BJ60" s="3"/>
      <c r="BK60" s="3"/>
      <c r="BL60" s="3"/>
      <c r="BM60" s="3"/>
      <c r="BN60" s="3"/>
      <c r="BO60" s="3"/>
      <c r="BP60" s="3"/>
      <c r="BQ60" s="3"/>
      <c r="BR60" s="3"/>
      <c r="BS60" s="3"/>
    </row>
    <row r="61" spans="2:71" x14ac:dyDescent="0.35">
      <c r="B61" s="3">
        <v>1</v>
      </c>
      <c r="C61" s="3">
        <v>1.5</v>
      </c>
      <c r="D61" s="3">
        <v>2.5</v>
      </c>
      <c r="E61" s="3">
        <v>3.5</v>
      </c>
      <c r="F61" s="3">
        <v>4.5</v>
      </c>
      <c r="G61" s="3">
        <v>4.5</v>
      </c>
      <c r="H61" s="3">
        <v>1</v>
      </c>
      <c r="I61" s="3">
        <v>1</v>
      </c>
      <c r="J61" s="3">
        <v>1</v>
      </c>
      <c r="K61" s="3">
        <v>1</v>
      </c>
      <c r="L61" s="3"/>
      <c r="M61" s="3"/>
      <c r="N61" s="3"/>
      <c r="O61" s="3"/>
      <c r="P61" s="3"/>
      <c r="Q61" s="3"/>
      <c r="R61" s="3"/>
      <c r="S61" s="3"/>
      <c r="T61" s="3"/>
      <c r="U61" s="3"/>
      <c r="V61" s="3">
        <v>1</v>
      </c>
      <c r="W61" s="3"/>
      <c r="X61" t="s">
        <v>101</v>
      </c>
      <c r="Y61" s="3">
        <v>1</v>
      </c>
      <c r="Z61" s="3">
        <v>1</v>
      </c>
      <c r="AA61" s="3">
        <v>1</v>
      </c>
      <c r="AB61" s="3">
        <v>1</v>
      </c>
      <c r="AC61" s="3"/>
      <c r="AD61" s="3"/>
      <c r="AE61" s="3"/>
      <c r="AF61" s="3"/>
      <c r="AG61" s="3"/>
      <c r="AH61" s="3"/>
      <c r="AI61" s="3"/>
      <c r="AJ61" s="3"/>
      <c r="AK61" s="3">
        <v>2.7</v>
      </c>
      <c r="AL61" s="3">
        <v>3.7</v>
      </c>
      <c r="AM61" s="3">
        <v>4.7</v>
      </c>
      <c r="AN61" s="3">
        <v>5.7</v>
      </c>
      <c r="AO61" s="3">
        <v>1.25</v>
      </c>
      <c r="AP61" s="3">
        <v>1.5</v>
      </c>
      <c r="AQ61" s="3">
        <v>1.75</v>
      </c>
      <c r="AR61" s="3">
        <v>2</v>
      </c>
      <c r="AS61" s="3">
        <v>3</v>
      </c>
      <c r="AT61" s="3">
        <v>4</v>
      </c>
      <c r="AU61" s="3">
        <v>2.7</v>
      </c>
      <c r="AV61" s="3">
        <v>3.7</v>
      </c>
      <c r="AW61" s="3">
        <v>4.7</v>
      </c>
      <c r="AX61" s="3">
        <v>5.7</v>
      </c>
      <c r="AY61" s="3"/>
      <c r="AZ61" s="3"/>
      <c r="BA61" s="3"/>
      <c r="BB61" s="3"/>
      <c r="BC61" s="3"/>
      <c r="BD61" s="3">
        <v>1</v>
      </c>
      <c r="BE61" s="3">
        <v>1.5</v>
      </c>
      <c r="BF61" s="3">
        <v>2</v>
      </c>
      <c r="BG61" s="3">
        <v>3</v>
      </c>
      <c r="BH61" s="3">
        <v>4</v>
      </c>
      <c r="BI61" s="3">
        <v>5</v>
      </c>
      <c r="BJ61" s="3">
        <v>1</v>
      </c>
      <c r="BK61" s="3"/>
      <c r="BL61" s="3"/>
      <c r="BM61" s="3"/>
      <c r="BN61" s="3"/>
      <c r="BO61" s="3"/>
      <c r="BP61" s="3"/>
      <c r="BQ61" s="3"/>
      <c r="BR61" s="3"/>
      <c r="BS61" s="3"/>
    </row>
    <row r="63" spans="2:71" x14ac:dyDescent="0.35">
      <c r="B63" s="10"/>
      <c r="C63" s="10"/>
      <c r="D63" s="10"/>
      <c r="E63" s="10"/>
      <c r="F63" s="10"/>
      <c r="G63" s="10"/>
      <c r="H63" s="10">
        <v>600</v>
      </c>
      <c r="I63" s="10">
        <v>750</v>
      </c>
      <c r="J63" s="10">
        <v>900</v>
      </c>
      <c r="K63" s="10">
        <v>900</v>
      </c>
      <c r="L63" s="10"/>
      <c r="M63" s="10"/>
      <c r="N63" s="10"/>
      <c r="O63" s="10"/>
      <c r="P63" s="10"/>
      <c r="Q63" s="10"/>
      <c r="R63" s="10"/>
      <c r="S63" s="10"/>
      <c r="T63" s="10"/>
      <c r="U63" s="10"/>
      <c r="W63" s="10"/>
      <c r="X63" s="10"/>
      <c r="Y63" s="10">
        <v>600</v>
      </c>
      <c r="Z63" s="10">
        <v>750</v>
      </c>
      <c r="AA63" s="10">
        <v>900</v>
      </c>
      <c r="AB63" s="10">
        <v>1200</v>
      </c>
      <c r="AC63" s="10"/>
      <c r="AD63" s="10"/>
      <c r="AE63" s="10"/>
      <c r="AF63" s="10"/>
      <c r="AG63" s="10"/>
      <c r="AH63" s="10"/>
      <c r="AI63" s="10"/>
      <c r="AJ63" s="10"/>
      <c r="AK63" s="10"/>
      <c r="AL63" s="10"/>
      <c r="AM63" s="10"/>
      <c r="AN63" s="10"/>
      <c r="AU63" s="10"/>
      <c r="AV63" s="10"/>
      <c r="AW63" s="10"/>
      <c r="AX63" s="10"/>
      <c r="AY63" s="10"/>
      <c r="AZ63" s="10"/>
      <c r="BA63" s="10"/>
      <c r="BB63" s="10"/>
      <c r="BC63" s="10"/>
      <c r="BD63" s="10"/>
      <c r="BE63" s="10"/>
      <c r="BF63" s="10"/>
      <c r="BG63" s="10"/>
      <c r="BH63" s="10"/>
      <c r="BI63" s="10"/>
      <c r="BJ63" s="10"/>
      <c r="BK63" s="10"/>
      <c r="BL63" s="10"/>
      <c r="BM63" s="10"/>
      <c r="BN63" s="10"/>
      <c r="BO63" s="10"/>
      <c r="BP63" s="10"/>
      <c r="BQ63" s="10"/>
      <c r="BR63" s="10"/>
      <c r="BS63" s="10"/>
    </row>
    <row r="64" spans="2:71" x14ac:dyDescent="0.35">
      <c r="B64" s="2"/>
      <c r="C64" s="2"/>
      <c r="D64" s="2"/>
      <c r="E64" s="2"/>
      <c r="F64" s="2"/>
      <c r="G64" s="2"/>
      <c r="H64" s="14"/>
      <c r="I64" s="14"/>
      <c r="J64" s="14"/>
      <c r="K64" s="14"/>
      <c r="R64" s="14"/>
      <c r="V64" s="2"/>
      <c r="W64" s="14">
        <v>595.98</v>
      </c>
      <c r="X64" s="14"/>
      <c r="AC64" s="14">
        <v>347.65499999999997</v>
      </c>
      <c r="AD64" s="14">
        <v>761.53000000000009</v>
      </c>
      <c r="AE64" s="14"/>
      <c r="AF64" s="14"/>
      <c r="AG64" s="14"/>
      <c r="AH64" s="14"/>
      <c r="AI64" s="14"/>
      <c r="AJ64" s="14"/>
      <c r="AK64" s="14"/>
      <c r="AL64" s="14"/>
      <c r="AM64" s="14"/>
      <c r="AN64" s="14"/>
      <c r="AO64" s="2"/>
      <c r="AP64" s="2"/>
      <c r="AQ64" s="2"/>
      <c r="AR64" s="2"/>
      <c r="AS64" s="2"/>
      <c r="AT64" s="2"/>
      <c r="AU64" s="14"/>
      <c r="AV64" s="14"/>
      <c r="AW64" s="14"/>
      <c r="AX64" s="14"/>
      <c r="AY64" s="14"/>
      <c r="AZ64" s="14"/>
      <c r="BA64" s="14"/>
      <c r="BB64" s="14"/>
      <c r="BC64" s="14">
        <v>480.09499999999997</v>
      </c>
      <c r="BD64" s="14"/>
      <c r="BE64" s="14"/>
      <c r="BF64" s="14"/>
      <c r="BG64" s="14"/>
      <c r="BH64" s="14"/>
      <c r="BI64" s="14"/>
      <c r="BJ64" s="14"/>
    </row>
    <row r="66" spans="2:71" x14ac:dyDescent="0.35">
      <c r="B66" s="10"/>
      <c r="C66" s="10"/>
      <c r="D66" s="10"/>
      <c r="E66" s="10"/>
      <c r="F66" s="10"/>
      <c r="G66" s="10"/>
      <c r="H66" s="10">
        <v>90</v>
      </c>
      <c r="I66" s="10">
        <v>125</v>
      </c>
      <c r="J66" s="10">
        <v>130</v>
      </c>
      <c r="K66" s="10">
        <v>200</v>
      </c>
      <c r="L66" s="10"/>
      <c r="M66" s="10"/>
      <c r="N66" s="10"/>
      <c r="O66" s="10"/>
      <c r="P66" s="10"/>
      <c r="Q66" s="10"/>
      <c r="R66" s="10"/>
      <c r="S66" s="10"/>
      <c r="T66" s="10"/>
      <c r="U66" s="10"/>
      <c r="V66" s="10">
        <v>1</v>
      </c>
      <c r="W66" s="10">
        <v>148.995</v>
      </c>
      <c r="X66" s="10" t="s">
        <v>102</v>
      </c>
      <c r="Y66" s="10">
        <v>150</v>
      </c>
      <c r="Z66" s="10">
        <v>150</v>
      </c>
      <c r="AA66" s="10">
        <v>150</v>
      </c>
      <c r="AB66" s="10">
        <v>150</v>
      </c>
      <c r="AC66" s="10">
        <v>148.995</v>
      </c>
      <c r="AD66" s="10">
        <v>148.995</v>
      </c>
      <c r="AE66" s="10">
        <v>95</v>
      </c>
      <c r="AF66" s="10">
        <v>125</v>
      </c>
      <c r="AG66" s="10">
        <v>150</v>
      </c>
      <c r="AH66" s="10">
        <v>150</v>
      </c>
      <c r="AI66" s="10">
        <v>150</v>
      </c>
      <c r="AJ66" s="10">
        <v>1</v>
      </c>
      <c r="AK66" s="10">
        <v>115.88500000000001</v>
      </c>
      <c r="AL66" s="10">
        <v>148.995</v>
      </c>
      <c r="AM66" s="10">
        <v>148.995</v>
      </c>
      <c r="AN66" s="10">
        <v>148.995</v>
      </c>
      <c r="AO66" s="10">
        <v>100</v>
      </c>
      <c r="AP66" s="10">
        <v>100</v>
      </c>
      <c r="AQ66" s="10">
        <v>100</v>
      </c>
      <c r="AR66" s="10">
        <v>150</v>
      </c>
      <c r="AS66" s="10">
        <v>150</v>
      </c>
      <c r="AT66" s="10">
        <v>150</v>
      </c>
      <c r="AU66" s="10">
        <v>148.995</v>
      </c>
      <c r="AV66" s="10">
        <v>165.55</v>
      </c>
      <c r="AW66" s="10">
        <v>215.215</v>
      </c>
      <c r="AX66" s="10">
        <v>231.77</v>
      </c>
      <c r="AY66" s="10">
        <v>110</v>
      </c>
      <c r="AZ66" s="10">
        <v>130</v>
      </c>
      <c r="BA66" s="10">
        <v>140</v>
      </c>
      <c r="BB66" s="10">
        <v>150</v>
      </c>
      <c r="BC66" s="10">
        <v>148.995</v>
      </c>
      <c r="BD66" s="10">
        <v>100</v>
      </c>
      <c r="BE66" s="10">
        <v>110</v>
      </c>
      <c r="BF66" s="10">
        <v>120</v>
      </c>
      <c r="BG66" s="10">
        <v>140</v>
      </c>
      <c r="BH66" s="10">
        <v>150</v>
      </c>
      <c r="BI66" s="10">
        <v>150</v>
      </c>
      <c r="BJ66" s="10">
        <v>20</v>
      </c>
      <c r="BK66" s="10"/>
      <c r="BL66" s="10"/>
      <c r="BM66" s="10"/>
      <c r="BN66" s="10"/>
      <c r="BO66" s="10"/>
      <c r="BP66" s="10"/>
      <c r="BQ66" s="10"/>
      <c r="BR66" s="10"/>
      <c r="BS66" s="10"/>
    </row>
    <row r="67" spans="2:71" x14ac:dyDescent="0.35">
      <c r="B67" s="15"/>
      <c r="C67" s="15"/>
      <c r="D67" s="15"/>
      <c r="E67" s="15"/>
      <c r="F67" s="15"/>
      <c r="G67" s="15"/>
      <c r="H67" s="15">
        <v>80</v>
      </c>
      <c r="I67" s="15">
        <v>100</v>
      </c>
      <c r="J67" s="15">
        <v>135</v>
      </c>
      <c r="K67" s="15">
        <v>160</v>
      </c>
      <c r="L67" s="15"/>
      <c r="M67" s="15"/>
      <c r="N67" s="15"/>
      <c r="O67" s="15"/>
      <c r="P67" s="15"/>
      <c r="Q67" s="15"/>
      <c r="R67" s="15"/>
      <c r="S67" s="15"/>
      <c r="T67" s="15"/>
      <c r="U67" s="15"/>
      <c r="V67" s="3">
        <v>1</v>
      </c>
      <c r="W67" s="15">
        <v>82.775000000000006</v>
      </c>
      <c r="X67" s="16" t="s">
        <v>103</v>
      </c>
      <c r="Y67" s="15">
        <v>55</v>
      </c>
      <c r="Z67" s="15">
        <v>90</v>
      </c>
      <c r="AA67" s="15">
        <v>130</v>
      </c>
      <c r="AB67" s="15">
        <v>160</v>
      </c>
      <c r="AC67" s="15">
        <v>57.942500000000003</v>
      </c>
      <c r="AD67" s="15">
        <v>91.052499999999995</v>
      </c>
      <c r="AE67" s="15" t="s">
        <v>104</v>
      </c>
      <c r="AF67" s="15" t="s">
        <v>105</v>
      </c>
      <c r="AG67" s="15" t="s">
        <v>106</v>
      </c>
      <c r="AH67" s="15" t="s">
        <v>107</v>
      </c>
      <c r="AI67" s="15" t="s">
        <v>108</v>
      </c>
      <c r="AJ67" s="15" t="s">
        <v>85</v>
      </c>
      <c r="AK67" s="15">
        <v>57.942500000000003</v>
      </c>
      <c r="AL67" s="15">
        <v>74.497500000000002</v>
      </c>
      <c r="AM67" s="15">
        <v>82.775000000000006</v>
      </c>
      <c r="AN67" s="15">
        <v>91.052499999999995</v>
      </c>
      <c r="AO67" s="15">
        <v>75</v>
      </c>
      <c r="AP67" s="15">
        <v>100</v>
      </c>
      <c r="AQ67" s="15">
        <v>125</v>
      </c>
      <c r="AR67" s="15">
        <v>152</v>
      </c>
      <c r="AS67" s="15">
        <v>152</v>
      </c>
      <c r="AT67" s="15">
        <v>160</v>
      </c>
      <c r="AU67" s="15">
        <v>57.942500000000003</v>
      </c>
      <c r="AV67" s="15">
        <v>82.775000000000006</v>
      </c>
      <c r="AW67" s="15">
        <v>91.052499999999995</v>
      </c>
      <c r="AX67" s="15">
        <v>107.6075</v>
      </c>
      <c r="AY67" s="16">
        <v>140</v>
      </c>
      <c r="AZ67" s="16">
        <v>170</v>
      </c>
      <c r="BA67" s="16">
        <v>190</v>
      </c>
      <c r="BB67" s="16">
        <v>320</v>
      </c>
      <c r="BC67" s="15">
        <v>74.497500000000002</v>
      </c>
      <c r="BD67" s="15">
        <v>25</v>
      </c>
      <c r="BE67" s="15">
        <v>40</v>
      </c>
      <c r="BF67" s="15">
        <v>55</v>
      </c>
      <c r="BG67" s="15">
        <v>85</v>
      </c>
      <c r="BH67" s="15">
        <v>115</v>
      </c>
      <c r="BI67" s="15">
        <v>145</v>
      </c>
      <c r="BJ67" s="15">
        <v>15</v>
      </c>
      <c r="BK67" s="15"/>
      <c r="BL67" s="15"/>
      <c r="BM67" s="15"/>
      <c r="BN67" s="15"/>
      <c r="BO67" s="15"/>
      <c r="BP67" s="15"/>
      <c r="BQ67" s="15"/>
      <c r="BR67" s="15"/>
      <c r="BS67" s="15"/>
    </row>
    <row r="68" spans="2:71" x14ac:dyDescent="0.35">
      <c r="B68" s="15"/>
      <c r="C68" s="15"/>
      <c r="D68" s="15"/>
      <c r="E68" s="15"/>
      <c r="F68" s="15"/>
      <c r="G68" s="15"/>
      <c r="H68" s="15">
        <v>155</v>
      </c>
      <c r="I68" s="15">
        <v>187.5</v>
      </c>
      <c r="J68" s="15">
        <v>235</v>
      </c>
      <c r="K68" s="15">
        <v>300</v>
      </c>
      <c r="L68" s="15"/>
      <c r="M68" s="15"/>
      <c r="N68" s="15"/>
      <c r="O68" s="15"/>
      <c r="P68" s="15"/>
      <c r="Q68" s="15"/>
      <c r="R68" s="15"/>
      <c r="S68" s="15"/>
      <c r="T68" s="15"/>
      <c r="U68" s="15"/>
      <c r="V68" s="3">
        <v>1</v>
      </c>
      <c r="W68" s="15">
        <v>215.215</v>
      </c>
      <c r="X68" s="17">
        <v>250</v>
      </c>
      <c r="Y68" s="15">
        <v>150</v>
      </c>
      <c r="Z68" s="15">
        <v>200</v>
      </c>
      <c r="AA68" s="15">
        <v>250</v>
      </c>
      <c r="AB68" s="15">
        <v>300</v>
      </c>
      <c r="AC68" s="15">
        <v>115.88500000000001</v>
      </c>
      <c r="AD68" s="15">
        <v>273.15750000000003</v>
      </c>
      <c r="AE68" s="15" t="s">
        <v>109</v>
      </c>
      <c r="AF68" s="15" t="s">
        <v>110</v>
      </c>
      <c r="AG68" s="15" t="s">
        <v>111</v>
      </c>
      <c r="AH68" s="15" t="s">
        <v>112</v>
      </c>
      <c r="AI68" s="15" t="s">
        <v>113</v>
      </c>
      <c r="AJ68" s="15"/>
      <c r="AK68" s="15">
        <v>66.22</v>
      </c>
      <c r="AL68" s="15">
        <v>82.775000000000006</v>
      </c>
      <c r="AM68" s="15">
        <v>107.6075</v>
      </c>
      <c r="AN68" s="15">
        <v>124.16249999999999</v>
      </c>
      <c r="AO68" s="15">
        <v>115</v>
      </c>
      <c r="AP68" s="15">
        <v>140</v>
      </c>
      <c r="AQ68" s="15">
        <v>165</v>
      </c>
      <c r="AR68" s="15">
        <v>190</v>
      </c>
      <c r="AS68" s="15">
        <v>215</v>
      </c>
      <c r="AT68" s="15">
        <v>230</v>
      </c>
      <c r="AU68" s="15">
        <v>82.775000000000006</v>
      </c>
      <c r="AV68" s="15">
        <v>99.33</v>
      </c>
      <c r="AW68" s="15">
        <v>99.33</v>
      </c>
      <c r="AX68" s="15">
        <v>148.995</v>
      </c>
      <c r="AY68" s="16">
        <v>240</v>
      </c>
      <c r="AZ68" s="16">
        <v>330</v>
      </c>
      <c r="BA68" s="16">
        <v>420</v>
      </c>
      <c r="BB68" s="16">
        <v>600</v>
      </c>
      <c r="BC68" s="15">
        <v>165.55</v>
      </c>
      <c r="BD68" s="15">
        <v>120</v>
      </c>
      <c r="BE68" s="15">
        <v>140</v>
      </c>
      <c r="BF68" s="15">
        <v>160</v>
      </c>
      <c r="BG68" s="15">
        <v>200</v>
      </c>
      <c r="BH68" s="15">
        <v>240</v>
      </c>
      <c r="BI68" s="15">
        <v>280</v>
      </c>
      <c r="BJ68" s="15">
        <v>90</v>
      </c>
      <c r="BK68" s="15"/>
      <c r="BL68" s="15"/>
      <c r="BM68" s="15"/>
      <c r="BN68" s="15"/>
      <c r="BO68" s="15"/>
      <c r="BP68" s="15"/>
      <c r="BQ68" s="15"/>
      <c r="BR68" s="15"/>
      <c r="BS68" s="15"/>
    </row>
    <row r="69" spans="2:71" x14ac:dyDescent="0.35">
      <c r="B69" s="15"/>
      <c r="C69" s="15"/>
      <c r="D69" s="15"/>
      <c r="E69" s="15"/>
      <c r="F69" s="15"/>
      <c r="G69" s="15"/>
      <c r="H69" s="15">
        <v>155</v>
      </c>
      <c r="I69" s="15">
        <v>187.5</v>
      </c>
      <c r="J69" s="15">
        <v>235</v>
      </c>
      <c r="K69" s="15">
        <v>300</v>
      </c>
      <c r="L69" s="15"/>
      <c r="M69" s="15"/>
      <c r="N69" s="15"/>
      <c r="O69" s="15"/>
      <c r="P69" s="15"/>
      <c r="Q69" s="15"/>
      <c r="R69" s="15"/>
      <c r="S69" s="15"/>
      <c r="T69" s="15"/>
      <c r="U69" s="15"/>
      <c r="V69" s="3">
        <v>1</v>
      </c>
      <c r="W69" s="15">
        <v>331.1</v>
      </c>
      <c r="X69" s="16" t="s">
        <v>114</v>
      </c>
      <c r="Y69" s="15">
        <v>180</v>
      </c>
      <c r="Z69" s="15">
        <v>230</v>
      </c>
      <c r="AA69" s="15">
        <v>280</v>
      </c>
      <c r="AB69" s="15">
        <v>340</v>
      </c>
      <c r="AC69" s="15">
        <v>165.55</v>
      </c>
      <c r="AD69" s="15">
        <v>364.21</v>
      </c>
      <c r="AE69" s="15">
        <v>250</v>
      </c>
      <c r="AF69" s="15">
        <v>350</v>
      </c>
      <c r="AG69" s="15">
        <v>350</v>
      </c>
      <c r="AH69" s="15">
        <v>350</v>
      </c>
      <c r="AI69" s="15">
        <v>297.99</v>
      </c>
      <c r="AJ69" s="15"/>
      <c r="AK69" s="15">
        <v>165.55</v>
      </c>
      <c r="AL69" s="15">
        <v>198.66</v>
      </c>
      <c r="AM69" s="15">
        <v>331.1</v>
      </c>
      <c r="AN69" s="15">
        <v>364.21</v>
      </c>
      <c r="AO69" s="15">
        <v>115</v>
      </c>
      <c r="AP69" s="15">
        <v>140</v>
      </c>
      <c r="AQ69" s="15">
        <v>165</v>
      </c>
      <c r="AR69" s="15">
        <v>190</v>
      </c>
      <c r="AS69" s="15">
        <v>215</v>
      </c>
      <c r="AT69" s="15">
        <v>230</v>
      </c>
      <c r="AU69" s="15">
        <v>190.38250000000002</v>
      </c>
      <c r="AV69" s="15">
        <v>240.04749999999999</v>
      </c>
      <c r="AW69" s="15">
        <v>364.21</v>
      </c>
      <c r="AX69" s="15">
        <v>446.98500000000001</v>
      </c>
      <c r="AY69" s="16">
        <v>340</v>
      </c>
      <c r="AZ69" s="16">
        <v>400</v>
      </c>
      <c r="BA69" s="16">
        <v>650</v>
      </c>
      <c r="BB69" s="16">
        <v>700</v>
      </c>
      <c r="BC69" s="15">
        <v>198.66</v>
      </c>
      <c r="BD69" s="15">
        <v>125</v>
      </c>
      <c r="BE69" s="15">
        <v>150</v>
      </c>
      <c r="BF69" s="15">
        <v>175</v>
      </c>
      <c r="BG69" s="15">
        <v>225</v>
      </c>
      <c r="BH69" s="15">
        <v>275</v>
      </c>
      <c r="BI69" s="15">
        <v>350</v>
      </c>
      <c r="BJ69" s="15">
        <v>90</v>
      </c>
      <c r="BK69" s="15"/>
      <c r="BL69" s="15"/>
      <c r="BM69" s="15"/>
      <c r="BN69" s="15"/>
      <c r="BO69" s="15"/>
      <c r="BP69" s="15"/>
      <c r="BQ69" s="15"/>
      <c r="BR69" s="15"/>
      <c r="BS69" s="15"/>
    </row>
    <row r="70" spans="2:71" x14ac:dyDescent="0.35">
      <c r="B70" s="10">
        <v>50</v>
      </c>
      <c r="C70" s="10">
        <v>200</v>
      </c>
      <c r="D70" s="10">
        <v>300</v>
      </c>
      <c r="E70" s="10">
        <v>400</v>
      </c>
      <c r="F70" s="10">
        <v>460</v>
      </c>
      <c r="G70" s="10">
        <v>470</v>
      </c>
      <c r="H70" s="10">
        <v>285</v>
      </c>
      <c r="I70" s="10">
        <v>330</v>
      </c>
      <c r="J70" s="10">
        <v>470</v>
      </c>
      <c r="K70" s="10">
        <v>435.88499999999999</v>
      </c>
      <c r="L70" s="10"/>
      <c r="M70" s="10"/>
      <c r="N70" s="10"/>
      <c r="O70" s="10"/>
      <c r="P70" s="10"/>
      <c r="Q70" s="10"/>
      <c r="R70" s="10"/>
      <c r="S70" s="10"/>
      <c r="T70" s="10"/>
      <c r="U70" s="10"/>
      <c r="V70" s="10"/>
      <c r="W70" s="10">
        <v>233.77</v>
      </c>
      <c r="X70" s="16"/>
      <c r="Y70" s="10">
        <v>260</v>
      </c>
      <c r="Z70" s="10">
        <v>330</v>
      </c>
      <c r="AA70" s="10">
        <v>410</v>
      </c>
      <c r="AB70" s="10">
        <v>470</v>
      </c>
      <c r="AC70" s="10">
        <v>208.9375</v>
      </c>
      <c r="AD70" s="10">
        <v>242.04750000000001</v>
      </c>
      <c r="AE70" s="10">
        <v>215</v>
      </c>
      <c r="AF70" s="10">
        <v>285</v>
      </c>
      <c r="AG70" s="10">
        <v>340</v>
      </c>
      <c r="AH70" s="10">
        <v>400</v>
      </c>
      <c r="AI70" s="10">
        <v>460</v>
      </c>
      <c r="AJ70" s="10"/>
      <c r="AK70" s="10">
        <v>231.77</v>
      </c>
      <c r="AL70" s="10">
        <v>297.99</v>
      </c>
      <c r="AM70" s="10">
        <v>314.54500000000002</v>
      </c>
      <c r="AN70" s="10">
        <v>331.1</v>
      </c>
      <c r="AO70" s="10">
        <v>250</v>
      </c>
      <c r="AP70" s="10">
        <v>300</v>
      </c>
      <c r="AQ70" s="10">
        <v>350</v>
      </c>
      <c r="AR70" s="10">
        <v>454</v>
      </c>
      <c r="AS70" s="10">
        <v>454</v>
      </c>
      <c r="AT70" s="10">
        <v>470</v>
      </c>
      <c r="AU70" s="10">
        <v>264.88</v>
      </c>
      <c r="AV70" s="10">
        <v>331.1</v>
      </c>
      <c r="AW70" s="10">
        <v>397.32</v>
      </c>
      <c r="AX70" s="10">
        <v>446.98500000000001</v>
      </c>
      <c r="AY70" s="10">
        <v>250</v>
      </c>
      <c r="AZ70" s="10">
        <v>300</v>
      </c>
      <c r="BA70" s="10">
        <v>330</v>
      </c>
      <c r="BB70" s="10">
        <v>470</v>
      </c>
      <c r="BC70" s="10">
        <v>225.49250000000001</v>
      </c>
      <c r="BD70" s="10">
        <v>150</v>
      </c>
      <c r="BE70" s="10">
        <v>190</v>
      </c>
      <c r="BF70" s="10">
        <v>230</v>
      </c>
      <c r="BG70" s="10">
        <v>310</v>
      </c>
      <c r="BH70" s="10">
        <v>380</v>
      </c>
      <c r="BI70" s="10">
        <v>440</v>
      </c>
      <c r="BJ70" s="10">
        <v>50</v>
      </c>
      <c r="BK70" s="10"/>
      <c r="BL70" s="10"/>
      <c r="BM70" s="10"/>
      <c r="BN70" s="10"/>
      <c r="BO70" s="10"/>
      <c r="BP70" s="10"/>
      <c r="BQ70" s="10"/>
      <c r="BR70" s="10"/>
      <c r="BS70" s="10"/>
    </row>
    <row r="71" spans="2:71" x14ac:dyDescent="0.35">
      <c r="B71" s="10">
        <v>200</v>
      </c>
      <c r="C71" s="10">
        <v>350</v>
      </c>
      <c r="D71" s="10">
        <v>450</v>
      </c>
      <c r="E71" s="10">
        <v>550</v>
      </c>
      <c r="F71" s="10">
        <v>560</v>
      </c>
      <c r="G71" s="10">
        <v>750</v>
      </c>
      <c r="H71" s="10">
        <v>435</v>
      </c>
      <c r="I71" s="10">
        <v>505</v>
      </c>
      <c r="J71" s="10">
        <v>670</v>
      </c>
      <c r="K71" s="10">
        <v>715.88499999999999</v>
      </c>
      <c r="L71" s="10"/>
      <c r="M71" s="10"/>
      <c r="N71" s="10"/>
      <c r="O71" s="10"/>
      <c r="P71" s="10"/>
      <c r="Q71" s="10"/>
      <c r="R71" s="10"/>
      <c r="S71" s="10"/>
      <c r="T71" s="10"/>
      <c r="U71" s="10"/>
      <c r="V71" s="10"/>
      <c r="W71" s="10">
        <v>579.42499999999995</v>
      </c>
      <c r="X71" s="16"/>
      <c r="Y71" s="10">
        <v>300</v>
      </c>
      <c r="Z71" s="10">
        <v>350</v>
      </c>
      <c r="AA71" s="10">
        <v>400</v>
      </c>
      <c r="AB71" s="10">
        <v>450</v>
      </c>
      <c r="AC71" s="10">
        <v>380.76499999999999</v>
      </c>
      <c r="AD71" s="10">
        <v>695.31000000000006</v>
      </c>
      <c r="AE71" s="10">
        <v>465</v>
      </c>
      <c r="AF71" s="10">
        <v>685</v>
      </c>
      <c r="AG71" s="10">
        <v>770</v>
      </c>
      <c r="AH71" s="10">
        <v>770</v>
      </c>
      <c r="AI71" s="10">
        <v>850</v>
      </c>
      <c r="AJ71" s="10"/>
      <c r="AK71" s="10">
        <v>248.32499999999999</v>
      </c>
      <c r="AL71" s="10">
        <v>314.54500000000002</v>
      </c>
      <c r="AM71" s="10">
        <v>364.21000000000004</v>
      </c>
      <c r="AN71" s="10">
        <v>397.32</v>
      </c>
      <c r="AO71" s="10">
        <v>330</v>
      </c>
      <c r="AP71" s="10">
        <v>380</v>
      </c>
      <c r="AQ71" s="10">
        <v>430</v>
      </c>
      <c r="AR71" s="10">
        <v>530</v>
      </c>
      <c r="AS71" s="10">
        <v>580</v>
      </c>
      <c r="AT71" s="10">
        <v>610</v>
      </c>
      <c r="AU71" s="10">
        <v>314.54500000000002</v>
      </c>
      <c r="AV71" s="10">
        <v>364.21000000000004</v>
      </c>
      <c r="AW71" s="10">
        <v>413.875</v>
      </c>
      <c r="AX71" s="10">
        <v>529.76</v>
      </c>
      <c r="AY71" s="10">
        <v>350</v>
      </c>
      <c r="AZ71" s="10">
        <v>460</v>
      </c>
      <c r="BA71" s="10">
        <v>560</v>
      </c>
      <c r="BB71" s="10">
        <v>750</v>
      </c>
      <c r="BC71" s="10">
        <v>480.09500000000003</v>
      </c>
      <c r="BD71" s="10">
        <v>340</v>
      </c>
      <c r="BE71" s="10">
        <v>390</v>
      </c>
      <c r="BF71" s="10">
        <v>440</v>
      </c>
      <c r="BG71" s="10">
        <v>540</v>
      </c>
      <c r="BH71" s="10">
        <v>630</v>
      </c>
      <c r="BI71" s="10">
        <v>710</v>
      </c>
      <c r="BJ71" s="10">
        <v>200</v>
      </c>
      <c r="BK71" s="10"/>
      <c r="BL71" s="10"/>
      <c r="BM71" s="10"/>
      <c r="BN71" s="10"/>
      <c r="BO71" s="10"/>
      <c r="BP71" s="10"/>
      <c r="BQ71" s="10"/>
      <c r="BR71" s="10"/>
      <c r="BS71" s="10"/>
    </row>
    <row r="72" spans="2:71" x14ac:dyDescent="0.35">
      <c r="B72" s="10">
        <v>200</v>
      </c>
      <c r="C72" s="10">
        <v>350</v>
      </c>
      <c r="D72" s="10">
        <v>450</v>
      </c>
      <c r="E72" s="10">
        <v>550</v>
      </c>
      <c r="F72" s="10">
        <v>560</v>
      </c>
      <c r="G72" s="10">
        <v>750</v>
      </c>
      <c r="H72" s="10">
        <v>435</v>
      </c>
      <c r="I72" s="10">
        <v>505</v>
      </c>
      <c r="J72" s="10">
        <v>670</v>
      </c>
      <c r="K72" s="10">
        <v>715.88499999999999</v>
      </c>
      <c r="L72" s="10"/>
      <c r="M72" s="10"/>
      <c r="N72" s="10"/>
      <c r="O72" s="10"/>
      <c r="P72" s="10"/>
      <c r="Q72" s="10"/>
      <c r="R72" s="10"/>
      <c r="S72" s="10"/>
      <c r="T72" s="10"/>
      <c r="U72" s="10"/>
      <c r="V72" s="10"/>
      <c r="W72" s="10">
        <v>811.19500000000005</v>
      </c>
      <c r="X72" s="10"/>
      <c r="Y72" s="10">
        <v>510</v>
      </c>
      <c r="Z72" s="10">
        <v>610</v>
      </c>
      <c r="AA72" s="10">
        <v>710</v>
      </c>
      <c r="AB72" s="10">
        <v>830</v>
      </c>
      <c r="AC72" s="10">
        <v>480.09500000000003</v>
      </c>
      <c r="AD72" s="10">
        <v>877.41499999999996</v>
      </c>
      <c r="AE72" s="10">
        <v>595</v>
      </c>
      <c r="AF72" s="10">
        <v>825</v>
      </c>
      <c r="AG72" s="10">
        <v>850</v>
      </c>
      <c r="AH72" s="10">
        <v>850</v>
      </c>
      <c r="AI72" s="10">
        <v>745.98</v>
      </c>
      <c r="AJ72" s="10"/>
      <c r="AK72" s="10">
        <v>446.98500000000001</v>
      </c>
      <c r="AL72" s="10">
        <v>546.31500000000005</v>
      </c>
      <c r="AM72" s="10">
        <v>811.19500000000005</v>
      </c>
      <c r="AN72" s="10">
        <v>877.41499999999996</v>
      </c>
      <c r="AO72" s="10">
        <v>330</v>
      </c>
      <c r="AP72" s="10">
        <v>380</v>
      </c>
      <c r="AQ72" s="10">
        <v>430</v>
      </c>
      <c r="AR72" s="10">
        <v>530</v>
      </c>
      <c r="AS72" s="10">
        <v>580</v>
      </c>
      <c r="AT72" s="10">
        <v>610</v>
      </c>
      <c r="AU72" s="10">
        <v>529.76</v>
      </c>
      <c r="AV72" s="10">
        <v>645.64499999999998</v>
      </c>
      <c r="AW72" s="10">
        <v>943.63499999999999</v>
      </c>
      <c r="AX72" s="10">
        <v>1125.74</v>
      </c>
      <c r="AY72" s="10">
        <v>450</v>
      </c>
      <c r="AZ72" s="10">
        <v>530</v>
      </c>
      <c r="BA72" s="10">
        <v>790</v>
      </c>
      <c r="BB72" s="10">
        <v>850</v>
      </c>
      <c r="BC72" s="10">
        <v>546.31500000000005</v>
      </c>
      <c r="BD72" s="10">
        <v>350</v>
      </c>
      <c r="BE72" s="10">
        <v>410</v>
      </c>
      <c r="BF72" s="10">
        <v>470</v>
      </c>
      <c r="BG72" s="10">
        <v>590</v>
      </c>
      <c r="BH72" s="10">
        <v>700</v>
      </c>
      <c r="BI72" s="10">
        <v>850</v>
      </c>
      <c r="BJ72" s="10">
        <v>200</v>
      </c>
      <c r="BK72" s="10"/>
      <c r="BL72" s="10"/>
      <c r="BM72" s="10"/>
      <c r="BN72" s="10"/>
      <c r="BO72" s="10"/>
      <c r="BP72" s="10"/>
      <c r="BQ72" s="10"/>
      <c r="BR72" s="10"/>
      <c r="BS72" s="10"/>
    </row>
    <row r="73" spans="2:71" x14ac:dyDescent="0.35">
      <c r="B73" s="10"/>
      <c r="C73" s="10"/>
      <c r="D73" s="10"/>
      <c r="E73" s="10"/>
      <c r="F73" s="10"/>
      <c r="G73" s="10"/>
      <c r="H73" s="10">
        <v>45</v>
      </c>
      <c r="I73" s="10">
        <v>50</v>
      </c>
      <c r="J73" s="10">
        <v>55</v>
      </c>
      <c r="K73" s="10">
        <v>200</v>
      </c>
      <c r="L73" s="10"/>
      <c r="M73" s="10"/>
      <c r="N73" s="10"/>
      <c r="O73" s="10"/>
      <c r="P73" s="10"/>
      <c r="Q73" s="10"/>
      <c r="R73" s="10"/>
      <c r="S73" s="10"/>
      <c r="T73" s="10"/>
      <c r="U73" s="10"/>
      <c r="V73" s="10">
        <v>1</v>
      </c>
      <c r="W73" s="10">
        <v>165.55</v>
      </c>
      <c r="X73" s="10"/>
      <c r="Y73" s="10">
        <v>50</v>
      </c>
      <c r="Z73" s="10">
        <v>60</v>
      </c>
      <c r="AA73" s="10">
        <v>70</v>
      </c>
      <c r="AB73" s="10">
        <v>80</v>
      </c>
      <c r="AC73" s="10">
        <v>115.88500000000001</v>
      </c>
      <c r="AD73" s="10">
        <v>215.215</v>
      </c>
      <c r="AE73" s="10">
        <v>95</v>
      </c>
      <c r="AF73" s="10">
        <v>125</v>
      </c>
      <c r="AG73" s="10">
        <v>150</v>
      </c>
      <c r="AH73" s="10">
        <v>150</v>
      </c>
      <c r="AI73" s="10">
        <v>150</v>
      </c>
      <c r="AJ73" s="10">
        <v>1</v>
      </c>
      <c r="AK73" s="10"/>
      <c r="AL73" s="10"/>
      <c r="AM73" s="10"/>
      <c r="AN73" s="10"/>
      <c r="AO73" s="10">
        <v>100</v>
      </c>
      <c r="AP73" s="10">
        <v>100</v>
      </c>
      <c r="AQ73" s="10">
        <v>100</v>
      </c>
      <c r="AR73" s="10">
        <v>150</v>
      </c>
      <c r="AS73" s="10">
        <v>150</v>
      </c>
      <c r="AT73" s="10">
        <v>150</v>
      </c>
      <c r="AU73" s="10"/>
      <c r="AV73" s="10"/>
      <c r="AW73" s="10"/>
      <c r="AX73" s="10"/>
      <c r="AY73" s="10">
        <v>150</v>
      </c>
      <c r="AZ73" s="10">
        <v>150</v>
      </c>
      <c r="BA73" s="10">
        <v>150</v>
      </c>
      <c r="BB73" s="10">
        <v>150</v>
      </c>
      <c r="BC73" s="10">
        <v>148.995</v>
      </c>
      <c r="BD73" s="10">
        <v>60</v>
      </c>
      <c r="BE73" s="10">
        <v>70</v>
      </c>
      <c r="BF73" s="10">
        <v>80</v>
      </c>
      <c r="BG73" s="10">
        <v>100</v>
      </c>
      <c r="BH73" s="10">
        <v>120</v>
      </c>
      <c r="BI73" s="10">
        <v>140</v>
      </c>
      <c r="BJ73" s="10">
        <v>20</v>
      </c>
      <c r="BK73" s="10"/>
      <c r="BL73" s="10"/>
      <c r="BM73" s="10"/>
      <c r="BN73" s="10"/>
      <c r="BO73" s="10"/>
      <c r="BP73" s="10"/>
      <c r="BQ73" s="10"/>
      <c r="BR73" s="10"/>
      <c r="BS73" s="10"/>
    </row>
    <row r="74" spans="2:71" x14ac:dyDescent="0.35">
      <c r="B74" s="18"/>
      <c r="C74" s="18"/>
      <c r="D74" s="18"/>
      <c r="E74" s="18"/>
      <c r="F74" s="18"/>
      <c r="G74" s="18"/>
      <c r="H74" s="15">
        <v>45</v>
      </c>
      <c r="I74" s="15">
        <v>50</v>
      </c>
      <c r="J74" s="15">
        <v>55</v>
      </c>
      <c r="K74" s="15">
        <v>200</v>
      </c>
      <c r="L74" s="18"/>
      <c r="M74" s="18"/>
      <c r="N74" s="18"/>
      <c r="O74" s="18"/>
      <c r="P74" s="18"/>
      <c r="Q74" s="18"/>
      <c r="R74" s="18"/>
      <c r="S74" s="18"/>
      <c r="T74" s="18"/>
      <c r="U74" s="18"/>
      <c r="V74" s="3">
        <v>1</v>
      </c>
      <c r="W74" s="18"/>
      <c r="X74" s="18"/>
      <c r="Y74" s="15">
        <v>50</v>
      </c>
      <c r="Z74" s="15">
        <v>55</v>
      </c>
      <c r="AA74" s="15">
        <v>65</v>
      </c>
      <c r="AB74" s="15">
        <v>85</v>
      </c>
      <c r="AC74" s="18"/>
      <c r="AD74" s="18"/>
      <c r="AE74" s="15" t="s">
        <v>104</v>
      </c>
      <c r="AF74" s="15" t="s">
        <v>105</v>
      </c>
      <c r="AG74" s="15" t="s">
        <v>106</v>
      </c>
      <c r="AH74" s="15" t="s">
        <v>107</v>
      </c>
      <c r="AI74" s="15" t="s">
        <v>108</v>
      </c>
      <c r="AJ74" s="15" t="s">
        <v>85</v>
      </c>
      <c r="AK74" s="18"/>
      <c r="AL74" s="18"/>
      <c r="AM74" s="18"/>
      <c r="AN74" s="18"/>
      <c r="AO74" s="18">
        <v>75</v>
      </c>
      <c r="AP74" s="18">
        <v>100</v>
      </c>
      <c r="AQ74" s="18">
        <v>125</v>
      </c>
      <c r="AR74" s="18">
        <v>152</v>
      </c>
      <c r="AS74" s="18">
        <v>152</v>
      </c>
      <c r="AT74" s="18">
        <v>160</v>
      </c>
      <c r="AU74" s="18"/>
      <c r="AV74" s="18"/>
      <c r="AW74" s="18"/>
      <c r="AX74" s="18"/>
      <c r="AY74" s="16">
        <v>140</v>
      </c>
      <c r="AZ74" s="16">
        <v>170</v>
      </c>
      <c r="BA74" s="16" t="s">
        <v>115</v>
      </c>
      <c r="BB74" s="16" t="s">
        <v>116</v>
      </c>
      <c r="BC74" s="18"/>
      <c r="BD74" s="15">
        <v>25</v>
      </c>
      <c r="BE74" s="15">
        <v>35</v>
      </c>
      <c r="BF74" s="15">
        <v>45</v>
      </c>
      <c r="BG74" s="15">
        <v>65</v>
      </c>
      <c r="BH74" s="15">
        <v>85</v>
      </c>
      <c r="BI74" s="15">
        <v>105</v>
      </c>
      <c r="BJ74" s="15">
        <v>15</v>
      </c>
      <c r="BK74" s="18"/>
      <c r="BL74" s="18"/>
      <c r="BM74" s="18"/>
      <c r="BN74" s="18"/>
      <c r="BO74" s="18"/>
      <c r="BP74" s="18"/>
      <c r="BQ74" s="18"/>
      <c r="BR74" s="18"/>
      <c r="BS74" s="18"/>
    </row>
    <row r="75" spans="2:71" x14ac:dyDescent="0.35">
      <c r="B75" s="8"/>
      <c r="C75" s="8"/>
      <c r="D75" s="8"/>
      <c r="E75" s="8"/>
      <c r="F75" s="8"/>
      <c r="G75" s="8"/>
      <c r="H75" s="15">
        <v>115</v>
      </c>
      <c r="I75" s="15">
        <v>137.5</v>
      </c>
      <c r="J75" s="15">
        <v>60</v>
      </c>
      <c r="K75" s="15">
        <v>300</v>
      </c>
      <c r="L75" s="8"/>
      <c r="M75" s="8"/>
      <c r="N75" s="8"/>
      <c r="O75" s="8"/>
      <c r="P75" s="8"/>
      <c r="Q75" s="8"/>
      <c r="R75" s="8"/>
      <c r="S75" s="8"/>
      <c r="T75" s="8"/>
      <c r="U75" s="8"/>
      <c r="V75" s="3">
        <v>1</v>
      </c>
      <c r="W75" s="8"/>
      <c r="X75" s="8"/>
      <c r="Y75" s="15">
        <v>75</v>
      </c>
      <c r="Z75" s="15">
        <v>75</v>
      </c>
      <c r="AA75" s="15">
        <v>75</v>
      </c>
      <c r="AB75" s="15">
        <v>90</v>
      </c>
      <c r="AC75" s="8"/>
      <c r="AD75" s="8"/>
      <c r="AE75" s="15" t="s">
        <v>109</v>
      </c>
      <c r="AF75" s="15" t="s">
        <v>110</v>
      </c>
      <c r="AG75" s="15" t="s">
        <v>111</v>
      </c>
      <c r="AH75" s="15" t="s">
        <v>112</v>
      </c>
      <c r="AI75" s="15" t="s">
        <v>113</v>
      </c>
      <c r="AJ75" s="15"/>
      <c r="AK75" s="8"/>
      <c r="AL75" s="8"/>
      <c r="AM75" s="8"/>
      <c r="AN75" s="8"/>
      <c r="AO75" s="8">
        <v>115</v>
      </c>
      <c r="AP75" s="8">
        <v>140</v>
      </c>
      <c r="AQ75" s="8">
        <v>165</v>
      </c>
      <c r="AR75" s="8">
        <v>190</v>
      </c>
      <c r="AS75" s="8">
        <v>215</v>
      </c>
      <c r="AT75" s="8">
        <v>230</v>
      </c>
      <c r="AU75" s="8"/>
      <c r="AV75" s="8"/>
      <c r="AW75" s="8"/>
      <c r="AX75" s="8"/>
      <c r="AY75" s="16">
        <v>240</v>
      </c>
      <c r="AZ75" s="16">
        <v>330</v>
      </c>
      <c r="BA75" s="16" t="s">
        <v>117</v>
      </c>
      <c r="BB75" s="16" t="s">
        <v>118</v>
      </c>
      <c r="BC75" s="8"/>
      <c r="BD75" s="15">
        <v>100</v>
      </c>
      <c r="BE75" s="15">
        <v>110</v>
      </c>
      <c r="BF75" s="15">
        <v>120</v>
      </c>
      <c r="BG75" s="15">
        <v>140</v>
      </c>
      <c r="BH75" s="15">
        <v>160</v>
      </c>
      <c r="BI75" s="15">
        <v>180</v>
      </c>
      <c r="BJ75" s="15">
        <v>90</v>
      </c>
      <c r="BK75" s="8"/>
      <c r="BL75" s="8"/>
      <c r="BM75" s="8"/>
      <c r="BN75" s="8"/>
      <c r="BO75" s="8"/>
      <c r="BP75" s="8"/>
      <c r="BQ75" s="8"/>
      <c r="BR75" s="8"/>
      <c r="BS75" s="8"/>
    </row>
    <row r="76" spans="2:71" x14ac:dyDescent="0.35">
      <c r="B76" s="18"/>
      <c r="C76" s="18"/>
      <c r="D76" s="18"/>
      <c r="E76" s="18"/>
      <c r="F76" s="18"/>
      <c r="G76" s="18"/>
      <c r="H76" s="15">
        <v>115</v>
      </c>
      <c r="I76" s="15">
        <v>137.5</v>
      </c>
      <c r="J76" s="15">
        <v>160</v>
      </c>
      <c r="K76" s="15">
        <v>300</v>
      </c>
      <c r="L76" s="18"/>
      <c r="M76" s="18"/>
      <c r="N76" s="18"/>
      <c r="O76" s="18"/>
      <c r="P76" s="18"/>
      <c r="Q76" s="18"/>
      <c r="R76" s="18"/>
      <c r="S76" s="18"/>
      <c r="T76" s="18"/>
      <c r="U76" s="18"/>
      <c r="V76" s="3">
        <v>1</v>
      </c>
      <c r="W76" s="18"/>
      <c r="X76" s="18"/>
      <c r="Y76" s="15">
        <v>75</v>
      </c>
      <c r="Z76" s="15">
        <v>75</v>
      </c>
      <c r="AA76" s="15">
        <v>75</v>
      </c>
      <c r="AB76" s="15">
        <v>95</v>
      </c>
      <c r="AC76" s="18"/>
      <c r="AD76" s="18"/>
      <c r="AE76" s="15">
        <v>250</v>
      </c>
      <c r="AF76" s="15">
        <v>350</v>
      </c>
      <c r="AG76" s="15">
        <v>350</v>
      </c>
      <c r="AH76" s="15">
        <v>350</v>
      </c>
      <c r="AI76" s="15">
        <v>298.89</v>
      </c>
      <c r="AJ76" s="15"/>
      <c r="AK76" s="18"/>
      <c r="AL76" s="18"/>
      <c r="AM76" s="18"/>
      <c r="AN76" s="18"/>
      <c r="AO76" s="18">
        <v>115</v>
      </c>
      <c r="AP76" s="18">
        <v>140</v>
      </c>
      <c r="AQ76" s="18">
        <v>165</v>
      </c>
      <c r="AR76" s="18">
        <v>190</v>
      </c>
      <c r="AS76" s="18">
        <v>215</v>
      </c>
      <c r="AT76" s="18">
        <v>230</v>
      </c>
      <c r="AU76" s="18"/>
      <c r="AV76" s="18"/>
      <c r="AW76" s="18"/>
      <c r="AX76" s="18"/>
      <c r="AY76" s="16">
        <v>340</v>
      </c>
      <c r="AZ76" s="16">
        <v>400</v>
      </c>
      <c r="BA76" s="16">
        <v>174</v>
      </c>
      <c r="BB76" s="16">
        <v>206</v>
      </c>
      <c r="BC76" s="18"/>
      <c r="BD76" s="15">
        <v>100</v>
      </c>
      <c r="BE76" s="15">
        <v>110</v>
      </c>
      <c r="BF76" s="15">
        <v>120</v>
      </c>
      <c r="BG76" s="15">
        <v>140</v>
      </c>
      <c r="BH76" s="15">
        <v>160</v>
      </c>
      <c r="BI76" s="15">
        <v>180</v>
      </c>
      <c r="BJ76" s="15">
        <v>90</v>
      </c>
      <c r="BK76" s="18"/>
      <c r="BL76" s="18"/>
      <c r="BM76" s="18"/>
      <c r="BN76" s="18"/>
      <c r="BO76" s="18"/>
      <c r="BP76" s="18"/>
      <c r="BQ76" s="18"/>
      <c r="BR76" s="18"/>
      <c r="BS76" s="18"/>
    </row>
    <row r="77" spans="2:71" x14ac:dyDescent="0.35">
      <c r="B77" s="10">
        <v>50</v>
      </c>
      <c r="C77" s="10">
        <v>200</v>
      </c>
      <c r="D77" s="10">
        <v>300</v>
      </c>
      <c r="E77" s="10">
        <v>400</v>
      </c>
      <c r="F77" s="10">
        <v>460</v>
      </c>
      <c r="G77" s="10">
        <v>470</v>
      </c>
      <c r="H77" s="10">
        <v>140</v>
      </c>
      <c r="I77" s="10">
        <v>155</v>
      </c>
      <c r="J77" s="10">
        <v>310</v>
      </c>
      <c r="K77" s="10">
        <v>400</v>
      </c>
      <c r="L77" s="10"/>
      <c r="M77" s="10"/>
      <c r="N77" s="10"/>
      <c r="O77" s="10"/>
      <c r="P77" s="10"/>
      <c r="Q77" s="10"/>
      <c r="R77" s="10"/>
      <c r="S77" s="10"/>
      <c r="T77" s="10"/>
      <c r="U77" s="10"/>
      <c r="V77" s="10"/>
      <c r="W77" s="10">
        <v>165.55</v>
      </c>
      <c r="X77" s="16"/>
      <c r="Y77" s="10">
        <v>150</v>
      </c>
      <c r="Z77" s="10">
        <v>170</v>
      </c>
      <c r="AA77" s="10">
        <v>200</v>
      </c>
      <c r="AB77" s="10">
        <v>250</v>
      </c>
      <c r="AC77" s="10">
        <v>115.88500000000001</v>
      </c>
      <c r="AD77" s="10">
        <v>215.215</v>
      </c>
      <c r="AE77" s="10">
        <v>215</v>
      </c>
      <c r="AF77" s="10">
        <v>285</v>
      </c>
      <c r="AG77" s="10">
        <v>340</v>
      </c>
      <c r="AH77" s="10">
        <v>400</v>
      </c>
      <c r="AI77" s="10">
        <v>460</v>
      </c>
      <c r="AJ77" s="10"/>
      <c r="AK77" s="10">
        <v>115.88500000000001</v>
      </c>
      <c r="AL77" s="10">
        <v>165.55</v>
      </c>
      <c r="AM77" s="10">
        <v>215.215</v>
      </c>
      <c r="AN77" s="10">
        <v>248.32499999999999</v>
      </c>
      <c r="AO77" s="10">
        <v>250</v>
      </c>
      <c r="AP77" s="10">
        <v>300</v>
      </c>
      <c r="AQ77" s="10">
        <v>350</v>
      </c>
      <c r="AR77" s="10">
        <v>454</v>
      </c>
      <c r="AS77" s="10">
        <v>454</v>
      </c>
      <c r="AT77" s="10">
        <v>470</v>
      </c>
      <c r="AU77" s="10">
        <v>115.88500000000001</v>
      </c>
      <c r="AV77" s="10">
        <v>198.66</v>
      </c>
      <c r="AW77" s="10">
        <v>281.435</v>
      </c>
      <c r="AX77" s="10">
        <v>331.1</v>
      </c>
      <c r="AY77" s="10">
        <v>290</v>
      </c>
      <c r="AZ77" s="10">
        <v>320</v>
      </c>
      <c r="BA77" s="10">
        <v>308</v>
      </c>
      <c r="BB77" s="10">
        <v>372</v>
      </c>
      <c r="BC77" s="10">
        <v>148.995</v>
      </c>
      <c r="BD77" s="10">
        <v>110</v>
      </c>
      <c r="BE77" s="10">
        <v>140</v>
      </c>
      <c r="BF77" s="10">
        <v>170</v>
      </c>
      <c r="BG77" s="10">
        <v>230</v>
      </c>
      <c r="BH77" s="10">
        <v>290</v>
      </c>
      <c r="BI77" s="10">
        <v>350</v>
      </c>
      <c r="BJ77" s="10">
        <v>50</v>
      </c>
      <c r="BK77" s="10"/>
      <c r="BL77" s="10"/>
      <c r="BM77" s="10"/>
      <c r="BN77" s="10"/>
      <c r="BO77" s="10"/>
      <c r="BP77" s="10"/>
      <c r="BQ77" s="10"/>
      <c r="BR77" s="10"/>
      <c r="BS77" s="10"/>
    </row>
    <row r="78" spans="2:71" x14ac:dyDescent="0.35">
      <c r="B78" s="10">
        <v>200</v>
      </c>
      <c r="C78" s="10">
        <v>350</v>
      </c>
      <c r="D78" s="10">
        <v>450</v>
      </c>
      <c r="E78" s="10">
        <v>550</v>
      </c>
      <c r="F78" s="10">
        <v>560</v>
      </c>
      <c r="G78" s="10">
        <v>750</v>
      </c>
      <c r="H78" s="10">
        <v>280</v>
      </c>
      <c r="I78" s="10">
        <v>330</v>
      </c>
      <c r="J78" s="10">
        <v>320</v>
      </c>
      <c r="K78" s="10">
        <v>600</v>
      </c>
      <c r="L78" s="10"/>
      <c r="M78" s="10"/>
      <c r="N78" s="10"/>
      <c r="O78" s="10"/>
      <c r="P78" s="10"/>
      <c r="Q78" s="10"/>
      <c r="R78" s="10"/>
      <c r="S78" s="10"/>
      <c r="T78" s="10"/>
      <c r="U78" s="10"/>
      <c r="V78" s="10"/>
      <c r="W78" s="10">
        <v>430.43</v>
      </c>
      <c r="X78" s="16"/>
      <c r="Y78" s="10">
        <v>125</v>
      </c>
      <c r="Z78" s="10">
        <v>135</v>
      </c>
      <c r="AA78" s="10">
        <v>145</v>
      </c>
      <c r="AB78" s="10">
        <v>170</v>
      </c>
      <c r="AC78" s="10">
        <v>231.77</v>
      </c>
      <c r="AD78" s="10">
        <v>546.31500000000005</v>
      </c>
      <c r="AE78" s="10">
        <v>465</v>
      </c>
      <c r="AF78" s="10">
        <v>685</v>
      </c>
      <c r="AG78" s="10">
        <v>770</v>
      </c>
      <c r="AH78" s="10">
        <v>770</v>
      </c>
      <c r="AI78" s="10">
        <v>850</v>
      </c>
      <c r="AJ78" s="10"/>
      <c r="AK78" s="10">
        <v>215.215</v>
      </c>
      <c r="AL78" s="10">
        <v>264.88</v>
      </c>
      <c r="AM78" s="10">
        <v>297.99</v>
      </c>
      <c r="AN78" s="10">
        <v>331.1</v>
      </c>
      <c r="AO78" s="10">
        <v>330</v>
      </c>
      <c r="AP78" s="10">
        <v>380</v>
      </c>
      <c r="AQ78" s="10">
        <v>430</v>
      </c>
      <c r="AR78" s="10">
        <v>530</v>
      </c>
      <c r="AS78" s="10">
        <v>580</v>
      </c>
      <c r="AT78" s="10">
        <v>610</v>
      </c>
      <c r="AU78" s="10">
        <v>215.215</v>
      </c>
      <c r="AV78" s="10">
        <v>297.99</v>
      </c>
      <c r="AW78" s="10">
        <v>364.21</v>
      </c>
      <c r="AX78" s="10">
        <v>413.875</v>
      </c>
      <c r="AY78" s="10">
        <v>390</v>
      </c>
      <c r="AZ78" s="10">
        <v>480</v>
      </c>
      <c r="BA78" s="10">
        <v>436</v>
      </c>
      <c r="BB78" s="10">
        <v>498</v>
      </c>
      <c r="BC78" s="10">
        <v>331.1</v>
      </c>
      <c r="BD78" s="10">
        <v>260</v>
      </c>
      <c r="BE78" s="10">
        <v>290</v>
      </c>
      <c r="BF78" s="10">
        <v>320</v>
      </c>
      <c r="BG78" s="10">
        <v>380</v>
      </c>
      <c r="BH78" s="10">
        <v>440</v>
      </c>
      <c r="BI78" s="10">
        <v>500</v>
      </c>
      <c r="BJ78" s="10">
        <v>200</v>
      </c>
      <c r="BK78" s="10"/>
      <c r="BL78" s="10"/>
      <c r="BM78" s="10"/>
      <c r="BN78" s="10"/>
      <c r="BO78" s="10"/>
      <c r="BP78" s="10"/>
      <c r="BQ78" s="10"/>
      <c r="BR78" s="10"/>
      <c r="BS78" s="10"/>
    </row>
    <row r="79" spans="2:71" x14ac:dyDescent="0.35">
      <c r="B79" s="10">
        <v>200</v>
      </c>
      <c r="C79" s="10">
        <v>350</v>
      </c>
      <c r="D79" s="10">
        <v>450</v>
      </c>
      <c r="E79" s="10">
        <v>550</v>
      </c>
      <c r="F79" s="10">
        <v>560</v>
      </c>
      <c r="G79" s="10">
        <v>750</v>
      </c>
      <c r="H79" s="10">
        <v>280</v>
      </c>
      <c r="I79" s="10">
        <v>330</v>
      </c>
      <c r="J79" s="10">
        <v>520</v>
      </c>
      <c r="K79" s="10">
        <v>600</v>
      </c>
      <c r="L79" s="10"/>
      <c r="M79" s="10"/>
      <c r="N79" s="10"/>
      <c r="O79" s="10"/>
      <c r="P79" s="10"/>
      <c r="Q79" s="10"/>
      <c r="R79" s="10"/>
      <c r="S79" s="10"/>
      <c r="T79" s="10"/>
      <c r="U79" s="10"/>
      <c r="V79" s="10"/>
      <c r="W79" s="10">
        <v>662.2</v>
      </c>
      <c r="X79" s="16"/>
      <c r="Y79" s="10">
        <v>200</v>
      </c>
      <c r="Z79" s="10">
        <v>210</v>
      </c>
      <c r="AA79" s="10">
        <v>220</v>
      </c>
      <c r="AB79" s="10">
        <v>270</v>
      </c>
      <c r="AC79" s="10">
        <v>331.1</v>
      </c>
      <c r="AD79" s="10">
        <v>794.64</v>
      </c>
      <c r="AE79" s="10">
        <v>595</v>
      </c>
      <c r="AF79" s="10">
        <v>825</v>
      </c>
      <c r="AG79" s="10">
        <v>850</v>
      </c>
      <c r="AH79" s="10">
        <v>850</v>
      </c>
      <c r="AI79" s="10">
        <v>747.78</v>
      </c>
      <c r="AJ79" s="10"/>
      <c r="AK79" s="10">
        <v>215.215</v>
      </c>
      <c r="AL79" s="10">
        <v>264.88</v>
      </c>
      <c r="AM79" s="10">
        <v>297.99</v>
      </c>
      <c r="AN79" s="10">
        <v>331.1</v>
      </c>
      <c r="AO79" s="10">
        <v>330</v>
      </c>
      <c r="AP79" s="10">
        <v>380</v>
      </c>
      <c r="AQ79" s="10">
        <v>430</v>
      </c>
      <c r="AR79" s="10">
        <v>530</v>
      </c>
      <c r="AS79" s="10">
        <v>580</v>
      </c>
      <c r="AT79" s="10">
        <v>610</v>
      </c>
      <c r="AU79" s="10">
        <v>215.215</v>
      </c>
      <c r="AV79" s="10">
        <v>297.99</v>
      </c>
      <c r="AW79" s="10">
        <v>364.21</v>
      </c>
      <c r="AX79" s="10">
        <v>413.875</v>
      </c>
      <c r="AY79" s="10">
        <v>490</v>
      </c>
      <c r="AZ79" s="10">
        <v>550</v>
      </c>
      <c r="BA79" s="10">
        <v>324</v>
      </c>
      <c r="BB79" s="10">
        <v>356</v>
      </c>
      <c r="BC79" s="10">
        <v>397.32</v>
      </c>
      <c r="BD79" s="10">
        <v>260</v>
      </c>
      <c r="BE79" s="10">
        <v>290</v>
      </c>
      <c r="BF79" s="10">
        <v>320</v>
      </c>
      <c r="BG79" s="10">
        <v>380</v>
      </c>
      <c r="BH79" s="10">
        <v>440</v>
      </c>
      <c r="BI79" s="10">
        <v>500</v>
      </c>
      <c r="BJ79" s="10">
        <v>200</v>
      </c>
      <c r="BK79" s="10"/>
      <c r="BL79" s="10"/>
      <c r="BM79" s="10"/>
      <c r="BN79" s="10"/>
      <c r="BO79" s="10"/>
      <c r="BP79" s="10"/>
      <c r="BQ79" s="10"/>
      <c r="BR79" s="10"/>
      <c r="BS79" s="10"/>
    </row>
    <row r="80" spans="2:71" x14ac:dyDescent="0.35">
      <c r="B80" s="9">
        <v>50</v>
      </c>
      <c r="C80" s="9">
        <v>100</v>
      </c>
      <c r="D80" s="9">
        <v>150</v>
      </c>
      <c r="E80" s="9">
        <v>200</v>
      </c>
      <c r="F80" s="9">
        <v>200</v>
      </c>
      <c r="G80" s="9">
        <v>200</v>
      </c>
      <c r="H80" s="9">
        <v>150</v>
      </c>
      <c r="I80" s="9">
        <v>175</v>
      </c>
      <c r="J80" s="9">
        <v>200</v>
      </c>
      <c r="K80" s="9">
        <v>200</v>
      </c>
      <c r="L80" s="9"/>
      <c r="M80" s="9"/>
      <c r="N80" s="9"/>
      <c r="O80" s="9"/>
      <c r="P80" s="9"/>
      <c r="Q80" s="9"/>
      <c r="R80" s="9"/>
      <c r="S80" s="9"/>
      <c r="T80" s="9"/>
      <c r="U80" s="9"/>
      <c r="V80" s="9">
        <v>100</v>
      </c>
      <c r="W80" s="9">
        <v>331.1</v>
      </c>
      <c r="X80" s="9">
        <v>200</v>
      </c>
      <c r="Y80" s="9">
        <v>150</v>
      </c>
      <c r="Z80" s="9">
        <v>150</v>
      </c>
      <c r="AA80" s="9">
        <v>200</v>
      </c>
      <c r="AB80" s="9">
        <v>250</v>
      </c>
      <c r="AC80" s="9">
        <v>215.215</v>
      </c>
      <c r="AD80" s="9">
        <v>380.76500000000004</v>
      </c>
      <c r="AE80" s="9">
        <v>132.44</v>
      </c>
      <c r="AF80" s="9">
        <v>264.88</v>
      </c>
      <c r="AG80" s="9">
        <v>331.1</v>
      </c>
      <c r="AH80" s="9">
        <v>364.21</v>
      </c>
      <c r="AI80" s="9">
        <v>397.32</v>
      </c>
      <c r="AJ80" s="9"/>
      <c r="AK80" s="9">
        <v>215.215</v>
      </c>
      <c r="AL80" s="9">
        <v>264.88</v>
      </c>
      <c r="AM80" s="9">
        <v>331.1</v>
      </c>
      <c r="AN80" s="9">
        <v>380.76500000000004</v>
      </c>
      <c r="AO80" s="9">
        <v>100</v>
      </c>
      <c r="AP80" s="9">
        <v>100</v>
      </c>
      <c r="AQ80" s="9">
        <v>1202</v>
      </c>
      <c r="AR80" s="9">
        <v>150</v>
      </c>
      <c r="AS80" s="9">
        <v>150</v>
      </c>
      <c r="AT80" s="9">
        <v>250</v>
      </c>
      <c r="AU80" s="9">
        <v>215.215</v>
      </c>
      <c r="AV80" s="9">
        <v>264.88</v>
      </c>
      <c r="AW80" s="9">
        <v>331.1</v>
      </c>
      <c r="AX80" s="9">
        <v>380.76500000000004</v>
      </c>
      <c r="AY80" s="9">
        <v>250</v>
      </c>
      <c r="AZ80" s="9">
        <v>300</v>
      </c>
      <c r="BA80" s="9">
        <v>330</v>
      </c>
      <c r="BB80" s="9">
        <v>350</v>
      </c>
      <c r="BC80" s="9">
        <v>264.88</v>
      </c>
      <c r="BD80" s="9">
        <v>100</v>
      </c>
      <c r="BE80" s="9">
        <v>130</v>
      </c>
      <c r="BF80" s="9">
        <v>170</v>
      </c>
      <c r="BG80" s="9">
        <v>250</v>
      </c>
      <c r="BH80" s="9">
        <v>330</v>
      </c>
      <c r="BI80" s="9">
        <v>410</v>
      </c>
      <c r="BJ80" s="9"/>
      <c r="BK80" s="9"/>
      <c r="BL80" s="9"/>
      <c r="BM80" s="9"/>
      <c r="BN80" s="9"/>
      <c r="BO80" s="9"/>
      <c r="BP80" s="9"/>
      <c r="BQ80" s="9"/>
      <c r="BR80" s="9"/>
      <c r="BS80" s="9"/>
    </row>
    <row r="81" spans="2:71" x14ac:dyDescent="0.35">
      <c r="B81" s="19">
        <v>200</v>
      </c>
      <c r="C81" s="19">
        <v>300</v>
      </c>
      <c r="D81" s="19">
        <v>400</v>
      </c>
      <c r="E81" s="19">
        <v>600</v>
      </c>
      <c r="F81" s="19">
        <v>600</v>
      </c>
      <c r="G81" s="19">
        <v>600</v>
      </c>
      <c r="H81" s="19">
        <v>150</v>
      </c>
      <c r="I81" s="19">
        <v>150</v>
      </c>
      <c r="J81" s="19">
        <v>200</v>
      </c>
      <c r="K81" s="19">
        <v>200</v>
      </c>
      <c r="L81" s="19"/>
      <c r="M81" s="19"/>
      <c r="N81" s="19"/>
      <c r="O81" s="19"/>
      <c r="P81" s="19"/>
      <c r="Q81" s="19"/>
      <c r="R81" s="19"/>
      <c r="S81" s="19"/>
      <c r="T81" s="19"/>
      <c r="U81" s="19"/>
      <c r="V81" s="19">
        <v>0</v>
      </c>
      <c r="W81" s="19">
        <v>496.65</v>
      </c>
      <c r="X81" s="19">
        <v>200</v>
      </c>
      <c r="Y81" s="19">
        <v>150</v>
      </c>
      <c r="Z81" s="19">
        <v>150</v>
      </c>
      <c r="AA81" s="19">
        <v>200</v>
      </c>
      <c r="AB81" s="19">
        <v>250</v>
      </c>
      <c r="AC81" s="19">
        <v>231.77</v>
      </c>
      <c r="AD81" s="19">
        <v>595.98</v>
      </c>
      <c r="AE81" s="19" t="s">
        <v>78</v>
      </c>
      <c r="AF81" s="19">
        <v>264.88</v>
      </c>
      <c r="AG81" s="19">
        <v>397.32</v>
      </c>
      <c r="AH81" s="19">
        <v>529.76</v>
      </c>
      <c r="AI81" s="19">
        <v>827.75</v>
      </c>
      <c r="AJ81" s="19" t="s">
        <v>78</v>
      </c>
      <c r="AK81" s="19">
        <v>231.77</v>
      </c>
      <c r="AL81" s="19">
        <v>380.76500000000004</v>
      </c>
      <c r="AM81" s="19">
        <v>496.65</v>
      </c>
      <c r="AN81" s="19">
        <v>595.98</v>
      </c>
      <c r="AO81" s="19">
        <v>100</v>
      </c>
      <c r="AP81" s="19">
        <v>200</v>
      </c>
      <c r="AQ81" s="19">
        <v>250</v>
      </c>
      <c r="AR81" s="19">
        <v>275</v>
      </c>
      <c r="AS81" s="19">
        <v>300</v>
      </c>
      <c r="AT81" s="19">
        <v>350</v>
      </c>
      <c r="AU81" s="19">
        <v>231.77</v>
      </c>
      <c r="AV81" s="19">
        <v>380.76500000000004</v>
      </c>
      <c r="AW81" s="19">
        <v>496.65</v>
      </c>
      <c r="AX81" s="19">
        <v>595.98</v>
      </c>
      <c r="AY81" s="19">
        <v>300</v>
      </c>
      <c r="AZ81" s="19">
        <v>400</v>
      </c>
      <c r="BA81" s="19">
        <v>500</v>
      </c>
      <c r="BB81" s="19">
        <v>550</v>
      </c>
      <c r="BC81" s="19">
        <v>380.76500000000004</v>
      </c>
      <c r="BD81" s="20">
        <v>200</v>
      </c>
      <c r="BE81" s="20">
        <v>250</v>
      </c>
      <c r="BF81" s="20">
        <v>350</v>
      </c>
      <c r="BG81" s="20">
        <v>450</v>
      </c>
      <c r="BH81" s="20">
        <v>550</v>
      </c>
      <c r="BI81" s="20">
        <v>630</v>
      </c>
      <c r="BJ81" s="20">
        <v>0</v>
      </c>
      <c r="BK81" s="19"/>
      <c r="BL81" s="19"/>
      <c r="BM81" s="19"/>
      <c r="BN81" s="19"/>
      <c r="BO81" s="19"/>
      <c r="BP81" s="19"/>
      <c r="BQ81" s="19"/>
      <c r="BR81" s="19"/>
      <c r="BS81" s="19"/>
    </row>
    <row r="83" spans="2:71" x14ac:dyDescent="0.35">
      <c r="B83" s="2"/>
      <c r="C83" s="2"/>
      <c r="D83" s="2"/>
      <c r="E83" s="2"/>
      <c r="F83" s="2"/>
      <c r="G83" s="2"/>
      <c r="V83" s="2"/>
      <c r="AO83" s="2"/>
      <c r="AP83" s="2"/>
      <c r="AQ83" s="2"/>
      <c r="AR83" s="2"/>
      <c r="AS83" s="2"/>
      <c r="AT83" s="2"/>
    </row>
    <row r="84" spans="2:71" x14ac:dyDescent="0.35">
      <c r="B84" s="3">
        <v>1</v>
      </c>
      <c r="C84" s="3">
        <v>1.5</v>
      </c>
      <c r="D84" s="3">
        <v>2</v>
      </c>
      <c r="E84" s="3">
        <v>3</v>
      </c>
      <c r="F84" s="3">
        <v>4</v>
      </c>
      <c r="G84" s="3">
        <v>4</v>
      </c>
      <c r="H84" s="3">
        <v>1.5</v>
      </c>
      <c r="I84" s="3">
        <v>1.5</v>
      </c>
      <c r="J84" s="3">
        <v>2</v>
      </c>
      <c r="K84" s="3">
        <v>2</v>
      </c>
      <c r="L84" s="3"/>
      <c r="M84" s="3"/>
      <c r="N84" s="3"/>
      <c r="O84" s="3"/>
      <c r="P84" s="3"/>
      <c r="Q84" s="3"/>
      <c r="R84" s="3"/>
      <c r="S84" s="3"/>
      <c r="T84" s="3"/>
      <c r="U84" s="3"/>
      <c r="V84" s="3">
        <v>1.25</v>
      </c>
      <c r="W84" s="3">
        <v>3.7</v>
      </c>
      <c r="X84" s="3">
        <v>1.5</v>
      </c>
      <c r="Y84" s="3">
        <v>1</v>
      </c>
      <c r="Z84" s="3">
        <v>1</v>
      </c>
      <c r="AA84" s="3">
        <v>1</v>
      </c>
      <c r="AB84" s="3">
        <v>1</v>
      </c>
      <c r="AC84" s="3">
        <v>1.7</v>
      </c>
      <c r="AD84" s="3">
        <v>4.7</v>
      </c>
      <c r="AE84" s="3">
        <v>1</v>
      </c>
      <c r="AF84" s="3">
        <v>2</v>
      </c>
      <c r="AG84" s="3">
        <v>2.5</v>
      </c>
      <c r="AH84" s="3">
        <v>3.5</v>
      </c>
      <c r="AI84" s="3">
        <v>5</v>
      </c>
      <c r="AJ84" s="3">
        <v>1</v>
      </c>
      <c r="AK84" s="3">
        <v>1.7</v>
      </c>
      <c r="AL84" s="3">
        <v>2.7</v>
      </c>
      <c r="AM84" s="3">
        <v>3.7</v>
      </c>
      <c r="AN84" s="3">
        <v>4.7</v>
      </c>
      <c r="AO84" s="3">
        <v>2</v>
      </c>
      <c r="AP84" s="3">
        <v>3.25</v>
      </c>
      <c r="AQ84" s="3">
        <v>3.75</v>
      </c>
      <c r="AR84" s="3">
        <v>4.25</v>
      </c>
      <c r="AS84" s="3">
        <v>4.5</v>
      </c>
      <c r="AT84" s="3">
        <v>5.5</v>
      </c>
      <c r="AU84" s="3">
        <v>1.7</v>
      </c>
      <c r="AV84" s="3">
        <v>2.7</v>
      </c>
      <c r="AW84" s="3">
        <v>3.7</v>
      </c>
      <c r="AX84" s="3">
        <v>4.7</v>
      </c>
      <c r="AY84" s="3">
        <v>1.5</v>
      </c>
      <c r="AZ84" s="3">
        <v>2</v>
      </c>
      <c r="BA84" s="3">
        <v>2</v>
      </c>
      <c r="BB84" s="3">
        <v>2.5</v>
      </c>
      <c r="BC84" s="3">
        <v>2.7</v>
      </c>
      <c r="BD84" s="3">
        <v>1</v>
      </c>
      <c r="BE84" s="3">
        <v>1</v>
      </c>
      <c r="BF84" s="3">
        <v>1</v>
      </c>
      <c r="BG84" s="3">
        <v>1</v>
      </c>
      <c r="BH84" s="3">
        <v>1</v>
      </c>
      <c r="BI84" s="3">
        <v>1</v>
      </c>
      <c r="BJ84" s="3">
        <v>1</v>
      </c>
      <c r="BK84" s="3"/>
      <c r="BL84" s="3"/>
      <c r="BM84" s="3"/>
      <c r="BN84" s="3"/>
      <c r="BO84" s="3"/>
      <c r="BP84" s="3"/>
      <c r="BQ84" s="3"/>
      <c r="BR84" s="3"/>
      <c r="BS84" s="3"/>
    </row>
    <row r="85" spans="2:71" x14ac:dyDescent="0.35">
      <c r="B85" s="3">
        <v>1</v>
      </c>
      <c r="C85" s="3">
        <v>1.5</v>
      </c>
      <c r="D85" s="3">
        <v>2.5</v>
      </c>
      <c r="E85" s="3">
        <v>3.5</v>
      </c>
      <c r="F85" s="3">
        <v>4.5</v>
      </c>
      <c r="G85" s="3">
        <v>4.5</v>
      </c>
      <c r="H85" s="3">
        <v>1.5</v>
      </c>
      <c r="I85" s="3">
        <v>1.5</v>
      </c>
      <c r="J85" s="3">
        <v>2</v>
      </c>
      <c r="K85" s="3">
        <v>2</v>
      </c>
      <c r="L85" s="3"/>
      <c r="M85" s="3"/>
      <c r="N85" s="3"/>
      <c r="O85" s="3"/>
      <c r="P85" s="3"/>
      <c r="Q85" s="3"/>
      <c r="R85" s="3"/>
      <c r="S85" s="3"/>
      <c r="T85" s="3"/>
      <c r="U85" s="3"/>
      <c r="V85" s="3">
        <v>1.25</v>
      </c>
      <c r="W85" s="3">
        <v>4.2</v>
      </c>
      <c r="X85" s="3">
        <v>1.5</v>
      </c>
      <c r="Y85" s="3">
        <v>1.5</v>
      </c>
      <c r="Z85" s="3">
        <v>1.5</v>
      </c>
      <c r="AA85" s="3">
        <v>2</v>
      </c>
      <c r="AB85" s="3">
        <v>2.5</v>
      </c>
      <c r="AC85" s="3">
        <v>2.2000000000000002</v>
      </c>
      <c r="AD85" s="3">
        <v>5.2</v>
      </c>
      <c r="AE85" s="3">
        <v>1.3</v>
      </c>
      <c r="AF85" s="3">
        <v>2</v>
      </c>
      <c r="AG85" s="3">
        <v>2.5</v>
      </c>
      <c r="AH85" s="3">
        <v>3.5</v>
      </c>
      <c r="AI85" s="3">
        <v>5</v>
      </c>
      <c r="AJ85" s="3">
        <v>1</v>
      </c>
      <c r="AK85" s="3">
        <v>2.2000000000000002</v>
      </c>
      <c r="AL85" s="3">
        <v>3.2</v>
      </c>
      <c r="AM85" s="3">
        <v>4.2</v>
      </c>
      <c r="AN85" s="3">
        <v>5.2</v>
      </c>
      <c r="AO85" s="3">
        <v>2</v>
      </c>
      <c r="AP85" s="3">
        <v>3.25</v>
      </c>
      <c r="AQ85" s="3">
        <v>3.75</v>
      </c>
      <c r="AR85" s="3">
        <v>4.25</v>
      </c>
      <c r="AS85" s="3">
        <v>4.5</v>
      </c>
      <c r="AT85" s="3">
        <v>5.5</v>
      </c>
      <c r="AU85" s="3">
        <v>2.2000000000000002</v>
      </c>
      <c r="AV85" s="3">
        <v>3.2</v>
      </c>
      <c r="AW85" s="3">
        <v>4.2</v>
      </c>
      <c r="AX85" s="3">
        <v>5.2</v>
      </c>
      <c r="AY85" s="3">
        <v>1.5</v>
      </c>
      <c r="AZ85" s="3">
        <v>2</v>
      </c>
      <c r="BA85" s="3">
        <v>2</v>
      </c>
      <c r="BB85" s="3">
        <v>3</v>
      </c>
      <c r="BC85" s="3">
        <v>3.2</v>
      </c>
      <c r="BD85" s="3">
        <v>1.3</v>
      </c>
      <c r="BE85" s="3">
        <v>1.8</v>
      </c>
      <c r="BF85" s="3">
        <v>2.2999999999999998</v>
      </c>
      <c r="BG85" s="3">
        <v>3.3</v>
      </c>
      <c r="BH85" s="3">
        <v>4.3</v>
      </c>
      <c r="BI85" s="3">
        <v>5</v>
      </c>
      <c r="BJ85" s="3">
        <v>1</v>
      </c>
      <c r="BK85" s="3"/>
      <c r="BL85" s="3"/>
      <c r="BM85" s="3"/>
      <c r="BN85" s="3"/>
      <c r="BO85" s="3"/>
      <c r="BP85" s="3"/>
      <c r="BQ85" s="3"/>
      <c r="BR85" s="3"/>
      <c r="BS85" s="3"/>
    </row>
    <row r="86" spans="2:71" x14ac:dyDescent="0.35">
      <c r="B86" s="3">
        <v>1</v>
      </c>
      <c r="C86" s="3">
        <v>1.5</v>
      </c>
      <c r="D86" s="3">
        <v>2.5</v>
      </c>
      <c r="E86" s="3">
        <v>3.5</v>
      </c>
      <c r="F86" s="3">
        <v>4.5</v>
      </c>
      <c r="G86" s="3">
        <v>4.5</v>
      </c>
      <c r="H86" s="3">
        <v>2</v>
      </c>
      <c r="I86" s="3">
        <v>3</v>
      </c>
      <c r="J86" s="3">
        <v>3</v>
      </c>
      <c r="K86" s="3">
        <v>4</v>
      </c>
      <c r="L86" s="3"/>
      <c r="M86" s="3"/>
      <c r="N86" s="3"/>
      <c r="O86" s="3"/>
      <c r="P86" s="3"/>
      <c r="Q86" s="3"/>
      <c r="R86" s="3"/>
      <c r="S86" s="3"/>
      <c r="T86" s="3"/>
      <c r="U86" s="3"/>
      <c r="V86" s="3">
        <v>1.25</v>
      </c>
      <c r="W86" s="3">
        <v>4</v>
      </c>
      <c r="X86" s="4" t="s">
        <v>119</v>
      </c>
      <c r="Y86" s="3">
        <v>2</v>
      </c>
      <c r="Z86" s="3">
        <v>3</v>
      </c>
      <c r="AA86" s="3">
        <v>3</v>
      </c>
      <c r="AB86" s="3">
        <v>5</v>
      </c>
      <c r="AC86" s="3">
        <v>3</v>
      </c>
      <c r="AD86" s="3">
        <v>4.5</v>
      </c>
      <c r="AE86" s="3">
        <v>1.5</v>
      </c>
      <c r="AF86" s="3">
        <v>2</v>
      </c>
      <c r="AG86" s="3">
        <v>2.5</v>
      </c>
      <c r="AH86" s="3">
        <v>3</v>
      </c>
      <c r="AI86" s="3">
        <v>4</v>
      </c>
      <c r="AJ86" s="3">
        <v>1</v>
      </c>
      <c r="AK86" s="3">
        <v>3</v>
      </c>
      <c r="AL86" s="3">
        <v>3.5</v>
      </c>
      <c r="AM86" s="3">
        <v>4</v>
      </c>
      <c r="AN86" s="3">
        <v>4.5</v>
      </c>
      <c r="AO86" s="3">
        <v>2</v>
      </c>
      <c r="AP86" s="3">
        <v>3.25</v>
      </c>
      <c r="AQ86" s="3">
        <v>3.75</v>
      </c>
      <c r="AR86" s="3">
        <v>4.25</v>
      </c>
      <c r="AS86" s="3">
        <v>4.5</v>
      </c>
      <c r="AT86" s="3">
        <v>5.5</v>
      </c>
      <c r="AU86" s="3">
        <v>3</v>
      </c>
      <c r="AV86" s="3">
        <v>3.5</v>
      </c>
      <c r="AW86" s="3">
        <v>4</v>
      </c>
      <c r="AX86" s="3">
        <v>4.5</v>
      </c>
      <c r="AY86" s="3">
        <v>3</v>
      </c>
      <c r="AZ86" s="3">
        <v>3.5</v>
      </c>
      <c r="BA86" s="3">
        <v>4.5</v>
      </c>
      <c r="BB86" s="3">
        <v>5</v>
      </c>
      <c r="BC86" s="3">
        <v>3.5</v>
      </c>
      <c r="BD86" s="3">
        <v>2</v>
      </c>
      <c r="BE86" s="3">
        <v>2.5</v>
      </c>
      <c r="BF86" s="3">
        <v>3</v>
      </c>
      <c r="BG86" s="3">
        <v>4</v>
      </c>
      <c r="BH86" s="3">
        <v>5</v>
      </c>
      <c r="BI86" s="3">
        <v>5</v>
      </c>
      <c r="BJ86" s="3">
        <v>1.25</v>
      </c>
      <c r="BK86" s="3"/>
      <c r="BL86" s="3"/>
      <c r="BM86" s="3"/>
      <c r="BN86" s="3"/>
      <c r="BO86" s="3"/>
      <c r="BP86" s="3"/>
      <c r="BQ86" s="3"/>
      <c r="BR86" s="3"/>
      <c r="BS86" s="3"/>
    </row>
    <row r="87" spans="2:71" x14ac:dyDescent="0.35">
      <c r="B87" s="10">
        <v>382</v>
      </c>
      <c r="C87" s="10">
        <v>764</v>
      </c>
      <c r="D87" s="10">
        <v>1146</v>
      </c>
      <c r="E87" s="10">
        <v>1146</v>
      </c>
      <c r="F87" s="10">
        <v>1146</v>
      </c>
      <c r="G87" s="10">
        <v>1146</v>
      </c>
      <c r="H87" s="10">
        <v>200</v>
      </c>
      <c r="I87" s="10">
        <v>250</v>
      </c>
      <c r="J87" s="10">
        <v>300</v>
      </c>
      <c r="K87" s="10">
        <v>400</v>
      </c>
      <c r="L87" s="10"/>
      <c r="M87" s="10"/>
      <c r="N87" s="10"/>
      <c r="O87" s="10"/>
      <c r="P87" s="10"/>
      <c r="Q87" s="10"/>
      <c r="R87" s="10"/>
      <c r="S87" s="10"/>
      <c r="T87" s="10"/>
      <c r="U87" s="10"/>
      <c r="V87" s="10" t="s">
        <v>74</v>
      </c>
      <c r="W87" s="21">
        <v>215.215</v>
      </c>
      <c r="X87" s="4"/>
      <c r="Y87" s="10">
        <v>200</v>
      </c>
      <c r="Z87" s="10">
        <v>250</v>
      </c>
      <c r="AA87" s="10">
        <v>300</v>
      </c>
      <c r="AB87" s="10">
        <v>500</v>
      </c>
      <c r="AC87" s="21">
        <v>115.88500000000001</v>
      </c>
      <c r="AD87" s="21">
        <v>264.88</v>
      </c>
      <c r="AE87" s="21"/>
      <c r="AF87" s="21">
        <v>198.66</v>
      </c>
      <c r="AG87" s="21">
        <v>331.1</v>
      </c>
      <c r="AH87" s="21">
        <v>463.54</v>
      </c>
      <c r="AI87" s="21">
        <v>794.64</v>
      </c>
      <c r="AJ87" s="21"/>
      <c r="AK87" s="10">
        <v>115.88500000000001</v>
      </c>
      <c r="AL87" s="10">
        <v>165.55</v>
      </c>
      <c r="AM87" s="10">
        <v>215.215</v>
      </c>
      <c r="AN87" s="10">
        <v>264.88</v>
      </c>
      <c r="AO87" s="10" t="s">
        <v>74</v>
      </c>
      <c r="AP87" s="10" t="s">
        <v>74</v>
      </c>
      <c r="AQ87" s="10" t="s">
        <v>74</v>
      </c>
      <c r="AR87" s="10" t="s">
        <v>74</v>
      </c>
      <c r="AS87" s="10" t="s">
        <v>74</v>
      </c>
      <c r="AT87" s="10" t="s">
        <v>74</v>
      </c>
      <c r="AU87" s="10">
        <v>115.88500000000001</v>
      </c>
      <c r="AV87" s="10">
        <v>165.55</v>
      </c>
      <c r="AW87" s="10">
        <v>215.215</v>
      </c>
      <c r="AX87" s="10">
        <v>264.88</v>
      </c>
      <c r="AY87" s="21">
        <v>200</v>
      </c>
      <c r="AZ87" s="21">
        <v>250</v>
      </c>
      <c r="BA87" s="21">
        <v>300</v>
      </c>
      <c r="BB87" s="21">
        <v>350</v>
      </c>
      <c r="BC87" s="21">
        <v>165.55</v>
      </c>
      <c r="BD87" s="3">
        <v>1</v>
      </c>
      <c r="BE87" s="3">
        <v>1.5</v>
      </c>
      <c r="BF87" s="3">
        <v>2</v>
      </c>
      <c r="BG87" s="3">
        <v>3</v>
      </c>
      <c r="BH87" s="3">
        <v>4</v>
      </c>
      <c r="BI87" s="3">
        <v>4</v>
      </c>
      <c r="BJ87" s="3">
        <v>0</v>
      </c>
      <c r="BK87" s="10"/>
      <c r="BL87" s="10"/>
      <c r="BM87" s="10"/>
      <c r="BN87" s="10"/>
      <c r="BO87" s="10"/>
      <c r="BP87" s="10"/>
      <c r="BQ87" s="10"/>
      <c r="BR87" s="10"/>
      <c r="BS87" s="10"/>
    </row>
    <row r="88" spans="2:71" x14ac:dyDescent="0.35">
      <c r="B88" s="10"/>
      <c r="C88" s="10"/>
      <c r="D88" s="10"/>
      <c r="E88" s="10">
        <v>800</v>
      </c>
      <c r="F88" s="10">
        <v>1000</v>
      </c>
      <c r="G88" s="10">
        <v>1000</v>
      </c>
      <c r="H88" s="10">
        <v>1500</v>
      </c>
      <c r="I88" s="10">
        <v>1750</v>
      </c>
      <c r="J88" s="10">
        <v>2000</v>
      </c>
      <c r="K88" s="10">
        <v>2000</v>
      </c>
      <c r="L88" s="10"/>
      <c r="M88" s="10"/>
      <c r="N88" s="10"/>
      <c r="O88" s="10"/>
      <c r="P88" s="10"/>
      <c r="Q88" s="10"/>
      <c r="R88" s="10"/>
      <c r="S88" s="10"/>
      <c r="T88" s="10"/>
      <c r="U88" s="10"/>
      <c r="V88" s="10"/>
      <c r="W88" s="10">
        <v>2731.5749999999998</v>
      </c>
      <c r="X88" s="10"/>
      <c r="Y88" s="10">
        <v>1350</v>
      </c>
      <c r="Z88" s="10">
        <v>1575</v>
      </c>
      <c r="AA88" s="10">
        <v>1800</v>
      </c>
      <c r="AB88" s="10">
        <v>3000</v>
      </c>
      <c r="AC88" s="10">
        <v>1638.9449999999999</v>
      </c>
      <c r="AD88" s="10">
        <v>3311</v>
      </c>
      <c r="AE88" s="10"/>
      <c r="AF88" s="10"/>
      <c r="AG88" s="10"/>
      <c r="AH88" s="10"/>
      <c r="AI88" s="10"/>
      <c r="AJ88" s="10"/>
      <c r="AK88" s="10">
        <v>1638.9449999999999</v>
      </c>
      <c r="AL88" s="10">
        <v>2185.2600000000002</v>
      </c>
      <c r="AM88" s="10">
        <v>2715.02</v>
      </c>
      <c r="AN88" s="10">
        <v>3311</v>
      </c>
      <c r="AO88" s="10"/>
      <c r="AP88" s="10">
        <v>700</v>
      </c>
      <c r="AQ88" s="10">
        <v>800</v>
      </c>
      <c r="AR88" s="10">
        <v>900</v>
      </c>
      <c r="AS88" s="10">
        <v>1000</v>
      </c>
      <c r="AT88" s="10">
        <v>1200</v>
      </c>
      <c r="AU88" s="10">
        <v>1638.9449999999999</v>
      </c>
      <c r="AV88" s="10">
        <v>2185.2600000000002</v>
      </c>
      <c r="AW88" s="10">
        <v>2715.02</v>
      </c>
      <c r="AX88" s="10">
        <v>3311</v>
      </c>
      <c r="AY88" s="10">
        <v>2250</v>
      </c>
      <c r="AZ88" s="10">
        <v>3000</v>
      </c>
      <c r="BA88" s="10">
        <v>3750</v>
      </c>
      <c r="BB88" s="10">
        <v>4000</v>
      </c>
      <c r="BC88" s="10">
        <v>2185.2600000000002</v>
      </c>
      <c r="BD88" s="10">
        <v>700</v>
      </c>
      <c r="BE88" s="10">
        <v>900</v>
      </c>
      <c r="BF88" s="10">
        <v>1100</v>
      </c>
      <c r="BG88" s="10">
        <v>1500</v>
      </c>
      <c r="BH88" s="10">
        <v>1900</v>
      </c>
      <c r="BI88" s="10">
        <v>2300</v>
      </c>
      <c r="BJ88" s="10">
        <v>500</v>
      </c>
      <c r="BK88" s="10"/>
      <c r="BL88" s="10"/>
      <c r="BM88" s="10"/>
      <c r="BN88" s="10"/>
      <c r="BO88" s="10"/>
      <c r="BP88" s="10"/>
      <c r="BQ88" s="10"/>
      <c r="BR88" s="10"/>
      <c r="BS88" s="10"/>
    </row>
    <row r="89" spans="2:71" x14ac:dyDescent="0.35">
      <c r="B89" s="10"/>
      <c r="C89" s="10"/>
      <c r="D89" s="10"/>
      <c r="E89" s="10">
        <v>1000</v>
      </c>
      <c r="F89" s="10">
        <v>1200</v>
      </c>
      <c r="G89" s="10">
        <v>1200</v>
      </c>
      <c r="H89" s="10">
        <v>2000</v>
      </c>
      <c r="I89" s="10">
        <v>2500</v>
      </c>
      <c r="J89" s="10">
        <v>3000</v>
      </c>
      <c r="K89" s="10">
        <v>3000</v>
      </c>
      <c r="L89" s="10"/>
      <c r="M89" s="10"/>
      <c r="N89" s="10"/>
      <c r="O89" s="10"/>
      <c r="P89" s="10"/>
      <c r="Q89" s="10"/>
      <c r="R89" s="10"/>
      <c r="S89" s="10"/>
      <c r="T89" s="10"/>
      <c r="U89" s="10"/>
      <c r="V89" s="10"/>
      <c r="W89" s="10">
        <v>3807.6499999999996</v>
      </c>
      <c r="X89" s="10"/>
      <c r="Y89" s="10">
        <v>1800</v>
      </c>
      <c r="Z89" s="10">
        <v>2250</v>
      </c>
      <c r="AA89" s="10">
        <v>2700</v>
      </c>
      <c r="AB89" s="10">
        <v>4000</v>
      </c>
      <c r="AC89" s="10">
        <v>2731.5749999999998</v>
      </c>
      <c r="AD89" s="10">
        <v>4370.5200000000004</v>
      </c>
      <c r="AE89" s="10"/>
      <c r="AF89" s="10"/>
      <c r="AG89" s="10"/>
      <c r="AH89" s="10"/>
      <c r="AI89" s="10"/>
      <c r="AJ89" s="10"/>
      <c r="AK89" s="10">
        <v>2731.5749999999998</v>
      </c>
      <c r="AL89" s="10">
        <v>3311</v>
      </c>
      <c r="AM89" s="10">
        <v>3807.6499999999996</v>
      </c>
      <c r="AN89" s="10">
        <v>4370.5200000000004</v>
      </c>
      <c r="AO89" s="10"/>
      <c r="AP89" s="10">
        <v>2000</v>
      </c>
      <c r="AQ89" s="10">
        <v>2500</v>
      </c>
      <c r="AR89" s="10">
        <v>2900</v>
      </c>
      <c r="AS89" s="10">
        <v>4000</v>
      </c>
      <c r="AT89" s="10">
        <v>4500</v>
      </c>
      <c r="AU89" s="10">
        <v>2731.5749999999998</v>
      </c>
      <c r="AV89" s="10">
        <v>3311</v>
      </c>
      <c r="AW89" s="10">
        <v>3807.6499999999996</v>
      </c>
      <c r="AX89" s="10">
        <v>4370.5200000000004</v>
      </c>
      <c r="AY89" s="10">
        <v>2250</v>
      </c>
      <c r="AZ89" s="10">
        <v>3000</v>
      </c>
      <c r="BA89" s="10">
        <v>3750</v>
      </c>
      <c r="BB89" s="10">
        <v>4000</v>
      </c>
      <c r="BC89" s="10">
        <v>3311</v>
      </c>
      <c r="BD89" s="10">
        <v>700</v>
      </c>
      <c r="BE89" s="10">
        <v>900</v>
      </c>
      <c r="BF89" s="10">
        <v>1100</v>
      </c>
      <c r="BG89" s="10">
        <v>1500</v>
      </c>
      <c r="BH89" s="10">
        <v>1900</v>
      </c>
      <c r="BI89" s="10">
        <v>2300</v>
      </c>
      <c r="BJ89" s="10">
        <v>500</v>
      </c>
      <c r="BK89" s="10"/>
      <c r="BL89" s="10"/>
      <c r="BM89" s="10"/>
      <c r="BN89" s="10"/>
      <c r="BO89" s="10"/>
      <c r="BP89" s="10"/>
      <c r="BQ89" s="10"/>
      <c r="BR89" s="10"/>
      <c r="BS89" s="10"/>
    </row>
    <row r="90" spans="2:71" x14ac:dyDescent="0.35">
      <c r="B90" s="3">
        <v>1</v>
      </c>
      <c r="C90" s="3">
        <v>1.5</v>
      </c>
      <c r="D90" s="3">
        <v>2.5</v>
      </c>
      <c r="E90" s="3">
        <v>3.5</v>
      </c>
      <c r="F90" s="3">
        <v>4.5</v>
      </c>
      <c r="G90" s="3">
        <v>4.5</v>
      </c>
      <c r="H90" s="3">
        <v>3</v>
      </c>
      <c r="I90" s="3">
        <v>4</v>
      </c>
      <c r="J90" s="3">
        <v>5</v>
      </c>
      <c r="K90" s="3">
        <v>5</v>
      </c>
      <c r="L90" s="3"/>
      <c r="M90" s="3"/>
      <c r="N90" s="3"/>
      <c r="O90" s="3"/>
      <c r="P90" s="3"/>
      <c r="Q90" s="3"/>
      <c r="R90" s="3"/>
      <c r="S90" s="3"/>
      <c r="T90" s="3"/>
      <c r="U90" s="3"/>
      <c r="V90" s="3">
        <v>1.25</v>
      </c>
      <c r="W90" s="3" t="s">
        <v>120</v>
      </c>
      <c r="X90" s="3">
        <v>3</v>
      </c>
      <c r="Y90" s="3" t="s">
        <v>86</v>
      </c>
      <c r="Z90" s="3" t="s">
        <v>87</v>
      </c>
      <c r="AA90" s="3" t="s">
        <v>121</v>
      </c>
      <c r="AB90" s="3" t="s">
        <v>122</v>
      </c>
      <c r="AC90" s="3" t="s">
        <v>123</v>
      </c>
      <c r="AD90" s="3" t="s">
        <v>124</v>
      </c>
      <c r="AE90" s="3">
        <v>1.3</v>
      </c>
      <c r="AF90" s="3">
        <v>2</v>
      </c>
      <c r="AG90" s="3">
        <v>2.5</v>
      </c>
      <c r="AH90" s="3">
        <v>3.5</v>
      </c>
      <c r="AI90" s="3">
        <v>4</v>
      </c>
      <c r="AJ90" s="3">
        <v>1</v>
      </c>
      <c r="AK90" s="3">
        <v>2.7</v>
      </c>
      <c r="AL90" s="3">
        <v>3.7</v>
      </c>
      <c r="AM90" s="3">
        <v>4.7</v>
      </c>
      <c r="AN90" s="3">
        <v>5.7</v>
      </c>
      <c r="AO90" s="3">
        <v>2</v>
      </c>
      <c r="AP90" s="3">
        <v>3.25</v>
      </c>
      <c r="AQ90" s="3">
        <v>3.75</v>
      </c>
      <c r="AR90" s="3">
        <v>4.25</v>
      </c>
      <c r="AS90" s="3">
        <v>4.5</v>
      </c>
      <c r="AT90" s="3">
        <v>5.5</v>
      </c>
      <c r="AU90" s="3">
        <v>2.7</v>
      </c>
      <c r="AV90" s="3">
        <v>3.7</v>
      </c>
      <c r="AW90" s="3">
        <v>4.7</v>
      </c>
      <c r="AX90" s="3">
        <v>5.7</v>
      </c>
      <c r="AY90" s="3">
        <v>2.5</v>
      </c>
      <c r="AZ90" s="3">
        <v>3.5</v>
      </c>
      <c r="BA90" s="3">
        <v>4.5</v>
      </c>
      <c r="BB90" s="3">
        <v>5.5</v>
      </c>
      <c r="BC90" s="3" t="s">
        <v>125</v>
      </c>
      <c r="BD90" s="3">
        <v>1.7</v>
      </c>
      <c r="BE90" s="3">
        <v>2.2000000000000002</v>
      </c>
      <c r="BF90" s="3">
        <v>2.7</v>
      </c>
      <c r="BG90" s="3">
        <v>3.7</v>
      </c>
      <c r="BH90" s="3">
        <v>4.7</v>
      </c>
      <c r="BI90" s="3">
        <v>5</v>
      </c>
      <c r="BJ90" s="3">
        <v>1.25</v>
      </c>
      <c r="BK90" s="3"/>
      <c r="BL90" s="3"/>
      <c r="BM90" s="3"/>
      <c r="BN90" s="3"/>
      <c r="BO90" s="3"/>
      <c r="BP90" s="3"/>
      <c r="BQ90" s="3"/>
      <c r="BR90" s="3"/>
      <c r="BS90" s="3"/>
    </row>
    <row r="91" spans="2:71" x14ac:dyDescent="0.35">
      <c r="B91" s="10"/>
      <c r="C91" s="10"/>
      <c r="D91" s="10"/>
      <c r="E91" s="10"/>
      <c r="F91" s="10"/>
      <c r="G91" s="10"/>
      <c r="H91" s="10">
        <v>150</v>
      </c>
      <c r="I91" s="10">
        <v>175</v>
      </c>
      <c r="J91" s="10">
        <v>200</v>
      </c>
      <c r="K91" s="10">
        <v>200</v>
      </c>
      <c r="L91" s="10"/>
      <c r="M91" s="10"/>
      <c r="N91" s="10"/>
      <c r="O91" s="10"/>
      <c r="P91" s="10"/>
      <c r="Q91" s="10"/>
      <c r="R91" s="10"/>
      <c r="S91" s="10"/>
      <c r="T91" s="10"/>
      <c r="U91" s="10"/>
      <c r="V91" s="10">
        <v>0</v>
      </c>
      <c r="W91" s="21">
        <v>215.215</v>
      </c>
      <c r="X91" s="21">
        <v>125</v>
      </c>
      <c r="Y91" s="10">
        <v>150</v>
      </c>
      <c r="Z91" s="10">
        <v>175</v>
      </c>
      <c r="AA91" s="10">
        <v>200</v>
      </c>
      <c r="AB91" s="10">
        <v>250</v>
      </c>
      <c r="AC91" s="21">
        <v>115.88500000000001</v>
      </c>
      <c r="AD91" s="21">
        <v>264.88</v>
      </c>
      <c r="AE91" s="21" t="s">
        <v>78</v>
      </c>
      <c r="AF91" s="21">
        <v>132.44</v>
      </c>
      <c r="AG91" s="21">
        <v>198.66</v>
      </c>
      <c r="AH91" s="21">
        <v>264.88</v>
      </c>
      <c r="AI91" s="21">
        <v>331.1</v>
      </c>
      <c r="AJ91" s="21" t="s">
        <v>78</v>
      </c>
      <c r="AK91" s="10">
        <v>200</v>
      </c>
      <c r="AL91" s="10">
        <v>250</v>
      </c>
      <c r="AM91" s="10">
        <v>300</v>
      </c>
      <c r="AN91" s="10">
        <v>350</v>
      </c>
      <c r="AO91" s="10">
        <v>100</v>
      </c>
      <c r="AP91" s="10">
        <v>200</v>
      </c>
      <c r="AQ91" s="10">
        <v>300</v>
      </c>
      <c r="AR91" s="10">
        <v>350</v>
      </c>
      <c r="AS91" s="10">
        <v>450</v>
      </c>
      <c r="AT91" s="10">
        <v>700</v>
      </c>
      <c r="AU91" s="10">
        <v>200</v>
      </c>
      <c r="AV91" s="10">
        <v>250</v>
      </c>
      <c r="AW91" s="10">
        <v>300</v>
      </c>
      <c r="AX91" s="10">
        <v>350</v>
      </c>
      <c r="AY91" s="21">
        <v>150</v>
      </c>
      <c r="AZ91" s="21">
        <v>200</v>
      </c>
      <c r="BA91" s="21">
        <v>250</v>
      </c>
      <c r="BB91" s="21">
        <v>300</v>
      </c>
      <c r="BC91" s="21">
        <v>165.55</v>
      </c>
      <c r="BD91" s="10">
        <v>50</v>
      </c>
      <c r="BE91" s="10">
        <v>75</v>
      </c>
      <c r="BF91" s="10">
        <v>100</v>
      </c>
      <c r="BG91" s="10">
        <v>200</v>
      </c>
      <c r="BH91" s="10">
        <v>300</v>
      </c>
      <c r="BI91" s="10">
        <v>400</v>
      </c>
      <c r="BJ91" s="10">
        <v>0</v>
      </c>
      <c r="BK91" s="10"/>
      <c r="BL91" s="10"/>
      <c r="BM91" s="10"/>
      <c r="BN91" s="10"/>
      <c r="BO91" s="10"/>
      <c r="BP91" s="10"/>
      <c r="BQ91" s="10"/>
      <c r="BR91" s="10"/>
      <c r="BS91" s="10"/>
    </row>
    <row r="92" spans="2:71" x14ac:dyDescent="0.35">
      <c r="B92" s="10">
        <v>382</v>
      </c>
      <c r="C92" s="10">
        <v>764</v>
      </c>
      <c r="D92" s="10">
        <v>1146</v>
      </c>
      <c r="E92" s="10">
        <v>1146</v>
      </c>
      <c r="F92" s="10">
        <v>1146</v>
      </c>
      <c r="G92" s="10">
        <v>1146</v>
      </c>
      <c r="H92" s="2">
        <v>300</v>
      </c>
      <c r="I92" s="2">
        <v>375</v>
      </c>
      <c r="J92" s="2">
        <v>450</v>
      </c>
      <c r="K92" s="2">
        <v>800</v>
      </c>
      <c r="L92" s="2"/>
      <c r="M92" s="2"/>
      <c r="N92" s="2"/>
      <c r="O92" s="2"/>
      <c r="P92" s="2"/>
      <c r="Q92" s="2"/>
      <c r="R92" s="2"/>
      <c r="S92" s="2"/>
      <c r="T92" s="2"/>
      <c r="U92" s="2"/>
      <c r="V92" s="2">
        <v>0</v>
      </c>
      <c r="W92" s="2">
        <v>761.53000000000009</v>
      </c>
      <c r="X92" s="20">
        <v>300</v>
      </c>
      <c r="Y92" s="2">
        <v>300</v>
      </c>
      <c r="Z92" s="2">
        <v>375</v>
      </c>
      <c r="AA92" s="2">
        <v>450</v>
      </c>
      <c r="AB92" s="2">
        <v>1000</v>
      </c>
      <c r="AC92" s="2">
        <v>331.1</v>
      </c>
      <c r="AD92" s="2">
        <v>976.745</v>
      </c>
      <c r="AE92" s="2" t="s">
        <v>78</v>
      </c>
      <c r="AF92" s="20">
        <v>264.88</v>
      </c>
      <c r="AG92" s="20">
        <v>397.32</v>
      </c>
      <c r="AH92" s="20">
        <v>595.98</v>
      </c>
      <c r="AI92" s="20">
        <v>993.3</v>
      </c>
      <c r="AJ92" s="2" t="s">
        <v>78</v>
      </c>
      <c r="AK92" s="2">
        <v>331.1</v>
      </c>
      <c r="AL92" s="2">
        <v>546.31500000000005</v>
      </c>
      <c r="AM92" s="2">
        <v>761.53000000000009</v>
      </c>
      <c r="AN92" s="2">
        <v>976.745</v>
      </c>
      <c r="AO92" s="2">
        <v>100</v>
      </c>
      <c r="AP92" s="2">
        <v>200</v>
      </c>
      <c r="AQ92" s="2">
        <v>300</v>
      </c>
      <c r="AR92" s="2">
        <v>350</v>
      </c>
      <c r="AS92" s="2">
        <v>450</v>
      </c>
      <c r="AT92" s="2">
        <v>700</v>
      </c>
      <c r="AU92" s="2">
        <v>331.1</v>
      </c>
      <c r="AV92" s="2">
        <v>546.31500000000005</v>
      </c>
      <c r="AW92" s="2">
        <v>761.53000000000009</v>
      </c>
      <c r="AX92" s="2">
        <v>976.745</v>
      </c>
      <c r="AY92" s="2">
        <v>400</v>
      </c>
      <c r="AZ92" s="2">
        <v>550</v>
      </c>
      <c r="BA92" s="2">
        <v>750</v>
      </c>
      <c r="BB92" s="2">
        <v>950</v>
      </c>
      <c r="BC92" s="2">
        <v>546.31500000000005</v>
      </c>
      <c r="BD92" s="2">
        <v>175</v>
      </c>
      <c r="BE92" s="2">
        <v>250</v>
      </c>
      <c r="BF92" s="2">
        <v>325</v>
      </c>
      <c r="BG92" s="2">
        <v>475</v>
      </c>
      <c r="BH92" s="2">
        <v>500</v>
      </c>
      <c r="BI92" s="2">
        <v>500</v>
      </c>
      <c r="BJ92" s="2">
        <v>0</v>
      </c>
      <c r="BK92" s="2"/>
      <c r="BL92" s="2"/>
      <c r="BM92" s="2"/>
      <c r="BN92" s="2"/>
      <c r="BO92" s="2"/>
      <c r="BP92" s="2"/>
      <c r="BQ92" s="2"/>
      <c r="BR92" s="2"/>
      <c r="BS92" s="2"/>
    </row>
    <row r="94" spans="2:71" x14ac:dyDescent="0.35">
      <c r="B94" s="10">
        <v>750</v>
      </c>
      <c r="C94" s="10">
        <v>1525</v>
      </c>
      <c r="D94" s="10">
        <v>3050</v>
      </c>
      <c r="E94" s="10">
        <v>3050</v>
      </c>
      <c r="F94" s="10">
        <v>3050</v>
      </c>
      <c r="G94" s="10">
        <v>3050</v>
      </c>
      <c r="H94" s="10"/>
      <c r="I94" s="10"/>
      <c r="J94" s="10"/>
      <c r="K94" s="10"/>
      <c r="L94" s="10"/>
      <c r="M94" s="10"/>
      <c r="N94" s="10"/>
      <c r="O94" s="10"/>
      <c r="P94" s="10"/>
      <c r="Q94" s="10"/>
      <c r="R94" s="10"/>
      <c r="S94" s="10"/>
      <c r="T94" s="10"/>
      <c r="U94" s="10"/>
      <c r="V94" s="10">
        <v>1525</v>
      </c>
      <c r="W94" s="10"/>
      <c r="X94" s="10"/>
      <c r="Y94" s="10"/>
      <c r="Z94" s="10"/>
      <c r="AA94" s="10"/>
      <c r="AB94" s="10"/>
      <c r="AC94" s="10"/>
      <c r="AD94" s="10"/>
      <c r="AE94" s="10"/>
      <c r="AF94" s="10"/>
      <c r="AG94" s="10"/>
      <c r="AH94" s="10"/>
      <c r="AI94" s="10"/>
      <c r="AJ94" s="10"/>
      <c r="AK94" s="10"/>
      <c r="AL94" s="10"/>
      <c r="AM94" s="10"/>
      <c r="AN94" s="10"/>
      <c r="AO94" s="10">
        <v>1525</v>
      </c>
      <c r="AP94" s="10">
        <v>1525</v>
      </c>
      <c r="AQ94" s="10">
        <v>1525</v>
      </c>
      <c r="AR94" s="10">
        <v>1525</v>
      </c>
      <c r="AS94" s="10">
        <v>1525</v>
      </c>
      <c r="AT94" s="10">
        <v>1525</v>
      </c>
      <c r="AU94" s="10"/>
      <c r="AV94" s="10"/>
      <c r="AW94" s="10"/>
      <c r="AX94" s="10"/>
      <c r="AY94" s="10"/>
      <c r="AZ94" s="10"/>
      <c r="BA94" s="10"/>
      <c r="BB94" s="10"/>
      <c r="BC94" s="10"/>
      <c r="BD94" s="10"/>
      <c r="BE94" s="10"/>
      <c r="BF94" s="10"/>
      <c r="BG94" s="10"/>
      <c r="BH94" s="10"/>
      <c r="BI94" s="10"/>
      <c r="BJ94" s="10"/>
      <c r="BK94" s="10"/>
      <c r="BL94" s="10"/>
      <c r="BM94" s="10"/>
      <c r="BN94" s="10"/>
      <c r="BO94" s="10"/>
      <c r="BP94" s="10"/>
      <c r="BQ94" s="10"/>
      <c r="BR94" s="10"/>
      <c r="BS94" s="10"/>
    </row>
    <row r="95" spans="2:71" x14ac:dyDescent="0.35">
      <c r="B95" s="2" t="s">
        <v>75</v>
      </c>
      <c r="C95" s="2" t="s">
        <v>75</v>
      </c>
      <c r="D95" s="2" t="s">
        <v>75</v>
      </c>
      <c r="E95" s="2" t="s">
        <v>75</v>
      </c>
      <c r="F95" s="2" t="s">
        <v>75</v>
      </c>
      <c r="G95" s="2" t="s">
        <v>75</v>
      </c>
      <c r="H95" t="s">
        <v>76</v>
      </c>
      <c r="I95" t="s">
        <v>76</v>
      </c>
      <c r="J95" t="s">
        <v>76</v>
      </c>
      <c r="K95" t="s">
        <v>76</v>
      </c>
      <c r="L95" t="s">
        <v>75</v>
      </c>
      <c r="M95" t="s">
        <v>75</v>
      </c>
      <c r="N95" t="s">
        <v>75</v>
      </c>
      <c r="O95" t="s">
        <v>75</v>
      </c>
      <c r="P95" t="s">
        <v>75</v>
      </c>
      <c r="Q95" t="s">
        <v>75</v>
      </c>
      <c r="R95" t="s">
        <v>76</v>
      </c>
      <c r="S95" t="s">
        <v>76</v>
      </c>
      <c r="T95" t="s">
        <v>76</v>
      </c>
      <c r="U95" t="s">
        <v>76</v>
      </c>
      <c r="V95" s="2" t="s">
        <v>76</v>
      </c>
      <c r="W95" t="s">
        <v>76</v>
      </c>
      <c r="X95" t="s">
        <v>76</v>
      </c>
      <c r="Y95" t="s">
        <v>76</v>
      </c>
      <c r="Z95" t="s">
        <v>76</v>
      </c>
      <c r="AA95" t="s">
        <v>76</v>
      </c>
      <c r="AB95" t="s">
        <v>76</v>
      </c>
      <c r="AC95" t="s">
        <v>76</v>
      </c>
      <c r="AD95" t="s">
        <v>76</v>
      </c>
      <c r="AE95" t="s">
        <v>76</v>
      </c>
      <c r="AF95" t="s">
        <v>76</v>
      </c>
      <c r="AG95" t="s">
        <v>76</v>
      </c>
      <c r="AH95" t="s">
        <v>76</v>
      </c>
      <c r="AI95" t="s">
        <v>76</v>
      </c>
      <c r="AJ95" t="s">
        <v>76</v>
      </c>
      <c r="AK95" t="s">
        <v>76</v>
      </c>
      <c r="AL95" t="s">
        <v>76</v>
      </c>
      <c r="AM95" t="s">
        <v>76</v>
      </c>
      <c r="AN95" t="s">
        <v>76</v>
      </c>
      <c r="AO95" s="2" t="s">
        <v>76</v>
      </c>
      <c r="AP95" s="2" t="s">
        <v>76</v>
      </c>
      <c r="AQ95" s="2" t="s">
        <v>76</v>
      </c>
      <c r="AR95" s="2" t="s">
        <v>76</v>
      </c>
      <c r="AS95" s="2" t="s">
        <v>76</v>
      </c>
      <c r="AT95" s="2" t="s">
        <v>76</v>
      </c>
      <c r="AU95" t="s">
        <v>76</v>
      </c>
      <c r="AV95" t="s">
        <v>76</v>
      </c>
      <c r="AW95" t="s">
        <v>76</v>
      </c>
      <c r="AX95" t="s">
        <v>76</v>
      </c>
      <c r="AY95" t="s">
        <v>76</v>
      </c>
      <c r="AZ95" t="s">
        <v>76</v>
      </c>
      <c r="BA95" t="s">
        <v>76</v>
      </c>
      <c r="BB95" t="s">
        <v>76</v>
      </c>
      <c r="BC95" t="s">
        <v>76</v>
      </c>
      <c r="BD95" t="s">
        <v>76</v>
      </c>
      <c r="BE95" t="s">
        <v>76</v>
      </c>
      <c r="BF95" t="s">
        <v>76</v>
      </c>
      <c r="BG95" t="s">
        <v>76</v>
      </c>
      <c r="BH95" t="s">
        <v>76</v>
      </c>
      <c r="BI95" t="s">
        <v>76</v>
      </c>
      <c r="BJ95" t="s">
        <v>76</v>
      </c>
      <c r="BK95" t="s">
        <v>75</v>
      </c>
      <c r="BL95" t="s">
        <v>75</v>
      </c>
      <c r="BM95" t="s">
        <v>75</v>
      </c>
      <c r="BN95" t="s">
        <v>75</v>
      </c>
      <c r="BO95" t="s">
        <v>75</v>
      </c>
      <c r="BP95" t="s">
        <v>75</v>
      </c>
      <c r="BQ95" t="s">
        <v>75</v>
      </c>
      <c r="BR95" t="s">
        <v>75</v>
      </c>
      <c r="BS95"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Panorama FM</vt:lpstr>
      <vt:lpstr>Formules santé éxistantes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Martin GIVELET</dc:creator>
  <cp:lastModifiedBy>Martin GIVELET</cp:lastModifiedBy>
  <dcterms:created xsi:type="dcterms:W3CDTF">2018-03-23T14:27:44Z</dcterms:created>
  <dcterms:modified xsi:type="dcterms:W3CDTF">2018-03-23T14:55:12Z</dcterms:modified>
</cp:coreProperties>
</file>