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tsclient\E\Nouveau dossier\"/>
    </mc:Choice>
  </mc:AlternateContent>
  <bookViews>
    <workbookView xWindow="0" yWindow="0" windowWidth="24000" windowHeight="9510" activeTab="2"/>
  </bookViews>
  <sheets>
    <sheet name="Liste" sheetId="1" r:id="rId1"/>
    <sheet name="INFOS BS" sheetId="3" r:id="rId2"/>
    <sheet name="BS CADRE" sheetId="2" r:id="rId3"/>
    <sheet name="Feuil1" sheetId="11" r:id="rId4"/>
    <sheet name="BS SIMPLIFIE" sheetId="4" r:id="rId5"/>
    <sheet name="H SUP" sheetId="5" r:id="rId6"/>
    <sheet name="Abs N R" sheetId="6" r:id="rId7"/>
    <sheet name="Abs CP" sheetId="9" r:id="rId8"/>
    <sheet name="Av Nat" sheetId="8" r:id="rId9"/>
    <sheet name="Saisie_Salaire" sheetId="10" r:id="rId10"/>
    <sheet name="Calendrier" sheetId="7" r:id="rId11"/>
    <sheet name="Régul Plalond" sheetId="12" r:id="rId12"/>
  </sheets>
  <externalReferences>
    <externalReference r:id="rId13"/>
    <externalReference r:id="rId14"/>
  </externalReferences>
  <definedNames>
    <definedName name="Année" localSheetId="11">'[1]INFOS BS'!$E$17</definedName>
    <definedName name="Année">'INFOS BS'!$E$17</definedName>
    <definedName name="Aug_M_Pers" localSheetId="11">'[2]INFOS BS'!$F$124</definedName>
    <definedName name="Aug_M_Pers">'INFOS BS'!$F$126</definedName>
    <definedName name="aug_pars_charge" localSheetId="11">[2]Saisie_Salaire!$C$4</definedName>
    <definedName name="aug_pars_charge">Saisie_Salaire!$C$4</definedName>
    <definedName name="D_Absence" localSheetId="11">'[1]INFOS BS'!$B$45</definedName>
    <definedName name="D_Absence">'INFOS BS'!$B$40</definedName>
    <definedName name="Début_CP" localSheetId="11">'[2]INFOS BS'!$B$48</definedName>
    <definedName name="Début_CP">'INFOS BS'!$B$45</definedName>
    <definedName name="F_Absence" localSheetId="11">'[1]INFOS BS'!$B$46</definedName>
    <definedName name="F_Absence">'INFOS BS'!$B$41</definedName>
    <definedName name="Fin_CP" localSheetId="11">'[2]INFOS BS'!$B$49</definedName>
    <definedName name="Fin_CP">'INFOS BS'!$B$46</definedName>
    <definedName name="GMP">'[2]INFOS BS'!$E$26</definedName>
    <definedName name="JourFériés" localSheetId="11">[1]Calendrier!$O$5:$O$17</definedName>
    <definedName name="JourFériés">Calendrier!$O$5:$O$17</definedName>
    <definedName name="liste_Déroulante" comment="Retenue Entrée sortie;Pas de retenue" localSheetId="11">'[1]INFOS BS'!$C$40</definedName>
    <definedName name="liste_Déroulante" comment="Retenue Entrée sortie;Pas de retenue">'INFOS BS'!$C$40</definedName>
    <definedName name="Nb_H_Sem" localSheetId="11">'[1]INFOS BS'!$D$24</definedName>
    <definedName name="Nb_H_Sem">'INFOS BS'!$D$24</definedName>
    <definedName name="Nb_J_Sem" localSheetId="11">'[1]INFOS BS'!$E$24</definedName>
    <definedName name="Nb_J_Sem">'INFOS BS'!$E$24</definedName>
    <definedName name="Nb_pars_charge">Saisie_Salaire!$C$5</definedName>
    <definedName name="Nb_Pers_Charge" localSheetId="11">'[2]INFOS BS'!$C$125</definedName>
    <definedName name="Nb_Pers_Charge">'INFOS BS'!$C$127</definedName>
    <definedName name="Nb_Salariés" localSheetId="11">'[1]INFOS BS'!$B$22</definedName>
    <definedName name="Nb_Salariés">'INFOS BS'!$B$22</definedName>
    <definedName name="PPMUT" localSheetId="11">'[1]BS NON CADRE'!$H$56</definedName>
    <definedName name="PPMUT">'BS CADRE'!$H$57</definedName>
    <definedName name="PPPREV" localSheetId="11">'[1]BS NON CADRE'!$H$57</definedName>
    <definedName name="PPPREV">'BS CADRE'!$H$58</definedName>
    <definedName name="PSS" localSheetId="11">'[1]BS NON CADRE'!$H$11</definedName>
    <definedName name="PSS">'BS CADRE'!$H$11</definedName>
    <definedName name="S_BRUT" localSheetId="11">'[1]BS NON CADRE'!$G$33</definedName>
    <definedName name="S_BRUT">'BS CADRE'!$G$29</definedName>
    <definedName name="Salaire_Net" localSheetId="11">'[2]BS CADRE'!$F$90</definedName>
    <definedName name="Salaire_Net">'BS CADRE'!$F$90</definedName>
    <definedName name="SmicMensuel" localSheetId="11">'[1]INFOS BS'!$B$19</definedName>
    <definedName name="SmicMensuel">'INFOS BS'!$B$19</definedName>
    <definedName name="T_H_SMIC">'INFOS BS'!$D$19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2" l="1"/>
  <c r="F14" i="12"/>
  <c r="F13" i="12"/>
  <c r="F12" i="12"/>
  <c r="F11" i="12"/>
  <c r="F10" i="12"/>
  <c r="F9" i="12"/>
  <c r="F8" i="12"/>
  <c r="M7" i="12"/>
  <c r="M8" i="12" s="1"/>
  <c r="M9" i="12" s="1"/>
  <c r="M10" i="12" s="1"/>
  <c r="M11" i="12" s="1"/>
  <c r="M12" i="12" s="1"/>
  <c r="M13" i="12" s="1"/>
  <c r="M14" i="12" s="1"/>
  <c r="M15" i="12" s="1"/>
  <c r="F7" i="12"/>
  <c r="S6" i="12"/>
  <c r="S7" i="12" s="1"/>
  <c r="S8" i="12" s="1"/>
  <c r="S9" i="12" s="1"/>
  <c r="S10" i="12" s="1"/>
  <c r="S11" i="12" s="1"/>
  <c r="S12" i="12" s="1"/>
  <c r="S13" i="12" s="1"/>
  <c r="S14" i="12" s="1"/>
  <c r="S15" i="12" s="1"/>
  <c r="M6" i="12"/>
  <c r="J6" i="12"/>
  <c r="J7" i="12" s="1"/>
  <c r="J8" i="12" s="1"/>
  <c r="J9" i="12" s="1"/>
  <c r="J10" i="12" s="1"/>
  <c r="J11" i="12" s="1"/>
  <c r="J12" i="12" s="1"/>
  <c r="J13" i="12" s="1"/>
  <c r="J14" i="12" s="1"/>
  <c r="J15" i="12" s="1"/>
  <c r="F6" i="12"/>
  <c r="S5" i="12"/>
  <c r="P5" i="12"/>
  <c r="P6" i="12" s="1"/>
  <c r="P7" i="12" s="1"/>
  <c r="P8" i="12" s="1"/>
  <c r="P9" i="12" s="1"/>
  <c r="P10" i="12" s="1"/>
  <c r="P11" i="12" s="1"/>
  <c r="P12" i="12" s="1"/>
  <c r="P13" i="12" s="1"/>
  <c r="P14" i="12" s="1"/>
  <c r="P15" i="12" s="1"/>
  <c r="M5" i="12"/>
  <c r="J5" i="12"/>
  <c r="F5" i="12"/>
  <c r="S4" i="12"/>
  <c r="P4" i="12"/>
  <c r="M4" i="12"/>
  <c r="J4" i="12"/>
  <c r="G4" i="12"/>
  <c r="G5" i="12" s="1"/>
  <c r="F4" i="12"/>
  <c r="S2" i="12"/>
  <c r="M2" i="12"/>
  <c r="G6" i="12" l="1"/>
  <c r="K5" i="12"/>
  <c r="Q5" i="12"/>
  <c r="H5" i="12"/>
  <c r="Q4" i="12"/>
  <c r="R4" i="12" s="1"/>
  <c r="H4" i="12"/>
  <c r="I4" i="12" s="1"/>
  <c r="K4" i="12"/>
  <c r="F86" i="2"/>
  <c r="G27" i="2"/>
  <c r="F85" i="2"/>
  <c r="B97" i="3"/>
  <c r="D45" i="8"/>
  <c r="D44" i="8"/>
  <c r="F48" i="8" s="1"/>
  <c r="G48" i="8" s="1"/>
  <c r="C49" i="8"/>
  <c r="B49" i="8"/>
  <c r="C48" i="8"/>
  <c r="B48" i="8"/>
  <c r="C47" i="8"/>
  <c r="B47" i="8"/>
  <c r="D57" i="2"/>
  <c r="G57" i="2"/>
  <c r="E57" i="2"/>
  <c r="G58" i="2"/>
  <c r="E58" i="2"/>
  <c r="L4" i="12" l="1"/>
  <c r="N4" i="12"/>
  <c r="O4" i="12" s="1"/>
  <c r="I5" i="12"/>
  <c r="N5" i="12"/>
  <c r="O5" i="12" s="1"/>
  <c r="L5" i="12"/>
  <c r="R5" i="12"/>
  <c r="Q6" i="12"/>
  <c r="R6" i="12" s="1"/>
  <c r="K6" i="12"/>
  <c r="H6" i="12"/>
  <c r="I6" i="12" s="1"/>
  <c r="G7" i="12"/>
  <c r="D47" i="8"/>
  <c r="E47" i="8" s="1"/>
  <c r="D48" i="8"/>
  <c r="E48" i="8" s="1"/>
  <c r="C51" i="8" s="1"/>
  <c r="D49" i="8"/>
  <c r="E49" i="8" s="1"/>
  <c r="F47" i="8"/>
  <c r="G47" i="8" s="1"/>
  <c r="F49" i="8"/>
  <c r="G49" i="8" s="1"/>
  <c r="C52" i="8" s="1"/>
  <c r="B98" i="3" s="1"/>
  <c r="A15" i="2"/>
  <c r="A14" i="2"/>
  <c r="E40" i="3"/>
  <c r="G32" i="6"/>
  <c r="D6" i="6"/>
  <c r="N6" i="12" l="1"/>
  <c r="O6" i="12" s="1"/>
  <c r="L6" i="12"/>
  <c r="K7" i="12"/>
  <c r="Q7" i="12"/>
  <c r="R7" i="12" s="1"/>
  <c r="H7" i="12"/>
  <c r="I7" i="12" s="1"/>
  <c r="G8" i="12"/>
  <c r="E28" i="8"/>
  <c r="E27" i="8"/>
  <c r="B24" i="8"/>
  <c r="C26" i="8" s="1"/>
  <c r="B126" i="3"/>
  <c r="F87" i="2" s="1"/>
  <c r="G15" i="10"/>
  <c r="G25" i="10"/>
  <c r="C4" i="10"/>
  <c r="C3" i="10"/>
  <c r="G10" i="10"/>
  <c r="G11" i="10"/>
  <c r="G12" i="10"/>
  <c r="G13" i="10"/>
  <c r="G14" i="10"/>
  <c r="G9" i="10"/>
  <c r="G9" i="12" l="1"/>
  <c r="Q8" i="12"/>
  <c r="R8" i="12" s="1"/>
  <c r="H8" i="12"/>
  <c r="I8" i="12" s="1"/>
  <c r="K8" i="12"/>
  <c r="L7" i="12"/>
  <c r="N7" i="12"/>
  <c r="O7" i="12" s="1"/>
  <c r="F25" i="8"/>
  <c r="B93" i="3" s="1"/>
  <c r="F26" i="8"/>
  <c r="E19" i="10"/>
  <c r="G19" i="10" s="1"/>
  <c r="C25" i="8"/>
  <c r="C28" i="8"/>
  <c r="C27" i="8"/>
  <c r="B89" i="3" s="1"/>
  <c r="E21" i="10"/>
  <c r="E23" i="10"/>
  <c r="E20" i="10"/>
  <c r="E22" i="10"/>
  <c r="E24" i="10"/>
  <c r="G24" i="10" s="1"/>
  <c r="D20" i="10" l="1"/>
  <c r="L8" i="12"/>
  <c r="N8" i="12"/>
  <c r="O8" i="12" s="1"/>
  <c r="K9" i="12"/>
  <c r="G10" i="12"/>
  <c r="Q9" i="12"/>
  <c r="R9" i="12" s="1"/>
  <c r="H9" i="12"/>
  <c r="I9" i="12" s="1"/>
  <c r="G23" i="10"/>
  <c r="D24" i="10"/>
  <c r="G21" i="10"/>
  <c r="D22" i="10"/>
  <c r="G22" i="10"/>
  <c r="D23" i="10"/>
  <c r="G20" i="10"/>
  <c r="B128" i="3" s="1"/>
  <c r="D21" i="10"/>
  <c r="L9" i="12" l="1"/>
  <c r="N9" i="12"/>
  <c r="O9" i="12" s="1"/>
  <c r="Q10" i="12"/>
  <c r="R10" i="12" s="1"/>
  <c r="G11" i="12"/>
  <c r="H10" i="12"/>
  <c r="I10" i="12" s="1"/>
  <c r="K10" i="12"/>
  <c r="D12" i="9"/>
  <c r="B51" i="3"/>
  <c r="B47" i="3"/>
  <c r="G15" i="2" s="1"/>
  <c r="B50" i="3"/>
  <c r="G23" i="2" s="1"/>
  <c r="B7" i="9"/>
  <c r="B6" i="9"/>
  <c r="D45" i="9"/>
  <c r="D47" i="9" s="1"/>
  <c r="K17" i="9"/>
  <c r="K12" i="9"/>
  <c r="H6" i="9"/>
  <c r="C13" i="9" s="1"/>
  <c r="H5" i="9"/>
  <c r="B13" i="9" s="1"/>
  <c r="B3" i="9"/>
  <c r="D45" i="6"/>
  <c r="D47" i="6" s="1"/>
  <c r="G13" i="2"/>
  <c r="D25" i="2"/>
  <c r="K17" i="6"/>
  <c r="K12" i="6"/>
  <c r="A22" i="2"/>
  <c r="G22" i="2"/>
  <c r="G20" i="2"/>
  <c r="G21" i="2"/>
  <c r="F88" i="2"/>
  <c r="F11" i="2"/>
  <c r="B11" i="2"/>
  <c r="D11" i="2"/>
  <c r="B10" i="2"/>
  <c r="B9" i="2"/>
  <c r="G9" i="2"/>
  <c r="H8" i="2"/>
  <c r="G8" i="2"/>
  <c r="G7" i="2"/>
  <c r="H6" i="2"/>
  <c r="G6" i="2"/>
  <c r="G10" i="2"/>
  <c r="G2" i="2"/>
  <c r="G4" i="2" s="1"/>
  <c r="B7" i="2"/>
  <c r="B6" i="2"/>
  <c r="D6" i="2"/>
  <c r="B5" i="2"/>
  <c r="D4" i="2"/>
  <c r="B4" i="2"/>
  <c r="B3" i="2"/>
  <c r="B2" i="2"/>
  <c r="B82" i="3"/>
  <c r="C82" i="3" s="1"/>
  <c r="F84" i="2" s="1"/>
  <c r="B80" i="3"/>
  <c r="C75" i="3"/>
  <c r="C74" i="3"/>
  <c r="B8" i="8" s="1"/>
  <c r="L10" i="12" l="1"/>
  <c r="N10" i="12"/>
  <c r="O10" i="12" s="1"/>
  <c r="K11" i="12"/>
  <c r="G12" i="12"/>
  <c r="Q11" i="12"/>
  <c r="R11" i="12" s="1"/>
  <c r="H11" i="12"/>
  <c r="I11" i="12" s="1"/>
  <c r="D11" i="9"/>
  <c r="D7" i="9"/>
  <c r="C12" i="9" s="1"/>
  <c r="C11" i="9"/>
  <c r="D46" i="3" s="1"/>
  <c r="E11" i="9"/>
  <c r="B22" i="9" s="1"/>
  <c r="D13" i="9"/>
  <c r="E13" i="9"/>
  <c r="G3" i="2"/>
  <c r="B3" i="6"/>
  <c r="B16" i="6" s="1"/>
  <c r="D23" i="6" s="1"/>
  <c r="B63" i="3"/>
  <c r="E19" i="2" s="1"/>
  <c r="B62" i="3"/>
  <c r="E18" i="2" s="1"/>
  <c r="B61" i="3"/>
  <c r="E17" i="2" s="1"/>
  <c r="B60" i="3"/>
  <c r="E16" i="2" s="1"/>
  <c r="D60" i="3"/>
  <c r="A25" i="2"/>
  <c r="C20" i="8"/>
  <c r="D20" i="8" s="1"/>
  <c r="C19" i="8"/>
  <c r="D19" i="8" s="1"/>
  <c r="C18" i="8"/>
  <c r="D18" i="8" s="1"/>
  <c r="C80" i="3" s="1"/>
  <c r="C17" i="8"/>
  <c r="B17" i="8"/>
  <c r="B15" i="8"/>
  <c r="C33" i="8"/>
  <c r="G13" i="12" l="1"/>
  <c r="H12" i="12"/>
  <c r="I12" i="12" s="1"/>
  <c r="K12" i="12"/>
  <c r="Q12" i="12"/>
  <c r="R12" i="12" s="1"/>
  <c r="N11" i="12"/>
  <c r="O11" i="12" s="1"/>
  <c r="L11" i="12"/>
  <c r="B20" i="9"/>
  <c r="B19" i="9"/>
  <c r="E12" i="9"/>
  <c r="B23" i="9"/>
  <c r="C28" i="9"/>
  <c r="B11" i="9"/>
  <c r="D52" i="9"/>
  <c r="D80" i="3"/>
  <c r="F25" i="2"/>
  <c r="G25" i="2" s="1"/>
  <c r="F81" i="2" s="1"/>
  <c r="E19" i="8"/>
  <c r="E20" i="8"/>
  <c r="D17" i="8"/>
  <c r="E17" i="8" s="1"/>
  <c r="E18" i="8"/>
  <c r="C10" i="8"/>
  <c r="C9" i="8"/>
  <c r="C8" i="8"/>
  <c r="C11" i="8" s="1"/>
  <c r="D11" i="8" s="1"/>
  <c r="B9" i="8"/>
  <c r="B3" i="8"/>
  <c r="B4" i="8"/>
  <c r="D33" i="8"/>
  <c r="B33" i="8"/>
  <c r="L12" i="12" l="1"/>
  <c r="N12" i="12"/>
  <c r="O12" i="12" s="1"/>
  <c r="K13" i="12"/>
  <c r="Q13" i="12"/>
  <c r="R13" i="12" s="1"/>
  <c r="G14" i="12"/>
  <c r="H13" i="12"/>
  <c r="I13" i="12" s="1"/>
  <c r="B21" i="9"/>
  <c r="B17" i="9"/>
  <c r="E46" i="3"/>
  <c r="B12" i="9"/>
  <c r="B18" i="9"/>
  <c r="D17" i="9" s="1"/>
  <c r="D32" i="9"/>
  <c r="D56" i="9"/>
  <c r="D28" i="9"/>
  <c r="E33" i="8"/>
  <c r="B85" i="3" s="1"/>
  <c r="G26" i="2" s="1"/>
  <c r="F82" i="2" s="1"/>
  <c r="D9" i="8"/>
  <c r="D75" i="3" s="1"/>
  <c r="F79" i="2" s="1"/>
  <c r="E11" i="8"/>
  <c r="E74" i="3" s="1"/>
  <c r="D74" i="3"/>
  <c r="F24" i="2" s="1"/>
  <c r="D24" i="2" s="1"/>
  <c r="D8" i="8"/>
  <c r="B6" i="6"/>
  <c r="Q14" i="12" l="1"/>
  <c r="R14" i="12" s="1"/>
  <c r="G15" i="12"/>
  <c r="H14" i="12"/>
  <c r="I14" i="12" s="1"/>
  <c r="K14" i="12"/>
  <c r="N13" i="12"/>
  <c r="O13" i="12" s="1"/>
  <c r="L13" i="12"/>
  <c r="B16" i="9"/>
  <c r="D23" i="9" s="1"/>
  <c r="G24" i="2"/>
  <c r="H6" i="6"/>
  <c r="H5" i="6"/>
  <c r="B13" i="6" s="1"/>
  <c r="B7" i="6"/>
  <c r="C11" i="6" s="1"/>
  <c r="J38" i="5"/>
  <c r="I38" i="5"/>
  <c r="L34" i="5"/>
  <c r="K34" i="5"/>
  <c r="M34" i="5" s="1"/>
  <c r="K35" i="5"/>
  <c r="L35" i="5" s="1"/>
  <c r="K36" i="5"/>
  <c r="M36" i="5" s="1"/>
  <c r="K37" i="5"/>
  <c r="M37" i="5" s="1"/>
  <c r="K33" i="5"/>
  <c r="D33" i="5"/>
  <c r="E33" i="5" s="1"/>
  <c r="F33" i="5" s="1"/>
  <c r="D34" i="5"/>
  <c r="E34" i="5"/>
  <c r="F34" i="5" s="1"/>
  <c r="D35" i="5"/>
  <c r="D36" i="5"/>
  <c r="M31" i="5"/>
  <c r="K31" i="5"/>
  <c r="L36" i="5" s="1"/>
  <c r="C38" i="5"/>
  <c r="B38" i="5"/>
  <c r="E37" i="5"/>
  <c r="D37" i="5"/>
  <c r="F37" i="5" s="1"/>
  <c r="I27" i="5"/>
  <c r="J27" i="5" s="1"/>
  <c r="H27" i="5"/>
  <c r="G27" i="5"/>
  <c r="H26" i="5"/>
  <c r="G26" i="5"/>
  <c r="H25" i="5"/>
  <c r="G25" i="5"/>
  <c r="I25" i="5" s="1"/>
  <c r="H24" i="5"/>
  <c r="G24" i="5"/>
  <c r="I24" i="5" s="1"/>
  <c r="H23" i="5"/>
  <c r="G23" i="5"/>
  <c r="I23" i="5" s="1"/>
  <c r="I22" i="5"/>
  <c r="J22" i="5" s="1"/>
  <c r="H22" i="5"/>
  <c r="G22" i="5"/>
  <c r="H21" i="5"/>
  <c r="G21" i="5"/>
  <c r="H20" i="5"/>
  <c r="G20" i="5"/>
  <c r="I20" i="5" s="1"/>
  <c r="H19" i="5"/>
  <c r="G19" i="5"/>
  <c r="I19" i="5" s="1"/>
  <c r="H18" i="5"/>
  <c r="G18" i="5"/>
  <c r="I18" i="5" s="1"/>
  <c r="I17" i="5"/>
  <c r="H17" i="5"/>
  <c r="G17" i="5"/>
  <c r="H16" i="5"/>
  <c r="G16" i="5"/>
  <c r="H15" i="5"/>
  <c r="G15" i="5"/>
  <c r="I15" i="5" s="1"/>
  <c r="H14" i="5"/>
  <c r="G14" i="5"/>
  <c r="I14" i="5" s="1"/>
  <c r="H13" i="5"/>
  <c r="G13" i="5"/>
  <c r="I13" i="5" s="1"/>
  <c r="I12" i="5"/>
  <c r="I28" i="5" s="1"/>
  <c r="H12" i="5"/>
  <c r="G12" i="5"/>
  <c r="H11" i="5"/>
  <c r="G11" i="5"/>
  <c r="H10" i="5"/>
  <c r="G10" i="5"/>
  <c r="I10" i="5" s="1"/>
  <c r="H9" i="5"/>
  <c r="G9" i="5"/>
  <c r="I9" i="5" s="1"/>
  <c r="H8" i="5"/>
  <c r="G8" i="5"/>
  <c r="I8" i="5" s="1"/>
  <c r="I7" i="5"/>
  <c r="H7" i="5"/>
  <c r="G7" i="5"/>
  <c r="H6" i="5"/>
  <c r="G6" i="5"/>
  <c r="H5" i="5"/>
  <c r="G5" i="5"/>
  <c r="I5" i="5" s="1"/>
  <c r="H4" i="5"/>
  <c r="G4" i="5"/>
  <c r="I4" i="5" s="1"/>
  <c r="H3" i="5"/>
  <c r="G3" i="5"/>
  <c r="I3" i="5" s="1"/>
  <c r="H71" i="2"/>
  <c r="H68" i="2"/>
  <c r="D70" i="2"/>
  <c r="H70" i="2" s="1"/>
  <c r="D61" i="2"/>
  <c r="H61" i="2" s="1"/>
  <c r="N14" i="12" l="1"/>
  <c r="O14" i="12" s="1"/>
  <c r="L14" i="12"/>
  <c r="K15" i="12"/>
  <c r="H15" i="12"/>
  <c r="I15" i="12" s="1"/>
  <c r="Q15" i="12"/>
  <c r="R15" i="12" s="1"/>
  <c r="C28" i="6"/>
  <c r="D40" i="3"/>
  <c r="B39" i="3" s="1"/>
  <c r="D56" i="3"/>
  <c r="D14" i="2" s="1"/>
  <c r="E56" i="3"/>
  <c r="E14" i="2" s="1"/>
  <c r="H28" i="5"/>
  <c r="I11" i="5"/>
  <c r="I16" i="5"/>
  <c r="I21" i="5"/>
  <c r="I26" i="5"/>
  <c r="L33" i="5"/>
  <c r="L38" i="5" s="1"/>
  <c r="G28" i="5"/>
  <c r="M35" i="5"/>
  <c r="D38" i="5"/>
  <c r="D62" i="3" s="1"/>
  <c r="B66" i="3" s="1"/>
  <c r="D69" i="2" s="1"/>
  <c r="H69" i="2" s="1"/>
  <c r="E36" i="5"/>
  <c r="F36" i="5" s="1"/>
  <c r="K38" i="5"/>
  <c r="F80" i="2"/>
  <c r="D13" i="6"/>
  <c r="C13" i="6"/>
  <c r="E13" i="6"/>
  <c r="D7" i="6"/>
  <c r="E11" i="6"/>
  <c r="D11" i="6"/>
  <c r="L37" i="5"/>
  <c r="M33" i="5"/>
  <c r="M38" i="5" s="1"/>
  <c r="E35" i="5"/>
  <c r="F35" i="5" s="1"/>
  <c r="J12" i="5"/>
  <c r="J17" i="5"/>
  <c r="I6" i="5"/>
  <c r="J7" i="5" s="1"/>
  <c r="B36" i="3"/>
  <c r="B35" i="3"/>
  <c r="B19" i="3"/>
  <c r="G39" i="2"/>
  <c r="H57" i="2"/>
  <c r="F57" i="2"/>
  <c r="B106" i="3"/>
  <c r="G44" i="2" s="1"/>
  <c r="N15" i="12" l="1"/>
  <c r="O15" i="12" s="1"/>
  <c r="L15" i="12"/>
  <c r="D36" i="3"/>
  <c r="H11" i="2"/>
  <c r="C12" i="6"/>
  <c r="D12" i="6"/>
  <c r="F38" i="5"/>
  <c r="E38" i="5"/>
  <c r="E12" i="6"/>
  <c r="D28" i="6" l="1"/>
  <c r="G28" i="6" s="1"/>
  <c r="H30" i="6" s="1"/>
  <c r="D56" i="6"/>
  <c r="D52" i="6"/>
  <c r="B24" i="3"/>
  <c r="E13" i="2" s="1"/>
  <c r="F13" i="2" l="1"/>
  <c r="F17" i="2" s="1"/>
  <c r="E29" i="2"/>
  <c r="C2" i="7"/>
  <c r="A4" i="7" s="1" a="1"/>
  <c r="O4" i="7"/>
  <c r="F19" i="2" l="1"/>
  <c r="G19" i="2" s="1"/>
  <c r="F18" i="2"/>
  <c r="G18" i="2" s="1"/>
  <c r="F16" i="2"/>
  <c r="G16" i="2" s="1"/>
  <c r="G17" i="2"/>
  <c r="O13" i="7"/>
  <c r="O10" i="7"/>
  <c r="O6" i="7"/>
  <c r="O11" i="7"/>
  <c r="O9" i="7"/>
  <c r="O12" i="7"/>
  <c r="O7" i="7"/>
  <c r="O8" i="7"/>
  <c r="O5" i="7"/>
  <c r="A4" i="7"/>
  <c r="G26" i="7"/>
  <c r="A14" i="7"/>
  <c r="J33" i="7"/>
  <c r="I30" i="7"/>
  <c r="C27" i="7"/>
  <c r="H23" i="7"/>
  <c r="A20" i="7"/>
  <c r="G16" i="7"/>
  <c r="L12" i="7"/>
  <c r="L8" i="7"/>
  <c r="C29" i="7"/>
  <c r="D20" i="7"/>
  <c r="G10" i="7"/>
  <c r="H33" i="7"/>
  <c r="G30" i="7"/>
  <c r="L26" i="7"/>
  <c r="E23" i="7"/>
  <c r="K19" i="7"/>
  <c r="D16" i="7"/>
  <c r="I12" i="7"/>
  <c r="G8" i="7"/>
  <c r="H32" i="7"/>
  <c r="K23" i="7"/>
  <c r="C13" i="7"/>
  <c r="F33" i="7"/>
  <c r="D30" i="7"/>
  <c r="I26" i="7"/>
  <c r="C23" i="7"/>
  <c r="H19" i="7"/>
  <c r="A16" i="7"/>
  <c r="G12" i="7"/>
  <c r="A8" i="7"/>
  <c r="E34" i="7"/>
  <c r="A33" i="7"/>
  <c r="G31" i="7"/>
  <c r="I29" i="7"/>
  <c r="L27" i="7"/>
  <c r="C26" i="7"/>
  <c r="E24" i="7"/>
  <c r="H22" i="7"/>
  <c r="K20" i="7"/>
  <c r="A19" i="7"/>
  <c r="D17" i="7"/>
  <c r="G15" i="7"/>
  <c r="I13" i="7"/>
  <c r="L11" i="7"/>
  <c r="C10" i="7"/>
  <c r="E8" i="7"/>
  <c r="H6" i="7"/>
  <c r="K4" i="7"/>
  <c r="I8" i="7"/>
  <c r="L6" i="7"/>
  <c r="C5" i="7"/>
  <c r="G34" i="7"/>
  <c r="C33" i="7"/>
  <c r="I31" i="7"/>
  <c r="L29" i="7"/>
  <c r="C28" i="7"/>
  <c r="E26" i="7"/>
  <c r="H24" i="7"/>
  <c r="K22" i="7"/>
  <c r="A21" i="7"/>
  <c r="D19" i="7"/>
  <c r="G17" i="7"/>
  <c r="I15" i="7"/>
  <c r="L13" i="7"/>
  <c r="C12" i="7"/>
  <c r="E10" i="7"/>
  <c r="H8" i="7"/>
  <c r="K6" i="7"/>
  <c r="A5" i="7"/>
  <c r="J31" i="7"/>
  <c r="F30" i="7"/>
  <c r="B29" i="7"/>
  <c r="J27" i="7"/>
  <c r="F26" i="7"/>
  <c r="B25" i="7"/>
  <c r="J23" i="7"/>
  <c r="F22" i="7"/>
  <c r="B21" i="7"/>
  <c r="J19" i="7"/>
  <c r="F18" i="7"/>
  <c r="K31" i="7"/>
  <c r="E19" i="7"/>
  <c r="K5" i="7"/>
  <c r="F32" i="7"/>
  <c r="L28" i="7"/>
  <c r="E25" i="7"/>
  <c r="K21" i="7"/>
  <c r="D18" i="7"/>
  <c r="I14" i="7"/>
  <c r="C11" i="7"/>
  <c r="E5" i="7"/>
  <c r="I24" i="7"/>
  <c r="L14" i="7"/>
  <c r="L34" i="7"/>
  <c r="D32" i="7"/>
  <c r="I28" i="7"/>
  <c r="C25" i="7"/>
  <c r="H21" i="7"/>
  <c r="A18" i="7"/>
  <c r="G14" i="7"/>
  <c r="L10" i="7"/>
  <c r="L4" i="7"/>
  <c r="D28" i="7"/>
  <c r="G18" i="7"/>
  <c r="J34" i="7"/>
  <c r="A32" i="7"/>
  <c r="G28" i="7"/>
  <c r="L24" i="7"/>
  <c r="E21" i="7"/>
  <c r="K17" i="7"/>
  <c r="D14" i="7"/>
  <c r="I10" i="7"/>
  <c r="G4" i="7"/>
  <c r="I33" i="7"/>
  <c r="E32" i="7"/>
  <c r="H30" i="7"/>
  <c r="K28" i="7"/>
  <c r="A27" i="7"/>
  <c r="D25" i="7"/>
  <c r="G23" i="7"/>
  <c r="I21" i="7"/>
  <c r="L19" i="7"/>
  <c r="C18" i="7"/>
  <c r="E16" i="7"/>
  <c r="H14" i="7"/>
  <c r="K12" i="7"/>
  <c r="A11" i="7"/>
  <c r="D9" i="7"/>
  <c r="G7" i="7"/>
  <c r="I5" i="7"/>
  <c r="H9" i="7"/>
  <c r="K7" i="7"/>
  <c r="A6" i="7"/>
  <c r="D4" i="7"/>
  <c r="K33" i="7"/>
  <c r="G32" i="7"/>
  <c r="K30" i="7"/>
  <c r="A29" i="7"/>
  <c r="D27" i="7"/>
  <c r="G25" i="7"/>
  <c r="I23" i="7"/>
  <c r="L21" i="7"/>
  <c r="C20" i="7"/>
  <c r="E18" i="7"/>
  <c r="H16" i="7"/>
  <c r="K14" i="7"/>
  <c r="A13" i="7"/>
  <c r="D11" i="7"/>
  <c r="G9" i="7"/>
  <c r="I7" i="7"/>
  <c r="L5" i="7"/>
  <c r="C4" i="7"/>
  <c r="B31" i="7"/>
  <c r="J29" i="7"/>
  <c r="F28" i="7"/>
  <c r="B27" i="7"/>
  <c r="J25" i="7"/>
  <c r="F24" i="7"/>
  <c r="B23" i="7"/>
  <c r="J21" i="7"/>
  <c r="F20" i="7"/>
  <c r="B19" i="7"/>
  <c r="J17" i="7"/>
  <c r="L33" i="7"/>
  <c r="E11" i="7"/>
  <c r="K29" i="7"/>
  <c r="I22" i="7"/>
  <c r="H15" i="7"/>
  <c r="C7" i="7"/>
  <c r="I16" i="7"/>
  <c r="L32" i="7"/>
  <c r="A26" i="7"/>
  <c r="L18" i="7"/>
  <c r="K11" i="7"/>
  <c r="L30" i="7"/>
  <c r="E9" i="7"/>
  <c r="E29" i="7"/>
  <c r="D22" i="7"/>
  <c r="C15" i="7"/>
  <c r="D6" i="7"/>
  <c r="I32" i="7"/>
  <c r="D29" i="7"/>
  <c r="I25" i="7"/>
  <c r="C22" i="7"/>
  <c r="H18" i="7"/>
  <c r="A15" i="7"/>
  <c r="G11" i="7"/>
  <c r="L7" i="7"/>
  <c r="E4" i="7"/>
  <c r="G6" i="7"/>
  <c r="C34" i="7"/>
  <c r="D31" i="7"/>
  <c r="I27" i="7"/>
  <c r="C24" i="7"/>
  <c r="H20" i="7"/>
  <c r="A17" i="7"/>
  <c r="G13" i="7"/>
  <c r="L9" i="7"/>
  <c r="E6" i="7"/>
  <c r="F31" i="7"/>
  <c r="J28" i="7"/>
  <c r="B26" i="7"/>
  <c r="F23" i="7"/>
  <c r="J20" i="7"/>
  <c r="B18" i="7"/>
  <c r="F16" i="7"/>
  <c r="B15" i="7"/>
  <c r="J13" i="7"/>
  <c r="F12" i="7"/>
  <c r="B11" i="7"/>
  <c r="J9" i="7"/>
  <c r="F8" i="7"/>
  <c r="B7" i="7"/>
  <c r="J5" i="7"/>
  <c r="F4" i="7"/>
  <c r="A30" i="7"/>
  <c r="F34" i="7"/>
  <c r="A28" i="7"/>
  <c r="L20" i="7"/>
  <c r="K13" i="7"/>
  <c r="D33" i="7"/>
  <c r="D12" i="7"/>
  <c r="E31" i="7"/>
  <c r="D24" i="7"/>
  <c r="C17" i="7"/>
  <c r="A10" i="7"/>
  <c r="H25" i="7"/>
  <c r="B34" i="7"/>
  <c r="H27" i="7"/>
  <c r="G20" i="7"/>
  <c r="E13" i="7"/>
  <c r="I34" i="7"/>
  <c r="L31" i="7"/>
  <c r="E28" i="7"/>
  <c r="K24" i="7"/>
  <c r="D21" i="7"/>
  <c r="I17" i="7"/>
  <c r="C14" i="7"/>
  <c r="H10" i="7"/>
  <c r="A7" i="7"/>
  <c r="C9" i="7"/>
  <c r="H5" i="7"/>
  <c r="G33" i="7"/>
  <c r="E30" i="7"/>
  <c r="K26" i="7"/>
  <c r="D23" i="7"/>
  <c r="I19" i="7"/>
  <c r="C16" i="7"/>
  <c r="H12" i="7"/>
  <c r="A9" i="7"/>
  <c r="G5" i="7"/>
  <c r="J30" i="7"/>
  <c r="B28" i="7"/>
  <c r="F25" i="7"/>
  <c r="J22" i="7"/>
  <c r="B20" i="7"/>
  <c r="F17" i="7"/>
  <c r="B16" i="7"/>
  <c r="J14" i="7"/>
  <c r="F13" i="7"/>
  <c r="B12" i="7"/>
  <c r="J10" i="7"/>
  <c r="F9" i="7"/>
  <c r="B8" i="7"/>
  <c r="J6" i="7"/>
  <c r="F5" i="7"/>
  <c r="B4" i="7"/>
  <c r="L22" i="7"/>
  <c r="B33" i="7"/>
  <c r="D26" i="7"/>
  <c r="C19" i="7"/>
  <c r="A12" i="7"/>
  <c r="E27" i="7"/>
  <c r="H7" i="7"/>
  <c r="H29" i="7"/>
  <c r="G22" i="7"/>
  <c r="E15" i="7"/>
  <c r="I6" i="7"/>
  <c r="C21" i="7"/>
  <c r="J32" i="7"/>
  <c r="K25" i="7"/>
  <c r="I18" i="7"/>
  <c r="H11" i="7"/>
  <c r="A34" i="7"/>
  <c r="A31" i="7"/>
  <c r="G27" i="7"/>
  <c r="L23" i="7"/>
  <c r="E20" i="7"/>
  <c r="K16" i="7"/>
  <c r="D13" i="7"/>
  <c r="I9" i="7"/>
  <c r="C6" i="7"/>
  <c r="D8" i="7"/>
  <c r="I4" i="7"/>
  <c r="K32" i="7"/>
  <c r="G29" i="7"/>
  <c r="L25" i="7"/>
  <c r="E22" i="7"/>
  <c r="K18" i="7"/>
  <c r="D15" i="7"/>
  <c r="I11" i="7"/>
  <c r="C8" i="7"/>
  <c r="H4" i="7"/>
  <c r="B30" i="7"/>
  <c r="F27" i="7"/>
  <c r="J24" i="7"/>
  <c r="B22" i="7"/>
  <c r="F19" i="7"/>
  <c r="B17" i="7"/>
  <c r="J15" i="7"/>
  <c r="F14" i="7"/>
  <c r="B13" i="7"/>
  <c r="J11" i="7"/>
  <c r="F10" i="7"/>
  <c r="B9" i="7"/>
  <c r="J7" i="7"/>
  <c r="F6" i="7"/>
  <c r="B5" i="7"/>
  <c r="H17" i="7"/>
  <c r="H31" i="7"/>
  <c r="G24" i="7"/>
  <c r="E17" i="7"/>
  <c r="D10" i="7"/>
  <c r="A22" i="7"/>
  <c r="D34" i="7"/>
  <c r="K27" i="7"/>
  <c r="I20" i="7"/>
  <c r="H13" i="7"/>
  <c r="H34" i="7"/>
  <c r="K15" i="7"/>
  <c r="C31" i="7"/>
  <c r="A24" i="7"/>
  <c r="L16" i="7"/>
  <c r="K9" i="7"/>
  <c r="E33" i="7"/>
  <c r="C30" i="7"/>
  <c r="H26" i="7"/>
  <c r="A23" i="7"/>
  <c r="G19" i="7"/>
  <c r="L15" i="7"/>
  <c r="E12" i="7"/>
  <c r="K8" i="7"/>
  <c r="D5" i="7"/>
  <c r="E7" i="7"/>
  <c r="K34" i="7"/>
  <c r="C32" i="7"/>
  <c r="H28" i="7"/>
  <c r="A25" i="7"/>
  <c r="G21" i="7"/>
  <c r="E14" i="7"/>
  <c r="F29" i="7"/>
  <c r="J18" i="7"/>
  <c r="J12" i="7"/>
  <c r="F7" i="7"/>
  <c r="K10" i="7"/>
  <c r="J26" i="7"/>
  <c r="J16" i="7"/>
  <c r="F11" i="7"/>
  <c r="B6" i="7"/>
  <c r="D7" i="7"/>
  <c r="B24" i="7"/>
  <c r="F15" i="7"/>
  <c r="B10" i="7"/>
  <c r="J4" i="7"/>
  <c r="L17" i="7"/>
  <c r="B32" i="7"/>
  <c r="F21" i="7"/>
  <c r="B14" i="7"/>
  <c r="J8" i="7"/>
  <c r="O16" i="7" l="1"/>
  <c r="O14" i="7"/>
  <c r="O15" i="7"/>
  <c r="O17" i="7"/>
  <c r="F12" i="6" l="1"/>
  <c r="F11" i="9"/>
  <c r="F11" i="6"/>
  <c r="B23" i="6"/>
  <c r="B19" i="6"/>
  <c r="B22" i="6"/>
  <c r="B21" i="6"/>
  <c r="B17" i="6"/>
  <c r="D17" i="6" s="1"/>
  <c r="B42" i="3" s="1"/>
  <c r="B20" i="6"/>
  <c r="B18" i="6"/>
  <c r="B57" i="3" l="1"/>
  <c r="G14" i="2" s="1"/>
  <c r="G29" i="2" s="1"/>
  <c r="D55" i="2" l="1"/>
  <c r="D56" i="2"/>
  <c r="H56" i="2" s="1"/>
  <c r="D53" i="2"/>
  <c r="H53" i="2" s="1"/>
  <c r="D54" i="2"/>
  <c r="D50" i="2"/>
  <c r="H50" i="2" s="1"/>
  <c r="D39" i="2"/>
  <c r="H39" i="2" s="1"/>
  <c r="D38" i="2"/>
  <c r="D45" i="2"/>
  <c r="H45" i="2" s="1"/>
  <c r="D36" i="2"/>
  <c r="H36" i="2" s="1"/>
  <c r="D52" i="2"/>
  <c r="D35" i="2"/>
  <c r="F35" i="2" s="1"/>
  <c r="D63" i="2"/>
  <c r="H63" i="2" s="1"/>
  <c r="D41" i="2"/>
  <c r="H41" i="2" s="1"/>
  <c r="G38" i="2"/>
  <c r="D72" i="2"/>
  <c r="H72" i="2" s="1"/>
  <c r="D44" i="2"/>
  <c r="F44" i="2" s="1"/>
  <c r="D67" i="2"/>
  <c r="H67" i="2" s="1"/>
  <c r="D49" i="2"/>
  <c r="F49" i="2" s="1"/>
  <c r="D58" i="2"/>
  <c r="H58" i="2" s="1"/>
  <c r="D73" i="2"/>
  <c r="H73" i="2" s="1"/>
  <c r="D64" i="2"/>
  <c r="H64" i="2" s="1"/>
  <c r="D48" i="2"/>
  <c r="H48" i="2" s="1"/>
  <c r="D37" i="2"/>
  <c r="H37" i="2" s="1"/>
  <c r="D62" i="2"/>
  <c r="H62" i="2" s="1"/>
  <c r="D32" i="2" l="1"/>
  <c r="F32" i="2" s="1"/>
  <c r="H55" i="2"/>
  <c r="F55" i="2"/>
  <c r="F53" i="2"/>
  <c r="H52" i="2"/>
  <c r="F52" i="2"/>
  <c r="H38" i="2"/>
  <c r="H35" i="2"/>
  <c r="H49" i="2"/>
  <c r="F37" i="2"/>
  <c r="F36" i="2"/>
  <c r="F48" i="2"/>
  <c r="F58" i="2"/>
  <c r="F50" i="2"/>
  <c r="H44" i="2"/>
  <c r="D65" i="2"/>
  <c r="F65" i="2" s="1"/>
  <c r="D40" i="2"/>
  <c r="H40" i="2" s="1"/>
  <c r="D66" i="2"/>
  <c r="F66" i="2" s="1"/>
  <c r="H76" i="2" l="1"/>
  <c r="F76" i="2"/>
  <c r="F89" i="2"/>
  <c r="F90" i="2" l="1"/>
  <c r="C2" i="10" s="1"/>
  <c r="H90" i="2" l="1"/>
</calcChain>
</file>

<file path=xl/comments1.xml><?xml version="1.0" encoding="utf-8"?>
<comments xmlns="http://schemas.openxmlformats.org/spreadsheetml/2006/main">
  <authors>
    <author>MOURREJEAU</author>
  </authors>
  <commentList>
    <comment ref="A7" authorId="0" shapeId="0">
      <text>
        <r>
          <rPr>
            <sz val="9"/>
            <color indexed="81"/>
            <rFont val="Tahoma"/>
            <family val="2"/>
          </rPr>
          <t xml:space="preserve">Nom complet + N° IDCC
</t>
        </r>
      </text>
    </comment>
  </commentList>
</comments>
</file>

<file path=xl/comments2.xml><?xml version="1.0" encoding="utf-8"?>
<comments xmlns="http://schemas.openxmlformats.org/spreadsheetml/2006/main">
  <authors>
    <author>MOURREJEAU</author>
  </authors>
  <commentList>
    <comment ref="B28" authorId="0" shapeId="0">
      <text>
        <r>
          <rPr>
            <b/>
            <sz val="9"/>
            <color indexed="81"/>
            <rFont val="Tahoma"/>
            <family val="2"/>
          </rPr>
          <t>MOURREJEAU:</t>
        </r>
        <r>
          <rPr>
            <sz val="9"/>
            <color indexed="81"/>
            <rFont val="Tahoma"/>
            <family val="2"/>
          </rPr>
          <t xml:space="preserve">
Salaire du mois précédent</t>
        </r>
      </text>
    </comment>
  </commentList>
</comments>
</file>

<file path=xl/comments3.xml><?xml version="1.0" encoding="utf-8"?>
<comments xmlns="http://schemas.openxmlformats.org/spreadsheetml/2006/main">
  <authors>
    <author>MOURREJEAU</author>
  </authors>
  <commentList>
    <comment ref="C39" authorId="0" shapeId="0">
      <text>
        <r>
          <rPr>
            <b/>
            <sz val="9"/>
            <color indexed="81"/>
            <rFont val="Tahoma"/>
            <family val="2"/>
          </rPr>
          <t>MOURREJEAU:</t>
        </r>
        <r>
          <rPr>
            <sz val="9"/>
            <color indexed="81"/>
            <rFont val="Tahoma"/>
            <family val="2"/>
          </rPr>
          <t xml:space="preserve">
Paris et :
92 Hauts de Seine
93 Seine Saint Denis
94 Val de Marne
</t>
        </r>
      </text>
    </comment>
    <comment ref="B46" authorId="0" shapeId="0">
      <text>
        <r>
          <rPr>
            <b/>
            <sz val="9"/>
            <color indexed="81"/>
            <rFont val="Tahoma"/>
            <family val="2"/>
          </rPr>
          <t>MOURREJEAU:</t>
        </r>
        <r>
          <rPr>
            <sz val="9"/>
            <color indexed="81"/>
            <rFont val="Tahoma"/>
            <family val="2"/>
          </rPr>
          <t xml:space="preserve">
Paris et :
92 Hauts de Seine
93 Seine Saint Denis
94 Val de Marne
</t>
        </r>
      </text>
    </comment>
  </commentList>
</comments>
</file>

<file path=xl/sharedStrings.xml><?xml version="1.0" encoding="utf-8"?>
<sst xmlns="http://schemas.openxmlformats.org/spreadsheetml/2006/main" count="748" uniqueCount="459">
  <si>
    <t>ENTREPRISE</t>
  </si>
  <si>
    <t>Nom</t>
  </si>
  <si>
    <t>Adresse</t>
  </si>
  <si>
    <t>CP</t>
  </si>
  <si>
    <t>URSSAF N° Lieu</t>
  </si>
  <si>
    <t>NAF</t>
  </si>
  <si>
    <t>Ville</t>
  </si>
  <si>
    <t>Siret</t>
  </si>
  <si>
    <t>CCN</t>
  </si>
  <si>
    <t>BULLETIN DE PAIE</t>
  </si>
  <si>
    <t>Paiement le</t>
  </si>
  <si>
    <t xml:space="preserve">Salaire du </t>
  </si>
  <si>
    <t>au</t>
  </si>
  <si>
    <t>SALARIE</t>
  </si>
  <si>
    <t>Nom/Prénom</t>
  </si>
  <si>
    <t>CP / Ville</t>
  </si>
  <si>
    <t>Emploi</t>
  </si>
  <si>
    <t>Categorie</t>
  </si>
  <si>
    <t>Calification</t>
  </si>
  <si>
    <t>Matricule</t>
  </si>
  <si>
    <t>Coefficient</t>
  </si>
  <si>
    <t>Plafond SS</t>
  </si>
  <si>
    <t>N° SS</t>
  </si>
  <si>
    <t>Date d'entrée</t>
  </si>
  <si>
    <t>Base</t>
  </si>
  <si>
    <t>Rubriques</t>
  </si>
  <si>
    <t>Taux horaire</t>
  </si>
  <si>
    <t>Montant</t>
  </si>
  <si>
    <t>Salaire de Base</t>
  </si>
  <si>
    <t>Retenue Entrée/Sortie</t>
  </si>
  <si>
    <t>RTT</t>
  </si>
  <si>
    <t>Prime de rendement</t>
  </si>
  <si>
    <t>Prime de précarité</t>
  </si>
  <si>
    <t>Prime</t>
  </si>
  <si>
    <t>Retenue C P</t>
  </si>
  <si>
    <t>ICP</t>
  </si>
  <si>
    <t>H complélentaire 10%</t>
  </si>
  <si>
    <t>H sup 25%</t>
  </si>
  <si>
    <t>H sup 50%</t>
  </si>
  <si>
    <t>Réduction Temps Partiel</t>
  </si>
  <si>
    <t>Absence Non Rémunéré</t>
  </si>
  <si>
    <t>Cotisations</t>
  </si>
  <si>
    <t>Taux PS</t>
  </si>
  <si>
    <t>Taux PP</t>
  </si>
  <si>
    <t>CSG Dédustible</t>
  </si>
  <si>
    <t>SECURITE SOCIALE</t>
  </si>
  <si>
    <t>Maladie, Maternité, Invalidité, Décès</t>
  </si>
  <si>
    <t>Vieillesse Plafonnée T. A</t>
  </si>
  <si>
    <t>Vieillesse Déplafonnée T. A</t>
  </si>
  <si>
    <t>Allocations Familliales</t>
  </si>
  <si>
    <t>Accident du Travail</t>
  </si>
  <si>
    <t>Forfait Social</t>
  </si>
  <si>
    <t>Contribution de Solidarité pour l'Autnomie</t>
  </si>
  <si>
    <t>Pôle Emploi</t>
  </si>
  <si>
    <t>Assurance Chômsage Tr.A Tr.B</t>
  </si>
  <si>
    <t>AGS (FNSC)</t>
  </si>
  <si>
    <t>Retrate et Prévoyance Complémentaire</t>
  </si>
  <si>
    <t>Prévoyance Complémentaire</t>
  </si>
  <si>
    <t>Prévoyance Complémentaire Santé (Mutuelle)</t>
  </si>
  <si>
    <t>Autres Contributions</t>
  </si>
  <si>
    <t>FNAL + 20 salariés</t>
  </si>
  <si>
    <t>FNAL - 20 salariés</t>
  </si>
  <si>
    <t>Cotisation Pénibilité de Base</t>
  </si>
  <si>
    <t>Financement Organistions Syncidales</t>
  </si>
  <si>
    <t>CGS non Déductible</t>
  </si>
  <si>
    <t>CRDS non Déductible</t>
  </si>
  <si>
    <t>Versement Transport</t>
  </si>
  <si>
    <t>Participation Construction</t>
  </si>
  <si>
    <t>Taxe sur les Salaires   Associsations TVA</t>
  </si>
  <si>
    <t>Taxe d'apprentissage</t>
  </si>
  <si>
    <t>Participation Formation</t>
  </si>
  <si>
    <t>Réduction Fillon</t>
  </si>
  <si>
    <t>Montant des Cotisations</t>
  </si>
  <si>
    <t>PS</t>
  </si>
  <si>
    <t>PP</t>
  </si>
  <si>
    <t>Ticket Restaurant</t>
  </si>
  <si>
    <t>Av T. R</t>
  </si>
  <si>
    <t>AV Nature Repas</t>
  </si>
  <si>
    <t>Av Nature Logement</t>
  </si>
  <si>
    <t>Av Nature Véhicule</t>
  </si>
  <si>
    <t>Net à Payer</t>
  </si>
  <si>
    <t>Net Impossable</t>
  </si>
  <si>
    <t>Acompte</t>
  </si>
  <si>
    <t>Avance sur Salaire</t>
  </si>
  <si>
    <t>Mode de Règlement</t>
  </si>
  <si>
    <t>Payé le :</t>
  </si>
  <si>
    <t>Total Brut</t>
  </si>
  <si>
    <t>EMPLOYEUR</t>
  </si>
  <si>
    <t>Code Postal</t>
  </si>
  <si>
    <t>Code Naf</t>
  </si>
  <si>
    <t>N° Siret</t>
  </si>
  <si>
    <t>Salariés</t>
  </si>
  <si>
    <t>Prénom</t>
  </si>
  <si>
    <t>Empoi</t>
  </si>
  <si>
    <t>Catégorie</t>
  </si>
  <si>
    <t>Coéficient</t>
  </si>
  <si>
    <t>Paye du</t>
  </si>
  <si>
    <t>Année</t>
  </si>
  <si>
    <t>A Remplir</t>
  </si>
  <si>
    <t>Eléments Temps de Travail</t>
  </si>
  <si>
    <t>Nb de Salariés</t>
  </si>
  <si>
    <t>Element du Brut</t>
  </si>
  <si>
    <t>Temps Partiel/Temps plein</t>
  </si>
  <si>
    <t>Bulletin</t>
  </si>
  <si>
    <t>Nb d'heure/semasine</t>
  </si>
  <si>
    <t>Nb de J/semaine</t>
  </si>
  <si>
    <t>Proratisation PSS</t>
  </si>
  <si>
    <t>Base/heures</t>
  </si>
  <si>
    <t>*liste Déroulante</t>
  </si>
  <si>
    <t>liste Déroulsante</t>
  </si>
  <si>
    <t>Pas de retenue</t>
  </si>
  <si>
    <t>* Liste Déroulante</t>
  </si>
  <si>
    <t>Début</t>
  </si>
  <si>
    <t>Fin</t>
  </si>
  <si>
    <t>Salaire de base</t>
  </si>
  <si>
    <t>Solde CP</t>
  </si>
  <si>
    <t>Prime de Précarité</t>
  </si>
  <si>
    <t>Heures supplémentaires</t>
  </si>
  <si>
    <t>Heure complémentaire 10%</t>
  </si>
  <si>
    <t>Heure sup 25%</t>
  </si>
  <si>
    <t>Heure sup 50%</t>
  </si>
  <si>
    <t>Retenue CP</t>
  </si>
  <si>
    <t>ICCP</t>
  </si>
  <si>
    <t>Nombre de jour</t>
  </si>
  <si>
    <t>Nb d'heures</t>
  </si>
  <si>
    <t>Nb d'heures sup</t>
  </si>
  <si>
    <t>Retenue Absence</t>
  </si>
  <si>
    <t>Avantage Nature</t>
  </si>
  <si>
    <t>Valeur Faciale</t>
  </si>
  <si>
    <t>Part Salariale</t>
  </si>
  <si>
    <t>Valeur Maxi</t>
  </si>
  <si>
    <t>INFO</t>
  </si>
  <si>
    <t>Repas</t>
  </si>
  <si>
    <t>Logement</t>
  </si>
  <si>
    <t>Nb de Pièce</t>
  </si>
  <si>
    <t>Matériel</t>
  </si>
  <si>
    <t>Av Nat Matériel</t>
  </si>
  <si>
    <t>Assurance Chômange CDD</t>
  </si>
  <si>
    <t>CDD Taux de Chômage</t>
  </si>
  <si>
    <t>CDD&lt;=1mois</t>
  </si>
  <si>
    <t>CDD&gt;à1mois&lt;=3mois</t>
  </si>
  <si>
    <t>CDD usage&lt;=3mois</t>
  </si>
  <si>
    <t>CDD autre/CDI</t>
  </si>
  <si>
    <t>Prévoyance / Prèv Santé</t>
  </si>
  <si>
    <t>Prévoyance  PS</t>
  </si>
  <si>
    <t>Prévoyance  PP</t>
  </si>
  <si>
    <t>Prèv Santé PS</t>
  </si>
  <si>
    <t>Prèv Santé PP</t>
  </si>
  <si>
    <t>Prèv Santé Mutuelle</t>
  </si>
  <si>
    <t>Taux AT</t>
  </si>
  <si>
    <t>Taux AT/Versement Transport</t>
  </si>
  <si>
    <t>Smic 2017</t>
  </si>
  <si>
    <t>Montant Horaire</t>
  </si>
  <si>
    <t>Info Générale</t>
  </si>
  <si>
    <t>Montant mensuel</t>
  </si>
  <si>
    <t>Forfait Repas</t>
  </si>
  <si>
    <t xml:space="preserve"> Av  Repas </t>
  </si>
  <si>
    <t>Repas Restaurant</t>
  </si>
  <si>
    <t>Repas Paniers/Lieu Trav.</t>
  </si>
  <si>
    <t>Repas Chantier/Hors locaux</t>
  </si>
  <si>
    <t>Temps Plein</t>
  </si>
  <si>
    <t>Plafond SS T. Plein/T.Partiel</t>
  </si>
  <si>
    <t>Proratisation du PSS si absence</t>
  </si>
  <si>
    <t>Indemnités non soumises à cotisations</t>
  </si>
  <si>
    <t>Libellé des Rubriques</t>
  </si>
  <si>
    <t>Taux</t>
  </si>
  <si>
    <t>Commentaires</t>
  </si>
  <si>
    <t>Salaire Forfaitaire</t>
  </si>
  <si>
    <t>Cotisation</t>
  </si>
  <si>
    <t>Part Patronale</t>
  </si>
  <si>
    <t>Assusrance Santé</t>
  </si>
  <si>
    <t>Sécurité Socifale</t>
  </si>
  <si>
    <t>complémentaiqre Santé</t>
  </si>
  <si>
    <t>Incapacité, Invalidiqté, Capital Décès</t>
  </si>
  <si>
    <t>assurance traraite</t>
  </si>
  <si>
    <t>Sécurité Sociale</t>
  </si>
  <si>
    <t>Complémentaire</t>
  </si>
  <si>
    <t>Supplémentaire</t>
  </si>
  <si>
    <t>Allocations Familiale</t>
  </si>
  <si>
    <t>assurance Chômage</t>
  </si>
  <si>
    <t>APEC</t>
  </si>
  <si>
    <t>Autres Contributions dues pal l'employeur</t>
  </si>
  <si>
    <t>Cotisation Statutaires ou prévues pal Conv. Coll.</t>
  </si>
  <si>
    <t>CSG non imposable</t>
  </si>
  <si>
    <t>CSG &amp; CRDS imposables</t>
  </si>
  <si>
    <t>Allègement de cotisations</t>
  </si>
  <si>
    <t>Totaél des cotisations et contributions</t>
  </si>
  <si>
    <t>Net Psayé</t>
  </si>
  <si>
    <t>Total Versé pa
r l'employeur</t>
  </si>
  <si>
    <t>T1</t>
  </si>
  <si>
    <t>T2</t>
  </si>
  <si>
    <t>T3</t>
  </si>
  <si>
    <t>T4</t>
  </si>
  <si>
    <t>Matin</t>
  </si>
  <si>
    <t>A-M</t>
  </si>
  <si>
    <t>Total</t>
  </si>
  <si>
    <t>lundi</t>
  </si>
  <si>
    <t>mardi</t>
  </si>
  <si>
    <t>mercredi</t>
  </si>
  <si>
    <t>jeudi</t>
  </si>
  <si>
    <t>vendredi</t>
  </si>
  <si>
    <t>Maxi</t>
  </si>
  <si>
    <t>Heures
Travaillés
Semaine</t>
  </si>
  <si>
    <t>Heures
normales</t>
  </si>
  <si>
    <t>Nb heures
Sup</t>
  </si>
  <si>
    <t>Nb heures
sup 25%</t>
  </si>
  <si>
    <t>Nb heures
sup 50%</t>
  </si>
  <si>
    <t>Semaine 1</t>
  </si>
  <si>
    <t>Semaine 2</t>
  </si>
  <si>
    <t>Semaine 3</t>
  </si>
  <si>
    <t>Semaine 4</t>
  </si>
  <si>
    <t>Semaine 5</t>
  </si>
  <si>
    <t>Total du Mois</t>
  </si>
  <si>
    <t>HEURES COMPLEMENTAIRE</t>
  </si>
  <si>
    <t>Temps partiel</t>
  </si>
  <si>
    <t>Nb heures
sup 10%</t>
  </si>
  <si>
    <t>Heure complémentaire 25%</t>
  </si>
  <si>
    <t>Salaire Brut</t>
  </si>
  <si>
    <t>Absence</t>
  </si>
  <si>
    <t xml:space="preserve">Mois </t>
  </si>
  <si>
    <t>Nb d'heures/semaine</t>
  </si>
  <si>
    <t>Nb de jours/semaine</t>
  </si>
  <si>
    <t>Absences</t>
  </si>
  <si>
    <t>Réèls</t>
  </si>
  <si>
    <t>Moyens</t>
  </si>
  <si>
    <t>Heures</t>
  </si>
  <si>
    <t>ouvrés</t>
  </si>
  <si>
    <t>ouvrables</t>
  </si>
  <si>
    <t>Calendaire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</si>
  <si>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</si>
  <si>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</si>
  <si>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</si>
  <si>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</si>
  <si>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</si>
  <si>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</si>
  <si>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</si>
  <si>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</si>
  <si>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</si>
  <si>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</si>
  <si>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</si>
  <si>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</si>
  <si>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Fériés</t>
  </si>
  <si>
    <t>Jour de l'an</t>
  </si>
  <si>
    <t>Fête du travail</t>
  </si>
  <si>
    <t>Victoire 1945</t>
  </si>
  <si>
    <t>Fête Nationale</t>
  </si>
  <si>
    <t>Assomption</t>
  </si>
  <si>
    <t>Toussaint</t>
  </si>
  <si>
    <t>Armistice 1918</t>
  </si>
  <si>
    <t>Noèl</t>
  </si>
  <si>
    <t>Pâques</t>
  </si>
  <si>
    <t>Lundi de Pâques</t>
  </si>
  <si>
    <t>Ascension</t>
  </si>
  <si>
    <t>Pentecôte</t>
  </si>
  <si>
    <t>Lundi de Pentecôte</t>
  </si>
  <si>
    <t>Choix de l'absence</t>
  </si>
  <si>
    <t>Horaire réèl</t>
  </si>
  <si>
    <t>Mensuel Moyen</t>
  </si>
  <si>
    <t>Jour ouvrés réèéls</t>
  </si>
  <si>
    <t>Jour ouvrés moyen</t>
  </si>
  <si>
    <t>Jour ouvrables réèél</t>
  </si>
  <si>
    <t>Jour ouvrables moyen</t>
  </si>
  <si>
    <t>Calendaire réèél</t>
  </si>
  <si>
    <t>Au 30ième</t>
  </si>
  <si>
    <t>Absence  N R &amp; Absence CP</t>
  </si>
  <si>
    <t>Choix de l'absence N R</t>
  </si>
  <si>
    <t>Choix de l'absence C P</t>
  </si>
  <si>
    <t>J Ouv Réèls + J Fériés</t>
  </si>
  <si>
    <t>Ticket restaureant</t>
  </si>
  <si>
    <t>Nomre de jour travaillés</t>
  </si>
  <si>
    <t>Valeur maxi</t>
  </si>
  <si>
    <t>Av T R</t>
  </si>
  <si>
    <t>Avantage repas</t>
  </si>
  <si>
    <t>Nb de Jour</t>
  </si>
  <si>
    <t>Avantage Véhicule</t>
  </si>
  <si>
    <t>Forfait</t>
  </si>
  <si>
    <t>Avantage Logement</t>
  </si>
  <si>
    <t>1 Pièce</t>
  </si>
  <si>
    <t>Nb de pièces</t>
  </si>
  <si>
    <t>Plusieurs Pièces</t>
  </si>
  <si>
    <t>Total Av Nat</t>
  </si>
  <si>
    <t>Rémunération</t>
  </si>
  <si>
    <t>Log 1 pièce</t>
  </si>
  <si>
    <t>Log / pièce</t>
  </si>
  <si>
    <t>Inférieur à1634,5</t>
  </si>
  <si>
    <t>de 1634,50 à 1961,39</t>
  </si>
  <si>
    <t>de 1961,30 à 2288,29</t>
  </si>
  <si>
    <t>de 2288,30 à 2942,09</t>
  </si>
  <si>
    <t>de 2942,10 à 3595,89</t>
  </si>
  <si>
    <t>de 3595,90 à 4249,69</t>
  </si>
  <si>
    <t>de 4249,70 à 4903,49</t>
  </si>
  <si>
    <t>4903,50 et au dela</t>
  </si>
  <si>
    <t>INFOS BS</t>
  </si>
  <si>
    <t>Av Nat</t>
  </si>
  <si>
    <t xml:space="preserve"> PP</t>
  </si>
  <si>
    <t>Av Nat unité</t>
  </si>
  <si>
    <t>Part P</t>
  </si>
  <si>
    <t>Av Nat/Repas</t>
  </si>
  <si>
    <t>Montant Total</t>
  </si>
  <si>
    <t xml:space="preserve"> Montant à saisir</t>
  </si>
  <si>
    <t>HEURES SUPLEMENTAIRE</t>
  </si>
  <si>
    <t>Nb d'heure suplémentaire</t>
  </si>
  <si>
    <t>Nb d'heure complementaire</t>
  </si>
  <si>
    <t>H complélentaire 25%</t>
  </si>
  <si>
    <t>Maintien</t>
  </si>
  <si>
    <t>10ième</t>
  </si>
  <si>
    <t>Salaire</t>
  </si>
  <si>
    <t>Nb J</t>
  </si>
  <si>
    <t>NB J Ouvrable</t>
  </si>
  <si>
    <t>Nb J Ouvrés</t>
  </si>
  <si>
    <t>Salaire de Réf</t>
  </si>
  <si>
    <t>Av Nat Ticket restaurant</t>
  </si>
  <si>
    <t>Av Nat Logement</t>
  </si>
  <si>
    <t>Soumis à Cotisations</t>
  </si>
  <si>
    <t>Participation employeur</t>
  </si>
  <si>
    <t>Part. P. Repas/Paniers</t>
  </si>
  <si>
    <t>H SUP</t>
  </si>
  <si>
    <t>URSSAF/LIEU</t>
  </si>
  <si>
    <t>Non Cadre</t>
  </si>
  <si>
    <t>Qualification</t>
  </si>
  <si>
    <t>Prime d Ancienneté</t>
  </si>
  <si>
    <t>Avance sur salaire</t>
  </si>
  <si>
    <t>Primes</t>
  </si>
  <si>
    <t>Pime d'ancienneté</t>
  </si>
  <si>
    <t>Pime de rendements</t>
  </si>
  <si>
    <t>Jours</t>
  </si>
  <si>
    <t>Indemnité CP</t>
  </si>
  <si>
    <t>Info bulletin</t>
  </si>
  <si>
    <t>Infos Bulletin</t>
  </si>
  <si>
    <t/>
  </si>
  <si>
    <t>Indemnité CP fin CDD</t>
  </si>
  <si>
    <t>Salaire brut</t>
  </si>
  <si>
    <t>Mois</t>
  </si>
  <si>
    <t>ICP/ICCP</t>
  </si>
  <si>
    <t>Absence N R /Abs CP</t>
  </si>
  <si>
    <t>Debut</t>
  </si>
  <si>
    <t xml:space="preserve"> Absence CP</t>
  </si>
  <si>
    <t>ICCP/ICP</t>
  </si>
  <si>
    <t>Montant Solde CP</t>
  </si>
  <si>
    <t>Salaire net</t>
  </si>
  <si>
    <t>Nb de personne à charge</t>
  </si>
  <si>
    <t>Montant par personne</t>
  </si>
  <si>
    <t>Sans personne à charge</t>
  </si>
  <si>
    <t>Tranche</t>
  </si>
  <si>
    <t>Tranche Rémunération</t>
  </si>
  <si>
    <t>Quotité</t>
  </si>
  <si>
    <t xml:space="preserve">&lt; 310,83 € </t>
  </si>
  <si>
    <t xml:space="preserve"> 1/20</t>
  </si>
  <si>
    <t xml:space="preserve">entre 310,83 € et 606,66 € </t>
  </si>
  <si>
    <t>1/10</t>
  </si>
  <si>
    <t>entre 606,67 € et 904,16 €</t>
  </si>
  <si>
    <t>1/5</t>
  </si>
  <si>
    <t xml:space="preserve">entre 904,16 € et 1 200,83 € </t>
  </si>
  <si>
    <t>1/4</t>
  </si>
  <si>
    <t xml:space="preserve">entre 1 200,83 € et 1 497,50 € </t>
  </si>
  <si>
    <t>1,3</t>
  </si>
  <si>
    <t xml:space="preserve">entre 1 497,50 € et 1 799,15 € </t>
  </si>
  <si>
    <t>2/3</t>
  </si>
  <si>
    <t>Avec Personne à charge</t>
  </si>
  <si>
    <t>Saisie sur salaire</t>
  </si>
  <si>
    <t>S. Sans personne à charge</t>
  </si>
  <si>
    <t>S. Avec personne à charge</t>
  </si>
  <si>
    <t>Agmentation / Personnes</t>
  </si>
  <si>
    <t xml:space="preserve">&gt; à 1799,15 </t>
  </si>
  <si>
    <t>Tranche Rémunération2</t>
  </si>
  <si>
    <t>Tranche Rémunération1</t>
  </si>
  <si>
    <t>Pas de saisie</t>
  </si>
  <si>
    <t>Au réèl</t>
  </si>
  <si>
    <t>Véhicule + de 5 ans</t>
  </si>
  <si>
    <t>Véhicule - de 5 ans</t>
  </si>
  <si>
    <t>Assurance</t>
  </si>
  <si>
    <t>Frais d'entretien</t>
  </si>
  <si>
    <t>Total KM</t>
  </si>
  <si>
    <t>KM usage Perso</t>
  </si>
  <si>
    <t>- de 5 ans/Sans carburant</t>
  </si>
  <si>
    <t>+ de 5 ans avec carburant</t>
  </si>
  <si>
    <t>- de 5 ans avec carburant</t>
  </si>
  <si>
    <t>+ de 5 ans/Sans carburant</t>
  </si>
  <si>
    <t>Véhicule</t>
  </si>
  <si>
    <t>Valeur d'achat</t>
  </si>
  <si>
    <t>Montant Achat Véhicule</t>
  </si>
  <si>
    <t>Av Nat Véhicule Forfait</t>
  </si>
  <si>
    <t>Av Nat au Réèl</t>
  </si>
  <si>
    <t>Montant Assurance</t>
  </si>
  <si>
    <t>Montant Frais Entretien</t>
  </si>
  <si>
    <t>Av véhicule</t>
  </si>
  <si>
    <t>Km</t>
  </si>
  <si>
    <t>Av Nat Véhicule  Réèl</t>
  </si>
  <si>
    <t>ARCCO Tr.A</t>
  </si>
  <si>
    <t>AGFF Tr.A</t>
  </si>
  <si>
    <t>AGIRC Tr.B</t>
  </si>
  <si>
    <t>GMP</t>
  </si>
  <si>
    <t>AGFF Tr.B</t>
  </si>
  <si>
    <t>AGIRC Tr.C</t>
  </si>
  <si>
    <t>Prévoyance Décés Obligatoire Tr.A</t>
  </si>
  <si>
    <t>CET</t>
  </si>
  <si>
    <t>Loi TEPA</t>
  </si>
  <si>
    <t>loi TEPA</t>
  </si>
  <si>
    <t>Nb d'heure sup</t>
  </si>
  <si>
    <t>Réduction Patronale Heure Sup</t>
  </si>
  <si>
    <t>Nb J Trav/Calendaire/mois</t>
  </si>
  <si>
    <t>Nombre de Jour</t>
  </si>
  <si>
    <t>Retenue Entrée Sortie</t>
  </si>
  <si>
    <t>Retenue Abs N R</t>
  </si>
  <si>
    <t>Abs Temps partiel</t>
  </si>
  <si>
    <t>Nb de jour</t>
  </si>
  <si>
    <t>NB de J CP</t>
  </si>
  <si>
    <t>Frais de Déplacements</t>
  </si>
  <si>
    <t>Logement / Petit Déjeuner</t>
  </si>
  <si>
    <t>Paris *</t>
  </si>
  <si>
    <t>Autres</t>
  </si>
  <si>
    <t>de 0 à 3 mois</t>
  </si>
  <si>
    <t>De 3 mois à 24 mois</t>
  </si>
  <si>
    <t>de 24 mois à 72 mois</t>
  </si>
  <si>
    <t>Part. Employeur</t>
  </si>
  <si>
    <t>Frais de Déplacement</t>
  </si>
  <si>
    <t>Montant Employeur</t>
  </si>
  <si>
    <t>Frais déplacement</t>
  </si>
  <si>
    <t>Zone Paris</t>
  </si>
  <si>
    <t>Autre Zone</t>
  </si>
  <si>
    <t>Av Nat Autre/ J</t>
  </si>
  <si>
    <t>Av Nat Paris/J</t>
  </si>
  <si>
    <t>Total Paris</t>
  </si>
  <si>
    <t>Total Autre</t>
  </si>
  <si>
    <t>Av Nat Frais Dépl</t>
  </si>
  <si>
    <t>Av Nat Frais Déplacement</t>
  </si>
  <si>
    <t>Régularisation mensuelles des plafonds</t>
  </si>
  <si>
    <t>salaire Brut</t>
  </si>
  <si>
    <t>PPS du mois</t>
  </si>
  <si>
    <t>Plafond GMP</t>
  </si>
  <si>
    <t>mois</t>
  </si>
  <si>
    <t>Brut du mois</t>
  </si>
  <si>
    <t>brut cumulé</t>
  </si>
  <si>
    <t>Tr.A cumulé</t>
  </si>
  <si>
    <t>Tr.A du  mois</t>
  </si>
  <si>
    <t>Plafond A cumulé</t>
  </si>
  <si>
    <t>Tr B cumulé</t>
  </si>
  <si>
    <t>Tr. B du mois</t>
  </si>
  <si>
    <t>Plafond B cumulé</t>
  </si>
  <si>
    <t>GMP Cumulé</t>
  </si>
  <si>
    <t>GMP du mois</t>
  </si>
  <si>
    <t>Plafond GMP 
Cumulé</t>
  </si>
  <si>
    <t>Tr. C cumulé</t>
  </si>
  <si>
    <t>Tr. C du mois</t>
  </si>
  <si>
    <t>Plafond C umulé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</si>
  <si>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</si>
  <si>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</si>
  <si>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</si>
  <si>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</si>
  <si>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</si>
  <si>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</si>
  <si>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</si>
  <si>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</si>
  <si>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</si>
  <si>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</si>
  <si>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</si>
  <si>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</si>
  <si>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Salaire </t>
  </si>
  <si>
    <t>si la tr B cumulé &gt; plafond GMP cumulé; tr Bcumulési Tr B cumulé&lt; plafond GMP cumulé;GMP cumulé;0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</si>
</sst>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#,##0.00\ &quot;€&quot;"/>
    <numFmt numFmtId="165" formatCode="0.000%"/>
    <numFmt numFmtId="166" formatCode="[h]:mm"/>
    <numFmt numFmtId="167" formatCode="dd\ ddd"/>
    <numFmt numFmtId="168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4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8" tint="0.59999389629810485"/>
        <bgColor theme="4" tint="0.79998168889431442"/>
      </patternFill>
    </fill>
    <fill>
      <patternFill patternType="solid">
        <fgColor theme="0"/>
        <bgColor theme="7" tint="0.79998168889431442"/>
      </patternFill>
    </fill>
    <fill>
      <patternFill patternType="solid">
        <fgColor theme="9" tint="0.79998168889431442"/>
        <bgColor theme="4" tint="0.79998168889431442"/>
      </patternFill>
    </fill>
  </fills>
  <borders count="12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DashDot">
        <color auto="1"/>
      </top>
      <bottom style="mediumDashDot">
        <color auto="1"/>
      </bottom>
      <diagonal/>
    </border>
    <border>
      <left/>
      <right/>
      <top style="medium">
        <color indexed="64"/>
      </top>
      <bottom style="mediumDashDot">
        <color auto="1"/>
      </bottom>
      <diagonal/>
    </border>
    <border>
      <left style="medium">
        <color auto="1"/>
      </left>
      <right/>
      <top style="mediumDashDot">
        <color auto="1"/>
      </top>
      <bottom style="mediumDashDot">
        <color auto="1"/>
      </bottom>
      <diagonal/>
    </border>
    <border>
      <left/>
      <right/>
      <top style="mediumDashDot">
        <color auto="1"/>
      </top>
      <bottom style="medium">
        <color indexed="64"/>
      </bottom>
      <diagonal/>
    </border>
    <border>
      <left/>
      <right/>
      <top style="mediumDashDot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rgb="FFFF0000"/>
      </left>
      <right/>
      <top style="dashDotDot">
        <color rgb="FFFF0000"/>
      </top>
      <bottom style="dashDotDot">
        <color rgb="FFFF0000"/>
      </bottom>
      <diagonal/>
    </border>
    <border>
      <left/>
      <right style="dashDotDot">
        <color rgb="FFFF0000"/>
      </right>
      <top style="dashDotDot">
        <color rgb="FFFF0000"/>
      </top>
      <bottom style="dashDotDot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/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/>
      <bottom style="thin">
        <color auto="1"/>
      </bottom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/>
      <top style="thin">
        <color auto="1"/>
      </top>
      <bottom/>
      <diagonal/>
    </border>
    <border>
      <left style="mediumDashDot">
        <color indexed="64"/>
      </left>
      <right/>
      <top/>
      <bottom/>
      <diagonal/>
    </border>
    <border>
      <left style="mediumDashDot">
        <color indexed="64"/>
      </left>
      <right/>
      <top/>
      <bottom style="dashDotDot">
        <color auto="1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Dashed">
        <color indexed="64"/>
      </bottom>
      <diagonal/>
    </border>
    <border>
      <left/>
      <right/>
      <top style="thin">
        <color auto="1"/>
      </top>
      <bottom style="mediumDashed">
        <color auto="1"/>
      </bottom>
      <diagonal/>
    </border>
    <border>
      <left/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 style="mediumDashDot">
        <color indexed="64"/>
      </right>
      <top/>
      <bottom/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 style="medium">
        <color auto="1"/>
      </right>
      <top style="mediumDashDot">
        <color auto="1"/>
      </top>
      <bottom style="mediumDashDot">
        <color auto="1"/>
      </bottom>
      <diagonal/>
    </border>
    <border>
      <left/>
      <right/>
      <top style="mediumDashed">
        <color auto="1"/>
      </top>
      <bottom style="mediumDashed">
        <color auto="1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/>
      <diagonal/>
    </border>
    <border>
      <left style="dashDotDot">
        <color auto="1"/>
      </left>
      <right style="dashDotDot">
        <color auto="1"/>
      </right>
      <top/>
      <bottom style="medium">
        <color indexed="64"/>
      </bottom>
      <diagonal/>
    </border>
    <border>
      <left style="dashDotDot">
        <color auto="1"/>
      </left>
      <right style="medium">
        <color auto="1"/>
      </right>
      <top style="dashDotDot">
        <color auto="1"/>
      </top>
      <bottom/>
      <diagonal/>
    </border>
    <border>
      <left style="dashDotDot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dashDotDot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 style="medium">
        <color auto="1"/>
      </left>
      <right style="medium">
        <color indexed="64"/>
      </right>
      <top style="dashDotDot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DashDot">
        <color indexed="64"/>
      </diagonal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medium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indexed="64"/>
      </top>
      <bottom/>
      <diagonal/>
    </border>
    <border>
      <left style="thin">
        <color theme="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n">
        <color theme="4"/>
      </left>
      <right style="thin">
        <color indexed="6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/>
      </bottom>
      <diagonal/>
    </border>
    <border>
      <left style="thin">
        <color theme="4"/>
      </left>
      <right/>
      <top style="thin">
        <color theme="4" tint="0.39994506668294322"/>
      </top>
      <bottom style="thin">
        <color theme="4"/>
      </bottom>
      <diagonal/>
    </border>
    <border>
      <left style="thin">
        <color theme="4"/>
      </left>
      <right style="thin">
        <color theme="4" tint="0.39994506668294322"/>
      </right>
      <top style="thin">
        <color theme="4" tint="0.39994506668294322"/>
      </top>
      <bottom style="thin">
        <color theme="4"/>
      </bottom>
      <diagonal/>
    </border>
    <border>
      <left style="thin">
        <color theme="4" tint="0.39994506668294322"/>
      </left>
      <right/>
      <top style="thin">
        <color theme="4" tint="0.39994506668294322"/>
      </top>
      <bottom/>
      <diagonal/>
    </border>
    <border>
      <left style="thin">
        <color auto="1"/>
      </left>
      <right/>
      <top style="thin">
        <color theme="4" tint="0.39994506668294322"/>
      </top>
      <bottom/>
      <diagonal/>
    </border>
    <border>
      <left style="thin">
        <color indexed="64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theme="4"/>
      </right>
      <top style="thin">
        <color theme="4"/>
      </top>
      <bottom style="thin">
        <color indexed="64"/>
      </bottom>
      <diagonal/>
    </border>
    <border>
      <left style="thin">
        <color theme="4"/>
      </left>
      <right/>
      <top style="medium">
        <color theme="4"/>
      </top>
      <bottom style="thin">
        <color theme="4" tint="0.39994506668294322"/>
      </bottom>
      <diagonal/>
    </border>
    <border>
      <left/>
      <right style="thin">
        <color theme="4"/>
      </right>
      <top style="medium">
        <color theme="4"/>
      </top>
      <bottom style="thin">
        <color theme="4" tint="0.3999450666829432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 style="thin">
        <color indexed="64"/>
      </left>
      <right/>
      <top style="mediumDashDot">
        <color auto="1"/>
      </top>
      <bottom style="mediumDashDot">
        <color auto="1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 style="medium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/>
      <top style="thin">
        <color theme="4"/>
      </top>
      <bottom/>
      <diagonal/>
    </border>
    <border>
      <left style="medium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 style="medium">
        <color theme="4"/>
      </bottom>
      <diagonal/>
    </border>
    <border>
      <left style="medium">
        <color theme="4"/>
      </left>
      <right/>
      <top style="thin">
        <color theme="4"/>
      </top>
      <bottom style="medium">
        <color theme="4"/>
      </bottom>
      <diagonal/>
    </border>
    <border>
      <left style="thin">
        <color theme="4"/>
      </left>
      <right/>
      <top style="thin">
        <color theme="4"/>
      </top>
      <bottom style="medium">
        <color theme="4"/>
      </bottom>
      <diagonal/>
    </border>
    <border>
      <left style="thin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94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3" borderId="0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16" xfId="0" applyFill="1" applyBorder="1"/>
    <xf numFmtId="0" fontId="0" fillId="3" borderId="17" xfId="0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7" xfId="0" applyBorder="1"/>
    <xf numFmtId="0" fontId="0" fillId="3" borderId="23" xfId="0" applyFill="1" applyBorder="1"/>
    <xf numFmtId="0" fontId="0" fillId="0" borderId="24" xfId="0" applyBorder="1"/>
    <xf numFmtId="0" fontId="0" fillId="3" borderId="24" xfId="0" applyFill="1" applyBorder="1"/>
    <xf numFmtId="0" fontId="0" fillId="0" borderId="25" xfId="0" applyBorder="1"/>
    <xf numFmtId="0" fontId="0" fillId="0" borderId="26" xfId="0" applyBorder="1"/>
    <xf numFmtId="0" fontId="0" fillId="2" borderId="12" xfId="0" applyFill="1" applyBorder="1"/>
    <xf numFmtId="0" fontId="0" fillId="2" borderId="15" xfId="0" applyFill="1" applyBorder="1"/>
    <xf numFmtId="0" fontId="0" fillId="0" borderId="21" xfId="0" applyBorder="1"/>
    <xf numFmtId="0" fontId="0" fillId="0" borderId="30" xfId="0" applyBorder="1"/>
    <xf numFmtId="0" fontId="0" fillId="0" borderId="23" xfId="0" applyBorder="1"/>
    <xf numFmtId="0" fontId="0" fillId="2" borderId="12" xfId="0" applyFill="1" applyBorder="1" applyAlignment="1">
      <alignment horizontal="center"/>
    </xf>
    <xf numFmtId="0" fontId="0" fillId="0" borderId="31" xfId="0" applyBorder="1"/>
    <xf numFmtId="0" fontId="0" fillId="0" borderId="26" xfId="0" applyBorder="1" applyAlignment="1">
      <alignment horizontal="left"/>
    </xf>
    <xf numFmtId="0" fontId="0" fillId="2" borderId="0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7" xfId="0" applyBorder="1"/>
    <xf numFmtId="0" fontId="0" fillId="0" borderId="32" xfId="0" applyBorder="1"/>
    <xf numFmtId="0" fontId="0" fillId="0" borderId="33" xfId="0" applyBorder="1"/>
    <xf numFmtId="0" fontId="0" fillId="2" borderId="15" xfId="0" applyFill="1" applyBorder="1" applyAlignment="1">
      <alignment horizontal="center"/>
    </xf>
    <xf numFmtId="0" fontId="0" fillId="0" borderId="16" xfId="0" applyBorder="1"/>
    <xf numFmtId="0" fontId="0" fillId="0" borderId="29" xfId="0" applyBorder="1" applyAlignment="1">
      <alignment horizontal="left"/>
    </xf>
    <xf numFmtId="9" fontId="0" fillId="0" borderId="9" xfId="1" applyFont="1" applyBorder="1"/>
    <xf numFmtId="10" fontId="0" fillId="0" borderId="7" xfId="1" applyNumberFormat="1" applyFont="1" applyBorder="1"/>
    <xf numFmtId="10" fontId="0" fillId="0" borderId="9" xfId="1" applyNumberFormat="1" applyFont="1" applyBorder="1"/>
    <xf numFmtId="10" fontId="0" fillId="0" borderId="7" xfId="1" applyNumberFormat="1" applyFont="1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14" fontId="0" fillId="6" borderId="34" xfId="0" applyNumberFormat="1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2" fontId="0" fillId="7" borderId="34" xfId="0" applyNumberFormat="1" applyFill="1" applyBorder="1" applyAlignment="1">
      <alignment horizontal="center"/>
    </xf>
    <xf numFmtId="2" fontId="0" fillId="6" borderId="34" xfId="0" applyNumberFormat="1" applyFill="1" applyBorder="1" applyAlignment="1">
      <alignment horizontal="center"/>
    </xf>
    <xf numFmtId="2" fontId="0" fillId="6" borderId="36" xfId="0" applyNumberFormat="1" applyFill="1" applyBorder="1" applyAlignment="1">
      <alignment horizontal="center"/>
    </xf>
    <xf numFmtId="2" fontId="0" fillId="6" borderId="35" xfId="0" applyNumberFormat="1" applyFill="1" applyBorder="1" applyAlignment="1">
      <alignment horizontal="center"/>
    </xf>
    <xf numFmtId="0" fontId="3" fillId="5" borderId="0" xfId="0" applyFont="1" applyFill="1" applyAlignment="1"/>
    <xf numFmtId="164" fontId="0" fillId="6" borderId="34" xfId="0" applyNumberFormat="1" applyFill="1" applyBorder="1" applyAlignment="1">
      <alignment horizontal="center"/>
    </xf>
    <xf numFmtId="2" fontId="0" fillId="0" borderId="7" xfId="0" applyNumberFormat="1" applyBorder="1"/>
    <xf numFmtId="164" fontId="0" fillId="0" borderId="7" xfId="0" applyNumberFormat="1" applyBorder="1"/>
    <xf numFmtId="164" fontId="0" fillId="0" borderId="9" xfId="0" applyNumberFormat="1" applyBorder="1"/>
    <xf numFmtId="164" fontId="0" fillId="0" borderId="26" xfId="0" applyNumberFormat="1" applyBorder="1"/>
    <xf numFmtId="0" fontId="0" fillId="8" borderId="34" xfId="0" applyFill="1" applyBorder="1"/>
    <xf numFmtId="0" fontId="0" fillId="10" borderId="0" xfId="0" applyFill="1"/>
    <xf numFmtId="0" fontId="0" fillId="10" borderId="24" xfId="0" applyFill="1" applyBorder="1"/>
    <xf numFmtId="2" fontId="0" fillId="7" borderId="36" xfId="0" applyNumberFormat="1" applyFill="1" applyBorder="1" applyAlignment="1">
      <alignment horizontal="center"/>
    </xf>
    <xf numFmtId="164" fontId="0" fillId="7" borderId="34" xfId="0" applyNumberFormat="1" applyFill="1" applyBorder="1" applyAlignment="1">
      <alignment horizontal="center"/>
    </xf>
    <xf numFmtId="9" fontId="0" fillId="11" borderId="0" xfId="0" applyNumberFormat="1" applyFill="1" applyAlignment="1">
      <alignment horizontal="center"/>
    </xf>
    <xf numFmtId="10" fontId="0" fillId="11" borderId="0" xfId="0" applyNumberFormat="1" applyFill="1" applyAlignment="1">
      <alignment horizontal="center"/>
    </xf>
    <xf numFmtId="2" fontId="0" fillId="0" borderId="0" xfId="0" applyNumberFormat="1"/>
    <xf numFmtId="9" fontId="0" fillId="12" borderId="34" xfId="1" applyFont="1" applyFill="1" applyBorder="1" applyAlignment="1">
      <alignment horizontal="center"/>
    </xf>
    <xf numFmtId="164" fontId="0" fillId="7" borderId="37" xfId="0" applyNumberFormat="1" applyFill="1" applyBorder="1" applyAlignment="1">
      <alignment horizontal="center"/>
    </xf>
    <xf numFmtId="0" fontId="0" fillId="0" borderId="39" xfId="0" applyBorder="1"/>
    <xf numFmtId="10" fontId="0" fillId="0" borderId="40" xfId="1" applyNumberFormat="1" applyFont="1" applyBorder="1"/>
    <xf numFmtId="0" fontId="0" fillId="0" borderId="40" xfId="0" applyBorder="1"/>
    <xf numFmtId="0" fontId="0" fillId="0" borderId="41" xfId="0" applyBorder="1"/>
    <xf numFmtId="0" fontId="0" fillId="13" borderId="0" xfId="0" applyFill="1" applyAlignment="1">
      <alignment horizontal="center"/>
    </xf>
    <xf numFmtId="2" fontId="0" fillId="13" borderId="0" xfId="0" applyNumberFormat="1" applyFill="1" applyAlignment="1">
      <alignment horizontal="center"/>
    </xf>
    <xf numFmtId="0" fontId="0" fillId="13" borderId="0" xfId="0" applyFill="1" applyAlignment="1">
      <alignment horizontal="left"/>
    </xf>
    <xf numFmtId="164" fontId="0" fillId="13" borderId="0" xfId="0" applyNumberFormat="1" applyFill="1" applyBorder="1" applyAlignment="1">
      <alignment horizontal="center"/>
    </xf>
    <xf numFmtId="2" fontId="0" fillId="11" borderId="0" xfId="0" applyNumberFormat="1" applyFill="1" applyAlignment="1">
      <alignment horizontal="center"/>
    </xf>
    <xf numFmtId="0" fontId="0" fillId="10" borderId="16" xfId="0" applyFill="1" applyBorder="1"/>
    <xf numFmtId="2" fontId="4" fillId="14" borderId="42" xfId="0" applyNumberFormat="1" applyFont="1" applyFill="1" applyBorder="1" applyAlignment="1"/>
    <xf numFmtId="2" fontId="0" fillId="0" borderId="25" xfId="0" applyNumberFormat="1" applyBorder="1"/>
    <xf numFmtId="0" fontId="0" fillId="0" borderId="9" xfId="0" applyBorder="1"/>
    <xf numFmtId="10" fontId="0" fillId="0" borderId="31" xfId="1" applyNumberFormat="1" applyFont="1" applyBorder="1"/>
    <xf numFmtId="165" fontId="0" fillId="0" borderId="9" xfId="1" applyNumberFormat="1" applyFont="1" applyBorder="1"/>
    <xf numFmtId="10" fontId="5" fillId="0" borderId="9" xfId="1" applyNumberFormat="1" applyFont="1" applyBorder="1"/>
    <xf numFmtId="2" fontId="0" fillId="0" borderId="9" xfId="0" applyNumberFormat="1" applyBorder="1"/>
    <xf numFmtId="0" fontId="0" fillId="12" borderId="9" xfId="0" applyFill="1" applyBorder="1"/>
    <xf numFmtId="2" fontId="0" fillId="2" borderId="12" xfId="0" applyNumberFormat="1" applyFill="1" applyBorder="1" applyAlignment="1">
      <alignment horizontal="center"/>
    </xf>
    <xf numFmtId="2" fontId="0" fillId="2" borderId="15" xfId="0" applyNumberFormat="1" applyFill="1" applyBorder="1" applyAlignment="1">
      <alignment horizontal="center"/>
    </xf>
    <xf numFmtId="0" fontId="0" fillId="0" borderId="15" xfId="0" applyBorder="1" applyAlignment="1"/>
    <xf numFmtId="0" fontId="0" fillId="0" borderId="0" xfId="0" applyAlignment="1"/>
    <xf numFmtId="0" fontId="0" fillId="3" borderId="0" xfId="0" applyFill="1" applyBorder="1" applyAlignment="1">
      <alignment vertical="center"/>
    </xf>
    <xf numFmtId="0" fontId="0" fillId="3" borderId="17" xfId="0" applyFill="1" applyBorder="1" applyAlignment="1">
      <alignment vertical="center"/>
    </xf>
    <xf numFmtId="0" fontId="0" fillId="0" borderId="24" xfId="0" applyBorder="1" applyAlignment="1">
      <alignment wrapText="1"/>
    </xf>
    <xf numFmtId="0" fontId="0" fillId="0" borderId="45" xfId="0" applyBorder="1"/>
    <xf numFmtId="0" fontId="0" fillId="0" borderId="0" xfId="0" applyBorder="1" applyAlignment="1">
      <alignment horizontal="center"/>
    </xf>
    <xf numFmtId="0" fontId="6" fillId="15" borderId="0" xfId="0" applyFont="1" applyFill="1"/>
    <xf numFmtId="0" fontId="0" fillId="15" borderId="0" xfId="0" applyFill="1"/>
    <xf numFmtId="0" fontId="0" fillId="18" borderId="0" xfId="0" applyFill="1" applyAlignment="1">
      <alignment horizontal="center"/>
    </xf>
    <xf numFmtId="0" fontId="0" fillId="19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0" fillId="12" borderId="46" xfId="0" applyFill="1" applyBorder="1"/>
    <xf numFmtId="0" fontId="0" fillId="12" borderId="47" xfId="0" applyFill="1" applyBorder="1" applyAlignment="1">
      <alignment horizontal="center"/>
    </xf>
    <xf numFmtId="20" fontId="0" fillId="21" borderId="0" xfId="0" applyNumberFormat="1" applyFill="1" applyAlignment="1">
      <alignment horizontal="center"/>
    </xf>
    <xf numFmtId="166" fontId="0" fillId="12" borderId="11" xfId="0" applyNumberFormat="1" applyFill="1" applyBorder="1"/>
    <xf numFmtId="166" fontId="0" fillId="12" borderId="12" xfId="0" applyNumberFormat="1" applyFill="1" applyBorder="1"/>
    <xf numFmtId="166" fontId="0" fillId="12" borderId="48" xfId="0" applyNumberFormat="1" applyFill="1" applyBorder="1"/>
    <xf numFmtId="0" fontId="0" fillId="12" borderId="49" xfId="0" applyFill="1" applyBorder="1"/>
    <xf numFmtId="0" fontId="0" fillId="12" borderId="50" xfId="0" applyFill="1" applyBorder="1" applyAlignment="1">
      <alignment horizontal="center"/>
    </xf>
    <xf numFmtId="166" fontId="0" fillId="21" borderId="0" xfId="0" applyNumberFormat="1" applyFill="1" applyAlignment="1">
      <alignment horizontal="center"/>
    </xf>
    <xf numFmtId="166" fontId="0" fillId="12" borderId="16" xfId="0" applyNumberFormat="1" applyFill="1" applyBorder="1"/>
    <xf numFmtId="166" fontId="0" fillId="12" borderId="0" xfId="0" applyNumberFormat="1" applyFill="1" applyBorder="1"/>
    <xf numFmtId="166" fontId="0" fillId="12" borderId="51" xfId="0" applyNumberFormat="1" applyFill="1" applyBorder="1"/>
    <xf numFmtId="166" fontId="0" fillId="0" borderId="0" xfId="0" applyNumberFormat="1"/>
    <xf numFmtId="0" fontId="0" fillId="0" borderId="49" xfId="0" applyBorder="1"/>
    <xf numFmtId="0" fontId="0" fillId="0" borderId="50" xfId="0" applyBorder="1" applyAlignment="1">
      <alignment horizontal="center"/>
    </xf>
    <xf numFmtId="166" fontId="0" fillId="0" borderId="16" xfId="0" applyNumberFormat="1" applyBorder="1"/>
    <xf numFmtId="166" fontId="0" fillId="0" borderId="0" xfId="0" applyNumberFormat="1" applyBorder="1"/>
    <xf numFmtId="0" fontId="0" fillId="0" borderId="52" xfId="0" applyBorder="1"/>
    <xf numFmtId="0" fontId="0" fillId="0" borderId="53" xfId="0" applyBorder="1" applyAlignment="1">
      <alignment horizontal="center"/>
    </xf>
    <xf numFmtId="166" fontId="0" fillId="0" borderId="23" xfId="0" applyNumberFormat="1" applyBorder="1"/>
    <xf numFmtId="166" fontId="0" fillId="0" borderId="24" xfId="0" applyNumberFormat="1" applyBorder="1"/>
    <xf numFmtId="166" fontId="0" fillId="12" borderId="54" xfId="0" applyNumberFormat="1" applyFill="1" applyBorder="1"/>
    <xf numFmtId="166" fontId="0" fillId="5" borderId="0" xfId="0" applyNumberFormat="1" applyFill="1"/>
    <xf numFmtId="0" fontId="0" fillId="0" borderId="46" xfId="0" applyBorder="1"/>
    <xf numFmtId="0" fontId="0" fillId="0" borderId="47" xfId="0" applyBorder="1" applyAlignment="1">
      <alignment horizontal="center"/>
    </xf>
    <xf numFmtId="166" fontId="0" fillId="0" borderId="11" xfId="0" applyNumberFormat="1" applyBorder="1"/>
    <xf numFmtId="166" fontId="0" fillId="0" borderId="12" xfId="0" applyNumberFormat="1" applyBorder="1"/>
    <xf numFmtId="0" fontId="0" fillId="15" borderId="45" xfId="0" applyFill="1" applyBorder="1"/>
    <xf numFmtId="0" fontId="0" fillId="15" borderId="45" xfId="0" applyFill="1" applyBorder="1" applyAlignment="1">
      <alignment horizontal="center" vertical="center" wrapText="1"/>
    </xf>
    <xf numFmtId="0" fontId="0" fillId="15" borderId="55" xfId="0" applyFill="1" applyBorder="1"/>
    <xf numFmtId="0" fontId="0" fillId="15" borderId="2" xfId="0" applyFill="1" applyBorder="1"/>
    <xf numFmtId="0" fontId="0" fillId="16" borderId="0" xfId="0" applyFont="1" applyFill="1"/>
    <xf numFmtId="0" fontId="0" fillId="0" borderId="0" xfId="0" applyNumberFormat="1"/>
    <xf numFmtId="2" fontId="4" fillId="0" borderId="0" xfId="0" applyNumberFormat="1" applyFont="1"/>
    <xf numFmtId="0" fontId="0" fillId="16" borderId="45" xfId="0" applyFont="1" applyFill="1" applyBorder="1"/>
    <xf numFmtId="14" fontId="0" fillId="0" borderId="0" xfId="0" applyNumberFormat="1"/>
    <xf numFmtId="0" fontId="0" fillId="3" borderId="0" xfId="0" applyFill="1"/>
    <xf numFmtId="0" fontId="0" fillId="19" borderId="0" xfId="0" applyFill="1"/>
    <xf numFmtId="0" fontId="0" fillId="22" borderId="0" xfId="0" applyFill="1"/>
    <xf numFmtId="0" fontId="0" fillId="14" borderId="60" xfId="0" applyFill="1" applyBorder="1" applyAlignment="1">
      <alignment horizontal="center" vertical="center"/>
    </xf>
    <xf numFmtId="0" fontId="0" fillId="22" borderId="61" xfId="0" applyFill="1" applyBorder="1"/>
    <xf numFmtId="0" fontId="0" fillId="20" borderId="62" xfId="0" applyFill="1" applyBorder="1"/>
    <xf numFmtId="168" fontId="0" fillId="0" borderId="61" xfId="0" applyNumberFormat="1" applyBorder="1"/>
    <xf numFmtId="0" fontId="0" fillId="20" borderId="63" xfId="0" applyFill="1" applyBorder="1"/>
    <xf numFmtId="0" fontId="0" fillId="20" borderId="64" xfId="0" applyFill="1" applyBorder="1"/>
    <xf numFmtId="0" fontId="0" fillId="24" borderId="63" xfId="0" applyFill="1" applyBorder="1"/>
    <xf numFmtId="168" fontId="0" fillId="0" borderId="59" xfId="0" applyNumberFormat="1" applyBorder="1"/>
    <xf numFmtId="0" fontId="0" fillId="24" borderId="65" xfId="0" applyFill="1" applyBorder="1"/>
    <xf numFmtId="168" fontId="0" fillId="0" borderId="66" xfId="0" applyNumberFormat="1" applyBorder="1"/>
    <xf numFmtId="0" fontId="0" fillId="23" borderId="11" xfId="0" applyFill="1" applyBorder="1"/>
    <xf numFmtId="0" fontId="0" fillId="23" borderId="12" xfId="0" applyFill="1" applyBorder="1"/>
    <xf numFmtId="0" fontId="0" fillId="23" borderId="15" xfId="0" applyFill="1" applyBorder="1"/>
    <xf numFmtId="0" fontId="0" fillId="3" borderId="45" xfId="0" applyFill="1" applyBorder="1"/>
    <xf numFmtId="1" fontId="0" fillId="0" borderId="45" xfId="0" applyNumberFormat="1" applyBorder="1"/>
    <xf numFmtId="2" fontId="0" fillId="0" borderId="45" xfId="0" applyNumberFormat="1" applyBorder="1"/>
    <xf numFmtId="0" fontId="0" fillId="21" borderId="68" xfId="0" applyFill="1" applyBorder="1"/>
    <xf numFmtId="0" fontId="0" fillId="21" borderId="69" xfId="0" applyFill="1" applyBorder="1"/>
    <xf numFmtId="0" fontId="0" fillId="21" borderId="70" xfId="0" applyFill="1" applyBorder="1"/>
    <xf numFmtId="0" fontId="0" fillId="0" borderId="57" xfId="0" applyBorder="1"/>
    <xf numFmtId="0" fontId="0" fillId="0" borderId="1" xfId="0" applyBorder="1"/>
    <xf numFmtId="0" fontId="0" fillId="0" borderId="71" xfId="0" applyBorder="1"/>
    <xf numFmtId="2" fontId="0" fillId="0" borderId="2" xfId="0" applyNumberFormat="1" applyBorder="1"/>
    <xf numFmtId="2" fontId="0" fillId="0" borderId="56" xfId="0" applyNumberFormat="1" applyBorder="1"/>
    <xf numFmtId="0" fontId="0" fillId="3" borderId="55" xfId="0" applyFill="1" applyBorder="1"/>
    <xf numFmtId="0" fontId="0" fillId="26" borderId="74" xfId="0" applyFill="1" applyBorder="1"/>
    <xf numFmtId="2" fontId="0" fillId="11" borderId="0" xfId="0" applyNumberFormat="1" applyFill="1" applyAlignment="1">
      <alignment horizontal="right"/>
    </xf>
    <xf numFmtId="0" fontId="0" fillId="0" borderId="26" xfId="0" applyBorder="1" applyAlignment="1">
      <alignment horizontal="left"/>
    </xf>
    <xf numFmtId="0" fontId="0" fillId="3" borderId="28" xfId="0" applyFill="1" applyBorder="1" applyAlignment="1">
      <alignment horizontal="left"/>
    </xf>
    <xf numFmtId="0" fontId="0" fillId="0" borderId="9" xfId="0" applyBorder="1"/>
    <xf numFmtId="0" fontId="0" fillId="0" borderId="45" xfId="0" applyBorder="1"/>
    <xf numFmtId="9" fontId="0" fillId="0" borderId="0" xfId="0" applyNumberFormat="1"/>
    <xf numFmtId="9" fontId="0" fillId="26" borderId="0" xfId="1" applyFont="1" applyFill="1"/>
    <xf numFmtId="0" fontId="0" fillId="26" borderId="0" xfId="0" applyFill="1"/>
    <xf numFmtId="9" fontId="0" fillId="26" borderId="0" xfId="0" applyNumberFormat="1" applyFill="1"/>
    <xf numFmtId="0" fontId="0" fillId="26" borderId="72" xfId="0" applyFill="1" applyBorder="1"/>
    <xf numFmtId="0" fontId="0" fillId="26" borderId="73" xfId="0" applyFill="1" applyBorder="1"/>
    <xf numFmtId="0" fontId="0" fillId="7" borderId="0" xfId="0" applyFill="1"/>
    <xf numFmtId="0" fontId="0" fillId="7" borderId="55" xfId="0" applyFill="1" applyBorder="1"/>
    <xf numFmtId="0" fontId="0" fillId="24" borderId="0" xfId="0" applyFill="1"/>
    <xf numFmtId="0" fontId="7" fillId="3" borderId="0" xfId="2" applyFill="1" applyBorder="1"/>
    <xf numFmtId="10" fontId="0" fillId="0" borderId="0" xfId="1" applyNumberFormat="1" applyFont="1"/>
    <xf numFmtId="0" fontId="8" fillId="27" borderId="0" xfId="2" applyFont="1" applyFill="1"/>
    <xf numFmtId="0" fontId="0" fillId="8" borderId="0" xfId="0" applyFill="1"/>
    <xf numFmtId="0" fontId="9" fillId="0" borderId="12" xfId="0" applyFont="1" applyBorder="1" applyAlignment="1">
      <alignment horizontal="center"/>
    </xf>
    <xf numFmtId="0" fontId="0" fillId="0" borderId="56" xfId="0" applyBorder="1"/>
    <xf numFmtId="0" fontId="0" fillId="12" borderId="34" xfId="0" applyFill="1" applyBorder="1" applyAlignment="1">
      <alignment horizontal="center"/>
    </xf>
    <xf numFmtId="0" fontId="0" fillId="24" borderId="76" xfId="0" applyFill="1" applyBorder="1"/>
    <xf numFmtId="2" fontId="0" fillId="7" borderId="0" xfId="0" applyNumberFormat="1" applyFill="1"/>
    <xf numFmtId="0" fontId="0" fillId="3" borderId="9" xfId="0" applyFill="1" applyBorder="1" applyAlignment="1">
      <alignment horizontal="left"/>
    </xf>
    <xf numFmtId="0" fontId="4" fillId="0" borderId="0" xfId="0" applyFont="1"/>
    <xf numFmtId="0" fontId="0" fillId="3" borderId="9" xfId="0" applyFill="1" applyBorder="1" applyAlignment="1"/>
    <xf numFmtId="0" fontId="0" fillId="13" borderId="15" xfId="0" applyFill="1" applyBorder="1"/>
    <xf numFmtId="0" fontId="0" fillId="13" borderId="17" xfId="0" applyFill="1" applyBorder="1"/>
    <xf numFmtId="0" fontId="0" fillId="13" borderId="25" xfId="0" applyFill="1" applyBorder="1"/>
    <xf numFmtId="164" fontId="10" fillId="12" borderId="9" xfId="0" applyNumberFormat="1" applyFont="1" applyFill="1" applyBorder="1"/>
    <xf numFmtId="0" fontId="0" fillId="0" borderId="9" xfId="0" applyBorder="1" applyAlignment="1">
      <alignment horizontal="left"/>
    </xf>
    <xf numFmtId="0" fontId="0" fillId="0" borderId="28" xfId="0" applyBorder="1" applyAlignment="1">
      <alignment horizontal="left"/>
    </xf>
    <xf numFmtId="9" fontId="0" fillId="13" borderId="34" xfId="1" applyNumberFormat="1" applyFont="1" applyFill="1" applyBorder="1" applyAlignment="1">
      <alignment horizontal="center"/>
    </xf>
    <xf numFmtId="164" fontId="0" fillId="7" borderId="55" xfId="0" applyNumberFormat="1" applyFill="1" applyBorder="1"/>
    <xf numFmtId="0" fontId="13" fillId="0" borderId="16" xfId="0" applyFont="1" applyBorder="1"/>
    <xf numFmtId="0" fontId="9" fillId="0" borderId="0" xfId="0" applyFont="1" applyBorder="1" applyAlignment="1">
      <alignment horizontal="center"/>
    </xf>
    <xf numFmtId="0" fontId="7" fillId="27" borderId="0" xfId="2" applyFill="1"/>
    <xf numFmtId="0" fontId="7" fillId="0" borderId="0" xfId="2"/>
    <xf numFmtId="0" fontId="0" fillId="6" borderId="34" xfId="0" applyFill="1" applyBorder="1"/>
    <xf numFmtId="0" fontId="0" fillId="6" borderId="35" xfId="0" applyFill="1" applyBorder="1"/>
    <xf numFmtId="0" fontId="0" fillId="6" borderId="38" xfId="0" applyFill="1" applyBorder="1"/>
    <xf numFmtId="0" fontId="0" fillId="6" borderId="34" xfId="0" applyFill="1" applyBorder="1" applyAlignment="1">
      <alignment horizontal="center"/>
    </xf>
    <xf numFmtId="0" fontId="0" fillId="6" borderId="75" xfId="0" applyFill="1" applyBorder="1"/>
    <xf numFmtId="9" fontId="0" fillId="6" borderId="35" xfId="1" applyFont="1" applyFill="1" applyBorder="1" applyAlignment="1">
      <alignment horizontal="center"/>
    </xf>
    <xf numFmtId="9" fontId="0" fillId="6" borderId="34" xfId="1" applyFont="1" applyFill="1" applyBorder="1" applyAlignment="1">
      <alignment horizontal="center"/>
    </xf>
    <xf numFmtId="14" fontId="0" fillId="0" borderId="0" xfId="0" applyNumberFormat="1" applyBorder="1"/>
    <xf numFmtId="14" fontId="0" fillId="0" borderId="9" xfId="0" applyNumberFormat="1" applyBorder="1"/>
    <xf numFmtId="14" fontId="0" fillId="0" borderId="8" xfId="0" applyNumberFormat="1" applyBorder="1"/>
    <xf numFmtId="0" fontId="0" fillId="0" borderId="77" xfId="0" applyBorder="1"/>
    <xf numFmtId="0" fontId="0" fillId="0" borderId="78" xfId="0" applyBorder="1"/>
    <xf numFmtId="0" fontId="0" fillId="0" borderId="79" xfId="0" applyBorder="1"/>
    <xf numFmtId="164" fontId="0" fillId="0" borderId="21" xfId="0" applyNumberFormat="1" applyBorder="1"/>
    <xf numFmtId="164" fontId="0" fillId="12" borderId="18" xfId="1" applyNumberFormat="1" applyFont="1" applyFill="1" applyBorder="1"/>
    <xf numFmtId="164" fontId="0" fillId="0" borderId="18" xfId="0" applyNumberFormat="1" applyBorder="1"/>
    <xf numFmtId="164" fontId="0" fillId="0" borderId="0" xfId="0" applyNumberFormat="1"/>
    <xf numFmtId="164" fontId="0" fillId="12" borderId="9" xfId="0" applyNumberFormat="1" applyFill="1" applyBorder="1"/>
    <xf numFmtId="0" fontId="0" fillId="28" borderId="23" xfId="0" applyFill="1" applyBorder="1"/>
    <xf numFmtId="0" fontId="0" fillId="28" borderId="24" xfId="0" applyFill="1" applyBorder="1"/>
    <xf numFmtId="0" fontId="0" fillId="28" borderId="84" xfId="0" applyFill="1" applyBorder="1"/>
    <xf numFmtId="0" fontId="0" fillId="28" borderId="85" xfId="0" applyFill="1" applyBorder="1"/>
    <xf numFmtId="1" fontId="0" fillId="0" borderId="9" xfId="0" applyNumberFormat="1" applyBorder="1"/>
    <xf numFmtId="2" fontId="0" fillId="0" borderId="0" xfId="0" applyNumberFormat="1" applyBorder="1"/>
    <xf numFmtId="0" fontId="0" fillId="0" borderId="5" xfId="0" applyBorder="1"/>
    <xf numFmtId="2" fontId="0" fillId="0" borderId="1" xfId="0" applyNumberFormat="1" applyBorder="1"/>
    <xf numFmtId="2" fontId="0" fillId="0" borderId="71" xfId="0" applyNumberFormat="1" applyBorder="1"/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14" fontId="0" fillId="6" borderId="35" xfId="0" applyNumberFormat="1" applyFill="1" applyBorder="1" applyAlignment="1">
      <alignment horizontal="center"/>
    </xf>
    <xf numFmtId="14" fontId="0" fillId="19" borderId="0" xfId="0" applyNumberFormat="1" applyFill="1" applyAlignment="1">
      <alignment horizontal="center"/>
    </xf>
    <xf numFmtId="14" fontId="0" fillId="6" borderId="38" xfId="0" applyNumberFormat="1" applyFill="1" applyBorder="1" applyAlignment="1">
      <alignment horizontal="center"/>
    </xf>
    <xf numFmtId="14" fontId="0" fillId="6" borderId="0" xfId="0" applyNumberFormat="1" applyFill="1"/>
    <xf numFmtId="0" fontId="0" fillId="0" borderId="85" xfId="0" applyBorder="1" applyAlignment="1">
      <alignment horizontal="left"/>
    </xf>
    <xf numFmtId="0" fontId="0" fillId="12" borderId="85" xfId="0" applyFill="1" applyBorder="1"/>
    <xf numFmtId="2" fontId="0" fillId="12" borderId="86" xfId="0" applyNumberFormat="1" applyFill="1" applyBorder="1" applyAlignment="1"/>
    <xf numFmtId="0" fontId="0" fillId="0" borderId="85" xfId="0" applyBorder="1"/>
    <xf numFmtId="164" fontId="0" fillId="0" borderId="86" xfId="0" applyNumberFormat="1" applyBorder="1"/>
    <xf numFmtId="0" fontId="0" fillId="4" borderId="84" xfId="0" applyFill="1" applyBorder="1" applyAlignment="1">
      <alignment horizontal="center"/>
    </xf>
    <xf numFmtId="167" fontId="0" fillId="0" borderId="16" xfId="0" applyNumberFormat="1" applyBorder="1" applyAlignment="1">
      <alignment horizontal="center"/>
    </xf>
    <xf numFmtId="167" fontId="0" fillId="0" borderId="0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23" xfId="0" applyNumberFormat="1" applyBorder="1" applyAlignment="1">
      <alignment horizontal="center"/>
    </xf>
    <xf numFmtId="167" fontId="0" fillId="0" borderId="24" xfId="0" applyNumberFormat="1" applyBorder="1" applyAlignment="1">
      <alignment horizontal="center"/>
    </xf>
    <xf numFmtId="167" fontId="0" fillId="0" borderId="25" xfId="0" applyNumberFormat="1" applyBorder="1" applyAlignment="1">
      <alignment horizontal="center"/>
    </xf>
    <xf numFmtId="164" fontId="0" fillId="16" borderId="0" xfId="0" applyNumberFormat="1" applyFill="1"/>
    <xf numFmtId="2" fontId="0" fillId="0" borderId="87" xfId="0" applyNumberFormat="1" applyBorder="1"/>
    <xf numFmtId="0" fontId="11" fillId="2" borderId="89" xfId="0" applyFont="1" applyFill="1" applyBorder="1"/>
    <xf numFmtId="0" fontId="0" fillId="2" borderId="90" xfId="0" applyFont="1" applyFill="1" applyBorder="1"/>
    <xf numFmtId="0" fontId="0" fillId="2" borderId="89" xfId="0" applyFont="1" applyFill="1" applyBorder="1"/>
    <xf numFmtId="0" fontId="0" fillId="30" borderId="57" xfId="0" applyFont="1" applyFill="1" applyBorder="1"/>
    <xf numFmtId="0" fontId="0" fillId="30" borderId="92" xfId="0" applyFont="1" applyFill="1" applyBorder="1" applyAlignment="1">
      <alignment horizontal="center"/>
    </xf>
    <xf numFmtId="0" fontId="0" fillId="30" borderId="92" xfId="0" applyFont="1" applyFill="1" applyBorder="1"/>
    <xf numFmtId="0" fontId="0" fillId="0" borderId="94" xfId="0" applyFont="1" applyBorder="1"/>
    <xf numFmtId="0" fontId="0" fillId="0" borderId="89" xfId="0" applyFont="1" applyBorder="1" applyAlignment="1">
      <alignment horizontal="center"/>
    </xf>
    <xf numFmtId="0" fontId="0" fillId="0" borderId="89" xfId="0" applyFont="1" applyBorder="1"/>
    <xf numFmtId="0" fontId="0" fillId="30" borderId="94" xfId="0" applyFont="1" applyFill="1" applyBorder="1"/>
    <xf numFmtId="0" fontId="0" fillId="30" borderId="89" xfId="0" applyFont="1" applyFill="1" applyBorder="1" applyAlignment="1">
      <alignment horizontal="center"/>
    </xf>
    <xf numFmtId="0" fontId="0" fillId="30" borderId="89" xfId="0" applyFont="1" applyFill="1" applyBorder="1"/>
    <xf numFmtId="0" fontId="0" fillId="2" borderId="91" xfId="0" applyFont="1" applyFill="1" applyBorder="1"/>
    <xf numFmtId="0" fontId="11" fillId="2" borderId="97" xfId="0" applyFont="1" applyFill="1" applyBorder="1"/>
    <xf numFmtId="2" fontId="0" fillId="13" borderId="17" xfId="0" applyNumberFormat="1" applyFill="1" applyBorder="1"/>
    <xf numFmtId="0" fontId="0" fillId="30" borderId="91" xfId="0" applyFont="1" applyFill="1" applyBorder="1"/>
    <xf numFmtId="10" fontId="0" fillId="30" borderId="91" xfId="0" applyNumberFormat="1" applyFont="1" applyFill="1" applyBorder="1" applyAlignment="1">
      <alignment horizontal="center"/>
    </xf>
    <xf numFmtId="0" fontId="11" fillId="2" borderId="90" xfId="0" applyFont="1" applyFill="1" applyBorder="1"/>
    <xf numFmtId="0" fontId="11" fillId="2" borderId="99" xfId="0" applyFont="1" applyFill="1" applyBorder="1"/>
    <xf numFmtId="0" fontId="0" fillId="30" borderId="100" xfId="0" applyFont="1" applyFill="1" applyBorder="1"/>
    <xf numFmtId="9" fontId="0" fillId="30" borderId="101" xfId="0" applyNumberFormat="1" applyFont="1" applyFill="1" applyBorder="1"/>
    <xf numFmtId="0" fontId="0" fillId="30" borderId="101" xfId="0" applyFont="1" applyFill="1" applyBorder="1"/>
    <xf numFmtId="0" fontId="0" fillId="30" borderId="103" xfId="0" applyFont="1" applyFill="1" applyBorder="1"/>
    <xf numFmtId="0" fontId="0" fillId="30" borderId="104" xfId="0" applyFont="1" applyFill="1" applyBorder="1" applyAlignment="1">
      <alignment horizontal="center"/>
    </xf>
    <xf numFmtId="0" fontId="0" fillId="30" borderId="104" xfId="0" applyFont="1" applyFill="1" applyBorder="1"/>
    <xf numFmtId="0" fontId="0" fillId="31" borderId="103" xfId="0" applyFont="1" applyFill="1" applyBorder="1"/>
    <xf numFmtId="0" fontId="0" fillId="31" borderId="104" xfId="0" applyFont="1" applyFill="1" applyBorder="1" applyAlignment="1">
      <alignment horizontal="center"/>
    </xf>
    <xf numFmtId="0" fontId="0" fillId="31" borderId="104" xfId="0" applyFont="1" applyFill="1" applyBorder="1"/>
    <xf numFmtId="2" fontId="11" fillId="2" borderId="98" xfId="0" applyNumberFormat="1" applyFont="1" applyFill="1" applyBorder="1"/>
    <xf numFmtId="0" fontId="0" fillId="0" borderId="54" xfId="0" applyBorder="1"/>
    <xf numFmtId="0" fontId="0" fillId="19" borderId="48" xfId="0" applyFill="1" applyBorder="1"/>
    <xf numFmtId="0" fontId="0" fillId="28" borderId="51" xfId="0" applyFill="1" applyBorder="1"/>
    <xf numFmtId="0" fontId="0" fillId="11" borderId="54" xfId="0" applyFill="1" applyBorder="1"/>
    <xf numFmtId="164" fontId="0" fillId="30" borderId="93" xfId="0" applyNumberFormat="1" applyFont="1" applyFill="1" applyBorder="1"/>
    <xf numFmtId="164" fontId="0" fillId="0" borderId="95" xfId="0" applyNumberFormat="1" applyFont="1" applyBorder="1"/>
    <xf numFmtId="164" fontId="0" fillId="30" borderId="95" xfId="0" applyNumberFormat="1" applyFont="1" applyFill="1" applyBorder="1"/>
    <xf numFmtId="164" fontId="0" fillId="30" borderId="88" xfId="0" applyNumberFormat="1" applyFont="1" applyFill="1" applyBorder="1"/>
    <xf numFmtId="164" fontId="0" fillId="30" borderId="105" xfId="0" applyNumberFormat="1" applyFont="1" applyFill="1" applyBorder="1"/>
    <xf numFmtId="164" fontId="0" fillId="31" borderId="105" xfId="0" applyNumberFormat="1" applyFont="1" applyFill="1" applyBorder="1"/>
    <xf numFmtId="164" fontId="0" fillId="30" borderId="102" xfId="0" applyNumberFormat="1" applyFont="1" applyFill="1" applyBorder="1"/>
    <xf numFmtId="0" fontId="0" fillId="10" borderId="23" xfId="0" applyFill="1" applyBorder="1"/>
    <xf numFmtId="0" fontId="11" fillId="12" borderId="0" xfId="0" applyFont="1" applyFill="1" applyBorder="1" applyAlignment="1">
      <alignment horizontal="center"/>
    </xf>
    <xf numFmtId="0" fontId="11" fillId="12" borderId="99" xfId="0" applyFont="1" applyFill="1" applyBorder="1" applyAlignment="1">
      <alignment horizontal="center"/>
    </xf>
    <xf numFmtId="0" fontId="11" fillId="12" borderId="99" xfId="0" applyFont="1" applyFill="1" applyBorder="1"/>
    <xf numFmtId="0" fontId="0" fillId="12" borderId="0" xfId="0" applyFont="1" applyFill="1" applyBorder="1" applyAlignment="1">
      <alignment horizontal="left"/>
    </xf>
    <xf numFmtId="164" fontId="11" fillId="12" borderId="99" xfId="0" applyNumberFormat="1" applyFont="1" applyFill="1" applyBorder="1"/>
    <xf numFmtId="0" fontId="11" fillId="12" borderId="0" xfId="0" applyFont="1" applyFill="1" applyBorder="1"/>
    <xf numFmtId="164" fontId="11" fillId="12" borderId="0" xfId="0" applyNumberFormat="1" applyFont="1" applyFill="1" applyBorder="1"/>
    <xf numFmtId="9" fontId="0" fillId="0" borderId="71" xfId="0" applyNumberFormat="1" applyBorder="1"/>
    <xf numFmtId="49" fontId="0" fillId="0" borderId="56" xfId="0" applyNumberFormat="1" applyBorder="1"/>
    <xf numFmtId="9" fontId="0" fillId="0" borderId="5" xfId="0" applyNumberFormat="1" applyBorder="1"/>
    <xf numFmtId="9" fontId="0" fillId="0" borderId="0" xfId="0" applyNumberFormat="1" applyBorder="1"/>
    <xf numFmtId="0" fontId="0" fillId="0" borderId="111" xfId="0" applyBorder="1"/>
    <xf numFmtId="0" fontId="0" fillId="0" borderId="110" xfId="0" applyBorder="1"/>
    <xf numFmtId="0" fontId="0" fillId="0" borderId="2" xfId="0" applyBorder="1" applyAlignment="1"/>
    <xf numFmtId="49" fontId="0" fillId="0" borderId="2" xfId="0" applyNumberFormat="1" applyBorder="1"/>
    <xf numFmtId="9" fontId="0" fillId="0" borderId="4" xfId="0" applyNumberFormat="1" applyBorder="1"/>
    <xf numFmtId="0" fontId="0" fillId="0" borderId="55" xfId="0" applyBorder="1"/>
    <xf numFmtId="164" fontId="0" fillId="7" borderId="3" xfId="0" applyNumberFormat="1" applyFill="1" applyBorder="1"/>
    <xf numFmtId="164" fontId="0" fillId="7" borderId="5" xfId="0" applyNumberFormat="1" applyFill="1" applyBorder="1"/>
    <xf numFmtId="164" fontId="0" fillId="8" borderId="109" xfId="0" applyNumberFormat="1" applyFill="1" applyBorder="1" applyAlignment="1"/>
    <xf numFmtId="0" fontId="0" fillId="22" borderId="16" xfId="0" applyFill="1" applyBorder="1"/>
    <xf numFmtId="0" fontId="0" fillId="29" borderId="2" xfId="0" applyFill="1" applyBorder="1"/>
    <xf numFmtId="0" fontId="0" fillId="29" borderId="0" xfId="0" applyFill="1"/>
    <xf numFmtId="0" fontId="0" fillId="29" borderId="56" xfId="0" applyFill="1" applyBorder="1"/>
    <xf numFmtId="2" fontId="0" fillId="10" borderId="0" xfId="0" applyNumberFormat="1" applyFill="1" applyBorder="1"/>
    <xf numFmtId="49" fontId="0" fillId="0" borderId="0" xfId="0" applyNumberFormat="1" applyBorder="1"/>
    <xf numFmtId="164" fontId="0" fillId="8" borderId="18" xfId="0" applyNumberFormat="1" applyFill="1" applyBorder="1"/>
    <xf numFmtId="164" fontId="0" fillId="12" borderId="18" xfId="0" applyNumberFormat="1" applyFill="1" applyBorder="1"/>
    <xf numFmtId="0" fontId="0" fillId="3" borderId="28" xfId="0" applyFill="1" applyBorder="1" applyAlignment="1">
      <alignment horizontal="left"/>
    </xf>
    <xf numFmtId="0" fontId="0" fillId="3" borderId="9" xfId="0" applyFill="1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45" xfId="0" applyBorder="1"/>
    <xf numFmtId="2" fontId="0" fillId="13" borderId="34" xfId="0" applyNumberFormat="1" applyFill="1" applyBorder="1" applyAlignment="1">
      <alignment horizontal="center"/>
    </xf>
    <xf numFmtId="164" fontId="0" fillId="0" borderId="17" xfId="0" applyNumberFormat="1" applyBorder="1"/>
    <xf numFmtId="0" fontId="0" fillId="13" borderId="0" xfId="0" applyFill="1" applyBorder="1"/>
    <xf numFmtId="164" fontId="0" fillId="9" borderId="34" xfId="0" applyNumberFormat="1" applyFill="1" applyBorder="1"/>
    <xf numFmtId="164" fontId="0" fillId="6" borderId="34" xfId="0" applyNumberFormat="1" applyFill="1" applyBorder="1"/>
    <xf numFmtId="164" fontId="0" fillId="5" borderId="34" xfId="0" applyNumberFormat="1" applyFill="1" applyBorder="1"/>
    <xf numFmtId="9" fontId="0" fillId="6" borderId="37" xfId="1" applyFont="1" applyFill="1" applyBorder="1" applyAlignment="1">
      <alignment horizontal="center"/>
    </xf>
    <xf numFmtId="164" fontId="0" fillId="13" borderId="0" xfId="0" applyNumberFormat="1" applyFill="1"/>
    <xf numFmtId="164" fontId="0" fillId="7" borderId="34" xfId="0" applyNumberFormat="1" applyFill="1" applyBorder="1"/>
    <xf numFmtId="164" fontId="0" fillId="7" borderId="112" xfId="0" applyNumberFormat="1" applyFill="1" applyBorder="1"/>
    <xf numFmtId="164" fontId="15" fillId="0" borderId="0" xfId="0" applyNumberFormat="1" applyFont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164" fontId="0" fillId="19" borderId="34" xfId="0" applyNumberFormat="1" applyFill="1" applyBorder="1"/>
    <xf numFmtId="164" fontId="0" fillId="19" borderId="112" xfId="0" applyNumberFormat="1" applyFill="1" applyBorder="1"/>
    <xf numFmtId="0" fontId="0" fillId="0" borderId="28" xfId="0" applyBorder="1" applyAlignment="1"/>
    <xf numFmtId="0" fontId="0" fillId="0" borderId="9" xfId="0" applyBorder="1" applyAlignment="1"/>
    <xf numFmtId="2" fontId="0" fillId="10" borderId="0" xfId="0" applyNumberFormat="1" applyFill="1" applyBorder="1" applyAlignment="1">
      <alignment horizontal="left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left"/>
    </xf>
    <xf numFmtId="0" fontId="3" fillId="5" borderId="0" xfId="0" applyFont="1" applyFill="1" applyAlignment="1">
      <alignment horizontal="left"/>
    </xf>
    <xf numFmtId="0" fontId="0" fillId="0" borderId="0" xfId="0" applyBorder="1" applyAlignment="1">
      <alignment horizontal="left"/>
    </xf>
    <xf numFmtId="0" fontId="13" fillId="0" borderId="0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4" fillId="14" borderId="42" xfId="0" applyFont="1" applyFill="1" applyBorder="1" applyAlignment="1">
      <alignment horizontal="center"/>
    </xf>
    <xf numFmtId="0" fontId="4" fillId="14" borderId="43" xfId="0" applyFont="1" applyFill="1" applyBorder="1" applyAlignment="1">
      <alignment horizontal="center"/>
    </xf>
    <xf numFmtId="164" fontId="0" fillId="28" borderId="82" xfId="0" applyNumberFormat="1" applyFill="1" applyBorder="1" applyAlignment="1">
      <alignment horizontal="center" vertical="center"/>
    </xf>
    <xf numFmtId="164" fontId="0" fillId="28" borderId="83" xfId="0" applyNumberFormat="1" applyFill="1" applyBorder="1" applyAlignment="1">
      <alignment horizontal="center" vertical="center"/>
    </xf>
    <xf numFmtId="0" fontId="0" fillId="0" borderId="2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8" borderId="85" xfId="0" applyFill="1" applyBorder="1" applyAlignment="1">
      <alignment horizontal="center" vertical="center"/>
    </xf>
    <xf numFmtId="0" fontId="0" fillId="28" borderId="24" xfId="0" applyFill="1" applyBorder="1" applyAlignment="1">
      <alignment horizontal="center" vertical="center"/>
    </xf>
    <xf numFmtId="164" fontId="0" fillId="28" borderId="80" xfId="0" applyNumberFormat="1" applyFill="1" applyBorder="1" applyAlignment="1">
      <alignment horizontal="center" vertical="center"/>
    </xf>
    <xf numFmtId="164" fontId="0" fillId="28" borderId="81" xfId="0" applyNumberFormat="1" applyFill="1" applyBorder="1" applyAlignment="1">
      <alignment horizontal="center" vertical="center"/>
    </xf>
    <xf numFmtId="0" fontId="0" fillId="17" borderId="11" xfId="0" applyFill="1" applyBorder="1" applyAlignment="1">
      <alignment horizontal="center"/>
    </xf>
    <xf numFmtId="0" fontId="0" fillId="17" borderId="12" xfId="0" applyFill="1" applyBorder="1" applyAlignment="1">
      <alignment horizontal="center"/>
    </xf>
    <xf numFmtId="0" fontId="0" fillId="0" borderId="27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3" borderId="28" xfId="0" applyFill="1" applyBorder="1" applyAlignment="1">
      <alignment horizontal="left"/>
    </xf>
    <xf numFmtId="0" fontId="0" fillId="3" borderId="9" xfId="0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3" borderId="27" xfId="0" applyFill="1" applyBorder="1" applyAlignment="1">
      <alignment horizontal="left"/>
    </xf>
    <xf numFmtId="0" fontId="0" fillId="3" borderId="7" xfId="0" applyFill="1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left"/>
    </xf>
    <xf numFmtId="0" fontId="0" fillId="2" borderId="1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7" xfId="0" applyNumberFormat="1" applyBorder="1"/>
    <xf numFmtId="0" fontId="0" fillId="0" borderId="6" xfId="0" applyNumberFormat="1" applyBorder="1"/>
    <xf numFmtId="49" fontId="0" fillId="0" borderId="9" xfId="0" applyNumberFormat="1" applyBorder="1"/>
    <xf numFmtId="49" fontId="0" fillId="0" borderId="8" xfId="0" applyNumberFormat="1" applyBorder="1"/>
    <xf numFmtId="0" fontId="0" fillId="0" borderId="6" xfId="0" applyBorder="1" applyAlignment="1">
      <alignment horizontal="left"/>
    </xf>
    <xf numFmtId="0" fontId="0" fillId="0" borderId="44" xfId="0" applyBorder="1"/>
    <xf numFmtId="0" fontId="0" fillId="0" borderId="45" xfId="0" applyBorder="1"/>
    <xf numFmtId="0" fontId="0" fillId="3" borderId="1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21" borderId="0" xfId="0" applyFill="1" applyAlignment="1">
      <alignment horizontal="center"/>
    </xf>
    <xf numFmtId="0" fontId="0" fillId="21" borderId="0" xfId="0" applyFill="1" applyBorder="1" applyAlignment="1">
      <alignment horizontal="center"/>
    </xf>
    <xf numFmtId="0" fontId="6" fillId="16" borderId="0" xfId="0" applyFont="1" applyFill="1" applyAlignment="1">
      <alignment horizontal="center"/>
    </xf>
    <xf numFmtId="0" fontId="0" fillId="3" borderId="29" xfId="0" applyFill="1" applyBorder="1" applyAlignment="1">
      <alignment horizontal="left"/>
    </xf>
    <xf numFmtId="0" fontId="0" fillId="0" borderId="26" xfId="0" applyBorder="1" applyAlignment="1">
      <alignment horizontal="left"/>
    </xf>
    <xf numFmtId="2" fontId="0" fillId="11" borderId="65" xfId="0" applyNumberFormat="1" applyFill="1" applyBorder="1" applyAlignment="1">
      <alignment horizontal="center"/>
    </xf>
    <xf numFmtId="2" fontId="0" fillId="11" borderId="66" xfId="0" applyNumberFormat="1" applyFill="1" applyBorder="1" applyAlignment="1">
      <alignment horizontal="center"/>
    </xf>
    <xf numFmtId="0" fontId="0" fillId="10" borderId="63" xfId="0" applyFill="1" applyBorder="1" applyAlignment="1">
      <alignment horizontal="left"/>
    </xf>
    <xf numFmtId="0" fontId="0" fillId="10" borderId="61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4" borderId="58" xfId="0" applyFill="1" applyBorder="1" applyAlignment="1">
      <alignment horizontal="center"/>
    </xf>
    <xf numFmtId="0" fontId="0" fillId="4" borderId="59" xfId="0" applyFill="1" applyBorder="1" applyAlignment="1">
      <alignment horizontal="center"/>
    </xf>
    <xf numFmtId="0" fontId="0" fillId="10" borderId="63" xfId="0" applyFill="1" applyBorder="1" applyAlignment="1">
      <alignment horizontal="center"/>
    </xf>
    <xf numFmtId="0" fontId="0" fillId="10" borderId="6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3" borderId="2" xfId="0" applyFill="1" applyBorder="1" applyAlignment="1">
      <alignment horizontal="center"/>
    </xf>
    <xf numFmtId="0" fontId="0" fillId="3" borderId="58" xfId="0" applyFill="1" applyBorder="1" applyAlignment="1">
      <alignment horizontal="center"/>
    </xf>
    <xf numFmtId="0" fontId="0" fillId="3" borderId="59" xfId="0" applyFill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23" borderId="45" xfId="0" applyFill="1" applyBorder="1" applyAlignment="1">
      <alignment horizontal="center"/>
    </xf>
    <xf numFmtId="0" fontId="6" fillId="25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4" borderId="55" xfId="0" applyFill="1" applyBorder="1" applyAlignment="1">
      <alignment horizontal="center"/>
    </xf>
    <xf numFmtId="0" fontId="0" fillId="4" borderId="109" xfId="0" applyFill="1" applyBorder="1" applyAlignment="1">
      <alignment horizontal="center"/>
    </xf>
    <xf numFmtId="0" fontId="0" fillId="4" borderId="67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2" fillId="5" borderId="0" xfId="0" applyFont="1" applyFill="1" applyAlignment="1">
      <alignment horizontal="center"/>
    </xf>
    <xf numFmtId="0" fontId="11" fillId="2" borderId="107" xfId="0" applyFont="1" applyFill="1" applyBorder="1" applyAlignment="1">
      <alignment horizontal="center"/>
    </xf>
    <xf numFmtId="0" fontId="11" fillId="2" borderId="108" xfId="0" applyFont="1" applyFill="1" applyBorder="1" applyAlignment="1">
      <alignment horizontal="center"/>
    </xf>
    <xf numFmtId="0" fontId="11" fillId="2" borderId="96" xfId="0" applyFont="1" applyFill="1" applyBorder="1" applyAlignment="1">
      <alignment horizontal="center"/>
    </xf>
    <xf numFmtId="0" fontId="11" fillId="2" borderId="106" xfId="0" applyFont="1" applyFill="1" applyBorder="1" applyAlignment="1">
      <alignment horizontal="center"/>
    </xf>
    <xf numFmtId="0" fontId="0" fillId="23" borderId="58" xfId="0" applyFill="1" applyBorder="1" applyAlignment="1">
      <alignment horizontal="center"/>
    </xf>
    <xf numFmtId="0" fontId="0" fillId="23" borderId="59" xfId="0" applyFill="1" applyBorder="1" applyAlignment="1">
      <alignment horizontal="center"/>
    </xf>
    <xf numFmtId="0" fontId="0" fillId="24" borderId="0" xfId="0" applyFill="1" applyAlignment="1">
      <alignment horizontal="center" vertical="center"/>
    </xf>
    <xf numFmtId="0" fontId="0" fillId="0" borderId="113" xfId="0" applyBorder="1"/>
    <xf numFmtId="0" fontId="0" fillId="0" borderId="114" xfId="0" applyBorder="1"/>
    <xf numFmtId="0" fontId="0" fillId="0" borderId="115" xfId="0" applyBorder="1"/>
    <xf numFmtId="8" fontId="11" fillId="0" borderId="116" xfId="0" applyNumberFormat="1" applyFont="1" applyBorder="1" applyAlignment="1">
      <alignment horizontal="center" vertical="center"/>
    </xf>
    <xf numFmtId="0" fontId="11" fillId="20" borderId="90" xfId="0" applyFont="1" applyFill="1" applyBorder="1" applyAlignment="1">
      <alignment horizontal="center" vertical="center"/>
    </xf>
    <xf numFmtId="0" fontId="11" fillId="22" borderId="90" xfId="0" applyFont="1" applyFill="1" applyBorder="1" applyAlignment="1">
      <alignment horizontal="center" vertical="center"/>
    </xf>
    <xf numFmtId="0" fontId="11" fillId="32" borderId="90" xfId="0" applyFont="1" applyFill="1" applyBorder="1" applyAlignment="1">
      <alignment horizontal="center" vertical="center"/>
    </xf>
    <xf numFmtId="0" fontId="11" fillId="14" borderId="116" xfId="0" applyFont="1" applyFill="1" applyBorder="1" applyAlignment="1">
      <alignment horizontal="center" vertical="center"/>
    </xf>
    <xf numFmtId="0" fontId="11" fillId="14" borderId="90" xfId="0" applyFont="1" applyFill="1" applyBorder="1" applyAlignment="1">
      <alignment horizontal="center" vertical="center"/>
    </xf>
    <xf numFmtId="0" fontId="11" fillId="14" borderId="98" xfId="0" applyFont="1" applyFill="1" applyBorder="1" applyAlignment="1">
      <alignment horizontal="center" vertical="center" wrapText="1"/>
    </xf>
    <xf numFmtId="0" fontId="11" fillId="19" borderId="114" xfId="0" applyFont="1" applyFill="1" applyBorder="1" applyAlignment="1">
      <alignment horizontal="center" vertical="center"/>
    </xf>
    <xf numFmtId="0" fontId="11" fillId="19" borderId="115" xfId="0" applyFont="1" applyFill="1" applyBorder="1" applyAlignment="1">
      <alignment horizontal="center" vertical="center"/>
    </xf>
    <xf numFmtId="0" fontId="0" fillId="0" borderId="113" xfId="0" applyBorder="1" applyAlignment="1">
      <alignment horizontal="center" vertical="center"/>
    </xf>
    <xf numFmtId="0" fontId="0" fillId="0" borderId="117" xfId="0" applyBorder="1"/>
    <xf numFmtId="0" fontId="0" fillId="0" borderId="88" xfId="0" applyBorder="1"/>
    <xf numFmtId="0" fontId="0" fillId="0" borderId="118" xfId="0" applyBorder="1"/>
    <xf numFmtId="0" fontId="0" fillId="31" borderId="116" xfId="0" applyFont="1" applyFill="1" applyBorder="1"/>
    <xf numFmtId="164" fontId="0" fillId="31" borderId="90" xfId="0" applyNumberFormat="1" applyFont="1" applyFill="1" applyBorder="1"/>
    <xf numFmtId="164" fontId="13" fillId="31" borderId="90" xfId="0" applyNumberFormat="1" applyFont="1" applyFill="1" applyBorder="1"/>
    <xf numFmtId="164" fontId="0" fillId="31" borderId="116" xfId="0" applyNumberFormat="1" applyFont="1" applyFill="1" applyBorder="1"/>
    <xf numFmtId="0" fontId="0" fillId="31" borderId="98" xfId="0" applyFont="1" applyFill="1" applyBorder="1"/>
    <xf numFmtId="164" fontId="0" fillId="12" borderId="88" xfId="0" applyNumberFormat="1" applyFill="1" applyBorder="1"/>
    <xf numFmtId="164" fontId="13" fillId="12" borderId="88" xfId="0" applyNumberFormat="1" applyFont="1" applyFill="1" applyBorder="1"/>
    <xf numFmtId="164" fontId="0" fillId="12" borderId="118" xfId="0" applyNumberFormat="1" applyFill="1" applyBorder="1"/>
    <xf numFmtId="0" fontId="0" fillId="0" borderId="117" xfId="0" applyBorder="1" applyAlignment="1">
      <alignment horizontal="center" vertical="center"/>
    </xf>
    <xf numFmtId="2" fontId="0" fillId="0" borderId="117" xfId="0" applyNumberFormat="1" applyBorder="1"/>
    <xf numFmtId="0" fontId="0" fillId="0" borderId="119" xfId="0" applyFont="1" applyBorder="1"/>
    <xf numFmtId="164" fontId="0" fillId="20" borderId="89" xfId="0" applyNumberFormat="1" applyFont="1" applyFill="1" applyBorder="1"/>
    <xf numFmtId="164" fontId="0" fillId="33" borderId="90" xfId="0" applyNumberFormat="1" applyFont="1" applyFill="1" applyBorder="1"/>
    <xf numFmtId="164" fontId="13" fillId="22" borderId="89" xfId="0" applyNumberFormat="1" applyFont="1" applyFill="1" applyBorder="1"/>
    <xf numFmtId="164" fontId="0" fillId="22" borderId="89" xfId="0" applyNumberFormat="1" applyFont="1" applyFill="1" applyBorder="1"/>
    <xf numFmtId="164" fontId="13" fillId="32" borderId="89" xfId="0" applyNumberFormat="1" applyFont="1" applyFill="1" applyBorder="1"/>
    <xf numFmtId="164" fontId="0" fillId="32" borderId="89" xfId="0" applyNumberFormat="1" applyFont="1" applyFill="1" applyBorder="1"/>
    <xf numFmtId="164" fontId="0" fillId="34" borderId="116" xfId="0" applyNumberFormat="1" applyFont="1" applyFill="1" applyBorder="1"/>
    <xf numFmtId="164" fontId="13" fillId="14" borderId="89" xfId="0" applyNumberFormat="1" applyFont="1" applyFill="1" applyBorder="1"/>
    <xf numFmtId="0" fontId="0" fillId="14" borderId="97" xfId="0" applyFont="1" applyFill="1" applyBorder="1"/>
    <xf numFmtId="164" fontId="0" fillId="24" borderId="88" xfId="0" applyNumberFormat="1" applyFill="1" applyBorder="1"/>
    <xf numFmtId="164" fontId="13" fillId="19" borderId="88" xfId="0" applyNumberFormat="1" applyFont="1" applyFill="1" applyBorder="1"/>
    <xf numFmtId="164" fontId="0" fillId="19" borderId="118" xfId="0" applyNumberFormat="1" applyFill="1" applyBorder="1"/>
    <xf numFmtId="2" fontId="0" fillId="0" borderId="118" xfId="0" applyNumberFormat="1" applyBorder="1"/>
    <xf numFmtId="0" fontId="0" fillId="31" borderId="119" xfId="0" applyFont="1" applyFill="1" applyBorder="1"/>
    <xf numFmtId="164" fontId="0" fillId="12" borderId="89" xfId="0" applyNumberFormat="1" applyFont="1" applyFill="1" applyBorder="1"/>
    <xf numFmtId="164" fontId="13" fillId="12" borderId="89" xfId="0" applyNumberFormat="1" applyFont="1" applyFill="1" applyBorder="1"/>
    <xf numFmtId="164" fontId="13" fillId="35" borderId="89" xfId="0" applyNumberFormat="1" applyFont="1" applyFill="1" applyBorder="1"/>
    <xf numFmtId="164" fontId="0" fillId="36" borderId="90" xfId="0" applyNumberFormat="1" applyFont="1" applyFill="1" applyBorder="1"/>
    <xf numFmtId="164" fontId="0" fillId="19" borderId="88" xfId="0" applyNumberFormat="1" applyFill="1" applyBorder="1"/>
    <xf numFmtId="0" fontId="0" fillId="12" borderId="119" xfId="0" applyFont="1" applyFill="1" applyBorder="1"/>
    <xf numFmtId="0" fontId="0" fillId="0" borderId="120" xfId="0" applyBorder="1"/>
    <xf numFmtId="0" fontId="0" fillId="0" borderId="121" xfId="0" applyBorder="1"/>
    <xf numFmtId="0" fontId="0" fillId="0" borderId="122" xfId="0" applyBorder="1"/>
    <xf numFmtId="0" fontId="0" fillId="0" borderId="123" xfId="0" applyFont="1" applyBorder="1"/>
    <xf numFmtId="164" fontId="0" fillId="20" borderId="124" xfId="0" applyNumberFormat="1" applyFont="1" applyFill="1" applyBorder="1"/>
    <xf numFmtId="164" fontId="0" fillId="33" borderId="125" xfId="0" applyNumberFormat="1" applyFont="1" applyFill="1" applyBorder="1"/>
    <xf numFmtId="164" fontId="13" fillId="22" borderId="124" xfId="0" applyNumberFormat="1" applyFont="1" applyFill="1" applyBorder="1"/>
    <xf numFmtId="164" fontId="0" fillId="36" borderId="125" xfId="0" applyNumberFormat="1" applyFont="1" applyFill="1" applyBorder="1"/>
    <xf numFmtId="164" fontId="13" fillId="32" borderId="124" xfId="0" applyNumberFormat="1" applyFont="1" applyFill="1" applyBorder="1"/>
    <xf numFmtId="164" fontId="0" fillId="34" borderId="126" xfId="0" applyNumberFormat="1" applyFont="1" applyFill="1" applyBorder="1"/>
    <xf numFmtId="164" fontId="13" fillId="14" borderId="124" xfId="0" applyNumberFormat="1" applyFont="1" applyFill="1" applyBorder="1"/>
    <xf numFmtId="164" fontId="0" fillId="19" borderId="121" xfId="0" applyNumberFormat="1" applyFill="1" applyBorder="1"/>
    <xf numFmtId="164" fontId="13" fillId="19" borderId="121" xfId="0" applyNumberFormat="1" applyFont="1" applyFill="1" applyBorder="1"/>
  </cellXfs>
  <cellStyles count="3">
    <cellStyle name="Lien hypertexte" xfId="2" builtinId="8"/>
    <cellStyle name="Normal" xfId="0" builtinId="0"/>
    <cellStyle name="Pourcentage" xfId="1" builtinId="5"/>
  </cellStyles>
  <dxfs count="14">
    <dxf>
      <font>
        <color theme="0"/>
      </font>
      <fill>
        <patternFill patternType="solid">
          <fgColor theme="0"/>
          <bgColor theme="0"/>
        </patternFill>
      </fill>
    </dxf>
    <dxf>
      <fill>
        <gradientFill degree="270">
          <stop position="0">
            <color theme="0"/>
          </stop>
          <stop position="1">
            <color theme="4"/>
          </stop>
        </gradientFill>
      </fill>
    </dxf>
    <dxf>
      <fill>
        <gradientFill degree="270">
          <stop position="0">
            <color theme="0"/>
          </stop>
          <stop position="1">
            <color theme="4"/>
          </stop>
        </gradientFill>
      </fill>
    </dxf>
    <dxf>
      <fill>
        <gradientFill degree="27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270">
          <stop position="0">
            <color theme="9" tint="-0.25098422193060094"/>
          </stop>
          <stop position="1">
            <color theme="9" tint="0.40000610370189521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66"/>
        </patternFill>
      </fill>
    </dxf>
  </dxfs>
  <tableStyles count="0" defaultTableStyle="TableStyleMedium2" defaultPivotStyle="PivotStyleLight16"/>
  <colors>
    <mruColors>
      <color rgb="FFD60093"/>
      <color rgb="FF000000"/>
      <color rgb="FFFFFFFF"/>
      <color rgb="FFCC9900"/>
      <color rgb="FFFF0000"/>
      <color rgb="FF00B0F0"/>
      <color rgb="FFFFFF66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P2%202017\MOURREJEAU%20Bernadette\Exercice\Exercice%20171113%20BS%20non%20cadre%20NEW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P2%202017\MOURREJEAU%20Bernadette\Matrice%20BS\Nouveau%20dossier\Matrice%20BS%20Cadre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INFOS BS"/>
      <sheetName val="BS NON CADRE"/>
      <sheetName val="avril"/>
      <sheetName val="Mars"/>
      <sheetName val="BS SIMPLIFIE"/>
      <sheetName val="H SUP"/>
      <sheetName val="Absence"/>
      <sheetName val="Abs CP"/>
      <sheetName val="Calendrier"/>
      <sheetName val="Av Nat"/>
      <sheetName val="Fillon"/>
      <sheetName val="Régul Plalond"/>
    </sheetNames>
    <sheetDataSet>
      <sheetData sheetId="0"/>
      <sheetData sheetId="1">
        <row r="17">
          <cell r="E17">
            <v>2017</v>
          </cell>
        </row>
        <row r="19">
          <cell r="B19">
            <v>1480.2991999999999</v>
          </cell>
        </row>
        <row r="22">
          <cell r="B22">
            <v>22</v>
          </cell>
        </row>
        <row r="24">
          <cell r="D24">
            <v>35</v>
          </cell>
          <cell r="E24">
            <v>5</v>
          </cell>
        </row>
        <row r="40">
          <cell r="C40" t="str">
            <v>Retenue pour entrée sortie</v>
          </cell>
        </row>
        <row r="45">
          <cell r="B45">
            <v>0</v>
          </cell>
        </row>
        <row r="46">
          <cell r="B46">
            <v>0</v>
          </cell>
        </row>
      </sheetData>
      <sheetData sheetId="2">
        <row r="11">
          <cell r="H11">
            <v>3269</v>
          </cell>
        </row>
        <row r="33">
          <cell r="G33">
            <v>5800</v>
          </cell>
        </row>
        <row r="56">
          <cell r="H56">
            <v>0</v>
          </cell>
        </row>
        <row r="57">
          <cell r="H57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5">
          <cell r="O5">
            <v>42736</v>
          </cell>
        </row>
        <row r="6">
          <cell r="O6">
            <v>42856</v>
          </cell>
        </row>
        <row r="7">
          <cell r="O7">
            <v>42863</v>
          </cell>
        </row>
        <row r="8">
          <cell r="O8">
            <v>42930</v>
          </cell>
        </row>
        <row r="9">
          <cell r="O9">
            <v>42962</v>
          </cell>
        </row>
        <row r="10">
          <cell r="O10">
            <v>43040</v>
          </cell>
        </row>
        <row r="11">
          <cell r="O11">
            <v>43050</v>
          </cell>
        </row>
        <row r="12">
          <cell r="O12">
            <v>43084</v>
          </cell>
        </row>
        <row r="13">
          <cell r="O13">
            <v>42841</v>
          </cell>
        </row>
        <row r="14">
          <cell r="O14">
            <v>42842</v>
          </cell>
        </row>
        <row r="15">
          <cell r="O15">
            <v>42880</v>
          </cell>
        </row>
        <row r="16">
          <cell r="O16">
            <v>42890</v>
          </cell>
        </row>
        <row r="17">
          <cell r="O17">
            <v>42891</v>
          </cell>
        </row>
      </sheetData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INFOS BS"/>
      <sheetName val="BS CADRE"/>
      <sheetName val="BS SIMPLIFIE"/>
      <sheetName val="H SUP"/>
      <sheetName val="Abs N R"/>
      <sheetName val="Abs CP"/>
      <sheetName val="Av Nat"/>
      <sheetName val="Saisie_Salaire"/>
      <sheetName val="Calendrier"/>
      <sheetName val="Régul Plalond"/>
      <sheetName val="R"/>
    </sheetNames>
    <sheetDataSet>
      <sheetData sheetId="0" refreshError="1"/>
      <sheetData sheetId="1">
        <row r="17">
          <cell r="E17">
            <v>2017</v>
          </cell>
        </row>
        <row r="26">
          <cell r="E26">
            <v>182.66</v>
          </cell>
        </row>
        <row r="48">
          <cell r="B48">
            <v>0</v>
          </cell>
        </row>
        <row r="49">
          <cell r="B49">
            <v>0</v>
          </cell>
        </row>
        <row r="124">
          <cell r="F124">
            <v>118.3</v>
          </cell>
        </row>
        <row r="125">
          <cell r="C125">
            <v>0</v>
          </cell>
        </row>
      </sheetData>
      <sheetData sheetId="2">
        <row r="11">
          <cell r="H11">
            <v>523.02850486802492</v>
          </cell>
        </row>
        <row r="90">
          <cell r="F90">
            <v>727.29851288423765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4">
          <cell r="C4">
            <v>118.3</v>
          </cell>
        </row>
      </sheetData>
      <sheetData sheetId="9">
        <row r="5">
          <cell r="O5">
            <v>42736</v>
          </cell>
        </row>
      </sheetData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60093"/>
  </sheetPr>
  <dimension ref="A3:G59"/>
  <sheetViews>
    <sheetView topLeftCell="A33" workbookViewId="0">
      <selection activeCell="A58" sqref="A58:A59"/>
    </sheetView>
  </sheetViews>
  <sheetFormatPr baseColWidth="10" defaultRowHeight="15" x14ac:dyDescent="0.25"/>
  <cols>
    <col min="1" max="1" width="25.5703125" bestFit="1" customWidth="1"/>
  </cols>
  <sheetData>
    <row r="3" spans="1:7" x14ac:dyDescent="0.25">
      <c r="A3" s="342" t="s">
        <v>108</v>
      </c>
      <c r="B3" s="342"/>
      <c r="C3" s="342"/>
      <c r="F3" t="s">
        <v>385</v>
      </c>
      <c r="G3" t="s">
        <v>386</v>
      </c>
    </row>
    <row r="5" spans="1:7" x14ac:dyDescent="0.25">
      <c r="A5" s="343" t="s">
        <v>126</v>
      </c>
      <c r="B5" s="343"/>
    </row>
    <row r="6" spans="1:7" x14ac:dyDescent="0.25">
      <c r="A6" t="s">
        <v>121</v>
      </c>
    </row>
    <row r="7" spans="1:7" x14ac:dyDescent="0.25">
      <c r="A7" t="s">
        <v>402</v>
      </c>
    </row>
    <row r="8" spans="1:7" x14ac:dyDescent="0.25">
      <c r="A8" t="s">
        <v>403</v>
      </c>
    </row>
    <row r="10" spans="1:7" x14ac:dyDescent="0.25">
      <c r="A10" s="343" t="s">
        <v>333</v>
      </c>
      <c r="B10" s="343"/>
    </row>
    <row r="11" spans="1:7" x14ac:dyDescent="0.25">
      <c r="A11" t="s">
        <v>35</v>
      </c>
    </row>
    <row r="12" spans="1:7" x14ac:dyDescent="0.25">
      <c r="A12" t="s">
        <v>122</v>
      </c>
    </row>
    <row r="14" spans="1:7" x14ac:dyDescent="0.25">
      <c r="A14" s="343" t="s">
        <v>138</v>
      </c>
      <c r="B14" s="343"/>
    </row>
    <row r="15" spans="1:7" x14ac:dyDescent="0.25">
      <c r="A15" t="s">
        <v>139</v>
      </c>
      <c r="B15" s="64">
        <v>7.0000000000000007E-2</v>
      </c>
    </row>
    <row r="16" spans="1:7" x14ac:dyDescent="0.25">
      <c r="A16" t="s">
        <v>140</v>
      </c>
      <c r="B16" s="65">
        <v>5.5E-2</v>
      </c>
    </row>
    <row r="17" spans="1:2" x14ac:dyDescent="0.25">
      <c r="A17" t="s">
        <v>141</v>
      </c>
      <c r="B17" s="65">
        <v>4.4999999999999998E-2</v>
      </c>
    </row>
    <row r="18" spans="1:2" x14ac:dyDescent="0.25">
      <c r="A18" t="s">
        <v>142</v>
      </c>
      <c r="B18" s="65">
        <v>4.0500000000000001E-2</v>
      </c>
    </row>
    <row r="20" spans="1:2" x14ac:dyDescent="0.25">
      <c r="A20" s="343" t="s">
        <v>156</v>
      </c>
      <c r="B20" s="343"/>
    </row>
    <row r="21" spans="1:2" x14ac:dyDescent="0.25">
      <c r="A21" t="s">
        <v>155</v>
      </c>
      <c r="B21" s="77">
        <v>4.75</v>
      </c>
    </row>
    <row r="22" spans="1:2" x14ac:dyDescent="0.25">
      <c r="A22" t="s">
        <v>158</v>
      </c>
      <c r="B22" s="77">
        <v>6.4</v>
      </c>
    </row>
    <row r="23" spans="1:2" x14ac:dyDescent="0.25">
      <c r="A23" t="s">
        <v>159</v>
      </c>
      <c r="B23" s="77">
        <v>9</v>
      </c>
    </row>
    <row r="24" spans="1:2" x14ac:dyDescent="0.25">
      <c r="A24" t="s">
        <v>157</v>
      </c>
      <c r="B24" s="77">
        <v>18.399999999999999</v>
      </c>
    </row>
    <row r="26" spans="1:2" x14ac:dyDescent="0.25">
      <c r="A26" s="343" t="s">
        <v>218</v>
      </c>
      <c r="B26" s="343"/>
    </row>
    <row r="27" spans="1:2" x14ac:dyDescent="0.25">
      <c r="A27" t="s">
        <v>256</v>
      </c>
    </row>
    <row r="28" spans="1:2" x14ac:dyDescent="0.25">
      <c r="A28" t="s">
        <v>257</v>
      </c>
    </row>
    <row r="29" spans="1:2" x14ac:dyDescent="0.25">
      <c r="A29" t="s">
        <v>258</v>
      </c>
    </row>
    <row r="30" spans="1:2" x14ac:dyDescent="0.25">
      <c r="A30" t="s">
        <v>259</v>
      </c>
    </row>
    <row r="31" spans="1:2" x14ac:dyDescent="0.25">
      <c r="A31" t="s">
        <v>260</v>
      </c>
    </row>
    <row r="32" spans="1:2" x14ac:dyDescent="0.25">
      <c r="A32" t="s">
        <v>261</v>
      </c>
    </row>
    <row r="33" spans="1:3" x14ac:dyDescent="0.25">
      <c r="A33" t="s">
        <v>262</v>
      </c>
    </row>
    <row r="34" spans="1:3" x14ac:dyDescent="0.25">
      <c r="A34" t="s">
        <v>263</v>
      </c>
    </row>
    <row r="36" spans="1:3" x14ac:dyDescent="0.25">
      <c r="A36" s="343" t="s">
        <v>78</v>
      </c>
      <c r="B36" s="343"/>
    </row>
    <row r="37" spans="1:3" x14ac:dyDescent="0.25">
      <c r="A37" s="159" t="s">
        <v>281</v>
      </c>
      <c r="B37" s="160" t="s">
        <v>282</v>
      </c>
      <c r="C37" s="161" t="s">
        <v>283</v>
      </c>
    </row>
    <row r="38" spans="1:3" x14ac:dyDescent="0.25">
      <c r="A38" s="162" t="s">
        <v>284</v>
      </c>
      <c r="B38" s="166">
        <v>68.5</v>
      </c>
      <c r="C38" s="166">
        <v>36.6</v>
      </c>
    </row>
    <row r="39" spans="1:3" x14ac:dyDescent="0.25">
      <c r="A39" s="162" t="s">
        <v>285</v>
      </c>
      <c r="B39" s="166">
        <v>80</v>
      </c>
      <c r="C39" s="166">
        <v>51.4</v>
      </c>
    </row>
    <row r="40" spans="1:3" x14ac:dyDescent="0.25">
      <c r="A40" s="162" t="s">
        <v>286</v>
      </c>
      <c r="B40" s="166">
        <v>91.3</v>
      </c>
      <c r="C40" s="166">
        <v>68.5</v>
      </c>
    </row>
    <row r="41" spans="1:3" x14ac:dyDescent="0.25">
      <c r="A41" s="162" t="s">
        <v>287</v>
      </c>
      <c r="B41" s="166">
        <v>102.6</v>
      </c>
      <c r="C41" s="166">
        <v>85.5</v>
      </c>
    </row>
    <row r="42" spans="1:3" x14ac:dyDescent="0.25">
      <c r="A42" s="162" t="s">
        <v>288</v>
      </c>
      <c r="B42" s="166">
        <v>125.6</v>
      </c>
      <c r="C42" s="166">
        <v>108.4</v>
      </c>
    </row>
    <row r="43" spans="1:3" x14ac:dyDescent="0.25">
      <c r="A43" s="162" t="s">
        <v>289</v>
      </c>
      <c r="B43" s="166">
        <v>148.4</v>
      </c>
      <c r="C43" s="166">
        <v>131.1</v>
      </c>
    </row>
    <row r="44" spans="1:3" x14ac:dyDescent="0.25">
      <c r="A44" s="162" t="s">
        <v>290</v>
      </c>
      <c r="B44" s="166">
        <v>171.2</v>
      </c>
      <c r="C44" s="166">
        <v>159.69999999999999</v>
      </c>
    </row>
    <row r="45" spans="1:3" x14ac:dyDescent="0.25">
      <c r="A45" s="163" t="s">
        <v>291</v>
      </c>
      <c r="B45" s="166">
        <v>194</v>
      </c>
      <c r="C45" s="166">
        <v>182.6</v>
      </c>
    </row>
    <row r="47" spans="1:3" x14ac:dyDescent="0.25">
      <c r="A47" s="317" t="s">
        <v>381</v>
      </c>
      <c r="B47" s="60"/>
    </row>
    <row r="48" spans="1:3" x14ac:dyDescent="0.25">
      <c r="A48" s="307" t="s">
        <v>374</v>
      </c>
    </row>
    <row r="49" spans="1:2" x14ac:dyDescent="0.25">
      <c r="A49" s="307" t="s">
        <v>376</v>
      </c>
    </row>
    <row r="50" spans="1:2" x14ac:dyDescent="0.25">
      <c r="A50" s="307" t="s">
        <v>377</v>
      </c>
    </row>
    <row r="51" spans="1:2" x14ac:dyDescent="0.25">
      <c r="A51" s="318" t="s">
        <v>375</v>
      </c>
    </row>
    <row r="53" spans="1:2" x14ac:dyDescent="0.25">
      <c r="A53" s="341" t="s">
        <v>387</v>
      </c>
      <c r="B53" s="341"/>
    </row>
    <row r="54" spans="1:2" x14ac:dyDescent="0.25">
      <c r="A54" s="159" t="s">
        <v>369</v>
      </c>
    </row>
    <row r="55" spans="1:2" x14ac:dyDescent="0.25">
      <c r="A55" s="2" t="s">
        <v>368</v>
      </c>
    </row>
    <row r="57" spans="1:2" x14ac:dyDescent="0.25">
      <c r="A57" s="341" t="s">
        <v>417</v>
      </c>
      <c r="B57" s="341"/>
    </row>
    <row r="58" spans="1:2" x14ac:dyDescent="0.25">
      <c r="A58" t="s">
        <v>418</v>
      </c>
    </row>
    <row r="59" spans="1:2" x14ac:dyDescent="0.25">
      <c r="A59" t="s">
        <v>419</v>
      </c>
    </row>
  </sheetData>
  <mergeCells count="9">
    <mergeCell ref="A57:B57"/>
    <mergeCell ref="A53:B53"/>
    <mergeCell ref="A3:C3"/>
    <mergeCell ref="A14:B14"/>
    <mergeCell ref="A20:B20"/>
    <mergeCell ref="A26:B26"/>
    <mergeCell ref="A36:B36"/>
    <mergeCell ref="A10:B10"/>
    <mergeCell ref="A5:B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28"/>
  <sheetViews>
    <sheetView workbookViewId="0">
      <selection activeCell="B98" sqref="B98"/>
    </sheetView>
  </sheetViews>
  <sheetFormatPr baseColWidth="10" defaultRowHeight="15" x14ac:dyDescent="0.25"/>
  <cols>
    <col min="1" max="1" width="26" bestFit="1" customWidth="1"/>
    <col min="2" max="2" width="21.5703125" customWidth="1"/>
    <col min="3" max="3" width="17.140625" bestFit="1" customWidth="1"/>
    <col min="4" max="4" width="20.28515625" bestFit="1" customWidth="1"/>
    <col min="5" max="5" width="25.42578125" bestFit="1" customWidth="1"/>
    <col min="8" max="8" width="18.28515625" bestFit="1" customWidth="1"/>
  </cols>
  <sheetData>
    <row r="1" spans="1:8" ht="15.75" thickBot="1" x14ac:dyDescent="0.3"/>
    <row r="2" spans="1:8" ht="19.5" thickBot="1" x14ac:dyDescent="0.35">
      <c r="A2" s="344" t="s">
        <v>87</v>
      </c>
      <c r="B2" s="344"/>
      <c r="H2" s="47" t="s">
        <v>98</v>
      </c>
    </row>
    <row r="3" spans="1:8" ht="15.75" thickBot="1" x14ac:dyDescent="0.3">
      <c r="A3" s="44" t="s">
        <v>1</v>
      </c>
      <c r="B3" s="214"/>
      <c r="C3" s="45"/>
      <c r="D3" s="45"/>
      <c r="E3" s="45"/>
      <c r="F3" s="46"/>
      <c r="H3" s="48" t="s">
        <v>103</v>
      </c>
    </row>
    <row r="4" spans="1:8" x14ac:dyDescent="0.25">
      <c r="A4" s="38" t="s">
        <v>2</v>
      </c>
      <c r="B4" s="215"/>
      <c r="C4" s="2"/>
      <c r="D4" s="2"/>
      <c r="E4" s="2"/>
      <c r="F4" s="18"/>
      <c r="H4" s="60" t="s">
        <v>109</v>
      </c>
    </row>
    <row r="5" spans="1:8" x14ac:dyDescent="0.25">
      <c r="A5" s="38" t="s">
        <v>88</v>
      </c>
      <c r="B5" s="215"/>
      <c r="C5" s="2" t="s">
        <v>6</v>
      </c>
      <c r="D5" s="2"/>
      <c r="E5" s="2"/>
      <c r="F5" s="18"/>
      <c r="H5" s="73" t="s">
        <v>131</v>
      </c>
    </row>
    <row r="6" spans="1:8" x14ac:dyDescent="0.25">
      <c r="A6" s="38" t="s">
        <v>89</v>
      </c>
      <c r="B6" s="215"/>
      <c r="C6" s="2" t="s">
        <v>317</v>
      </c>
      <c r="D6" s="2"/>
      <c r="E6" s="2"/>
      <c r="F6" s="18"/>
    </row>
    <row r="7" spans="1:8" ht="15.75" thickBot="1" x14ac:dyDescent="0.3">
      <c r="A7" s="28" t="s">
        <v>90</v>
      </c>
      <c r="B7" s="216"/>
      <c r="C7" s="20" t="s">
        <v>8</v>
      </c>
      <c r="D7" s="20"/>
      <c r="E7" s="20"/>
      <c r="F7" s="22"/>
    </row>
    <row r="9" spans="1:8" ht="19.5" thickBot="1" x14ac:dyDescent="0.35">
      <c r="A9" s="344" t="s">
        <v>91</v>
      </c>
      <c r="B9" s="344"/>
    </row>
    <row r="10" spans="1:8" x14ac:dyDescent="0.25">
      <c r="A10" s="44" t="s">
        <v>1</v>
      </c>
      <c r="B10" s="45"/>
      <c r="C10" s="45" t="s">
        <v>92</v>
      </c>
      <c r="D10" s="45"/>
      <c r="E10" s="45" t="s">
        <v>93</v>
      </c>
      <c r="F10" s="46"/>
    </row>
    <row r="11" spans="1:8" x14ac:dyDescent="0.25">
      <c r="A11" s="38" t="s">
        <v>2</v>
      </c>
      <c r="B11" s="2"/>
      <c r="C11" s="2"/>
      <c r="D11" s="2"/>
      <c r="E11" s="2" t="s">
        <v>94</v>
      </c>
      <c r="F11" s="18" t="s">
        <v>318</v>
      </c>
    </row>
    <row r="12" spans="1:8" ht="15.75" thickBot="1" x14ac:dyDescent="0.3">
      <c r="A12" s="38" t="s">
        <v>88</v>
      </c>
      <c r="B12" s="2"/>
      <c r="C12" s="20" t="s">
        <v>6</v>
      </c>
      <c r="D12" s="2"/>
      <c r="E12" s="2" t="s">
        <v>95</v>
      </c>
      <c r="F12" s="18"/>
    </row>
    <row r="13" spans="1:8" x14ac:dyDescent="0.25">
      <c r="A13" s="38" t="s">
        <v>22</v>
      </c>
      <c r="B13" s="2"/>
      <c r="C13" s="2"/>
      <c r="D13" s="2"/>
      <c r="E13" s="2"/>
      <c r="F13" s="18"/>
    </row>
    <row r="14" spans="1:8" ht="15.75" thickBot="1" x14ac:dyDescent="0.3">
      <c r="A14" s="28" t="s">
        <v>19</v>
      </c>
      <c r="B14" s="20"/>
      <c r="C14" s="20" t="s">
        <v>319</v>
      </c>
      <c r="D14" s="20"/>
      <c r="E14" s="20" t="s">
        <v>23</v>
      </c>
      <c r="F14" s="22"/>
    </row>
    <row r="16" spans="1:8" ht="19.5" thickBot="1" x14ac:dyDescent="0.35">
      <c r="A16" s="344" t="s">
        <v>153</v>
      </c>
      <c r="B16" s="344"/>
    </row>
    <row r="17" spans="1:6" ht="15.75" thickBot="1" x14ac:dyDescent="0.3">
      <c r="A17" t="s">
        <v>96</v>
      </c>
      <c r="B17" s="47">
        <v>42856</v>
      </c>
      <c r="D17" t="s">
        <v>97</v>
      </c>
      <c r="E17" s="75">
        <v>2017</v>
      </c>
    </row>
    <row r="18" spans="1:6" x14ac:dyDescent="0.25">
      <c r="A18" t="s">
        <v>151</v>
      </c>
      <c r="B18" t="s">
        <v>154</v>
      </c>
      <c r="C18" t="s">
        <v>124</v>
      </c>
      <c r="D18" t="s">
        <v>152</v>
      </c>
    </row>
    <row r="19" spans="1:6" x14ac:dyDescent="0.25">
      <c r="B19" s="74">
        <f>D19*C19</f>
        <v>1480.2991999999999</v>
      </c>
      <c r="C19" s="73">
        <v>151.66999999999999</v>
      </c>
      <c r="D19" s="73">
        <v>9.76</v>
      </c>
    </row>
    <row r="21" spans="1:6" ht="19.5" thickBot="1" x14ac:dyDescent="0.35">
      <c r="A21" s="344" t="s">
        <v>99</v>
      </c>
      <c r="B21" s="344"/>
    </row>
    <row r="22" spans="1:6" ht="15.75" thickBot="1" x14ac:dyDescent="0.3">
      <c r="A22" s="44" t="s">
        <v>100</v>
      </c>
      <c r="B22" s="52">
        <v>12</v>
      </c>
      <c r="C22" s="45"/>
      <c r="D22" s="45"/>
      <c r="E22" s="45"/>
      <c r="F22" s="46"/>
    </row>
    <row r="23" spans="1:6" ht="15.75" thickBot="1" x14ac:dyDescent="0.3">
      <c r="A23" s="38" t="s">
        <v>101</v>
      </c>
      <c r="B23" s="50"/>
      <c r="C23" s="2"/>
      <c r="D23" s="2" t="s">
        <v>104</v>
      </c>
      <c r="E23" s="2" t="s">
        <v>105</v>
      </c>
      <c r="F23" s="18"/>
    </row>
    <row r="24" spans="1:6" ht="15.75" thickBot="1" x14ac:dyDescent="0.3">
      <c r="A24" s="38" t="s">
        <v>102</v>
      </c>
      <c r="B24" s="49">
        <f>Nb_H_Sem*52/12</f>
        <v>151.66666666666666</v>
      </c>
      <c r="C24" s="2"/>
      <c r="D24" s="50">
        <v>35</v>
      </c>
      <c r="E24" s="51">
        <v>5</v>
      </c>
      <c r="F24" s="18"/>
    </row>
    <row r="25" spans="1:6" ht="15.75" thickBot="1" x14ac:dyDescent="0.3">
      <c r="A25" s="38" t="s">
        <v>28</v>
      </c>
      <c r="B25" s="54">
        <v>5000</v>
      </c>
      <c r="C25" s="2"/>
      <c r="D25" s="2"/>
      <c r="E25" s="2"/>
      <c r="F25" s="18"/>
    </row>
    <row r="26" spans="1:6" ht="15.75" thickBot="1" x14ac:dyDescent="0.3">
      <c r="A26" s="28" t="s">
        <v>30</v>
      </c>
      <c r="B26" s="50"/>
      <c r="C26" s="20"/>
      <c r="D26" s="20"/>
      <c r="E26" s="20"/>
      <c r="F26" s="22"/>
    </row>
    <row r="28" spans="1:6" ht="18.75" x14ac:dyDescent="0.3">
      <c r="A28" s="344" t="s">
        <v>322</v>
      </c>
      <c r="B28" s="344"/>
    </row>
    <row r="29" spans="1:6" x14ac:dyDescent="0.25">
      <c r="A29" t="s">
        <v>323</v>
      </c>
    </row>
    <row r="30" spans="1:6" x14ac:dyDescent="0.25">
      <c r="A30" t="s">
        <v>324</v>
      </c>
    </row>
    <row r="31" spans="1:6" x14ac:dyDescent="0.25">
      <c r="A31" t="s">
        <v>33</v>
      </c>
    </row>
    <row r="33" spans="1:6" ht="18.75" x14ac:dyDescent="0.3">
      <c r="A33" s="344" t="s">
        <v>106</v>
      </c>
      <c r="B33" s="344"/>
      <c r="C33" s="348" t="s">
        <v>162</v>
      </c>
      <c r="D33" s="349"/>
    </row>
    <row r="34" spans="1:6" x14ac:dyDescent="0.25">
      <c r="A34" t="s">
        <v>21</v>
      </c>
      <c r="B34" s="74">
        <v>3269</v>
      </c>
    </row>
    <row r="35" spans="1:6" ht="15.75" thickBot="1" x14ac:dyDescent="0.3">
      <c r="A35" t="s">
        <v>160</v>
      </c>
      <c r="B35" s="74">
        <f>C19</f>
        <v>151.66999999999999</v>
      </c>
    </row>
    <row r="36" spans="1:6" ht="15.75" thickBot="1" x14ac:dyDescent="0.3">
      <c r="A36" t="s">
        <v>161</v>
      </c>
      <c r="B36" s="49">
        <f>IF(Nb_H_Sem=35,B34,(B34*B24)/B35)</f>
        <v>3269</v>
      </c>
      <c r="C36" s="66"/>
      <c r="D36" s="79">
        <f>B36*B39/30</f>
        <v>3269</v>
      </c>
    </row>
    <row r="38" spans="1:6" ht="19.5" thickBot="1" x14ac:dyDescent="0.35">
      <c r="A38" s="53" t="s">
        <v>218</v>
      </c>
      <c r="B38" s="53"/>
    </row>
    <row r="39" spans="1:6" ht="15.75" thickBot="1" x14ac:dyDescent="0.3">
      <c r="A39" s="44" t="s">
        <v>400</v>
      </c>
      <c r="B39" s="325">
        <f>30-D40</f>
        <v>30</v>
      </c>
      <c r="C39" s="45" t="s">
        <v>111</v>
      </c>
      <c r="D39" s="45" t="s">
        <v>401</v>
      </c>
      <c r="E39" s="45" t="s">
        <v>124</v>
      </c>
      <c r="F39" s="46"/>
    </row>
    <row r="40" spans="1:6" ht="15.75" thickBot="1" x14ac:dyDescent="0.3">
      <c r="A40" s="38" t="s">
        <v>112</v>
      </c>
      <c r="B40" s="234">
        <v>0</v>
      </c>
      <c r="C40" s="60" t="s">
        <v>110</v>
      </c>
      <c r="D40" s="49">
        <f>'Abs N R'!C11</f>
        <v>0</v>
      </c>
      <c r="E40" s="49">
        <f>'Abs N R'!B11</f>
        <v>0</v>
      </c>
      <c r="F40" s="18"/>
    </row>
    <row r="41" spans="1:6" ht="15.75" thickBot="1" x14ac:dyDescent="0.3">
      <c r="A41" s="38" t="s">
        <v>113</v>
      </c>
      <c r="B41" s="47">
        <v>0</v>
      </c>
      <c r="C41" s="2"/>
      <c r="D41" s="2"/>
      <c r="E41" s="2"/>
      <c r="F41" s="18"/>
    </row>
    <row r="42" spans="1:6" ht="15.75" thickBot="1" x14ac:dyDescent="0.3">
      <c r="A42" s="292" t="s">
        <v>121</v>
      </c>
      <c r="B42" s="63">
        <f>'Abs N R'!D17</f>
        <v>0</v>
      </c>
      <c r="C42" s="20"/>
      <c r="D42" s="20"/>
      <c r="E42" s="20"/>
      <c r="F42" s="22"/>
    </row>
    <row r="44" spans="1:6" ht="19.5" thickBot="1" x14ac:dyDescent="0.35">
      <c r="A44" s="344" t="s">
        <v>3</v>
      </c>
      <c r="B44" s="344"/>
    </row>
    <row r="45" spans="1:6" ht="15.75" thickBot="1" x14ac:dyDescent="0.3">
      <c r="A45" t="s">
        <v>335</v>
      </c>
      <c r="B45" s="236">
        <v>0</v>
      </c>
      <c r="C45" s="2"/>
      <c r="D45" s="2" t="s">
        <v>123</v>
      </c>
      <c r="E45" s="2" t="s">
        <v>124</v>
      </c>
      <c r="F45" s="18"/>
    </row>
    <row r="46" spans="1:6" ht="15.75" thickBot="1" x14ac:dyDescent="0.3">
      <c r="A46" s="38" t="s">
        <v>113</v>
      </c>
      <c r="B46" s="236">
        <v>0</v>
      </c>
      <c r="C46" s="2"/>
      <c r="D46" s="49">
        <f>'Abs CP'!C11</f>
        <v>0</v>
      </c>
      <c r="E46" s="62">
        <f>'Abs CP'!B11</f>
        <v>0</v>
      </c>
      <c r="F46" s="18"/>
    </row>
    <row r="47" spans="1:6" ht="15.75" thickBot="1" x14ac:dyDescent="0.3">
      <c r="A47" s="61" t="s">
        <v>122</v>
      </c>
      <c r="B47" s="63">
        <f>+'Abs CP'!H32</f>
        <v>0</v>
      </c>
      <c r="C47" s="20"/>
      <c r="D47" s="20"/>
      <c r="E47" s="20"/>
      <c r="F47" s="22"/>
    </row>
    <row r="49" spans="1:7" ht="19.5" thickBot="1" x14ac:dyDescent="0.35">
      <c r="A49" s="344" t="s">
        <v>115</v>
      </c>
      <c r="B49" s="344"/>
    </row>
    <row r="50" spans="1:7" ht="15.75" thickBot="1" x14ac:dyDescent="0.3">
      <c r="A50" s="44" t="s">
        <v>116</v>
      </c>
      <c r="B50" s="63">
        <f>'Abs CP'!D47</f>
        <v>0</v>
      </c>
      <c r="C50" s="45"/>
      <c r="D50" s="45"/>
      <c r="E50" s="45"/>
      <c r="F50" s="46"/>
    </row>
    <row r="51" spans="1:7" ht="15.75" thickBot="1" x14ac:dyDescent="0.3">
      <c r="A51" s="28" t="s">
        <v>338</v>
      </c>
      <c r="B51" s="63">
        <f>'Abs CP'!H56</f>
        <v>0</v>
      </c>
      <c r="C51" s="20"/>
      <c r="D51" s="20"/>
      <c r="E51" s="20"/>
      <c r="F51" s="22"/>
    </row>
    <row r="53" spans="1:7" ht="19.5" thickBot="1" x14ac:dyDescent="0.35">
      <c r="A53" s="344" t="s">
        <v>334</v>
      </c>
      <c r="B53" s="344"/>
    </row>
    <row r="54" spans="1:7" x14ac:dyDescent="0.25">
      <c r="A54" s="44" t="s">
        <v>112</v>
      </c>
      <c r="C54" s="45"/>
      <c r="D54" s="45"/>
      <c r="E54" s="45"/>
      <c r="F54" s="46"/>
    </row>
    <row r="55" spans="1:7" ht="15.75" thickBot="1" x14ac:dyDescent="0.3">
      <c r="A55" s="38" t="s">
        <v>113</v>
      </c>
      <c r="C55" s="2"/>
      <c r="D55" s="2" t="s">
        <v>123</v>
      </c>
      <c r="E55" s="2" t="s">
        <v>124</v>
      </c>
      <c r="F55" s="18"/>
    </row>
    <row r="56" spans="1:7" ht="15.75" thickBot="1" x14ac:dyDescent="0.3">
      <c r="A56" s="38" t="s">
        <v>114</v>
      </c>
      <c r="B56" s="206"/>
      <c r="C56" s="2"/>
      <c r="D56" s="49">
        <f>'Abs N R'!C11</f>
        <v>0</v>
      </c>
      <c r="E56" s="62">
        <f>'Abs N R'!B11</f>
        <v>0</v>
      </c>
      <c r="F56" s="18"/>
    </row>
    <row r="57" spans="1:7" ht="15.75" thickBot="1" x14ac:dyDescent="0.3">
      <c r="A57" s="28" t="s">
        <v>126</v>
      </c>
      <c r="B57" s="63">
        <f>'Abs N R'!D17</f>
        <v>0</v>
      </c>
      <c r="C57" s="20"/>
      <c r="D57" s="20"/>
      <c r="E57" s="20"/>
      <c r="F57" s="22"/>
    </row>
    <row r="59" spans="1:7" ht="19.5" thickBot="1" x14ac:dyDescent="0.35">
      <c r="A59" s="344" t="s">
        <v>117</v>
      </c>
      <c r="B59" s="344"/>
    </row>
    <row r="60" spans="1:7" ht="15.75" thickBot="1" x14ac:dyDescent="0.3">
      <c r="A60" s="44" t="s">
        <v>118</v>
      </c>
      <c r="B60" s="49">
        <f>'H SUP'!K41</f>
        <v>0</v>
      </c>
      <c r="C60" s="45" t="s">
        <v>124</v>
      </c>
      <c r="D60" s="205">
        <f>'H SUP'!K38</f>
        <v>0</v>
      </c>
      <c r="E60" s="45"/>
      <c r="F60" s="192">
        <v>1.1000000000000001</v>
      </c>
    </row>
    <row r="61" spans="1:7" ht="15.75" thickBot="1" x14ac:dyDescent="0.3">
      <c r="A61" s="38" t="s">
        <v>216</v>
      </c>
      <c r="B61" s="49">
        <f>'H SUP'!K42</f>
        <v>0</v>
      </c>
      <c r="C61" s="2"/>
      <c r="D61" s="2"/>
      <c r="E61" s="2"/>
      <c r="F61" s="193">
        <v>1.25</v>
      </c>
      <c r="G61" s="202" t="s">
        <v>316</v>
      </c>
    </row>
    <row r="62" spans="1:7" ht="15.75" thickBot="1" x14ac:dyDescent="0.3">
      <c r="A62" s="38" t="s">
        <v>119</v>
      </c>
      <c r="B62" s="49">
        <f>'H SUP'!D41</f>
        <v>0</v>
      </c>
      <c r="C62" s="2" t="s">
        <v>125</v>
      </c>
      <c r="D62" s="204">
        <f>'H SUP'!D38</f>
        <v>0</v>
      </c>
      <c r="E62" s="2"/>
      <c r="F62" s="193">
        <v>1.25</v>
      </c>
    </row>
    <row r="63" spans="1:7" ht="15.75" thickBot="1" x14ac:dyDescent="0.3">
      <c r="A63" s="28" t="s">
        <v>120</v>
      </c>
      <c r="B63" s="49">
        <f>'H SUP'!D42</f>
        <v>0</v>
      </c>
      <c r="C63" s="20"/>
      <c r="D63" s="20"/>
      <c r="E63" s="20"/>
      <c r="F63" s="194">
        <v>1.5</v>
      </c>
    </row>
    <row r="65" spans="1:7" ht="19.5" thickBot="1" x14ac:dyDescent="0.35">
      <c r="A65" s="344" t="s">
        <v>397</v>
      </c>
      <c r="B65" s="344"/>
      <c r="C65" t="s">
        <v>399</v>
      </c>
    </row>
    <row r="66" spans="1:7" ht="15.75" thickBot="1" x14ac:dyDescent="0.3">
      <c r="A66" t="s">
        <v>398</v>
      </c>
      <c r="B66" s="49">
        <f>D62</f>
        <v>0</v>
      </c>
    </row>
    <row r="67" spans="1:7" x14ac:dyDescent="0.25">
      <c r="A67" t="s">
        <v>27</v>
      </c>
      <c r="B67" s="73">
        <v>1.5</v>
      </c>
    </row>
    <row r="70" spans="1:7" ht="19.5" thickBot="1" x14ac:dyDescent="0.35">
      <c r="A70" s="344" t="s">
        <v>127</v>
      </c>
      <c r="B70" s="344"/>
    </row>
    <row r="71" spans="1:7" ht="16.5" thickBot="1" x14ac:dyDescent="0.3">
      <c r="A71" s="44"/>
      <c r="B71" s="184" t="s">
        <v>75</v>
      </c>
      <c r="C71" s="45"/>
      <c r="D71" s="45"/>
      <c r="E71" s="45"/>
      <c r="F71" s="46"/>
    </row>
    <row r="72" spans="1:7" ht="15.75" thickBot="1" x14ac:dyDescent="0.3">
      <c r="A72" s="38" t="s">
        <v>123</v>
      </c>
      <c r="B72" s="207">
        <v>0</v>
      </c>
      <c r="C72" s="2"/>
      <c r="D72" s="2"/>
      <c r="E72" s="2"/>
      <c r="F72" s="18"/>
    </row>
    <row r="73" spans="1:7" ht="15.75" thickBot="1" x14ac:dyDescent="0.3">
      <c r="A73" s="38" t="s">
        <v>128</v>
      </c>
      <c r="B73" s="54">
        <v>0</v>
      </c>
      <c r="C73" s="95" t="s">
        <v>165</v>
      </c>
      <c r="D73" s="95" t="s">
        <v>295</v>
      </c>
      <c r="E73" s="2" t="s">
        <v>280</v>
      </c>
      <c r="F73" s="18"/>
      <c r="G73" s="181"/>
    </row>
    <row r="74" spans="1:7" ht="15.75" thickBot="1" x14ac:dyDescent="0.3">
      <c r="A74" s="38" t="s">
        <v>169</v>
      </c>
      <c r="B74" s="54">
        <v>0</v>
      </c>
      <c r="C74" s="198">
        <f>IFERROR(B74*100/B73/100,0)</f>
        <v>0</v>
      </c>
      <c r="D74" s="63" t="str">
        <f>'Av Nat'!D11</f>
        <v/>
      </c>
      <c r="E74" s="63">
        <f>'Av Nat'!E11</f>
        <v>0</v>
      </c>
      <c r="F74" s="18"/>
    </row>
    <row r="75" spans="1:7" ht="15.75" thickBot="1" x14ac:dyDescent="0.3">
      <c r="A75" s="38" t="s">
        <v>129</v>
      </c>
      <c r="B75" s="54">
        <v>0</v>
      </c>
      <c r="C75" s="198">
        <f>IFERROR(B75*100/B73/100,0)</f>
        <v>0</v>
      </c>
      <c r="D75" s="63">
        <f>'Av Nat'!D9</f>
        <v>0</v>
      </c>
      <c r="F75" s="18"/>
      <c r="G75" s="182" t="s">
        <v>293</v>
      </c>
    </row>
    <row r="76" spans="1:7" ht="15.75" thickBot="1" x14ac:dyDescent="0.3">
      <c r="A76" s="38" t="s">
        <v>130</v>
      </c>
      <c r="B76" s="76">
        <v>5.38</v>
      </c>
      <c r="C76" s="2"/>
      <c r="D76" s="2"/>
      <c r="E76" s="346" t="s">
        <v>299</v>
      </c>
      <c r="F76" s="347"/>
    </row>
    <row r="77" spans="1:7" ht="16.5" thickBot="1" x14ac:dyDescent="0.3">
      <c r="B77" s="184" t="s">
        <v>132</v>
      </c>
      <c r="C77" s="2"/>
      <c r="D77" s="2"/>
      <c r="E77" s="159" t="s">
        <v>155</v>
      </c>
      <c r="F77" s="208">
        <v>0</v>
      </c>
    </row>
    <row r="78" spans="1:7" ht="15.75" thickBot="1" x14ac:dyDescent="0.3">
      <c r="A78" s="38" t="s">
        <v>123</v>
      </c>
      <c r="B78" s="207">
        <v>0</v>
      </c>
      <c r="C78" s="2"/>
      <c r="E78" s="1" t="s">
        <v>158</v>
      </c>
      <c r="F78" s="208">
        <v>0</v>
      </c>
    </row>
    <row r="79" spans="1:7" ht="15.75" thickBot="1" x14ac:dyDescent="0.3">
      <c r="A79" s="200" t="s">
        <v>313</v>
      </c>
      <c r="B79" s="186"/>
      <c r="C79" s="2"/>
      <c r="D79" s="2"/>
      <c r="E79" s="1" t="s">
        <v>159</v>
      </c>
      <c r="F79" s="208">
        <v>0</v>
      </c>
    </row>
    <row r="80" spans="1:7" ht="15.75" thickBot="1" x14ac:dyDescent="0.3">
      <c r="A80" s="78" t="s">
        <v>158</v>
      </c>
      <c r="B80" s="76">
        <f>VLOOKUP(A80,Liste!A21:B24,2,FALSE)</f>
        <v>6.4</v>
      </c>
      <c r="C80" s="49" t="str">
        <f>VLOOKUP(A80,'Av Nat'!A17:E20,4,FALSE)</f>
        <v/>
      </c>
      <c r="D80" s="63">
        <f>IFERROR(C80*B78,0)</f>
        <v>0</v>
      </c>
      <c r="E80" s="185" t="s">
        <v>157</v>
      </c>
      <c r="F80" s="208">
        <v>0</v>
      </c>
    </row>
    <row r="81" spans="1:6" ht="15.75" thickBot="1" x14ac:dyDescent="0.3">
      <c r="A81" s="200" t="s">
        <v>314</v>
      </c>
      <c r="F81" s="18"/>
    </row>
    <row r="82" spans="1:6" ht="15.75" thickBot="1" x14ac:dyDescent="0.3">
      <c r="A82" s="78" t="s">
        <v>158</v>
      </c>
      <c r="B82" s="76">
        <f>VLOOKUP(A82,Liste!A22:B24,2,FALSE)</f>
        <v>6.4</v>
      </c>
      <c r="C82" s="63">
        <f>B78*B82</f>
        <v>0</v>
      </c>
      <c r="D82" s="2"/>
      <c r="E82" s="2"/>
      <c r="F82" s="18"/>
    </row>
    <row r="83" spans="1:6" ht="16.5" thickBot="1" x14ac:dyDescent="0.3">
      <c r="A83" s="38"/>
      <c r="B83" s="184" t="s">
        <v>133</v>
      </c>
      <c r="C83" s="2"/>
      <c r="D83" s="2"/>
      <c r="E83" s="2"/>
      <c r="F83" s="18"/>
    </row>
    <row r="84" spans="1:6" ht="15.75" thickBot="1" x14ac:dyDescent="0.3">
      <c r="A84" s="38" t="s">
        <v>134</v>
      </c>
      <c r="B84" s="207">
        <v>0</v>
      </c>
      <c r="C84" s="304"/>
      <c r="D84" s="304"/>
      <c r="E84" s="304"/>
      <c r="F84" s="305"/>
    </row>
    <row r="85" spans="1:6" ht="15.75" thickBot="1" x14ac:dyDescent="0.3">
      <c r="A85" s="38" t="s">
        <v>27</v>
      </c>
      <c r="B85" s="63">
        <f>'Av Nat'!E33</f>
        <v>0</v>
      </c>
      <c r="C85" s="2"/>
      <c r="D85" s="2"/>
      <c r="E85" s="2"/>
      <c r="F85" s="18"/>
    </row>
    <row r="86" spans="1:6" ht="16.5" thickBot="1" x14ac:dyDescent="0.3">
      <c r="A86" s="38"/>
      <c r="B86" s="201" t="s">
        <v>378</v>
      </c>
      <c r="C86" s="2"/>
      <c r="D86" s="2"/>
      <c r="E86" s="2"/>
      <c r="F86" s="18"/>
    </row>
    <row r="87" spans="1:6" ht="15.75" thickBot="1" x14ac:dyDescent="0.3">
      <c r="A87" s="38" t="s">
        <v>379</v>
      </c>
      <c r="B87" s="54">
        <v>0</v>
      </c>
      <c r="C87" s="304"/>
      <c r="D87" s="304"/>
      <c r="E87" s="304"/>
      <c r="F87" s="305"/>
    </row>
    <row r="88" spans="1:6" ht="15.75" thickBot="1" x14ac:dyDescent="0.3">
      <c r="A88" s="313" t="s">
        <v>381</v>
      </c>
      <c r="B88" s="139"/>
      <c r="C88" s="2"/>
      <c r="D88" s="2"/>
      <c r="E88" s="2"/>
      <c r="F88" s="18"/>
    </row>
    <row r="89" spans="1:6" ht="15.75" thickBot="1" x14ac:dyDescent="0.3">
      <c r="A89" s="78" t="s">
        <v>377</v>
      </c>
      <c r="B89" s="63">
        <f>VLOOKUP(A89,'Av Nat'!A25:C28,3,FALSE)</f>
        <v>0</v>
      </c>
      <c r="C89" s="2"/>
      <c r="D89" s="2"/>
      <c r="E89" s="2"/>
      <c r="F89" s="18"/>
    </row>
    <row r="90" spans="1:6" ht="15.75" thickBot="1" x14ac:dyDescent="0.3">
      <c r="A90" s="313" t="s">
        <v>382</v>
      </c>
      <c r="B90" s="139"/>
      <c r="C90" s="2"/>
      <c r="D90" s="2"/>
      <c r="E90" s="2"/>
      <c r="F90" s="18"/>
    </row>
    <row r="91" spans="1:6" ht="15.75" thickBot="1" x14ac:dyDescent="0.3">
      <c r="A91" s="38" t="s">
        <v>383</v>
      </c>
      <c r="B91" s="54">
        <v>0</v>
      </c>
      <c r="C91" s="2"/>
      <c r="D91" s="2"/>
      <c r="E91" s="2"/>
      <c r="F91" s="18"/>
    </row>
    <row r="92" spans="1:6" ht="15.75" thickBot="1" x14ac:dyDescent="0.3">
      <c r="A92" s="38" t="s">
        <v>384</v>
      </c>
      <c r="B92" s="54">
        <v>0</v>
      </c>
      <c r="C92" s="2"/>
      <c r="D92" s="2"/>
      <c r="E92" s="2"/>
      <c r="F92" s="18"/>
    </row>
    <row r="93" spans="1:6" ht="15.75" thickBot="1" x14ac:dyDescent="0.3">
      <c r="A93" s="38" t="s">
        <v>369</v>
      </c>
      <c r="B93" s="63">
        <f>VLOOKUP(A93,'Av Nat'!D25:F26,3,FALSE)</f>
        <v>0</v>
      </c>
      <c r="C93" s="2"/>
      <c r="D93" s="2"/>
      <c r="E93" s="2"/>
      <c r="F93" s="18"/>
    </row>
    <row r="94" spans="1:6" ht="16.5" thickBot="1" x14ac:dyDescent="0.3">
      <c r="A94" s="38"/>
      <c r="B94" s="201" t="s">
        <v>415</v>
      </c>
      <c r="C94" s="2"/>
      <c r="D94" s="2"/>
      <c r="E94" s="2"/>
      <c r="F94" s="18"/>
    </row>
    <row r="95" spans="1:6" ht="15.75" thickBot="1" x14ac:dyDescent="0.3">
      <c r="A95" s="38" t="s">
        <v>416</v>
      </c>
      <c r="B95" s="54">
        <v>120</v>
      </c>
      <c r="C95" s="2"/>
      <c r="D95" s="2"/>
      <c r="E95" s="2"/>
      <c r="F95" s="18"/>
    </row>
    <row r="96" spans="1:6" ht="15.75" thickBot="1" x14ac:dyDescent="0.3">
      <c r="A96" s="38" t="s">
        <v>405</v>
      </c>
      <c r="B96" s="336">
        <v>8</v>
      </c>
      <c r="C96" s="2"/>
      <c r="D96" s="2"/>
      <c r="E96" s="2"/>
      <c r="F96" s="18"/>
    </row>
    <row r="97" spans="1:6" ht="15.75" thickBot="1" x14ac:dyDescent="0.3">
      <c r="A97" s="38"/>
      <c r="B97" s="63">
        <f>B95*B96</f>
        <v>960</v>
      </c>
      <c r="C97" s="2"/>
      <c r="D97" s="2"/>
      <c r="E97" s="2"/>
      <c r="F97" s="18"/>
    </row>
    <row r="98" spans="1:6" ht="15.75" x14ac:dyDescent="0.25">
      <c r="A98" s="78" t="s">
        <v>419</v>
      </c>
      <c r="B98" s="335">
        <f>VLOOKUP(A98,'Av Nat'!A51:C52,3,FALSE)</f>
        <v>480</v>
      </c>
      <c r="C98" s="2"/>
      <c r="D98" s="2"/>
      <c r="E98" s="2"/>
      <c r="F98" s="18"/>
    </row>
    <row r="99" spans="1:6" ht="15.75" x14ac:dyDescent="0.25">
      <c r="A99" s="38"/>
      <c r="B99" s="201"/>
      <c r="C99" s="2"/>
      <c r="D99" s="2"/>
      <c r="E99" s="2"/>
      <c r="F99" s="18"/>
    </row>
    <row r="100" spans="1:6" ht="15.75" x14ac:dyDescent="0.25">
      <c r="A100" s="38"/>
      <c r="B100" s="201"/>
      <c r="C100" s="2"/>
      <c r="D100" s="2"/>
      <c r="E100" s="2"/>
      <c r="F100" s="18"/>
    </row>
    <row r="101" spans="1:6" ht="16.5" thickBot="1" x14ac:dyDescent="0.3">
      <c r="A101" s="38"/>
      <c r="B101" s="201"/>
      <c r="C101" s="2"/>
      <c r="D101" s="2"/>
      <c r="E101" s="2"/>
      <c r="F101" s="18"/>
    </row>
    <row r="102" spans="1:6" ht="16.5" thickBot="1" x14ac:dyDescent="0.3">
      <c r="A102" s="38"/>
      <c r="B102" s="184" t="s">
        <v>135</v>
      </c>
      <c r="C102" s="2"/>
      <c r="D102" s="2"/>
      <c r="E102" s="2"/>
      <c r="F102" s="18"/>
    </row>
    <row r="103" spans="1:6" ht="15.75" thickBot="1" x14ac:dyDescent="0.3">
      <c r="A103" s="28" t="s">
        <v>136</v>
      </c>
      <c r="B103" s="68"/>
      <c r="C103" s="20"/>
      <c r="D103" s="20"/>
      <c r="E103" s="20"/>
      <c r="F103" s="22"/>
    </row>
    <row r="105" spans="1:6" ht="19.5" thickBot="1" x14ac:dyDescent="0.35">
      <c r="A105" s="344" t="s">
        <v>137</v>
      </c>
      <c r="B105" s="344"/>
    </row>
    <row r="106" spans="1:6" ht="15.75" thickBot="1" x14ac:dyDescent="0.3">
      <c r="A106" s="69" t="s">
        <v>142</v>
      </c>
      <c r="B106" s="70">
        <f>VLOOKUP(A106,Liste!A15:B18,2,FALSE)</f>
        <v>4.0500000000000001E-2</v>
      </c>
      <c r="C106" s="71"/>
      <c r="D106" s="71"/>
      <c r="E106" s="71"/>
      <c r="F106" s="72"/>
    </row>
    <row r="108" spans="1:6" ht="19.5" thickBot="1" x14ac:dyDescent="0.35">
      <c r="A108" s="344" t="s">
        <v>143</v>
      </c>
      <c r="B108" s="344"/>
    </row>
    <row r="109" spans="1:6" ht="15.75" thickBot="1" x14ac:dyDescent="0.3">
      <c r="A109" s="44" t="s">
        <v>144</v>
      </c>
      <c r="B109" s="209">
        <v>0</v>
      </c>
      <c r="C109" s="45"/>
      <c r="D109" s="45"/>
      <c r="E109" s="45"/>
      <c r="F109" s="46"/>
    </row>
    <row r="110" spans="1:6" ht="15.75" thickBot="1" x14ac:dyDescent="0.3">
      <c r="A110" s="38" t="s">
        <v>145</v>
      </c>
      <c r="B110" s="210">
        <v>0</v>
      </c>
      <c r="C110" s="2"/>
      <c r="D110" s="2"/>
      <c r="E110" s="2"/>
      <c r="F110" s="18"/>
    </row>
    <row r="111" spans="1:6" ht="15.75" thickBot="1" x14ac:dyDescent="0.3">
      <c r="A111" s="38" t="s">
        <v>148</v>
      </c>
      <c r="B111" s="207">
        <v>100</v>
      </c>
      <c r="C111" s="2"/>
      <c r="D111" s="2"/>
      <c r="E111" s="2"/>
      <c r="F111" s="18"/>
    </row>
    <row r="112" spans="1:6" ht="15.75" thickBot="1" x14ac:dyDescent="0.3">
      <c r="A112" s="38" t="s">
        <v>146</v>
      </c>
      <c r="B112" s="210">
        <v>0</v>
      </c>
      <c r="C112" s="2"/>
      <c r="D112" s="2"/>
      <c r="E112" s="2"/>
      <c r="F112" s="18"/>
    </row>
    <row r="113" spans="1:6" ht="15.75" thickBot="1" x14ac:dyDescent="0.3">
      <c r="A113" s="28" t="s">
        <v>147</v>
      </c>
      <c r="B113" s="331">
        <v>0</v>
      </c>
      <c r="C113" s="20"/>
      <c r="D113" s="20"/>
      <c r="E113" s="20"/>
      <c r="F113" s="22"/>
    </row>
    <row r="115" spans="1:6" ht="19.5" thickBot="1" x14ac:dyDescent="0.35">
      <c r="A115" s="344" t="s">
        <v>150</v>
      </c>
      <c r="B115" s="344"/>
    </row>
    <row r="116" spans="1:6" ht="15.75" thickBot="1" x14ac:dyDescent="0.3">
      <c r="A116" s="44" t="s">
        <v>149</v>
      </c>
      <c r="B116" s="209">
        <v>0</v>
      </c>
      <c r="C116" s="45"/>
      <c r="D116" s="45"/>
      <c r="E116" s="45"/>
      <c r="F116" s="46"/>
    </row>
    <row r="117" spans="1:6" ht="15.75" thickBot="1" x14ac:dyDescent="0.3">
      <c r="A117" s="38"/>
      <c r="B117" s="67"/>
      <c r="C117" s="2"/>
      <c r="D117" s="2"/>
      <c r="E117" s="2"/>
      <c r="F117" s="18"/>
    </row>
    <row r="118" spans="1:6" ht="15.75" thickBot="1" x14ac:dyDescent="0.3">
      <c r="A118" s="38" t="s">
        <v>66</v>
      </c>
      <c r="B118" s="210">
        <v>0</v>
      </c>
      <c r="C118" s="2"/>
      <c r="D118" s="2"/>
      <c r="E118" s="2"/>
      <c r="F118" s="18"/>
    </row>
    <row r="119" spans="1:6" ht="15.75" thickBot="1" x14ac:dyDescent="0.3">
      <c r="A119" s="28"/>
      <c r="B119" s="20"/>
      <c r="C119" s="20"/>
      <c r="D119" s="20"/>
      <c r="E119" s="20"/>
      <c r="F119" s="22"/>
    </row>
    <row r="120" spans="1:6" ht="15.75" thickBot="1" x14ac:dyDescent="0.3"/>
    <row r="121" spans="1:6" ht="15.75" thickBot="1" x14ac:dyDescent="0.3">
      <c r="A121" t="s">
        <v>82</v>
      </c>
      <c r="B121" s="54">
        <v>0</v>
      </c>
    </row>
    <row r="122" spans="1:6" ht="15.75" thickBot="1" x14ac:dyDescent="0.3">
      <c r="A122" t="s">
        <v>321</v>
      </c>
      <c r="B122" s="54">
        <v>0</v>
      </c>
    </row>
    <row r="124" spans="1:6" ht="19.5" thickBot="1" x14ac:dyDescent="0.35">
      <c r="A124" s="344" t="s">
        <v>359</v>
      </c>
      <c r="B124" s="344"/>
    </row>
    <row r="125" spans="1:6" ht="15.75" thickBot="1" x14ac:dyDescent="0.3">
      <c r="A125" s="44" t="s">
        <v>360</v>
      </c>
      <c r="B125" s="45"/>
      <c r="C125" s="45"/>
      <c r="D125" s="45"/>
      <c r="E125" s="45"/>
      <c r="F125" s="46"/>
    </row>
    <row r="126" spans="1:6" ht="15.75" thickBot="1" x14ac:dyDescent="0.3">
      <c r="A126" s="78" t="s">
        <v>366</v>
      </c>
      <c r="B126" s="63">
        <f>VLOOKUP(A126,Saisie_Salaire!B8:G15,6,FALSE)</f>
        <v>0</v>
      </c>
      <c r="C126" s="345" t="s">
        <v>340</v>
      </c>
      <c r="D126" s="345"/>
      <c r="E126" s="2" t="s">
        <v>362</v>
      </c>
      <c r="F126" s="266">
        <v>118.3</v>
      </c>
    </row>
    <row r="127" spans="1:6" ht="15.75" thickBot="1" x14ac:dyDescent="0.3">
      <c r="A127" s="38" t="s">
        <v>361</v>
      </c>
      <c r="B127" s="2"/>
      <c r="C127" s="207">
        <v>0</v>
      </c>
      <c r="D127" s="2"/>
      <c r="E127" s="2"/>
      <c r="F127" s="18"/>
    </row>
    <row r="128" spans="1:6" ht="15.75" thickBot="1" x14ac:dyDescent="0.3">
      <c r="A128" s="292" t="s">
        <v>366</v>
      </c>
      <c r="B128" s="63">
        <f>VLOOKUP(A128,Saisie_Salaire!B18:G25,6,FALSE)</f>
        <v>0</v>
      </c>
      <c r="C128" s="20"/>
      <c r="D128" s="20"/>
      <c r="E128" s="20"/>
      <c r="F128" s="22"/>
    </row>
  </sheetData>
  <mergeCells count="19">
    <mergeCell ref="E76:F76"/>
    <mergeCell ref="A115:B115"/>
    <mergeCell ref="A16:B16"/>
    <mergeCell ref="A33:B33"/>
    <mergeCell ref="C33:D33"/>
    <mergeCell ref="A59:B59"/>
    <mergeCell ref="A53:B53"/>
    <mergeCell ref="A70:B70"/>
    <mergeCell ref="A105:B105"/>
    <mergeCell ref="A108:B108"/>
    <mergeCell ref="A65:B65"/>
    <mergeCell ref="A124:B124"/>
    <mergeCell ref="C126:D126"/>
    <mergeCell ref="A2:B2"/>
    <mergeCell ref="A9:B9"/>
    <mergeCell ref="A21:B21"/>
    <mergeCell ref="A44:B44"/>
    <mergeCell ref="A49:B49"/>
    <mergeCell ref="A28:B28"/>
  </mergeCells>
  <dataValidations count="2">
    <dataValidation type="list" allowBlank="1" showInputMessage="1" showErrorMessage="1" sqref="C40">
      <formula1>"Retenue pour entrée sortie,Pas de retenue"</formula1>
    </dataValidation>
    <dataValidation type="list" allowBlank="1" showInputMessage="1" showErrorMessage="1" sqref="A47">
      <formula1>"ICP,ICCP"</formula1>
    </dataValidation>
  </dataValidations>
  <hyperlinks>
    <hyperlink ref="G75" location="'Av Nat'!A1" display="Av Nat"/>
    <hyperlink ref="G61" location="'H SUP'!A1" display="H SUP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Liste!$A$15:$A$18</xm:f>
          </x14:formula1>
          <xm:sqref>A106</xm:sqref>
        </x14:dataValidation>
        <x14:dataValidation type="list" allowBlank="1" showInputMessage="1" showErrorMessage="1">
          <x14:formula1>
            <xm:f>Liste!$A$21:$A$24</xm:f>
          </x14:formula1>
          <xm:sqref>A80</xm:sqref>
        </x14:dataValidation>
        <x14:dataValidation type="list" allowBlank="1" showInputMessage="1" showErrorMessage="1">
          <x14:formula1>
            <xm:f>Liste!$A$22:$A$24</xm:f>
          </x14:formula1>
          <xm:sqref>A82</xm:sqref>
        </x14:dataValidation>
        <x14:dataValidation type="list" allowBlank="1" showInputMessage="1" showErrorMessage="1">
          <x14:formula1>
            <xm:f>Saisie_Salaire!$B$8:$B$15</xm:f>
          </x14:formula1>
          <xm:sqref>A126</xm:sqref>
        </x14:dataValidation>
        <x14:dataValidation type="list" allowBlank="1" showInputMessage="1" showErrorMessage="1">
          <x14:formula1>
            <xm:f>Saisie_Salaire!$B$18:$B$25</xm:f>
          </x14:formula1>
          <xm:sqref>A128</xm:sqref>
        </x14:dataValidation>
        <x14:dataValidation type="list" allowBlank="1" showInputMessage="1" showErrorMessage="1">
          <x14:formula1>
            <xm:f>'Av Nat'!$A$25:$A$28</xm:f>
          </x14:formula1>
          <xm:sqref>A89</xm:sqref>
        </x14:dataValidation>
        <x14:dataValidation type="list" allowBlank="1" showInputMessage="1" showErrorMessage="1">
          <x14:formula1>
            <xm:f>Liste!$A$54:$A$55</xm:f>
          </x14:formula1>
          <xm:sqref>A93</xm:sqref>
        </x14:dataValidation>
        <x14:dataValidation type="list" allowBlank="1" showInputMessage="1" showErrorMessage="1">
          <x14:formula1>
            <xm:f>Liste!$A$6:$A$8</xm:f>
          </x14:formula1>
          <xm:sqref>A42</xm:sqref>
        </x14:dataValidation>
        <x14:dataValidation type="list" allowBlank="1" showInputMessage="1" showErrorMessage="1">
          <x14:formula1>
            <xm:f>Liste!$A$58:$A$59</xm:f>
          </x14:formula1>
          <xm:sqref>A98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H91"/>
  <sheetViews>
    <sheetView tabSelected="1" topLeftCell="A10" workbookViewId="0">
      <selection activeCell="D32" sqref="D32"/>
    </sheetView>
  </sheetViews>
  <sheetFormatPr baseColWidth="10" defaultRowHeight="15" x14ac:dyDescent="0.25"/>
  <cols>
    <col min="1" max="1" width="14.42578125" bestFit="1" customWidth="1"/>
    <col min="2" max="2" width="14.28515625" customWidth="1"/>
    <col min="3" max="3" width="15.140625" customWidth="1"/>
    <col min="5" max="5" width="12.140625" bestFit="1" customWidth="1"/>
    <col min="6" max="6" width="13.140625" bestFit="1" customWidth="1"/>
    <col min="7" max="7" width="15" customWidth="1"/>
    <col min="8" max="8" width="18.42578125" customWidth="1"/>
  </cols>
  <sheetData>
    <row r="1" spans="1:8" x14ac:dyDescent="0.25">
      <c r="A1" s="354" t="s">
        <v>0</v>
      </c>
      <c r="B1" s="355"/>
      <c r="C1" s="355"/>
      <c r="D1" s="355"/>
      <c r="E1" s="379"/>
      <c r="F1" s="382" t="s">
        <v>9</v>
      </c>
      <c r="G1" s="355"/>
      <c r="H1" s="383"/>
    </row>
    <row r="2" spans="1:8" x14ac:dyDescent="0.25">
      <c r="A2" s="13" t="s">
        <v>1</v>
      </c>
      <c r="B2" s="384">
        <f>'INFOS BS'!B3</f>
        <v>0</v>
      </c>
      <c r="C2" s="384"/>
      <c r="D2" s="384"/>
      <c r="E2" s="385"/>
      <c r="F2" s="7" t="s">
        <v>11</v>
      </c>
      <c r="G2" s="211">
        <f>'INFOS BS'!B17</f>
        <v>42856</v>
      </c>
      <c r="H2" s="26"/>
    </row>
    <row r="3" spans="1:8" x14ac:dyDescent="0.25">
      <c r="A3" s="13" t="s">
        <v>2</v>
      </c>
      <c r="B3" s="386">
        <f>'INFOS BS'!B4</f>
        <v>0</v>
      </c>
      <c r="C3" s="386"/>
      <c r="D3" s="386"/>
      <c r="E3" s="387"/>
      <c r="F3" s="14" t="s">
        <v>12</v>
      </c>
      <c r="G3" s="212">
        <f>EOMONTH(G2,0)</f>
        <v>42886</v>
      </c>
      <c r="H3" s="15"/>
    </row>
    <row r="4" spans="1:8" x14ac:dyDescent="0.25">
      <c r="A4" s="13" t="s">
        <v>3</v>
      </c>
      <c r="B4" s="10">
        <f>'INFOS BS'!B5</f>
        <v>0</v>
      </c>
      <c r="C4" s="7" t="s">
        <v>6</v>
      </c>
      <c r="D4" s="353">
        <f>'INFOS BS'!D5</f>
        <v>0</v>
      </c>
      <c r="E4" s="369"/>
      <c r="F4" s="8" t="s">
        <v>10</v>
      </c>
      <c r="G4" s="213">
        <f>EOMONTH(G2,0)</f>
        <v>42886</v>
      </c>
      <c r="H4" s="16"/>
    </row>
    <row r="5" spans="1:8" x14ac:dyDescent="0.25">
      <c r="A5" s="13" t="s">
        <v>4</v>
      </c>
      <c r="B5" s="363">
        <f>'INFOS BS'!D6</f>
        <v>0</v>
      </c>
      <c r="C5" s="363"/>
      <c r="D5" s="363"/>
      <c r="E5" s="388"/>
      <c r="F5" s="380" t="s">
        <v>13</v>
      </c>
      <c r="G5" s="380"/>
      <c r="H5" s="381"/>
    </row>
    <row r="6" spans="1:8" x14ac:dyDescent="0.25">
      <c r="A6" s="13" t="s">
        <v>5</v>
      </c>
      <c r="B6" s="3">
        <f>+'INFOS BS'!B6</f>
        <v>0</v>
      </c>
      <c r="C6" s="7" t="s">
        <v>7</v>
      </c>
      <c r="D6" s="345">
        <f>'INFOS BS'!B7</f>
        <v>0</v>
      </c>
      <c r="E6" s="368"/>
      <c r="F6" s="9" t="s">
        <v>14</v>
      </c>
      <c r="G6" s="12">
        <f>'INFOS BS'!B10</f>
        <v>0</v>
      </c>
      <c r="H6" s="17">
        <f>'INFOS BS'!D10</f>
        <v>0</v>
      </c>
    </row>
    <row r="7" spans="1:8" x14ac:dyDescent="0.25">
      <c r="A7" s="13" t="s">
        <v>8</v>
      </c>
      <c r="B7" s="353">
        <f>+'INFOS BS'!D7</f>
        <v>0</v>
      </c>
      <c r="C7" s="353"/>
      <c r="D7" s="353"/>
      <c r="E7" s="369"/>
      <c r="F7" s="7" t="s">
        <v>2</v>
      </c>
      <c r="G7" s="363">
        <f>'INFOS BS'!B11</f>
        <v>0</v>
      </c>
      <c r="H7" s="375"/>
    </row>
    <row r="8" spans="1:8" x14ac:dyDescent="0.25">
      <c r="A8" s="370"/>
      <c r="B8" s="371"/>
      <c r="C8" s="371"/>
      <c r="D8" s="371"/>
      <c r="E8" s="372"/>
      <c r="F8" s="8" t="s">
        <v>15</v>
      </c>
      <c r="G8" s="4">
        <f>'INFOS BS'!B12</f>
        <v>0</v>
      </c>
      <c r="H8" s="16">
        <f>'INFOS BS'!D14</f>
        <v>0</v>
      </c>
    </row>
    <row r="9" spans="1:8" x14ac:dyDescent="0.25">
      <c r="A9" s="13" t="s">
        <v>16</v>
      </c>
      <c r="B9" s="378">
        <f>'INFOS BS'!F10</f>
        <v>0</v>
      </c>
      <c r="C9" s="378"/>
      <c r="D9" s="2"/>
      <c r="E9" s="2"/>
      <c r="F9" s="7" t="s">
        <v>22</v>
      </c>
      <c r="G9" s="376">
        <f>'INFOS BS'!B13</f>
        <v>0</v>
      </c>
      <c r="H9" s="377"/>
    </row>
    <row r="10" spans="1:8" x14ac:dyDescent="0.25">
      <c r="A10" s="13" t="s">
        <v>17</v>
      </c>
      <c r="B10" s="363" t="str">
        <f>'INFOS BS'!F11</f>
        <v>Non Cadre</v>
      </c>
      <c r="C10" s="363"/>
      <c r="D10" s="2"/>
      <c r="E10" s="2"/>
      <c r="F10" s="7" t="s">
        <v>23</v>
      </c>
      <c r="G10" s="5">
        <f>'INFOS BS'!F14</f>
        <v>0</v>
      </c>
      <c r="H10" s="18"/>
    </row>
    <row r="11" spans="1:8" ht="15.75" thickBot="1" x14ac:dyDescent="0.3">
      <c r="A11" s="19" t="s">
        <v>18</v>
      </c>
      <c r="B11" s="20">
        <f>'INFOS BS'!D14</f>
        <v>0</v>
      </c>
      <c r="C11" s="21" t="s">
        <v>19</v>
      </c>
      <c r="D11" s="20">
        <f>'INFOS BS'!B14</f>
        <v>0</v>
      </c>
      <c r="E11" s="21" t="s">
        <v>20</v>
      </c>
      <c r="F11" s="20">
        <f>'INFOS BS'!F12</f>
        <v>0</v>
      </c>
      <c r="G11" s="21" t="s">
        <v>21</v>
      </c>
      <c r="H11" s="80">
        <f>IF(liste_Déroulante="Retenue pour entrée sortie",'INFOS BS'!D36,'INFOS BS'!B36)</f>
        <v>3269</v>
      </c>
    </row>
    <row r="12" spans="1:8" x14ac:dyDescent="0.25">
      <c r="A12" s="354" t="s">
        <v>25</v>
      </c>
      <c r="B12" s="355"/>
      <c r="C12" s="355"/>
      <c r="D12" s="24" t="s">
        <v>325</v>
      </c>
      <c r="E12" s="24" t="s">
        <v>107</v>
      </c>
      <c r="F12" s="24" t="s">
        <v>26</v>
      </c>
      <c r="G12" s="24" t="s">
        <v>27</v>
      </c>
      <c r="H12" s="25"/>
    </row>
    <row r="13" spans="1:8" x14ac:dyDescent="0.25">
      <c r="A13" s="373" t="s">
        <v>28</v>
      </c>
      <c r="B13" s="374"/>
      <c r="C13" s="374"/>
      <c r="D13" s="6"/>
      <c r="E13" s="55">
        <f>'INFOS BS'!B24</f>
        <v>151.66666666666666</v>
      </c>
      <c r="F13" s="55">
        <f>G13/E13</f>
        <v>32.967032967032971</v>
      </c>
      <c r="G13" s="56">
        <f>'INFOS BS'!B25</f>
        <v>5000</v>
      </c>
      <c r="H13" s="26"/>
    </row>
    <row r="14" spans="1:8" x14ac:dyDescent="0.25">
      <c r="A14" s="366" t="str">
        <f>'INFOS BS'!A42</f>
        <v>Retenue CP</v>
      </c>
      <c r="B14" s="353"/>
      <c r="C14" s="353"/>
      <c r="D14" s="226">
        <f>+'INFOS BS'!D56</f>
        <v>0</v>
      </c>
      <c r="E14" s="85">
        <f>-'INFOS BS'!E56</f>
        <v>0</v>
      </c>
      <c r="F14" s="11"/>
      <c r="G14" s="195">
        <f>-'INFOS BS'!B57</f>
        <v>0</v>
      </c>
      <c r="H14" s="15"/>
    </row>
    <row r="15" spans="1:8" x14ac:dyDescent="0.25">
      <c r="A15" s="321" t="str">
        <f>'INFOS BS'!A47</f>
        <v>ICCP</v>
      </c>
      <c r="B15" s="322"/>
      <c r="C15" s="322"/>
      <c r="D15" s="226"/>
      <c r="E15" s="85"/>
      <c r="F15" s="169"/>
      <c r="G15" s="195">
        <f>'INFOS BS'!B47</f>
        <v>0</v>
      </c>
      <c r="H15" s="15"/>
    </row>
    <row r="16" spans="1:8" x14ac:dyDescent="0.25">
      <c r="A16" s="366" t="s">
        <v>36</v>
      </c>
      <c r="B16" s="367"/>
      <c r="C16" s="191"/>
      <c r="D16" s="11"/>
      <c r="E16" s="85">
        <f>'INFOS BS'!B60</f>
        <v>0</v>
      </c>
      <c r="F16" s="85">
        <f>F13*'INFOS BS'!F60</f>
        <v>36.26373626373627</v>
      </c>
      <c r="G16" s="57">
        <f>F16*E16</f>
        <v>0</v>
      </c>
      <c r="H16" s="15"/>
    </row>
    <row r="17" spans="1:8" x14ac:dyDescent="0.25">
      <c r="A17" s="366" t="s">
        <v>303</v>
      </c>
      <c r="B17" s="353"/>
      <c r="C17" s="353"/>
      <c r="D17" s="11"/>
      <c r="E17" s="85">
        <f>'INFOS BS'!B61</f>
        <v>0</v>
      </c>
      <c r="F17" s="85">
        <f>F13*'INFOS BS'!F61</f>
        <v>41.208791208791212</v>
      </c>
      <c r="G17" s="57">
        <f t="shared" ref="G17:G19" si="0">F17*E17</f>
        <v>0</v>
      </c>
      <c r="H17" s="15"/>
    </row>
    <row r="18" spans="1:8" x14ac:dyDescent="0.25">
      <c r="A18" s="366" t="s">
        <v>37</v>
      </c>
      <c r="B18" s="353"/>
      <c r="C18" s="353"/>
      <c r="D18" s="11"/>
      <c r="E18" s="85">
        <f>'INFOS BS'!B62</f>
        <v>0</v>
      </c>
      <c r="F18" s="85">
        <f>F13*'INFOS BS'!F62</f>
        <v>41.208791208791212</v>
      </c>
      <c r="G18" s="57">
        <f t="shared" si="0"/>
        <v>0</v>
      </c>
      <c r="H18" s="15"/>
    </row>
    <row r="19" spans="1:8" x14ac:dyDescent="0.25">
      <c r="A19" s="366" t="s">
        <v>38</v>
      </c>
      <c r="B19" s="353"/>
      <c r="C19" s="353"/>
      <c r="D19" s="11"/>
      <c r="E19" s="85">
        <f>'INFOS BS'!B63</f>
        <v>0</v>
      </c>
      <c r="F19" s="85">
        <f>F13*'INFOS BS'!F63</f>
        <v>49.45054945054946</v>
      </c>
      <c r="G19" s="57">
        <f t="shared" si="0"/>
        <v>0</v>
      </c>
      <c r="H19" s="15"/>
    </row>
    <row r="20" spans="1:8" x14ac:dyDescent="0.25">
      <c r="A20" s="366" t="s">
        <v>31</v>
      </c>
      <c r="B20" s="353"/>
      <c r="C20" s="353"/>
      <c r="D20" s="11"/>
      <c r="E20" s="11"/>
      <c r="F20" s="11"/>
      <c r="G20" s="57">
        <f>'INFOS BS'!B30</f>
        <v>0</v>
      </c>
      <c r="H20" s="15"/>
    </row>
    <row r="21" spans="1:8" x14ac:dyDescent="0.25">
      <c r="A21" s="366" t="s">
        <v>320</v>
      </c>
      <c r="B21" s="353"/>
      <c r="C21" s="353"/>
      <c r="D21" s="11"/>
      <c r="E21" s="11"/>
      <c r="F21" s="11"/>
      <c r="G21" s="57">
        <f>'INFOS BS'!B29</f>
        <v>0</v>
      </c>
      <c r="H21" s="15"/>
    </row>
    <row r="22" spans="1:8" x14ac:dyDescent="0.25">
      <c r="A22" s="366" t="str">
        <f>'INFOS BS'!A31</f>
        <v>Prime</v>
      </c>
      <c r="B22" s="353"/>
      <c r="C22" s="353"/>
      <c r="D22" s="11"/>
      <c r="E22" s="11"/>
      <c r="F22" s="11"/>
      <c r="G22" s="57">
        <f>'INFOS BS'!B31</f>
        <v>0</v>
      </c>
      <c r="H22" s="15"/>
    </row>
    <row r="23" spans="1:8" x14ac:dyDescent="0.25">
      <c r="A23" s="366" t="s">
        <v>32</v>
      </c>
      <c r="B23" s="353"/>
      <c r="C23" s="353"/>
      <c r="D23" s="11"/>
      <c r="E23" s="11"/>
      <c r="F23" s="11"/>
      <c r="G23" s="57">
        <f>+'INFOS BS'!B50</f>
        <v>0</v>
      </c>
      <c r="H23" s="15"/>
    </row>
    <row r="24" spans="1:8" x14ac:dyDescent="0.25">
      <c r="A24" s="366" t="s">
        <v>311</v>
      </c>
      <c r="B24" s="353"/>
      <c r="C24" s="353"/>
      <c r="D24" s="11">
        <f>IF(F24&gt;0,'INFOS BS'!B72,"")</f>
        <v>0</v>
      </c>
      <c r="E24" s="11"/>
      <c r="F24" s="85" t="str">
        <f>'INFOS BS'!D74</f>
        <v/>
      </c>
      <c r="G24" s="57">
        <f>IFERROR(F24*D24,0)</f>
        <v>0</v>
      </c>
      <c r="H24" s="15"/>
    </row>
    <row r="25" spans="1:8" x14ac:dyDescent="0.25">
      <c r="A25" s="366" t="str">
        <f>'INFOS BS'!A80</f>
        <v>Repas Paniers/Lieu Trav.</v>
      </c>
      <c r="B25" s="367"/>
      <c r="C25" s="367"/>
      <c r="D25" s="81">
        <f>'INFOS BS'!B78</f>
        <v>0</v>
      </c>
      <c r="E25" s="81"/>
      <c r="F25" s="85" t="str">
        <f>'INFOS BS'!C80</f>
        <v/>
      </c>
      <c r="G25" s="57">
        <f>IFERROR(F25*D25,0)</f>
        <v>0</v>
      </c>
      <c r="H25" s="15"/>
    </row>
    <row r="26" spans="1:8" x14ac:dyDescent="0.25">
      <c r="A26" s="168" t="s">
        <v>312</v>
      </c>
      <c r="B26" s="189"/>
      <c r="C26" s="189"/>
      <c r="D26" s="169"/>
      <c r="E26" s="169"/>
      <c r="F26" s="85"/>
      <c r="G26" s="57">
        <f>'INFOS BS'!B85</f>
        <v>0</v>
      </c>
      <c r="H26" s="15"/>
    </row>
    <row r="27" spans="1:8" x14ac:dyDescent="0.25">
      <c r="A27" s="366" t="s">
        <v>425</v>
      </c>
      <c r="B27" s="353"/>
      <c r="C27" s="353"/>
      <c r="D27" s="11"/>
      <c r="E27" s="11"/>
      <c r="F27" s="11"/>
      <c r="G27" s="57">
        <f>'INFOS BS'!B98</f>
        <v>480</v>
      </c>
      <c r="H27" s="15"/>
    </row>
    <row r="28" spans="1:8" x14ac:dyDescent="0.25">
      <c r="A28" s="366" t="s">
        <v>30</v>
      </c>
      <c r="B28" s="353"/>
      <c r="C28" s="353"/>
      <c r="D28" s="23"/>
      <c r="E28" s="23"/>
      <c r="F28" s="23"/>
      <c r="G28" s="58"/>
      <c r="H28" s="27"/>
    </row>
    <row r="29" spans="1:8" x14ac:dyDescent="0.25">
      <c r="A29" s="238"/>
      <c r="B29" s="238"/>
      <c r="C29" s="238"/>
      <c r="D29" s="239"/>
      <c r="E29" s="240">
        <f>SUM(E13:E28)</f>
        <v>151.66666666666666</v>
      </c>
      <c r="F29" s="241"/>
      <c r="G29" s="242">
        <f>SUM(G13:G28)</f>
        <v>5480</v>
      </c>
      <c r="H29" s="243" t="s">
        <v>86</v>
      </c>
    </row>
    <row r="30" spans="1:8" ht="15.75" thickBot="1" x14ac:dyDescent="0.3">
      <c r="A30" s="28"/>
      <c r="B30" s="20"/>
      <c r="C30" s="20"/>
      <c r="D30" s="20"/>
      <c r="E30" s="20"/>
      <c r="F30" s="20"/>
      <c r="G30" s="20"/>
      <c r="H30" s="22"/>
    </row>
    <row r="31" spans="1:8" x14ac:dyDescent="0.25">
      <c r="A31" s="354" t="s">
        <v>41</v>
      </c>
      <c r="B31" s="355"/>
      <c r="C31" s="355"/>
      <c r="D31" s="32" t="s">
        <v>24</v>
      </c>
      <c r="E31" s="32" t="s">
        <v>42</v>
      </c>
      <c r="F31" s="32" t="s">
        <v>27</v>
      </c>
      <c r="G31" s="32" t="s">
        <v>43</v>
      </c>
      <c r="H31" s="33" t="s">
        <v>27</v>
      </c>
    </row>
    <row r="32" spans="1:8" x14ac:dyDescent="0.25">
      <c r="A32" s="34" t="s">
        <v>44</v>
      </c>
      <c r="B32" s="6"/>
      <c r="C32" s="6"/>
      <c r="D32" s="56">
        <f>IF(S_BRUT&gt;(PSS)*4,S_BRUT+PPMUT+PPPREV+H56,S_BRUT*98.25%)+PPMUT+PPPREV+H56</f>
        <v>5433.1350000000002</v>
      </c>
      <c r="E32" s="41">
        <v>5.0999999999999997E-2</v>
      </c>
      <c r="F32" s="56">
        <f>D32*E32</f>
        <v>277.08988499999998</v>
      </c>
      <c r="G32" s="6"/>
      <c r="H32" s="26"/>
    </row>
    <row r="33" spans="1:8" ht="15.75" thickBot="1" x14ac:dyDescent="0.3">
      <c r="A33" s="35"/>
      <c r="B33" s="30"/>
      <c r="C33" s="30"/>
      <c r="D33" s="30"/>
      <c r="E33" s="30"/>
      <c r="F33" s="30"/>
      <c r="G33" s="30"/>
      <c r="H33" s="36"/>
    </row>
    <row r="34" spans="1:8" x14ac:dyDescent="0.25">
      <c r="A34" s="354" t="s">
        <v>45</v>
      </c>
      <c r="B34" s="355"/>
      <c r="C34" s="355"/>
      <c r="D34" s="29" t="s">
        <v>24</v>
      </c>
      <c r="E34" s="29" t="s">
        <v>42</v>
      </c>
      <c r="F34" s="29" t="s">
        <v>27</v>
      </c>
      <c r="G34" s="29" t="s">
        <v>43</v>
      </c>
      <c r="H34" s="37" t="s">
        <v>27</v>
      </c>
    </row>
    <row r="35" spans="1:8" x14ac:dyDescent="0.25">
      <c r="A35" s="362" t="s">
        <v>46</v>
      </c>
      <c r="B35" s="363"/>
      <c r="C35" s="363"/>
      <c r="D35" s="56">
        <f>S_BRUT</f>
        <v>5480</v>
      </c>
      <c r="E35" s="41">
        <v>7.4999999999999997E-3</v>
      </c>
      <c r="F35" s="56">
        <f>D35*E35</f>
        <v>41.1</v>
      </c>
      <c r="G35" s="41">
        <v>0.12889999999999999</v>
      </c>
      <c r="H35" s="217">
        <f>D35*G35</f>
        <v>706.37199999999996</v>
      </c>
    </row>
    <row r="36" spans="1:8" x14ac:dyDescent="0.25">
      <c r="A36" s="352" t="s">
        <v>47</v>
      </c>
      <c r="B36" s="353"/>
      <c r="C36" s="353"/>
      <c r="D36" s="57">
        <f>IF(S_BRUT&gt;PSS,PSS,S_BRUT)</f>
        <v>3269</v>
      </c>
      <c r="E36" s="42">
        <v>6.9000000000000006E-2</v>
      </c>
      <c r="F36" s="56">
        <f t="shared" ref="F36:F37" si="1">D36*E36</f>
        <v>225.56100000000001</v>
      </c>
      <c r="G36" s="42">
        <v>8.5500000000000007E-2</v>
      </c>
      <c r="H36" s="217">
        <f t="shared" ref="H36:H41" si="2">D36*G36</f>
        <v>279.49950000000001</v>
      </c>
    </row>
    <row r="37" spans="1:8" x14ac:dyDescent="0.25">
      <c r="A37" s="352" t="s">
        <v>48</v>
      </c>
      <c r="B37" s="353"/>
      <c r="C37" s="353"/>
      <c r="D37" s="57">
        <f>S_BRUT</f>
        <v>5480</v>
      </c>
      <c r="E37" s="42">
        <v>4.0000000000000001E-3</v>
      </c>
      <c r="F37" s="56">
        <f t="shared" si="1"/>
        <v>21.92</v>
      </c>
      <c r="G37" s="42">
        <v>1.9E-2</v>
      </c>
      <c r="H37" s="217">
        <f t="shared" si="2"/>
        <v>104.11999999999999</v>
      </c>
    </row>
    <row r="38" spans="1:8" x14ac:dyDescent="0.25">
      <c r="A38" s="352" t="s">
        <v>49</v>
      </c>
      <c r="B38" s="353"/>
      <c r="C38" s="353"/>
      <c r="D38" s="57">
        <f>S_BRUT</f>
        <v>5480</v>
      </c>
      <c r="E38" s="86"/>
      <c r="F38" s="221"/>
      <c r="G38" s="42">
        <f>IF(S_BRUT&gt;=SmicMensuel*3.5,5.25%,3.45%)</f>
        <v>5.2499999999999998E-2</v>
      </c>
      <c r="H38" s="217">
        <f t="shared" si="2"/>
        <v>287.7</v>
      </c>
    </row>
    <row r="39" spans="1:8" x14ac:dyDescent="0.25">
      <c r="A39" s="352" t="s">
        <v>50</v>
      </c>
      <c r="B39" s="353"/>
      <c r="C39" s="353"/>
      <c r="D39" s="57">
        <f>S_BRUT</f>
        <v>5480</v>
      </c>
      <c r="E39" s="86"/>
      <c r="F39" s="221"/>
      <c r="G39" s="42">
        <f>'INFOS BS'!B116</f>
        <v>0</v>
      </c>
      <c r="H39" s="217">
        <f t="shared" si="2"/>
        <v>0</v>
      </c>
    </row>
    <row r="40" spans="1:8" x14ac:dyDescent="0.25">
      <c r="A40" s="352" t="s">
        <v>51</v>
      </c>
      <c r="B40" s="353"/>
      <c r="C40" s="353"/>
      <c r="D40" s="57">
        <f>PPMUT+PPPREV</f>
        <v>0</v>
      </c>
      <c r="E40" s="86"/>
      <c r="F40" s="221"/>
      <c r="G40" s="42">
        <v>0.08</v>
      </c>
      <c r="H40" s="217">
        <f t="shared" si="2"/>
        <v>0</v>
      </c>
    </row>
    <row r="41" spans="1:8" x14ac:dyDescent="0.25">
      <c r="A41" s="352" t="s">
        <v>52</v>
      </c>
      <c r="B41" s="353"/>
      <c r="C41" s="353"/>
      <c r="D41" s="57">
        <f>S_BRUT</f>
        <v>5480</v>
      </c>
      <c r="E41" s="86"/>
      <c r="F41" s="221"/>
      <c r="G41" s="42">
        <v>3.0000000000000001E-3</v>
      </c>
      <c r="H41" s="217">
        <f t="shared" si="2"/>
        <v>16.440000000000001</v>
      </c>
    </row>
    <row r="42" spans="1:8" ht="15.75" thickBot="1" x14ac:dyDescent="0.3">
      <c r="A42" s="35"/>
      <c r="B42" s="30"/>
      <c r="C42" s="30"/>
      <c r="D42" s="30"/>
      <c r="E42" s="30"/>
      <c r="F42" s="30"/>
      <c r="G42" s="30"/>
      <c r="H42" s="36"/>
    </row>
    <row r="43" spans="1:8" x14ac:dyDescent="0.25">
      <c r="A43" s="354" t="s">
        <v>53</v>
      </c>
      <c r="B43" s="355"/>
      <c r="C43" s="355"/>
      <c r="D43" s="29" t="s">
        <v>24</v>
      </c>
      <c r="E43" s="29" t="s">
        <v>42</v>
      </c>
      <c r="F43" s="29" t="s">
        <v>27</v>
      </c>
      <c r="G43" s="29" t="s">
        <v>43</v>
      </c>
      <c r="H43" s="37" t="s">
        <v>27</v>
      </c>
    </row>
    <row r="44" spans="1:8" x14ac:dyDescent="0.25">
      <c r="A44" s="362" t="s">
        <v>54</v>
      </c>
      <c r="B44" s="363"/>
      <c r="C44" s="363"/>
      <c r="D44" s="56">
        <f>IF(S_BRUT&gt;PSS*4,PSS*4,S_BRUT)</f>
        <v>5480</v>
      </c>
      <c r="E44" s="41">
        <v>2.4E-2</v>
      </c>
      <c r="F44" s="56">
        <f>D44*E44</f>
        <v>131.52000000000001</v>
      </c>
      <c r="G44" s="41">
        <f>'INFOS BS'!B106</f>
        <v>4.0500000000000001E-2</v>
      </c>
      <c r="H44" s="217">
        <f>D44*G44</f>
        <v>221.94</v>
      </c>
    </row>
    <row r="45" spans="1:8" x14ac:dyDescent="0.25">
      <c r="A45" s="352" t="s">
        <v>55</v>
      </c>
      <c r="B45" s="353"/>
      <c r="C45" s="353"/>
      <c r="D45" s="57">
        <f>S_BRUT</f>
        <v>5480</v>
      </c>
      <c r="E45" s="86"/>
      <c r="F45" s="86"/>
      <c r="G45" s="42">
        <v>1.5E-3</v>
      </c>
      <c r="H45" s="219">
        <f>D45*G45</f>
        <v>8.2200000000000006</v>
      </c>
    </row>
    <row r="46" spans="1:8" ht="15.75" thickBot="1" x14ac:dyDescent="0.3">
      <c r="A46" s="35"/>
      <c r="B46" s="30"/>
      <c r="C46" s="30"/>
      <c r="D46" s="30"/>
      <c r="E46" s="30"/>
      <c r="F46" s="30"/>
      <c r="G46" s="30"/>
      <c r="H46" s="36"/>
    </row>
    <row r="47" spans="1:8" x14ac:dyDescent="0.25">
      <c r="A47" s="354" t="s">
        <v>56</v>
      </c>
      <c r="B47" s="355"/>
      <c r="C47" s="355"/>
      <c r="D47" s="29" t="s">
        <v>24</v>
      </c>
      <c r="E47" s="29" t="s">
        <v>42</v>
      </c>
      <c r="F47" s="29" t="s">
        <v>27</v>
      </c>
      <c r="G47" s="29" t="s">
        <v>43</v>
      </c>
      <c r="H47" s="37" t="s">
        <v>27</v>
      </c>
    </row>
    <row r="48" spans="1:8" x14ac:dyDescent="0.25">
      <c r="A48" s="362" t="s">
        <v>388</v>
      </c>
      <c r="B48" s="363"/>
      <c r="C48" s="363"/>
      <c r="D48" s="56">
        <f>IF(S_BRUT&gt;PSS,PSS,S_BRUT)</f>
        <v>3269</v>
      </c>
      <c r="E48" s="41">
        <v>3.1E-2</v>
      </c>
      <c r="F48" s="56">
        <f>D48*E48</f>
        <v>101.339</v>
      </c>
      <c r="G48" s="43">
        <v>4.65E-2</v>
      </c>
      <c r="H48" s="217">
        <f>D48*G48</f>
        <v>152.0085</v>
      </c>
    </row>
    <row r="49" spans="1:8" x14ac:dyDescent="0.25">
      <c r="A49" s="352" t="s">
        <v>389</v>
      </c>
      <c r="B49" s="353"/>
      <c r="C49" s="353"/>
      <c r="D49" s="56">
        <f>IF(S_BRUT&gt;PSS,PSS,S_BRUT)</f>
        <v>3269</v>
      </c>
      <c r="E49" s="42">
        <v>8.0000000000000002E-3</v>
      </c>
      <c r="F49" s="56">
        <f t="shared" ref="F49:F58" si="3">D49*E49</f>
        <v>26.152000000000001</v>
      </c>
      <c r="G49" s="42">
        <v>1.2E-2</v>
      </c>
      <c r="H49" s="217">
        <f t="shared" ref="H49:H58" si="4">D49*G49</f>
        <v>39.228000000000002</v>
      </c>
    </row>
    <row r="50" spans="1:8" x14ac:dyDescent="0.25">
      <c r="A50" s="352" t="s">
        <v>390</v>
      </c>
      <c r="B50" s="353"/>
      <c r="C50" s="353"/>
      <c r="D50" s="57">
        <f>IF(S_BRUT&gt;PSS*4,(PSS*4)-PSS,IF(S_BRUT&gt;PSS,S_BRUT-PSS,""))</f>
        <v>2211</v>
      </c>
      <c r="E50" s="42">
        <v>7.8E-2</v>
      </c>
      <c r="F50" s="56">
        <f>IFERROR(D50*E50,"")</f>
        <v>172.458</v>
      </c>
      <c r="G50" s="42">
        <v>0.1275</v>
      </c>
      <c r="H50" s="217">
        <f>IFERROR(D50*G50,"")</f>
        <v>281.90250000000003</v>
      </c>
    </row>
    <row r="51" spans="1:8" x14ac:dyDescent="0.25">
      <c r="A51" s="197" t="s">
        <v>391</v>
      </c>
      <c r="B51" s="196"/>
      <c r="C51" s="196"/>
      <c r="D51" s="57"/>
      <c r="E51" s="42"/>
      <c r="F51" s="56"/>
      <c r="G51" s="42"/>
      <c r="H51" s="217"/>
    </row>
    <row r="52" spans="1:8" x14ac:dyDescent="0.25">
      <c r="A52" s="352" t="s">
        <v>392</v>
      </c>
      <c r="B52" s="353"/>
      <c r="C52" s="353"/>
      <c r="D52" s="57">
        <f>IF(S_BRUT&gt;PSS*3,(PSS*3)-PSS,IF(S_BRUT&gt;PSS,S_BRUT-PSS,""))</f>
        <v>2211</v>
      </c>
      <c r="E52" s="42">
        <v>8.9999999999999993E-3</v>
      </c>
      <c r="F52" s="56">
        <f>IFERROR(D52*E52,0)</f>
        <v>19.898999999999997</v>
      </c>
      <c r="G52" s="42">
        <v>1.2999999999999999E-2</v>
      </c>
      <c r="H52" s="217">
        <f>IFERROR(D52*G52,0)</f>
        <v>28.742999999999999</v>
      </c>
    </row>
    <row r="53" spans="1:8" x14ac:dyDescent="0.25">
      <c r="A53" s="197" t="s">
        <v>180</v>
      </c>
      <c r="B53" s="196"/>
      <c r="C53" s="196"/>
      <c r="D53" s="57">
        <f>+S_BRUT</f>
        <v>5480</v>
      </c>
      <c r="E53" s="83">
        <v>2.4000000000000001E-4</v>
      </c>
      <c r="F53" s="56">
        <f>D53*E53</f>
        <v>1.3151999999999999</v>
      </c>
      <c r="G53" s="83">
        <v>3.6000000000000002E-4</v>
      </c>
      <c r="H53" s="217">
        <f>D53*G53</f>
        <v>1.9728000000000001</v>
      </c>
    </row>
    <row r="54" spans="1:8" x14ac:dyDescent="0.25">
      <c r="A54" s="197" t="s">
        <v>393</v>
      </c>
      <c r="B54" s="196"/>
      <c r="C54" s="196"/>
      <c r="D54" s="57" t="str">
        <f>IF(S_BRUT&gt;PSS*8,PSS*8-PSS*4,IF(S_BRUT&gt;PSS*4,S_BRUT-PSS*4,""))</f>
        <v/>
      </c>
      <c r="E54" s="83">
        <v>7.8E-2</v>
      </c>
      <c r="F54" s="56"/>
      <c r="G54" s="83">
        <v>0.1275</v>
      </c>
      <c r="H54" s="217"/>
    </row>
    <row r="55" spans="1:8" x14ac:dyDescent="0.25">
      <c r="A55" s="197" t="s">
        <v>395</v>
      </c>
      <c r="B55" s="196"/>
      <c r="C55" s="196"/>
      <c r="D55" s="57">
        <f>S_BRUT</f>
        <v>5480</v>
      </c>
      <c r="E55" s="83">
        <v>1.2999999999999999E-3</v>
      </c>
      <c r="F55" s="56">
        <f>D55*E55</f>
        <v>7.1239999999999997</v>
      </c>
      <c r="G55" s="83">
        <v>2.2000000000000001E-3</v>
      </c>
      <c r="H55" s="217">
        <f>D55*G55</f>
        <v>12.056000000000001</v>
      </c>
    </row>
    <row r="56" spans="1:8" x14ac:dyDescent="0.25">
      <c r="A56" s="197" t="s">
        <v>394</v>
      </c>
      <c r="B56" s="196"/>
      <c r="C56" s="196"/>
      <c r="D56" s="57">
        <f>IF(S_BRUT&gt;PSS,PSS,S_BRUT)</f>
        <v>3269</v>
      </c>
      <c r="E56" s="83"/>
      <c r="F56" s="56"/>
      <c r="G56" s="83">
        <v>1.4999999999999999E-2</v>
      </c>
      <c r="H56" s="217">
        <f>D56*G56</f>
        <v>49.034999999999997</v>
      </c>
    </row>
    <row r="57" spans="1:8" x14ac:dyDescent="0.25">
      <c r="A57" s="352" t="s">
        <v>58</v>
      </c>
      <c r="B57" s="353"/>
      <c r="C57" s="353"/>
      <c r="D57" s="57">
        <f>'INFOS BS'!B111</f>
        <v>100</v>
      </c>
      <c r="E57" s="40">
        <f>'INFOS BS'!B112</f>
        <v>0</v>
      </c>
      <c r="F57" s="56">
        <f t="shared" si="3"/>
        <v>0</v>
      </c>
      <c r="G57" s="40">
        <f>'INFOS BS'!B113</f>
        <v>0</v>
      </c>
      <c r="H57" s="217">
        <f t="shared" si="4"/>
        <v>0</v>
      </c>
    </row>
    <row r="58" spans="1:8" x14ac:dyDescent="0.25">
      <c r="A58" s="352" t="s">
        <v>57</v>
      </c>
      <c r="B58" s="353"/>
      <c r="C58" s="353"/>
      <c r="D58" s="57">
        <f>S_BRUT</f>
        <v>5480</v>
      </c>
      <c r="E58" s="40">
        <f>'INFOS BS'!B109</f>
        <v>0</v>
      </c>
      <c r="F58" s="56">
        <f t="shared" si="3"/>
        <v>0</v>
      </c>
      <c r="G58" s="40">
        <f>'INFOS BS'!B110</f>
        <v>0</v>
      </c>
      <c r="H58" s="217">
        <f t="shared" si="4"/>
        <v>0</v>
      </c>
    </row>
    <row r="59" spans="1:8" ht="15.75" thickBot="1" x14ac:dyDescent="0.3">
      <c r="A59" s="364"/>
      <c r="B59" s="365"/>
      <c r="C59" s="365"/>
      <c r="D59" s="30"/>
      <c r="E59" s="30"/>
      <c r="F59" s="30"/>
      <c r="G59" s="30"/>
      <c r="H59" s="36"/>
    </row>
    <row r="60" spans="1:8" x14ac:dyDescent="0.25">
      <c r="A60" s="354" t="s">
        <v>59</v>
      </c>
      <c r="B60" s="355"/>
      <c r="C60" s="355"/>
      <c r="D60" s="29" t="s">
        <v>24</v>
      </c>
      <c r="E60" s="29" t="s">
        <v>42</v>
      </c>
      <c r="F60" s="29" t="s">
        <v>27</v>
      </c>
      <c r="G60" s="29" t="s">
        <v>43</v>
      </c>
      <c r="H60" s="37" t="s">
        <v>27</v>
      </c>
    </row>
    <row r="61" spans="1:8" x14ac:dyDescent="0.25">
      <c r="A61" s="362" t="s">
        <v>60</v>
      </c>
      <c r="B61" s="363"/>
      <c r="C61" s="363"/>
      <c r="D61" s="56" t="str">
        <f>IF(Nb_Salariés&gt;20,S_BRUT,"")</f>
        <v/>
      </c>
      <c r="E61" s="86"/>
      <c r="F61" s="221"/>
      <c r="G61" s="41">
        <v>5.0000000000000001E-3</v>
      </c>
      <c r="H61" s="217" t="str">
        <f>IFERROR(D61*G61,"")</f>
        <v/>
      </c>
    </row>
    <row r="62" spans="1:8" x14ac:dyDescent="0.25">
      <c r="A62" s="352" t="s">
        <v>61</v>
      </c>
      <c r="B62" s="353"/>
      <c r="C62" s="353"/>
      <c r="D62" s="57">
        <f>IF(Nb_Salariés&lt;=20,IF(S_BRUT&gt;PSS,PSS,S_BRUT),"")</f>
        <v>3269</v>
      </c>
      <c r="E62" s="86"/>
      <c r="F62" s="221"/>
      <c r="G62" s="42">
        <v>1E-3</v>
      </c>
      <c r="H62" s="217">
        <f>IFERROR(D62*G62,"")</f>
        <v>3.2690000000000001</v>
      </c>
    </row>
    <row r="63" spans="1:8" x14ac:dyDescent="0.25">
      <c r="A63" s="352" t="s">
        <v>62</v>
      </c>
      <c r="B63" s="353"/>
      <c r="C63" s="353"/>
      <c r="D63" s="57">
        <f>S_BRUT</f>
        <v>5480</v>
      </c>
      <c r="E63" s="86"/>
      <c r="F63" s="221"/>
      <c r="G63" s="83">
        <v>1E-4</v>
      </c>
      <c r="H63" s="217">
        <f t="shared" ref="H63:H64" si="5">IFERROR(D63*G63,0)</f>
        <v>0.54800000000000004</v>
      </c>
    </row>
    <row r="64" spans="1:8" x14ac:dyDescent="0.25">
      <c r="A64" s="352" t="s">
        <v>63</v>
      </c>
      <c r="B64" s="353"/>
      <c r="C64" s="353"/>
      <c r="D64" s="57">
        <f>S_BRUT</f>
        <v>5480</v>
      </c>
      <c r="E64" s="86"/>
      <c r="F64" s="221"/>
      <c r="G64" s="83">
        <v>1.6000000000000001E-4</v>
      </c>
      <c r="H64" s="217">
        <f t="shared" si="5"/>
        <v>0.87680000000000002</v>
      </c>
    </row>
    <row r="65" spans="1:8" x14ac:dyDescent="0.25">
      <c r="A65" s="352" t="s">
        <v>64</v>
      </c>
      <c r="B65" s="353"/>
      <c r="C65" s="353"/>
      <c r="D65" s="57">
        <f>IF(S_BRUT&gt;PSS*4,S_BRUT+PPMUT+PPPREV,(S_BRUT*98.25%)+PPMUT+PPPREV)</f>
        <v>5384.1</v>
      </c>
      <c r="E65" s="42">
        <v>2.4E-2</v>
      </c>
      <c r="F65" s="220">
        <f>D65*E65</f>
        <v>129.2184</v>
      </c>
      <c r="G65" s="86"/>
      <c r="H65" s="218"/>
    </row>
    <row r="66" spans="1:8" x14ac:dyDescent="0.25">
      <c r="A66" s="352" t="s">
        <v>65</v>
      </c>
      <c r="B66" s="353"/>
      <c r="C66" s="353"/>
      <c r="D66" s="57">
        <f>IF(S_BRUT&gt;PSS*4,S_BRUT+PPMUT+PPPREV,(S_BRUT*98.25%)+PPMUT+PPPREV)</f>
        <v>5384.1</v>
      </c>
      <c r="E66" s="42">
        <v>5.0000000000000001E-3</v>
      </c>
      <c r="F66" s="220">
        <f>D66*E66</f>
        <v>26.920500000000004</v>
      </c>
      <c r="G66" s="86"/>
      <c r="H66" s="218"/>
    </row>
    <row r="67" spans="1:8" x14ac:dyDescent="0.25">
      <c r="A67" s="352" t="s">
        <v>66</v>
      </c>
      <c r="B67" s="353"/>
      <c r="C67" s="353"/>
      <c r="D67" s="57">
        <f>IF(Nb_Salariés&gt;11,S_BRUT,"")</f>
        <v>5480</v>
      </c>
      <c r="E67" s="86"/>
      <c r="F67" s="221"/>
      <c r="G67" s="42">
        <v>2.8500000000000001E-2</v>
      </c>
      <c r="H67" s="219">
        <f>IFERROR(D67*G67,"")</f>
        <v>156.18</v>
      </c>
    </row>
    <row r="68" spans="1:8" x14ac:dyDescent="0.25">
      <c r="A68" s="352" t="s">
        <v>71</v>
      </c>
      <c r="B68" s="353"/>
      <c r="C68" s="353"/>
      <c r="D68" s="57"/>
      <c r="E68" s="86"/>
      <c r="F68" s="221"/>
      <c r="G68" s="42"/>
      <c r="H68" s="319">
        <f>IFERROR(D68*G68,"")</f>
        <v>0</v>
      </c>
    </row>
    <row r="69" spans="1:8" x14ac:dyDescent="0.25">
      <c r="A69" s="197" t="s">
        <v>396</v>
      </c>
      <c r="B69" s="196"/>
      <c r="C69" s="196"/>
      <c r="D69" s="57">
        <f>'INFOS BS'!B66</f>
        <v>0</v>
      </c>
      <c r="E69" s="86"/>
      <c r="F69" s="221"/>
      <c r="G69" s="42">
        <v>1.4999999999999999E-2</v>
      </c>
      <c r="H69" s="320">
        <f>-D69*G69</f>
        <v>0</v>
      </c>
    </row>
    <row r="70" spans="1:8" x14ac:dyDescent="0.25">
      <c r="A70" s="352" t="s">
        <v>67</v>
      </c>
      <c r="B70" s="353"/>
      <c r="C70" s="353"/>
      <c r="D70" s="57" t="str">
        <f>IF(Nb_Salariés&gt;=20,S_BRUT,"")</f>
        <v/>
      </c>
      <c r="E70" s="86"/>
      <c r="F70" s="221"/>
      <c r="G70" s="42">
        <v>4.4999999999999997E-3</v>
      </c>
      <c r="H70" s="219" t="str">
        <f t="shared" ref="H70:H73" si="6">IFERROR(D70*G70,"")</f>
        <v/>
      </c>
    </row>
    <row r="71" spans="1:8" x14ac:dyDescent="0.25">
      <c r="A71" s="352" t="s">
        <v>68</v>
      </c>
      <c r="B71" s="353"/>
      <c r="C71" s="353"/>
      <c r="D71" s="220"/>
      <c r="E71" s="86"/>
      <c r="F71" s="221"/>
      <c r="G71" s="84">
        <v>4.2500000000000003E-2</v>
      </c>
      <c r="H71" s="219">
        <f>IFERROR(D71*G71,"")</f>
        <v>0</v>
      </c>
    </row>
    <row r="72" spans="1:8" x14ac:dyDescent="0.25">
      <c r="A72" s="352" t="s">
        <v>69</v>
      </c>
      <c r="B72" s="353"/>
      <c r="C72" s="353"/>
      <c r="D72" s="57">
        <f>S_BRUT</f>
        <v>5480</v>
      </c>
      <c r="E72" s="86"/>
      <c r="F72" s="221"/>
      <c r="G72" s="84">
        <v>6.7999999999999996E-3</v>
      </c>
      <c r="H72" s="219">
        <f t="shared" si="6"/>
        <v>37.263999999999996</v>
      </c>
    </row>
    <row r="73" spans="1:8" x14ac:dyDescent="0.25">
      <c r="A73" s="352" t="s">
        <v>70</v>
      </c>
      <c r="B73" s="353"/>
      <c r="C73" s="353"/>
      <c r="D73" s="57">
        <f>S_BRUT</f>
        <v>5480</v>
      </c>
      <c r="E73" s="86"/>
      <c r="F73" s="221"/>
      <c r="G73" s="84">
        <v>0.01</v>
      </c>
      <c r="H73" s="219">
        <f t="shared" si="6"/>
        <v>54.800000000000004</v>
      </c>
    </row>
    <row r="75" spans="1:8" ht="15.75" thickBot="1" x14ac:dyDescent="0.3">
      <c r="A75" s="35"/>
      <c r="B75" s="30"/>
      <c r="C75" s="30"/>
      <c r="D75" s="30"/>
      <c r="E75" s="86"/>
      <c r="F75" s="86"/>
      <c r="G75" s="82"/>
      <c r="H75" s="36"/>
    </row>
    <row r="76" spans="1:8" x14ac:dyDescent="0.25">
      <c r="A76" s="354" t="s">
        <v>72</v>
      </c>
      <c r="B76" s="355"/>
      <c r="C76" s="355"/>
      <c r="D76" s="29"/>
      <c r="E76" s="29" t="s">
        <v>73</v>
      </c>
      <c r="F76" s="87">
        <f>SUM(F32:F75)</f>
        <v>1181.6169849999999</v>
      </c>
      <c r="G76" s="29" t="s">
        <v>74</v>
      </c>
      <c r="H76" s="88">
        <f>SUM(H35:H75)</f>
        <v>2442.1750999999995</v>
      </c>
    </row>
    <row r="77" spans="1:8" ht="15.75" thickBot="1" x14ac:dyDescent="0.3">
      <c r="A77" s="38"/>
      <c r="B77" s="2"/>
      <c r="C77" s="2"/>
      <c r="D77" s="2"/>
      <c r="E77" s="2"/>
      <c r="F77" s="2"/>
      <c r="G77" s="2"/>
      <c r="H77" s="18"/>
    </row>
    <row r="78" spans="1:8" x14ac:dyDescent="0.25">
      <c r="A78" s="360" t="s">
        <v>163</v>
      </c>
      <c r="B78" s="361"/>
      <c r="C78" s="361"/>
      <c r="D78" s="29"/>
      <c r="E78" s="29" t="s">
        <v>73</v>
      </c>
      <c r="F78" s="29"/>
      <c r="G78" s="29" t="s">
        <v>74</v>
      </c>
      <c r="H78" s="37"/>
    </row>
    <row r="79" spans="1:8" x14ac:dyDescent="0.25">
      <c r="A79" s="362" t="s">
        <v>75</v>
      </c>
      <c r="B79" s="363"/>
      <c r="C79" s="363"/>
      <c r="D79" s="6"/>
      <c r="E79" s="6"/>
      <c r="F79" s="56">
        <f>-'INFOS BS'!D75</f>
        <v>0</v>
      </c>
      <c r="G79" s="7"/>
      <c r="H79" s="14"/>
    </row>
    <row r="80" spans="1:8" x14ac:dyDescent="0.25">
      <c r="A80" s="352" t="s">
        <v>76</v>
      </c>
      <c r="B80" s="353"/>
      <c r="C80" s="353"/>
      <c r="D80" s="11"/>
      <c r="E80" s="11"/>
      <c r="F80" s="57">
        <f>-G24</f>
        <v>0</v>
      </c>
      <c r="G80" s="7"/>
      <c r="H80" s="14"/>
    </row>
    <row r="81" spans="1:8" x14ac:dyDescent="0.25">
      <c r="A81" s="339" t="s">
        <v>77</v>
      </c>
      <c r="B81" s="340"/>
      <c r="C81" s="340"/>
      <c r="D81" s="11"/>
      <c r="E81" s="11"/>
      <c r="F81" s="57">
        <f>-G25</f>
        <v>0</v>
      </c>
      <c r="G81" s="7"/>
      <c r="H81" s="14"/>
    </row>
    <row r="82" spans="1:8" x14ac:dyDescent="0.25">
      <c r="A82" s="352" t="s">
        <v>78</v>
      </c>
      <c r="B82" s="353"/>
      <c r="C82" s="353"/>
      <c r="D82" s="11"/>
      <c r="E82" s="11"/>
      <c r="F82" s="57">
        <f>-G26</f>
        <v>0</v>
      </c>
      <c r="G82" s="7"/>
      <c r="H82" s="14"/>
    </row>
    <row r="83" spans="1:8" x14ac:dyDescent="0.25">
      <c r="A83" s="352" t="s">
        <v>79</v>
      </c>
      <c r="B83" s="353"/>
      <c r="C83" s="353"/>
      <c r="D83" s="11"/>
      <c r="E83" s="11"/>
      <c r="F83" s="11"/>
      <c r="G83" s="7"/>
      <c r="H83" s="14"/>
    </row>
    <row r="84" spans="1:8" ht="13.5" customHeight="1" x14ac:dyDescent="0.25">
      <c r="A84" s="39" t="s">
        <v>315</v>
      </c>
      <c r="B84" s="167"/>
      <c r="C84" s="167"/>
      <c r="D84" s="23"/>
      <c r="E84" s="23"/>
      <c r="F84" s="58">
        <f>'INFOS BS'!C82</f>
        <v>0</v>
      </c>
      <c r="G84" s="7"/>
      <c r="H84" s="14"/>
    </row>
    <row r="85" spans="1:8" ht="13.5" customHeight="1" x14ac:dyDescent="0.25">
      <c r="A85" s="39" t="s">
        <v>417</v>
      </c>
      <c r="B85" s="323"/>
      <c r="C85" s="323"/>
      <c r="D85" s="23"/>
      <c r="E85" s="23"/>
      <c r="F85" s="58">
        <f>'INFOS BS'!B97</f>
        <v>960</v>
      </c>
      <c r="G85" s="7"/>
      <c r="H85" s="14"/>
    </row>
    <row r="86" spans="1:8" ht="13.5" customHeight="1" x14ac:dyDescent="0.25">
      <c r="A86" s="39" t="s">
        <v>424</v>
      </c>
      <c r="B86" s="323"/>
      <c r="C86" s="323"/>
      <c r="D86" s="23"/>
      <c r="E86" s="23"/>
      <c r="F86" s="58">
        <f>-G27</f>
        <v>-480</v>
      </c>
      <c r="G86" s="7"/>
      <c r="H86" s="14"/>
    </row>
    <row r="87" spans="1:8" x14ac:dyDescent="0.25">
      <c r="A87" s="39" t="s">
        <v>359</v>
      </c>
      <c r="B87" s="167"/>
      <c r="C87" s="167"/>
      <c r="D87" s="23"/>
      <c r="E87" s="23"/>
      <c r="F87" s="58">
        <f>IF(Nb_Pers_Charge&gt;0,'INFOS BS'!B128,'INFOS BS'!B126)</f>
        <v>0</v>
      </c>
      <c r="G87" s="7"/>
      <c r="H87" s="14"/>
    </row>
    <row r="88" spans="1:8" x14ac:dyDescent="0.25">
      <c r="A88" s="39" t="s">
        <v>82</v>
      </c>
      <c r="B88" s="31"/>
      <c r="C88" s="31"/>
      <c r="D88" s="23"/>
      <c r="E88" s="23"/>
      <c r="F88" s="58">
        <f>-'INFOS BS'!B121</f>
        <v>0</v>
      </c>
      <c r="G88" s="7"/>
      <c r="H88" s="14"/>
    </row>
    <row r="89" spans="1:8" x14ac:dyDescent="0.25">
      <c r="A89" s="39" t="s">
        <v>83</v>
      </c>
      <c r="B89" s="31"/>
      <c r="C89" s="31"/>
      <c r="D89" s="23"/>
      <c r="E89" s="23"/>
      <c r="F89" s="58">
        <f>-'INFOS BS'!B122</f>
        <v>0</v>
      </c>
      <c r="G89" s="7"/>
      <c r="H89" s="14"/>
    </row>
    <row r="90" spans="1:8" x14ac:dyDescent="0.25">
      <c r="A90" s="224" t="s">
        <v>84</v>
      </c>
      <c r="B90" s="225"/>
      <c r="C90" s="225"/>
      <c r="D90" s="356" t="s">
        <v>80</v>
      </c>
      <c r="E90" s="356"/>
      <c r="F90" s="358">
        <f>S_BRUT-F76+F79+F80+F81+F82+F83+F88+F89</f>
        <v>4298.3830150000003</v>
      </c>
      <c r="G90" s="356" t="s">
        <v>81</v>
      </c>
      <c r="H90" s="350">
        <f>F90+F65+F66+PPPREV</f>
        <v>4454.5219150000003</v>
      </c>
    </row>
    <row r="91" spans="1:8" ht="15.75" thickBot="1" x14ac:dyDescent="0.3">
      <c r="A91" s="222" t="s">
        <v>85</v>
      </c>
      <c r="B91" s="223"/>
      <c r="C91" s="223"/>
      <c r="D91" s="357"/>
      <c r="E91" s="357"/>
      <c r="F91" s="359"/>
      <c r="G91" s="357"/>
      <c r="H91" s="351"/>
    </row>
  </sheetData>
  <mergeCells count="72">
    <mergeCell ref="A1:E1"/>
    <mergeCell ref="F5:H5"/>
    <mergeCell ref="F1:H1"/>
    <mergeCell ref="B2:E2"/>
    <mergeCell ref="B3:E3"/>
    <mergeCell ref="D4:E4"/>
    <mergeCell ref="B5:E5"/>
    <mergeCell ref="G7:H7"/>
    <mergeCell ref="G9:H9"/>
    <mergeCell ref="B9:C9"/>
    <mergeCell ref="B10:C10"/>
    <mergeCell ref="A12:C12"/>
    <mergeCell ref="A16:B16"/>
    <mergeCell ref="A20:C20"/>
    <mergeCell ref="D6:E6"/>
    <mergeCell ref="B7:E7"/>
    <mergeCell ref="A8:E8"/>
    <mergeCell ref="A13:C13"/>
    <mergeCell ref="A14:C14"/>
    <mergeCell ref="A28:C28"/>
    <mergeCell ref="A17:C17"/>
    <mergeCell ref="A18:C18"/>
    <mergeCell ref="A19:C19"/>
    <mergeCell ref="A24:C24"/>
    <mergeCell ref="A27:C27"/>
    <mergeCell ref="A25:C25"/>
    <mergeCell ref="A21:C21"/>
    <mergeCell ref="A22:C22"/>
    <mergeCell ref="A23:C23"/>
    <mergeCell ref="A45:C45"/>
    <mergeCell ref="A31:C31"/>
    <mergeCell ref="A34:C34"/>
    <mergeCell ref="A35:C35"/>
    <mergeCell ref="A36:C36"/>
    <mergeCell ref="A37:C37"/>
    <mergeCell ref="A38:C38"/>
    <mergeCell ref="A39:C39"/>
    <mergeCell ref="A40:C40"/>
    <mergeCell ref="A41:C41"/>
    <mergeCell ref="A43:C43"/>
    <mergeCell ref="A44:C44"/>
    <mergeCell ref="A67:C67"/>
    <mergeCell ref="A47:C47"/>
    <mergeCell ref="A48:C48"/>
    <mergeCell ref="A49:C49"/>
    <mergeCell ref="A50:C50"/>
    <mergeCell ref="A52:C52"/>
    <mergeCell ref="A62:C62"/>
    <mergeCell ref="A63:C63"/>
    <mergeCell ref="A64:C64"/>
    <mergeCell ref="A65:C65"/>
    <mergeCell ref="A66:C66"/>
    <mergeCell ref="A57:C57"/>
    <mergeCell ref="A58:C58"/>
    <mergeCell ref="A59:C59"/>
    <mergeCell ref="A60:C60"/>
    <mergeCell ref="A61:C61"/>
    <mergeCell ref="H90:H91"/>
    <mergeCell ref="A83:C83"/>
    <mergeCell ref="A68:C68"/>
    <mergeCell ref="A76:C76"/>
    <mergeCell ref="A70:C70"/>
    <mergeCell ref="D90:E91"/>
    <mergeCell ref="G90:G91"/>
    <mergeCell ref="F90:F91"/>
    <mergeCell ref="A78:C78"/>
    <mergeCell ref="A79:C79"/>
    <mergeCell ref="A80:C80"/>
    <mergeCell ref="A82:C82"/>
    <mergeCell ref="A71:C71"/>
    <mergeCell ref="A72:C72"/>
    <mergeCell ref="A73:C73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F34"/>
  <sheetViews>
    <sheetView workbookViewId="0">
      <selection activeCell="B1" sqref="B1"/>
    </sheetView>
  </sheetViews>
  <sheetFormatPr baseColWidth="10" defaultRowHeight="15" x14ac:dyDescent="0.25"/>
  <cols>
    <col min="1" max="1" width="42.5703125" customWidth="1"/>
    <col min="2" max="2" width="11.85546875" customWidth="1"/>
    <col min="3" max="3" width="11" customWidth="1"/>
    <col min="4" max="4" width="21.7109375" customWidth="1"/>
    <col min="5" max="5" width="23.85546875" customWidth="1"/>
  </cols>
  <sheetData>
    <row r="1" spans="1:6" x14ac:dyDescent="0.25">
      <c r="A1" s="44" t="s">
        <v>164</v>
      </c>
      <c r="B1" s="45" t="s">
        <v>24</v>
      </c>
      <c r="C1" s="45" t="s">
        <v>165</v>
      </c>
      <c r="D1" s="45" t="s">
        <v>27</v>
      </c>
      <c r="E1" s="89" t="s">
        <v>166</v>
      </c>
      <c r="F1" s="90"/>
    </row>
    <row r="2" spans="1:6" x14ac:dyDescent="0.25">
      <c r="A2" s="38"/>
      <c r="B2" s="2"/>
      <c r="C2" s="2"/>
      <c r="D2" s="2"/>
      <c r="E2" s="18"/>
    </row>
    <row r="3" spans="1:6" x14ac:dyDescent="0.25">
      <c r="A3" s="38" t="s">
        <v>167</v>
      </c>
      <c r="B3" s="2"/>
      <c r="C3" s="2"/>
      <c r="D3" s="2"/>
      <c r="E3" s="18"/>
    </row>
    <row r="4" spans="1:6" x14ac:dyDescent="0.25">
      <c r="A4" s="38"/>
      <c r="B4" s="2"/>
      <c r="C4" s="2"/>
      <c r="D4" s="2"/>
      <c r="E4" s="18"/>
    </row>
    <row r="5" spans="1:6" x14ac:dyDescent="0.25">
      <c r="A5" s="38"/>
      <c r="B5" s="2"/>
      <c r="C5" s="2"/>
      <c r="D5" s="2"/>
      <c r="E5" s="18"/>
    </row>
    <row r="6" spans="1:6" x14ac:dyDescent="0.25">
      <c r="A6" s="38"/>
      <c r="B6" s="2"/>
      <c r="C6" s="2"/>
      <c r="D6" s="2"/>
      <c r="E6" s="18"/>
    </row>
    <row r="7" spans="1:6" x14ac:dyDescent="0.25">
      <c r="A7" s="389" t="s">
        <v>86</v>
      </c>
      <c r="B7" s="390"/>
      <c r="C7" s="390"/>
      <c r="D7" s="390"/>
      <c r="E7" s="18"/>
    </row>
    <row r="8" spans="1:6" x14ac:dyDescent="0.25">
      <c r="A8" s="38"/>
      <c r="B8" s="2"/>
      <c r="C8" s="2"/>
      <c r="D8" s="2"/>
      <c r="E8" s="18"/>
    </row>
    <row r="9" spans="1:6" x14ac:dyDescent="0.25">
      <c r="A9" s="391" t="s">
        <v>168</v>
      </c>
      <c r="B9" s="392"/>
      <c r="C9" s="392"/>
      <c r="D9" s="91" t="s">
        <v>129</v>
      </c>
      <c r="E9" s="92" t="s">
        <v>169</v>
      </c>
    </row>
    <row r="10" spans="1:6" x14ac:dyDescent="0.25">
      <c r="A10" s="38" t="s">
        <v>170</v>
      </c>
      <c r="B10" s="2"/>
      <c r="C10" s="2"/>
      <c r="D10" s="2"/>
      <c r="E10" s="18"/>
    </row>
    <row r="11" spans="1:6" x14ac:dyDescent="0.25">
      <c r="A11" s="38" t="s">
        <v>171</v>
      </c>
      <c r="B11" s="2"/>
      <c r="C11" s="2"/>
      <c r="D11" s="2"/>
      <c r="E11" s="18"/>
    </row>
    <row r="12" spans="1:6" x14ac:dyDescent="0.25">
      <c r="A12" s="38" t="s">
        <v>172</v>
      </c>
      <c r="B12" s="2"/>
      <c r="C12" s="2"/>
      <c r="D12" s="2"/>
      <c r="E12" s="18"/>
    </row>
    <row r="13" spans="1:6" x14ac:dyDescent="0.25">
      <c r="A13" s="38" t="s">
        <v>173</v>
      </c>
      <c r="B13" s="2"/>
      <c r="C13" s="2"/>
      <c r="D13" s="2"/>
      <c r="E13" s="18"/>
    </row>
    <row r="14" spans="1:6" x14ac:dyDescent="0.25">
      <c r="A14" s="13"/>
      <c r="B14" s="7"/>
      <c r="C14" s="7"/>
      <c r="D14" s="7"/>
      <c r="E14" s="14"/>
    </row>
    <row r="15" spans="1:6" x14ac:dyDescent="0.25">
      <c r="A15" s="38" t="s">
        <v>174</v>
      </c>
      <c r="B15" s="2"/>
      <c r="C15" s="2"/>
      <c r="D15" s="2"/>
      <c r="E15" s="18"/>
    </row>
    <row r="16" spans="1:6" x14ac:dyDescent="0.25">
      <c r="A16" s="38" t="s">
        <v>175</v>
      </c>
      <c r="B16" s="2"/>
      <c r="C16" s="2"/>
      <c r="D16" s="2"/>
      <c r="E16" s="18"/>
    </row>
    <row r="17" spans="1:5" x14ac:dyDescent="0.25">
      <c r="A17" s="38" t="s">
        <v>176</v>
      </c>
      <c r="B17" s="2"/>
      <c r="C17" s="2"/>
      <c r="D17" s="2"/>
      <c r="E17" s="18"/>
    </row>
    <row r="18" spans="1:5" x14ac:dyDescent="0.25">
      <c r="A18" s="38" t="s">
        <v>177</v>
      </c>
      <c r="B18" s="2"/>
      <c r="C18" s="2"/>
      <c r="D18" s="2"/>
      <c r="E18" s="18"/>
    </row>
    <row r="19" spans="1:5" x14ac:dyDescent="0.25">
      <c r="A19" s="13"/>
      <c r="B19" s="7"/>
      <c r="C19" s="7"/>
      <c r="D19" s="7"/>
      <c r="E19" s="14"/>
    </row>
    <row r="20" spans="1:5" x14ac:dyDescent="0.25">
      <c r="A20" s="38" t="s">
        <v>178</v>
      </c>
      <c r="B20" s="2"/>
      <c r="C20" s="2"/>
      <c r="D20" s="2"/>
      <c r="E20" s="18"/>
    </row>
    <row r="21" spans="1:5" x14ac:dyDescent="0.25">
      <c r="A21" s="13"/>
      <c r="B21" s="7"/>
      <c r="C21" s="7"/>
      <c r="D21" s="7"/>
      <c r="E21" s="14"/>
    </row>
    <row r="22" spans="1:5" x14ac:dyDescent="0.25">
      <c r="A22" s="38" t="s">
        <v>179</v>
      </c>
      <c r="B22" s="2"/>
      <c r="C22" s="2"/>
      <c r="D22" s="2"/>
      <c r="E22" s="18"/>
    </row>
    <row r="23" spans="1:5" x14ac:dyDescent="0.25">
      <c r="A23" s="38" t="s">
        <v>180</v>
      </c>
      <c r="B23" s="2"/>
      <c r="C23" s="2"/>
      <c r="D23" s="2"/>
      <c r="E23" s="18"/>
    </row>
    <row r="24" spans="1:5" x14ac:dyDescent="0.25">
      <c r="A24" s="13"/>
      <c r="B24" s="7"/>
      <c r="C24" s="7"/>
      <c r="D24" s="7"/>
      <c r="E24" s="14"/>
    </row>
    <row r="25" spans="1:5" x14ac:dyDescent="0.25">
      <c r="A25" s="38" t="s">
        <v>181</v>
      </c>
      <c r="B25" s="2"/>
      <c r="C25" s="2"/>
      <c r="D25" s="2"/>
      <c r="E25" s="18"/>
    </row>
    <row r="26" spans="1:5" x14ac:dyDescent="0.25">
      <c r="A26" s="38" t="s">
        <v>182</v>
      </c>
      <c r="B26" s="2"/>
      <c r="C26" s="2"/>
      <c r="D26" s="2"/>
      <c r="E26" s="18"/>
    </row>
    <row r="27" spans="1:5" x14ac:dyDescent="0.25">
      <c r="A27" s="38" t="s">
        <v>183</v>
      </c>
      <c r="B27" s="2"/>
      <c r="C27" s="2"/>
      <c r="D27" s="2"/>
      <c r="E27" s="18"/>
    </row>
    <row r="28" spans="1:5" x14ac:dyDescent="0.25">
      <c r="A28" s="38" t="s">
        <v>184</v>
      </c>
      <c r="B28" s="2"/>
      <c r="C28" s="2"/>
      <c r="D28" s="2"/>
      <c r="E28" s="18"/>
    </row>
    <row r="29" spans="1:5" x14ac:dyDescent="0.25">
      <c r="A29" s="38" t="s">
        <v>185</v>
      </c>
      <c r="B29" s="2"/>
      <c r="C29" s="2"/>
      <c r="D29" s="2"/>
      <c r="E29" s="18"/>
    </row>
    <row r="30" spans="1:5" x14ac:dyDescent="0.25">
      <c r="A30" s="38"/>
      <c r="B30" s="2"/>
      <c r="C30" s="2"/>
      <c r="D30" s="2"/>
      <c r="E30" s="18"/>
    </row>
    <row r="31" spans="1:5" x14ac:dyDescent="0.25">
      <c r="A31" s="13" t="s">
        <v>186</v>
      </c>
      <c r="B31" s="7"/>
      <c r="C31" s="7"/>
      <c r="D31" s="7"/>
      <c r="E31" s="14"/>
    </row>
    <row r="32" spans="1:5" x14ac:dyDescent="0.25">
      <c r="A32" s="38"/>
      <c r="B32" s="2"/>
      <c r="C32" s="2"/>
      <c r="D32" s="393" t="s">
        <v>187</v>
      </c>
      <c r="E32" s="394"/>
    </row>
    <row r="33" spans="1:5" x14ac:dyDescent="0.25">
      <c r="A33" s="38"/>
      <c r="B33" s="2"/>
      <c r="C33" s="2"/>
      <c r="D33" s="395"/>
      <c r="E33" s="396"/>
    </row>
    <row r="34" spans="1:5" ht="30.75" thickBot="1" x14ac:dyDescent="0.3">
      <c r="A34" s="28"/>
      <c r="B34" s="20"/>
      <c r="C34" s="20"/>
      <c r="D34" s="93" t="s">
        <v>188</v>
      </c>
      <c r="E34" s="22"/>
    </row>
  </sheetData>
  <mergeCells count="4">
    <mergeCell ref="A7:D7"/>
    <mergeCell ref="A9:C9"/>
    <mergeCell ref="D32:E32"/>
    <mergeCell ref="D33:E3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M42"/>
  <sheetViews>
    <sheetView topLeftCell="A22" workbookViewId="0">
      <selection activeCell="L26" sqref="L26"/>
    </sheetView>
  </sheetViews>
  <sheetFormatPr baseColWidth="10" defaultRowHeight="15" x14ac:dyDescent="0.25"/>
  <cols>
    <col min="1" max="1" width="12.85546875" bestFit="1" customWidth="1"/>
    <col min="8" max="8" width="13.140625" bestFit="1" customWidth="1"/>
    <col min="9" max="9" width="13.140625" customWidth="1"/>
  </cols>
  <sheetData>
    <row r="1" spans="1:10" ht="18.75" x14ac:dyDescent="0.3">
      <c r="A1" s="96"/>
      <c r="B1" s="97"/>
    </row>
    <row r="2" spans="1:10" ht="15.75" thickBot="1" x14ac:dyDescent="0.3">
      <c r="C2" s="98" t="s">
        <v>189</v>
      </c>
      <c r="D2" s="98" t="s">
        <v>190</v>
      </c>
      <c r="E2" s="98" t="s">
        <v>191</v>
      </c>
      <c r="F2" s="98" t="s">
        <v>192</v>
      </c>
      <c r="G2" s="99" t="s">
        <v>193</v>
      </c>
      <c r="H2" s="100" t="s">
        <v>194</v>
      </c>
      <c r="I2" s="98" t="s">
        <v>195</v>
      </c>
    </row>
    <row r="3" spans="1:10" x14ac:dyDescent="0.25">
      <c r="A3" s="101" t="s">
        <v>196</v>
      </c>
      <c r="B3" s="102">
        <v>29</v>
      </c>
      <c r="C3" s="103">
        <v>0.375</v>
      </c>
      <c r="D3" s="103">
        <v>0.5</v>
      </c>
      <c r="E3" s="103">
        <v>0.58333333333333337</v>
      </c>
      <c r="F3" s="103">
        <v>0.77083333333333337</v>
      </c>
      <c r="G3" s="104">
        <f>D3-C3</f>
        <v>0.125</v>
      </c>
      <c r="H3" s="105">
        <f>F3-E3</f>
        <v>0.1875</v>
      </c>
      <c r="I3" s="106">
        <f>G3+H3</f>
        <v>0.3125</v>
      </c>
    </row>
    <row r="4" spans="1:10" x14ac:dyDescent="0.25">
      <c r="A4" s="107" t="s">
        <v>197</v>
      </c>
      <c r="B4" s="108">
        <v>30</v>
      </c>
      <c r="C4" s="109">
        <v>0.375</v>
      </c>
      <c r="D4" s="109">
        <v>0.52083333333333337</v>
      </c>
      <c r="E4" s="109">
        <v>0.59027777777777779</v>
      </c>
      <c r="F4" s="109">
        <v>0.79166666666666663</v>
      </c>
      <c r="G4" s="110">
        <f t="shared" ref="G4:G27" si="0">D4-C4</f>
        <v>0.14583333333333337</v>
      </c>
      <c r="H4" s="111">
        <f t="shared" ref="H4:H27" si="1">F4-E4</f>
        <v>0.20138888888888884</v>
      </c>
      <c r="I4" s="112">
        <f t="shared" ref="I4:I27" si="2">G4+H4</f>
        <v>0.34722222222222221</v>
      </c>
      <c r="J4" s="113"/>
    </row>
    <row r="5" spans="1:10" x14ac:dyDescent="0.25">
      <c r="A5" s="107" t="s">
        <v>198</v>
      </c>
      <c r="B5" s="108">
        <v>31</v>
      </c>
      <c r="C5" s="103">
        <v>0.39583333333333331</v>
      </c>
      <c r="D5" s="103">
        <v>0.5</v>
      </c>
      <c r="E5" s="103">
        <v>0.54166666666666663</v>
      </c>
      <c r="F5" s="103">
        <v>0.85416666666666663</v>
      </c>
      <c r="G5" s="110">
        <f t="shared" si="0"/>
        <v>0.10416666666666669</v>
      </c>
      <c r="H5" s="111">
        <f t="shared" si="1"/>
        <v>0.3125</v>
      </c>
      <c r="I5" s="112">
        <f t="shared" si="2"/>
        <v>0.41666666666666669</v>
      </c>
      <c r="J5" s="113"/>
    </row>
    <row r="6" spans="1:10" x14ac:dyDescent="0.25">
      <c r="A6" s="114" t="s">
        <v>199</v>
      </c>
      <c r="B6" s="115">
        <v>1</v>
      </c>
      <c r="C6" s="103">
        <v>0.36458333333333331</v>
      </c>
      <c r="D6" s="103">
        <v>0.51041666666666663</v>
      </c>
      <c r="E6" s="103">
        <v>0.5625</v>
      </c>
      <c r="F6" s="103">
        <v>0.75</v>
      </c>
      <c r="G6" s="116">
        <f t="shared" si="0"/>
        <v>0.14583333333333331</v>
      </c>
      <c r="H6" s="117">
        <f t="shared" si="1"/>
        <v>0.1875</v>
      </c>
      <c r="I6" s="112">
        <f t="shared" si="2"/>
        <v>0.33333333333333331</v>
      </c>
      <c r="J6" s="113"/>
    </row>
    <row r="7" spans="1:10" ht="15.75" thickBot="1" x14ac:dyDescent="0.3">
      <c r="A7" s="118" t="s">
        <v>200</v>
      </c>
      <c r="B7" s="119">
        <v>2</v>
      </c>
      <c r="C7" s="109">
        <v>0.375</v>
      </c>
      <c r="D7" s="109">
        <v>0.52083333333333337</v>
      </c>
      <c r="E7" s="109">
        <v>0.5625</v>
      </c>
      <c r="F7" s="109">
        <v>0.82291666666666663</v>
      </c>
      <c r="G7" s="120">
        <f t="shared" si="0"/>
        <v>0.14583333333333337</v>
      </c>
      <c r="H7" s="121">
        <f t="shared" si="1"/>
        <v>0.26041666666666663</v>
      </c>
      <c r="I7" s="122">
        <f t="shared" si="2"/>
        <v>0.40625</v>
      </c>
      <c r="J7" s="123">
        <f>SUM(I3:I7)</f>
        <v>1.8159722222222221</v>
      </c>
    </row>
    <row r="8" spans="1:10" x14ac:dyDescent="0.25">
      <c r="A8" s="124" t="s">
        <v>196</v>
      </c>
      <c r="B8" s="125">
        <v>5</v>
      </c>
      <c r="C8" s="109">
        <v>0.33333333333333331</v>
      </c>
      <c r="D8" s="109">
        <v>0.51041666666666663</v>
      </c>
      <c r="E8" s="109">
        <v>0.58333333333333337</v>
      </c>
      <c r="F8" s="109">
        <v>0.77083333333333337</v>
      </c>
      <c r="G8" s="126">
        <f t="shared" si="0"/>
        <v>0.17708333333333331</v>
      </c>
      <c r="H8" s="127">
        <f t="shared" si="1"/>
        <v>0.1875</v>
      </c>
      <c r="I8" s="106">
        <f t="shared" si="2"/>
        <v>0.36458333333333331</v>
      </c>
    </row>
    <row r="9" spans="1:10" x14ac:dyDescent="0.25">
      <c r="A9" s="114" t="s">
        <v>197</v>
      </c>
      <c r="B9" s="115">
        <v>6</v>
      </c>
      <c r="C9" s="103">
        <v>0.375</v>
      </c>
      <c r="D9" s="103">
        <v>0.52083333333333337</v>
      </c>
      <c r="E9" s="103">
        <v>0.59027777777777779</v>
      </c>
      <c r="F9" s="103">
        <v>0.75</v>
      </c>
      <c r="G9" s="116">
        <f t="shared" si="0"/>
        <v>0.14583333333333337</v>
      </c>
      <c r="H9" s="117">
        <f t="shared" si="1"/>
        <v>0.15972222222222221</v>
      </c>
      <c r="I9" s="112">
        <f t="shared" si="2"/>
        <v>0.30555555555555558</v>
      </c>
    </row>
    <row r="10" spans="1:10" x14ac:dyDescent="0.25">
      <c r="A10" s="114" t="s">
        <v>198</v>
      </c>
      <c r="B10" s="115">
        <v>7</v>
      </c>
      <c r="C10" s="103">
        <v>0.39583333333333331</v>
      </c>
      <c r="D10" s="103">
        <v>0.5</v>
      </c>
      <c r="E10" s="103">
        <v>0.54166666666666663</v>
      </c>
      <c r="F10" s="103">
        <v>0.85416666666666663</v>
      </c>
      <c r="G10" s="116">
        <f t="shared" si="0"/>
        <v>0.10416666666666669</v>
      </c>
      <c r="H10" s="117">
        <f t="shared" si="1"/>
        <v>0.3125</v>
      </c>
      <c r="I10" s="112">
        <f t="shared" si="2"/>
        <v>0.41666666666666669</v>
      </c>
    </row>
    <row r="11" spans="1:10" x14ac:dyDescent="0.25">
      <c r="A11" s="114" t="s">
        <v>199</v>
      </c>
      <c r="B11" s="115">
        <v>8</v>
      </c>
      <c r="C11" s="103">
        <v>0.375</v>
      </c>
      <c r="D11" s="103">
        <v>0.5</v>
      </c>
      <c r="E11" s="103">
        <v>0.58333333333333337</v>
      </c>
      <c r="F11" s="103">
        <v>0.79166666666666663</v>
      </c>
      <c r="G11" s="116">
        <f t="shared" si="0"/>
        <v>0.125</v>
      </c>
      <c r="H11" s="117">
        <f t="shared" si="1"/>
        <v>0.20833333333333326</v>
      </c>
      <c r="I11" s="112">
        <f t="shared" si="2"/>
        <v>0.33333333333333326</v>
      </c>
    </row>
    <row r="12" spans="1:10" ht="15.75" thickBot="1" x14ac:dyDescent="0.3">
      <c r="A12" s="118" t="s">
        <v>200</v>
      </c>
      <c r="B12" s="119">
        <v>9</v>
      </c>
      <c r="C12" s="103">
        <v>0.375</v>
      </c>
      <c r="D12" s="103">
        <v>0.52083333333333337</v>
      </c>
      <c r="E12" s="103">
        <v>0.5625</v>
      </c>
      <c r="F12" s="103">
        <v>0.82291666666666663</v>
      </c>
      <c r="G12" s="120">
        <f t="shared" si="0"/>
        <v>0.14583333333333337</v>
      </c>
      <c r="H12" s="121">
        <f t="shared" si="1"/>
        <v>0.26041666666666663</v>
      </c>
      <c r="I12" s="122">
        <f t="shared" si="2"/>
        <v>0.40625</v>
      </c>
      <c r="J12" s="123">
        <f>SUM(I8:I12)</f>
        <v>1.8263888888888888</v>
      </c>
    </row>
    <row r="13" spans="1:10" x14ac:dyDescent="0.25">
      <c r="A13" s="124" t="s">
        <v>196</v>
      </c>
      <c r="B13" s="125">
        <v>12</v>
      </c>
      <c r="C13" s="103">
        <v>0.375</v>
      </c>
      <c r="D13" s="103">
        <v>0.5</v>
      </c>
      <c r="E13" s="103">
        <v>0.5625</v>
      </c>
      <c r="F13" s="103">
        <v>0.8125</v>
      </c>
      <c r="G13" s="126">
        <f t="shared" si="0"/>
        <v>0.125</v>
      </c>
      <c r="H13" s="127">
        <f t="shared" si="1"/>
        <v>0.25</v>
      </c>
      <c r="I13" s="106">
        <f t="shared" si="2"/>
        <v>0.375</v>
      </c>
    </row>
    <row r="14" spans="1:10" x14ac:dyDescent="0.25">
      <c r="A14" s="114" t="s">
        <v>197</v>
      </c>
      <c r="B14" s="115">
        <v>13</v>
      </c>
      <c r="C14" s="103">
        <v>0.375</v>
      </c>
      <c r="D14" s="103">
        <v>0.52083333333333337</v>
      </c>
      <c r="E14" s="103">
        <v>0.59027777777777779</v>
      </c>
      <c r="F14" s="103">
        <v>0.79166666666666663</v>
      </c>
      <c r="G14" s="116">
        <f t="shared" si="0"/>
        <v>0.14583333333333337</v>
      </c>
      <c r="H14" s="117">
        <f t="shared" si="1"/>
        <v>0.20138888888888884</v>
      </c>
      <c r="I14" s="112">
        <f t="shared" si="2"/>
        <v>0.34722222222222221</v>
      </c>
    </row>
    <row r="15" spans="1:10" x14ac:dyDescent="0.25">
      <c r="A15" s="114" t="s">
        <v>198</v>
      </c>
      <c r="B15" s="115">
        <v>14</v>
      </c>
      <c r="C15" s="103">
        <v>0.39583333333333331</v>
      </c>
      <c r="D15" s="103">
        <v>0.5</v>
      </c>
      <c r="E15" s="103">
        <v>0.58333333333333337</v>
      </c>
      <c r="F15" s="103">
        <v>0.85416666666666663</v>
      </c>
      <c r="G15" s="116">
        <f t="shared" si="0"/>
        <v>0.10416666666666669</v>
      </c>
      <c r="H15" s="117">
        <f t="shared" si="1"/>
        <v>0.27083333333333326</v>
      </c>
      <c r="I15" s="112">
        <f t="shared" si="2"/>
        <v>0.37499999999999994</v>
      </c>
    </row>
    <row r="16" spans="1:10" x14ac:dyDescent="0.25">
      <c r="A16" s="114" t="s">
        <v>199</v>
      </c>
      <c r="B16" s="115">
        <v>15</v>
      </c>
      <c r="C16" s="103">
        <v>0.36458333333333331</v>
      </c>
      <c r="D16" s="103">
        <v>0.51041666666666663</v>
      </c>
      <c r="E16" s="103">
        <v>0.5625</v>
      </c>
      <c r="F16" s="103">
        <v>0.75</v>
      </c>
      <c r="G16" s="116">
        <f t="shared" si="0"/>
        <v>0.14583333333333331</v>
      </c>
      <c r="H16" s="117">
        <f t="shared" si="1"/>
        <v>0.1875</v>
      </c>
      <c r="I16" s="112">
        <f t="shared" si="2"/>
        <v>0.33333333333333331</v>
      </c>
    </row>
    <row r="17" spans="1:13" ht="15.75" thickBot="1" x14ac:dyDescent="0.3">
      <c r="A17" s="118" t="s">
        <v>200</v>
      </c>
      <c r="B17" s="119">
        <v>16</v>
      </c>
      <c r="C17" s="103">
        <v>0.375</v>
      </c>
      <c r="D17" s="103">
        <v>0.52083333333333337</v>
      </c>
      <c r="E17" s="103">
        <v>0.5625</v>
      </c>
      <c r="F17" s="103">
        <v>0.75</v>
      </c>
      <c r="G17" s="120">
        <f t="shared" si="0"/>
        <v>0.14583333333333337</v>
      </c>
      <c r="H17" s="121">
        <f t="shared" si="1"/>
        <v>0.1875</v>
      </c>
      <c r="I17" s="122">
        <f t="shared" si="2"/>
        <v>0.33333333333333337</v>
      </c>
      <c r="J17" s="123">
        <f>SUM(I13:I17)</f>
        <v>1.7638888888888888</v>
      </c>
    </row>
    <row r="18" spans="1:13" x14ac:dyDescent="0.25">
      <c r="A18" s="124" t="s">
        <v>196</v>
      </c>
      <c r="B18" s="125">
        <v>19</v>
      </c>
      <c r="C18" s="103">
        <v>0.375</v>
      </c>
      <c r="D18" s="103">
        <v>0.5</v>
      </c>
      <c r="E18" s="103">
        <v>0.58333333333333337</v>
      </c>
      <c r="F18" s="103">
        <v>0.77083333333333337</v>
      </c>
      <c r="G18" s="126">
        <f t="shared" si="0"/>
        <v>0.125</v>
      </c>
      <c r="H18" s="127">
        <f t="shared" si="1"/>
        <v>0.1875</v>
      </c>
      <c r="I18" s="106">
        <f t="shared" si="2"/>
        <v>0.3125</v>
      </c>
    </row>
    <row r="19" spans="1:13" x14ac:dyDescent="0.25">
      <c r="A19" s="114" t="s">
        <v>197</v>
      </c>
      <c r="B19" s="115">
        <v>20</v>
      </c>
      <c r="C19" s="103">
        <v>0.34722222222222227</v>
      </c>
      <c r="D19" s="103">
        <v>0.52083333333333337</v>
      </c>
      <c r="E19" s="103">
        <v>0.59027777777777779</v>
      </c>
      <c r="F19" s="103">
        <v>0.79166666666666663</v>
      </c>
      <c r="G19" s="116">
        <f t="shared" si="0"/>
        <v>0.1736111111111111</v>
      </c>
      <c r="H19" s="117">
        <f t="shared" si="1"/>
        <v>0.20138888888888884</v>
      </c>
      <c r="I19" s="112">
        <f t="shared" si="2"/>
        <v>0.37499999999999994</v>
      </c>
    </row>
    <row r="20" spans="1:13" x14ac:dyDescent="0.25">
      <c r="A20" s="114" t="s">
        <v>198</v>
      </c>
      <c r="B20" s="115">
        <v>21</v>
      </c>
      <c r="C20" s="103">
        <v>0.39583333333333331</v>
      </c>
      <c r="D20" s="103">
        <v>0.5</v>
      </c>
      <c r="E20" s="103">
        <v>0.54166666666666663</v>
      </c>
      <c r="F20" s="103">
        <v>0.85416666666666663</v>
      </c>
      <c r="G20" s="116">
        <f t="shared" si="0"/>
        <v>0.10416666666666669</v>
      </c>
      <c r="H20" s="117">
        <f t="shared" si="1"/>
        <v>0.3125</v>
      </c>
      <c r="I20" s="112">
        <f t="shared" si="2"/>
        <v>0.41666666666666669</v>
      </c>
    </row>
    <row r="21" spans="1:13" x14ac:dyDescent="0.25">
      <c r="A21" s="114" t="s">
        <v>199</v>
      </c>
      <c r="B21" s="115">
        <v>22</v>
      </c>
      <c r="C21" s="103">
        <v>0.36458333333333331</v>
      </c>
      <c r="D21" s="103">
        <v>0.51041666666666663</v>
      </c>
      <c r="E21" s="103">
        <v>0.5625</v>
      </c>
      <c r="F21" s="103">
        <v>0.82291666666666663</v>
      </c>
      <c r="G21" s="116">
        <f t="shared" si="0"/>
        <v>0.14583333333333331</v>
      </c>
      <c r="H21" s="117">
        <f t="shared" si="1"/>
        <v>0.26041666666666663</v>
      </c>
      <c r="I21" s="112">
        <f t="shared" si="2"/>
        <v>0.40624999999999994</v>
      </c>
    </row>
    <row r="22" spans="1:13" ht="15.75" thickBot="1" x14ac:dyDescent="0.3">
      <c r="A22" s="118" t="s">
        <v>200</v>
      </c>
      <c r="B22" s="119">
        <v>23</v>
      </c>
      <c r="C22" s="103">
        <v>0.375</v>
      </c>
      <c r="D22" s="103">
        <v>0.5625</v>
      </c>
      <c r="E22" s="103">
        <v>0.5625</v>
      </c>
      <c r="F22" s="103">
        <v>0.82291666666666663</v>
      </c>
      <c r="G22" s="120">
        <f t="shared" si="0"/>
        <v>0.1875</v>
      </c>
      <c r="H22" s="121">
        <f t="shared" si="1"/>
        <v>0.26041666666666663</v>
      </c>
      <c r="I22" s="122">
        <f t="shared" si="2"/>
        <v>0.44791666666666663</v>
      </c>
      <c r="J22" s="123">
        <f>I18:I22</f>
        <v>0.44791666666666663</v>
      </c>
    </row>
    <row r="23" spans="1:13" x14ac:dyDescent="0.25">
      <c r="A23" s="124" t="s">
        <v>196</v>
      </c>
      <c r="B23" s="125">
        <v>26</v>
      </c>
      <c r="C23" s="103">
        <v>0.375</v>
      </c>
      <c r="D23" s="103">
        <v>0.54166666666666663</v>
      </c>
      <c r="E23" s="103">
        <v>0.58333333333333337</v>
      </c>
      <c r="F23" s="103">
        <v>0.77083333333333337</v>
      </c>
      <c r="G23" s="126">
        <f t="shared" si="0"/>
        <v>0.16666666666666663</v>
      </c>
      <c r="H23" s="127">
        <f t="shared" si="1"/>
        <v>0.1875</v>
      </c>
      <c r="I23" s="106">
        <f t="shared" si="2"/>
        <v>0.35416666666666663</v>
      </c>
    </row>
    <row r="24" spans="1:13" x14ac:dyDescent="0.25">
      <c r="A24" s="114" t="s">
        <v>197</v>
      </c>
      <c r="B24" s="115">
        <v>27</v>
      </c>
      <c r="C24" s="103">
        <v>0.375</v>
      </c>
      <c r="D24" s="103">
        <v>0.52083333333333337</v>
      </c>
      <c r="E24" s="103">
        <v>0.59027777777777779</v>
      </c>
      <c r="F24" s="103">
        <v>0.79166666666666663</v>
      </c>
      <c r="G24" s="116">
        <f t="shared" si="0"/>
        <v>0.14583333333333337</v>
      </c>
      <c r="H24" s="117">
        <f t="shared" si="1"/>
        <v>0.20138888888888884</v>
      </c>
      <c r="I24" s="112">
        <f t="shared" si="2"/>
        <v>0.34722222222222221</v>
      </c>
    </row>
    <row r="25" spans="1:13" x14ac:dyDescent="0.25">
      <c r="A25" s="114" t="s">
        <v>198</v>
      </c>
      <c r="B25" s="115">
        <v>28</v>
      </c>
      <c r="C25" s="103">
        <v>0.39583333333333331</v>
      </c>
      <c r="D25" s="103">
        <v>0.5</v>
      </c>
      <c r="E25" s="103">
        <v>0.54166666666666663</v>
      </c>
      <c r="F25" s="103">
        <v>0.85416666666666663</v>
      </c>
      <c r="G25" s="116">
        <f t="shared" si="0"/>
        <v>0.10416666666666669</v>
      </c>
      <c r="H25" s="117">
        <f t="shared" si="1"/>
        <v>0.3125</v>
      </c>
      <c r="I25" s="112">
        <f t="shared" si="2"/>
        <v>0.41666666666666669</v>
      </c>
    </row>
    <row r="26" spans="1:13" x14ac:dyDescent="0.25">
      <c r="A26" s="114" t="s">
        <v>199</v>
      </c>
      <c r="B26" s="115">
        <v>29</v>
      </c>
      <c r="C26" s="103">
        <v>0.36458333333333331</v>
      </c>
      <c r="D26" s="103">
        <v>0.51041666666666663</v>
      </c>
      <c r="E26" s="103">
        <v>0.5625</v>
      </c>
      <c r="F26" s="103">
        <v>0.85416666666666663</v>
      </c>
      <c r="G26" s="116">
        <f t="shared" si="0"/>
        <v>0.14583333333333331</v>
      </c>
      <c r="H26" s="117">
        <f t="shared" si="1"/>
        <v>0.29166666666666663</v>
      </c>
      <c r="I26" s="112">
        <f t="shared" si="2"/>
        <v>0.43749999999999994</v>
      </c>
      <c r="L26" s="203" t="s">
        <v>292</v>
      </c>
    </row>
    <row r="27" spans="1:13" ht="15.75" thickBot="1" x14ac:dyDescent="0.3">
      <c r="A27" s="118" t="s">
        <v>200</v>
      </c>
      <c r="B27" s="119">
        <v>30</v>
      </c>
      <c r="C27" s="103">
        <v>0.375</v>
      </c>
      <c r="D27" s="103">
        <v>0.52083333333333337</v>
      </c>
      <c r="E27" s="103">
        <v>0.5625</v>
      </c>
      <c r="F27" s="103">
        <v>0.82291666666666663</v>
      </c>
      <c r="G27" s="120">
        <f t="shared" si="0"/>
        <v>0.14583333333333337</v>
      </c>
      <c r="H27" s="121">
        <f t="shared" si="1"/>
        <v>0.26041666666666663</v>
      </c>
      <c r="I27" s="122">
        <f t="shared" si="2"/>
        <v>0.40625</v>
      </c>
      <c r="J27" s="123">
        <f>I23:I27</f>
        <v>0.40625</v>
      </c>
    </row>
    <row r="28" spans="1:13" x14ac:dyDescent="0.25">
      <c r="G28" s="113">
        <f>SUM(G6:G27)</f>
        <v>3.1006944444444451</v>
      </c>
      <c r="H28" s="113">
        <f>SUM(H6:H27)</f>
        <v>5.1493055555555554</v>
      </c>
      <c r="I28" s="113">
        <f>J5+J6+K4+I12+I17+I22+I27</f>
        <v>1.59375</v>
      </c>
    </row>
    <row r="30" spans="1:13" x14ac:dyDescent="0.25">
      <c r="A30" s="397" t="s">
        <v>300</v>
      </c>
      <c r="B30" s="397"/>
      <c r="C30" s="397"/>
      <c r="D30" s="397"/>
      <c r="E30" s="397"/>
      <c r="F30" s="397"/>
      <c r="H30" s="398" t="s">
        <v>213</v>
      </c>
      <c r="I30" s="398"/>
      <c r="J30" s="398"/>
      <c r="K30" s="398"/>
      <c r="L30" s="398"/>
      <c r="M30" s="398"/>
    </row>
    <row r="31" spans="1:13" x14ac:dyDescent="0.25">
      <c r="D31" t="s">
        <v>201</v>
      </c>
      <c r="E31">
        <v>8</v>
      </c>
      <c r="H31" t="s">
        <v>214</v>
      </c>
      <c r="I31">
        <v>26</v>
      </c>
      <c r="K31" s="133">
        <f>I31*1/10</f>
        <v>2.6</v>
      </c>
      <c r="L31" t="s">
        <v>201</v>
      </c>
      <c r="M31" s="134">
        <f>I31*1/3</f>
        <v>8.6666666666666661</v>
      </c>
    </row>
    <row r="32" spans="1:13" ht="45" x14ac:dyDescent="0.25">
      <c r="A32" s="128"/>
      <c r="B32" s="129" t="s">
        <v>202</v>
      </c>
      <c r="C32" s="129" t="s">
        <v>203</v>
      </c>
      <c r="D32" s="129" t="s">
        <v>204</v>
      </c>
      <c r="E32" s="129" t="s">
        <v>205</v>
      </c>
      <c r="F32" s="129" t="s">
        <v>206</v>
      </c>
      <c r="H32" s="128"/>
      <c r="I32" s="129" t="s">
        <v>202</v>
      </c>
      <c r="J32" s="129" t="s">
        <v>203</v>
      </c>
      <c r="K32" s="129" t="s">
        <v>204</v>
      </c>
      <c r="L32" s="129" t="s">
        <v>215</v>
      </c>
      <c r="M32" s="129" t="s">
        <v>205</v>
      </c>
    </row>
    <row r="33" spans="1:13" x14ac:dyDescent="0.25">
      <c r="A33" s="130" t="s">
        <v>207</v>
      </c>
      <c r="B33" s="94">
        <v>0</v>
      </c>
      <c r="C33" s="94">
        <v>35</v>
      </c>
      <c r="D33" s="94">
        <f>IF(B33&gt;C33,B33-C33,0)</f>
        <v>0</v>
      </c>
      <c r="E33" s="94">
        <f>IF(D33&lt;=$E$31,D33,$E$31)</f>
        <v>0</v>
      </c>
      <c r="F33" s="94">
        <f>IF(D33&gt;E33,D33-E33,0)</f>
        <v>0</v>
      </c>
      <c r="H33" s="130" t="s">
        <v>207</v>
      </c>
      <c r="I33" s="94">
        <v>0</v>
      </c>
      <c r="J33" s="94">
        <v>26</v>
      </c>
      <c r="K33" s="94">
        <f>IF(I33&gt;J33,I33-J33,0)</f>
        <v>0</v>
      </c>
      <c r="L33" s="94">
        <f>IF(K33&lt;$K$31,K33,$K$31)</f>
        <v>0</v>
      </c>
      <c r="M33" s="94">
        <f>ROUNDUP(IF(K33&gt;$K$31,K33-$K$31),0)</f>
        <v>0</v>
      </c>
    </row>
    <row r="34" spans="1:13" x14ac:dyDescent="0.25">
      <c r="A34" s="130" t="s">
        <v>208</v>
      </c>
      <c r="B34" s="94">
        <v>0</v>
      </c>
      <c r="C34" s="94">
        <v>35</v>
      </c>
      <c r="D34" s="94">
        <f t="shared" ref="D34:D37" si="3">IF(B34&gt;C34,B34-C34,0)</f>
        <v>0</v>
      </c>
      <c r="E34" s="94">
        <f t="shared" ref="E34:E37" si="4">IF(D34&lt;=$E$31,D34,$E$31)</f>
        <v>0</v>
      </c>
      <c r="F34" s="94">
        <f t="shared" ref="F34:F37" si="5">IF(D34&gt;E34,D34-E34,0)</f>
        <v>0</v>
      </c>
      <c r="H34" s="130" t="s">
        <v>208</v>
      </c>
      <c r="I34" s="94">
        <v>0</v>
      </c>
      <c r="J34" s="94">
        <v>26</v>
      </c>
      <c r="K34" s="94">
        <f t="shared" ref="K34:K37" si="6">IF(I34&gt;J34,I34-J34,0)</f>
        <v>0</v>
      </c>
      <c r="L34" s="94">
        <f t="shared" ref="L34:L37" si="7">IF(K34&lt;$K$31,K34,$K$31)</f>
        <v>0</v>
      </c>
      <c r="M34" s="94">
        <f t="shared" ref="M34:M37" si="8">ROUNDUP(IF(K34&gt;$K$31,K34-$K$31),0)</f>
        <v>0</v>
      </c>
    </row>
    <row r="35" spans="1:13" x14ac:dyDescent="0.25">
      <c r="A35" s="130" t="s">
        <v>209</v>
      </c>
      <c r="B35" s="94">
        <v>0</v>
      </c>
      <c r="C35" s="94">
        <v>35</v>
      </c>
      <c r="D35" s="94">
        <f t="shared" si="3"/>
        <v>0</v>
      </c>
      <c r="E35" s="94">
        <f t="shared" si="4"/>
        <v>0</v>
      </c>
      <c r="F35" s="94">
        <f t="shared" si="5"/>
        <v>0</v>
      </c>
      <c r="H35" s="130" t="s">
        <v>209</v>
      </c>
      <c r="I35" s="94">
        <v>0</v>
      </c>
      <c r="J35" s="94">
        <v>26</v>
      </c>
      <c r="K35" s="94">
        <f t="shared" si="6"/>
        <v>0</v>
      </c>
      <c r="L35" s="94">
        <f t="shared" si="7"/>
        <v>0</v>
      </c>
      <c r="M35" s="94">
        <f t="shared" si="8"/>
        <v>0</v>
      </c>
    </row>
    <row r="36" spans="1:13" x14ac:dyDescent="0.25">
      <c r="A36" s="130" t="s">
        <v>210</v>
      </c>
      <c r="B36" s="94">
        <v>0</v>
      </c>
      <c r="C36" s="94">
        <v>35</v>
      </c>
      <c r="D36" s="94">
        <f t="shared" si="3"/>
        <v>0</v>
      </c>
      <c r="E36" s="94">
        <f t="shared" si="4"/>
        <v>0</v>
      </c>
      <c r="F36" s="94">
        <f t="shared" si="5"/>
        <v>0</v>
      </c>
      <c r="H36" s="130" t="s">
        <v>210</v>
      </c>
      <c r="I36" s="94">
        <v>0</v>
      </c>
      <c r="J36" s="94">
        <v>26</v>
      </c>
      <c r="K36" s="94">
        <f t="shared" si="6"/>
        <v>0</v>
      </c>
      <c r="L36" s="94">
        <f t="shared" si="7"/>
        <v>0</v>
      </c>
      <c r="M36" s="94">
        <f t="shared" si="8"/>
        <v>0</v>
      </c>
    </row>
    <row r="37" spans="1:13" x14ac:dyDescent="0.25">
      <c r="A37" s="130" t="s">
        <v>211</v>
      </c>
      <c r="B37" s="94">
        <v>0</v>
      </c>
      <c r="C37" s="94">
        <v>35</v>
      </c>
      <c r="D37" s="94">
        <f t="shared" si="3"/>
        <v>0</v>
      </c>
      <c r="E37" s="94">
        <f t="shared" si="4"/>
        <v>0</v>
      </c>
      <c r="F37" s="94">
        <f t="shared" si="5"/>
        <v>0</v>
      </c>
      <c r="H37" s="130" t="s">
        <v>211</v>
      </c>
      <c r="I37" s="94">
        <v>0</v>
      </c>
      <c r="J37" s="94">
        <v>26</v>
      </c>
      <c r="K37" s="94">
        <f t="shared" si="6"/>
        <v>0</v>
      </c>
      <c r="L37" s="94">
        <f t="shared" si="7"/>
        <v>0</v>
      </c>
      <c r="M37" s="94">
        <f t="shared" si="8"/>
        <v>0</v>
      </c>
    </row>
    <row r="38" spans="1:13" x14ac:dyDescent="0.25">
      <c r="A38" s="131" t="s">
        <v>212</v>
      </c>
      <c r="B38" s="132">
        <f>SUM(B33:B37)</f>
        <v>0</v>
      </c>
      <c r="C38" s="132">
        <f t="shared" ref="C38:F38" si="9">SUM(C33:C37)</f>
        <v>175</v>
      </c>
      <c r="D38" s="132">
        <f t="shared" si="9"/>
        <v>0</v>
      </c>
      <c r="E38" s="132">
        <f t="shared" si="9"/>
        <v>0</v>
      </c>
      <c r="F38" s="132">
        <f t="shared" si="9"/>
        <v>0</v>
      </c>
      <c r="H38" s="131" t="s">
        <v>212</v>
      </c>
      <c r="I38" s="135">
        <f>SUM(I33:I37)</f>
        <v>0</v>
      </c>
      <c r="J38" s="135">
        <f t="shared" ref="J38:M38" si="10">SUM(J33:J37)</f>
        <v>130</v>
      </c>
      <c r="K38" s="135">
        <f t="shared" si="10"/>
        <v>0</v>
      </c>
      <c r="L38" s="135">
        <f t="shared" si="10"/>
        <v>0</v>
      </c>
      <c r="M38" s="135">
        <f t="shared" si="10"/>
        <v>0</v>
      </c>
    </row>
    <row r="40" spans="1:13" ht="15.75" thickBot="1" x14ac:dyDescent="0.3">
      <c r="D40" s="190" t="s">
        <v>98</v>
      </c>
      <c r="K40" t="s">
        <v>98</v>
      </c>
    </row>
    <row r="41" spans="1:13" ht="15.75" thickBot="1" x14ac:dyDescent="0.3">
      <c r="A41" t="s">
        <v>301</v>
      </c>
      <c r="C41" s="171">
        <v>0.25</v>
      </c>
      <c r="D41" s="59"/>
      <c r="H41" t="s">
        <v>302</v>
      </c>
      <c r="J41" s="171">
        <v>0.1</v>
      </c>
      <c r="K41" s="59"/>
    </row>
    <row r="42" spans="1:13" ht="15.75" thickBot="1" x14ac:dyDescent="0.3">
      <c r="A42" t="s">
        <v>301</v>
      </c>
      <c r="C42" s="171">
        <v>0.5</v>
      </c>
      <c r="D42" s="59"/>
      <c r="H42" t="s">
        <v>302</v>
      </c>
      <c r="J42" s="171">
        <v>0.25</v>
      </c>
      <c r="K42" s="59"/>
    </row>
  </sheetData>
  <mergeCells count="2">
    <mergeCell ref="A30:F30"/>
    <mergeCell ref="H30:M30"/>
  </mergeCells>
  <conditionalFormatting sqref="M33:M37">
    <cfRule type="cellIs" dxfId="13" priority="1" operator="greaterThan">
      <formula>$M$31</formula>
    </cfRule>
  </conditionalFormatting>
  <hyperlinks>
    <hyperlink ref="L26" location="'INFOS BS'!A1" display="INFOS BS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S58"/>
  <sheetViews>
    <sheetView topLeftCell="B20" workbookViewId="0">
      <selection activeCell="D36" sqref="D36"/>
    </sheetView>
  </sheetViews>
  <sheetFormatPr baseColWidth="10" defaultRowHeight="15" x14ac:dyDescent="0.25"/>
  <cols>
    <col min="1" max="1" width="20.5703125" bestFit="1" customWidth="1"/>
    <col min="2" max="2" width="12.5703125" customWidth="1"/>
    <col min="4" max="4" width="11.85546875" customWidth="1"/>
    <col min="5" max="5" width="13.28515625" bestFit="1" customWidth="1"/>
    <col min="6" max="6" width="16" customWidth="1"/>
    <col min="10" max="10" width="3" style="183" customWidth="1"/>
    <col min="15" max="15" width="12.5703125" bestFit="1" customWidth="1"/>
    <col min="16" max="16" width="13.28515625" bestFit="1" customWidth="1"/>
    <col min="17" max="17" width="15" customWidth="1"/>
  </cols>
  <sheetData>
    <row r="1" spans="1:19" ht="18.75" x14ac:dyDescent="0.3">
      <c r="A1" s="399" t="s">
        <v>264</v>
      </c>
      <c r="B1" s="399"/>
      <c r="C1" s="399"/>
      <c r="D1" s="399"/>
      <c r="E1" s="399"/>
      <c r="F1" s="399"/>
      <c r="G1" s="399"/>
      <c r="H1" s="399"/>
      <c r="I1" s="399"/>
      <c r="K1" s="399" t="s">
        <v>328</v>
      </c>
      <c r="L1" s="399" t="s">
        <v>327</v>
      </c>
      <c r="M1" s="399"/>
      <c r="N1" s="399"/>
      <c r="O1" s="399"/>
      <c r="P1" s="399"/>
      <c r="Q1" s="399"/>
      <c r="R1" s="399"/>
      <c r="S1" s="399"/>
    </row>
    <row r="3" spans="1:19" x14ac:dyDescent="0.25">
      <c r="A3" s="137" t="s">
        <v>217</v>
      </c>
      <c r="B3" s="66">
        <f>'INFOS BS'!B25</f>
        <v>5000</v>
      </c>
      <c r="K3" s="373" t="s">
        <v>28</v>
      </c>
      <c r="L3" s="374"/>
      <c r="M3" s="374"/>
      <c r="N3" s="159"/>
      <c r="O3" s="229">
        <v>151.66666666666666</v>
      </c>
      <c r="P3" s="229">
        <v>9.8901098901098905</v>
      </c>
      <c r="Q3" s="230">
        <v>1500</v>
      </c>
    </row>
    <row r="4" spans="1:19" x14ac:dyDescent="0.25">
      <c r="K4" s="366" t="s">
        <v>29</v>
      </c>
      <c r="L4" s="353"/>
      <c r="M4" s="353"/>
      <c r="N4" s="1"/>
      <c r="O4" s="227">
        <v>0</v>
      </c>
      <c r="P4" s="227"/>
      <c r="Q4" s="231">
        <v>0</v>
      </c>
    </row>
    <row r="5" spans="1:19" x14ac:dyDescent="0.25">
      <c r="A5" s="411" t="s">
        <v>218</v>
      </c>
      <c r="B5" s="411"/>
      <c r="D5" t="s">
        <v>219</v>
      </c>
      <c r="F5" s="412" t="s">
        <v>220</v>
      </c>
      <c r="G5" s="412"/>
      <c r="H5" s="138">
        <f>Nb_H_Sem</f>
        <v>35</v>
      </c>
      <c r="K5" s="366" t="s">
        <v>30</v>
      </c>
      <c r="L5" s="353"/>
      <c r="M5" s="353"/>
      <c r="N5" s="1">
        <v>0</v>
      </c>
      <c r="O5" s="227"/>
      <c r="P5" s="227"/>
      <c r="Q5" s="231"/>
    </row>
    <row r="6" spans="1:19" x14ac:dyDescent="0.25">
      <c r="A6" s="137" t="s">
        <v>112</v>
      </c>
      <c r="B6" s="235">
        <f>D_Absence</f>
        <v>0</v>
      </c>
      <c r="D6" s="136">
        <f>'INFOS BS'!B17</f>
        <v>42856</v>
      </c>
      <c r="F6" s="412" t="s">
        <v>221</v>
      </c>
      <c r="G6" s="406"/>
      <c r="H6" s="138">
        <f>Nb_J_Sem</f>
        <v>5</v>
      </c>
      <c r="K6" s="366" t="s">
        <v>36</v>
      </c>
      <c r="L6" s="367"/>
      <c r="M6" s="191"/>
      <c r="N6" s="1"/>
      <c r="O6" s="227">
        <v>0</v>
      </c>
      <c r="P6" s="227">
        <v>10.87912087912088</v>
      </c>
      <c r="Q6" s="231">
        <v>0</v>
      </c>
    </row>
    <row r="7" spans="1:19" x14ac:dyDescent="0.25">
      <c r="A7" s="137" t="s">
        <v>113</v>
      </c>
      <c r="B7" s="235">
        <f>F_Absence</f>
        <v>0</v>
      </c>
      <c r="D7" s="136">
        <f>EOMONTH(D6,0)</f>
        <v>42886</v>
      </c>
      <c r="K7" s="366" t="s">
        <v>303</v>
      </c>
      <c r="L7" s="353"/>
      <c r="M7" s="353"/>
      <c r="N7" s="1"/>
      <c r="O7" s="227">
        <v>0</v>
      </c>
      <c r="P7" s="227">
        <v>12.362637362637363</v>
      </c>
      <c r="Q7" s="231">
        <v>0</v>
      </c>
    </row>
    <row r="8" spans="1:19" x14ac:dyDescent="0.25">
      <c r="K8" s="366" t="s">
        <v>37</v>
      </c>
      <c r="L8" s="353"/>
      <c r="M8" s="353"/>
      <c r="N8" s="1"/>
      <c r="O8" s="227">
        <v>0</v>
      </c>
      <c r="P8" s="227">
        <v>12.362637362637363</v>
      </c>
      <c r="Q8" s="231">
        <v>0</v>
      </c>
    </row>
    <row r="9" spans="1:19" x14ac:dyDescent="0.25">
      <c r="K9" s="366" t="s">
        <v>38</v>
      </c>
      <c r="L9" s="353"/>
      <c r="M9" s="353"/>
      <c r="N9" s="1"/>
      <c r="O9" s="227">
        <v>0</v>
      </c>
      <c r="P9" s="227">
        <v>14.835164835164836</v>
      </c>
      <c r="Q9" s="231">
        <v>0</v>
      </c>
    </row>
    <row r="10" spans="1:19" x14ac:dyDescent="0.25">
      <c r="A10" s="153"/>
      <c r="B10" s="153" t="s">
        <v>225</v>
      </c>
      <c r="C10" s="153" t="s">
        <v>226</v>
      </c>
      <c r="D10" s="153" t="s">
        <v>227</v>
      </c>
      <c r="E10" s="153" t="s">
        <v>228</v>
      </c>
      <c r="F10" s="153" t="s">
        <v>267</v>
      </c>
      <c r="G10" s="153"/>
      <c r="K10" s="366" t="s">
        <v>31</v>
      </c>
      <c r="L10" s="353"/>
      <c r="M10" s="353"/>
      <c r="N10" s="1"/>
      <c r="O10" s="227"/>
      <c r="P10" s="227"/>
      <c r="Q10" s="231">
        <v>0</v>
      </c>
    </row>
    <row r="11" spans="1:19" x14ac:dyDescent="0.25">
      <c r="A11" s="94" t="s">
        <v>222</v>
      </c>
      <c r="B11" s="94">
        <v>0</v>
      </c>
      <c r="C11" s="94">
        <f>NETWORKDAYS(B6,B7)</f>
        <v>0</v>
      </c>
      <c r="D11" s="94">
        <f>B7-B6-INT((B7-B6-IF(WEEKDAY(B7)=1,0,8-WEEKDAY(B6)))/7)</f>
        <v>1</v>
      </c>
      <c r="E11" s="154">
        <f>_xlfn.DAYS(B7,B6)+1</f>
        <v>1</v>
      </c>
      <c r="F11" s="416">
        <f>NETWORKDAYS(B6,B7,JourFériés)</f>
        <v>0</v>
      </c>
      <c r="G11" s="417"/>
      <c r="K11" s="366" t="s">
        <v>320</v>
      </c>
      <c r="L11" s="353"/>
      <c r="M11" s="353"/>
      <c r="N11" s="1"/>
      <c r="O11" s="227"/>
      <c r="P11" s="227"/>
      <c r="Q11" s="231">
        <v>0</v>
      </c>
    </row>
    <row r="12" spans="1:19" x14ac:dyDescent="0.25">
      <c r="A12" s="153" t="s">
        <v>223</v>
      </c>
      <c r="B12" s="94">
        <v>0</v>
      </c>
      <c r="C12" s="94">
        <f>NETWORKDAYS(D6,D7)</f>
        <v>23</v>
      </c>
      <c r="D12" s="94">
        <f>D7-D6-INT(((D7-D6-IF(WEEKDAY(D7)=1,0,8-WEEKDAY(D6))/7)))</f>
        <v>1</v>
      </c>
      <c r="E12" s="154">
        <f>_xlfn.DAYS(D7,D6)+1</f>
        <v>31</v>
      </c>
      <c r="F12" s="416">
        <f>NETWORKDAYS(D6,D7,JourFériés)</f>
        <v>20</v>
      </c>
      <c r="G12" s="417"/>
      <c r="K12" s="366">
        <f>'INFOS BS'!K21</f>
        <v>0</v>
      </c>
      <c r="L12" s="353"/>
      <c r="M12" s="353"/>
      <c r="N12" s="1"/>
      <c r="O12" s="227"/>
      <c r="P12" s="227"/>
      <c r="Q12" s="231">
        <v>0</v>
      </c>
    </row>
    <row r="13" spans="1:19" x14ac:dyDescent="0.25">
      <c r="A13" s="153" t="s">
        <v>224</v>
      </c>
      <c r="B13" s="94">
        <f>ROUND(H5*52/12,2)</f>
        <v>151.66999999999999</v>
      </c>
      <c r="C13" s="94">
        <f>ROUND(H6*52/12,2)</f>
        <v>21.67</v>
      </c>
      <c r="D13" s="94">
        <f>(H6+1)*52/12</f>
        <v>26</v>
      </c>
      <c r="E13" s="94">
        <f>ROUNDDOWN(((H6+2)*52/12),0)</f>
        <v>30</v>
      </c>
      <c r="K13" s="366" t="s">
        <v>32</v>
      </c>
      <c r="L13" s="353"/>
      <c r="M13" s="353"/>
      <c r="N13" s="1"/>
      <c r="O13" s="227"/>
      <c r="P13" s="227"/>
      <c r="Q13" s="231"/>
    </row>
    <row r="14" spans="1:19" ht="15.75" thickBot="1" x14ac:dyDescent="0.3">
      <c r="G14" s="418" t="s">
        <v>404</v>
      </c>
      <c r="H14" s="418"/>
      <c r="K14" s="366" t="s">
        <v>34</v>
      </c>
      <c r="L14" s="353"/>
      <c r="M14" s="353"/>
      <c r="N14" s="1"/>
      <c r="O14" s="227"/>
      <c r="P14" s="227"/>
      <c r="Q14" s="231"/>
    </row>
    <row r="15" spans="1:19" x14ac:dyDescent="0.25">
      <c r="A15" s="413" t="s">
        <v>255</v>
      </c>
      <c r="B15" s="395"/>
      <c r="D15" s="414" t="s">
        <v>265</v>
      </c>
      <c r="E15" s="415"/>
      <c r="G15" s="324" t="s">
        <v>405</v>
      </c>
      <c r="H15" s="324" t="s">
        <v>124</v>
      </c>
      <c r="K15" s="366" t="s">
        <v>35</v>
      </c>
      <c r="L15" s="353"/>
      <c r="M15" s="353"/>
      <c r="N15" s="1"/>
      <c r="O15" s="227"/>
      <c r="P15" s="227"/>
      <c r="Q15" s="231"/>
    </row>
    <row r="16" spans="1:19" x14ac:dyDescent="0.25">
      <c r="A16" s="153" t="s">
        <v>256</v>
      </c>
      <c r="B16" s="155">
        <f>IF(B11=0,0,B11*B3/B12)</f>
        <v>0</v>
      </c>
      <c r="D16" s="404" t="s">
        <v>257</v>
      </c>
      <c r="E16" s="405"/>
      <c r="G16" s="324">
        <v>3</v>
      </c>
      <c r="H16" s="324">
        <v>21</v>
      </c>
      <c r="K16" s="366" t="s">
        <v>311</v>
      </c>
      <c r="L16" s="353"/>
      <c r="M16" s="353"/>
      <c r="N16" s="1">
        <v>0</v>
      </c>
      <c r="O16" s="227"/>
      <c r="P16" s="227" t="s">
        <v>329</v>
      </c>
      <c r="Q16" s="231">
        <v>0</v>
      </c>
    </row>
    <row r="17" spans="1:17" ht="15.75" thickBot="1" x14ac:dyDescent="0.3">
      <c r="A17" s="153" t="s">
        <v>257</v>
      </c>
      <c r="B17" s="155">
        <f>IFERROR((B11/B13)*B3,"")</f>
        <v>0</v>
      </c>
      <c r="D17" s="402">
        <f>VLOOKUP(D16,A16:B23,2,FALSE)</f>
        <v>0</v>
      </c>
      <c r="E17" s="403"/>
      <c r="G17" s="324"/>
      <c r="H17" s="324"/>
      <c r="K17" s="366">
        <f>'INFOS BS'!K70</f>
        <v>0</v>
      </c>
      <c r="L17" s="367"/>
      <c r="M17" s="367"/>
      <c r="N17" s="1">
        <v>0</v>
      </c>
      <c r="O17" s="227"/>
      <c r="P17" s="227" t="s">
        <v>329</v>
      </c>
      <c r="Q17" s="231">
        <v>0</v>
      </c>
    </row>
    <row r="18" spans="1:17" x14ac:dyDescent="0.25">
      <c r="A18" s="153" t="s">
        <v>258</v>
      </c>
      <c r="B18" s="155">
        <f>IFERROR((C11/C12)*$B$3,"")</f>
        <v>0</v>
      </c>
      <c r="G18" s="66"/>
      <c r="K18" s="168" t="s">
        <v>312</v>
      </c>
      <c r="L18" s="189"/>
      <c r="M18" s="189"/>
      <c r="N18" s="1"/>
      <c r="O18" s="227"/>
      <c r="P18" s="227"/>
      <c r="Q18" s="231">
        <v>0</v>
      </c>
    </row>
    <row r="19" spans="1:17" x14ac:dyDescent="0.25">
      <c r="A19" s="153" t="s">
        <v>259</v>
      </c>
      <c r="B19" s="155">
        <f>(C11/C13)*$B$3</f>
        <v>0</v>
      </c>
      <c r="K19" s="366" t="s">
        <v>39</v>
      </c>
      <c r="L19" s="353"/>
      <c r="M19" s="353"/>
      <c r="N19" s="1"/>
      <c r="O19" s="227"/>
      <c r="P19" s="227"/>
      <c r="Q19" s="231"/>
    </row>
    <row r="20" spans="1:17" ht="15.75" thickBot="1" x14ac:dyDescent="0.3">
      <c r="A20" s="153" t="s">
        <v>260</v>
      </c>
      <c r="B20" s="155">
        <f>IFERROR((D11/D12)*$B$3,"")</f>
        <v>5000</v>
      </c>
      <c r="D20" s="406"/>
      <c r="E20" s="406"/>
      <c r="K20" s="400" t="s">
        <v>40</v>
      </c>
      <c r="L20" s="401"/>
      <c r="M20" s="401"/>
      <c r="N20" s="1"/>
      <c r="O20" s="227"/>
      <c r="P20" s="227"/>
      <c r="Q20" s="231"/>
    </row>
    <row r="21" spans="1:17" x14ac:dyDescent="0.25">
      <c r="A21" s="153" t="s">
        <v>261</v>
      </c>
      <c r="B21" s="155">
        <f>IFERROR((D11/D13)*$B$3,"")</f>
        <v>192.30769230769232</v>
      </c>
      <c r="D21" s="407" t="s">
        <v>266</v>
      </c>
      <c r="E21" s="408"/>
      <c r="N21" s="185" t="s">
        <v>86</v>
      </c>
      <c r="O21" s="232"/>
      <c r="P21" s="232"/>
      <c r="Q21" s="233">
        <v>1500</v>
      </c>
    </row>
    <row r="22" spans="1:17" x14ac:dyDescent="0.25">
      <c r="A22" s="153" t="s">
        <v>262</v>
      </c>
      <c r="B22" s="155">
        <f>IFERROR((E11/E12)*$B$3,"")</f>
        <v>161.29032258064515</v>
      </c>
      <c r="D22" s="409" t="s">
        <v>256</v>
      </c>
      <c r="E22" s="410"/>
    </row>
    <row r="23" spans="1:17" ht="15.75" thickBot="1" x14ac:dyDescent="0.3">
      <c r="A23" s="153" t="s">
        <v>263</v>
      </c>
      <c r="B23" s="155">
        <f>IFERROR((E11/E13)*$B$3,"")</f>
        <v>166.66666666666666</v>
      </c>
      <c r="D23" s="402">
        <f>VLOOKUP(D22,A16:B23,2,FALSE)</f>
        <v>0</v>
      </c>
      <c r="E23" s="403"/>
    </row>
    <row r="25" spans="1:17" ht="18.75" x14ac:dyDescent="0.3">
      <c r="A25" s="399" t="s">
        <v>326</v>
      </c>
      <c r="B25" s="399"/>
      <c r="C25" s="399"/>
      <c r="D25" s="399"/>
      <c r="E25" s="399"/>
      <c r="F25" s="399"/>
      <c r="G25" s="399"/>
      <c r="H25" s="399"/>
      <c r="I25" s="399"/>
    </row>
    <row r="26" spans="1:17" ht="15.75" thickBot="1" x14ac:dyDescent="0.3"/>
    <row r="27" spans="1:17" ht="15.75" thickBot="1" x14ac:dyDescent="0.3">
      <c r="A27" s="44" t="s">
        <v>304</v>
      </c>
      <c r="B27" s="45" t="s">
        <v>306</v>
      </c>
      <c r="C27" s="45" t="s">
        <v>307</v>
      </c>
      <c r="D27" s="45" t="s">
        <v>309</v>
      </c>
      <c r="E27" s="45" t="s">
        <v>308</v>
      </c>
      <c r="F27" s="45"/>
      <c r="G27" s="46"/>
    </row>
    <row r="28" spans="1:17" ht="15.75" thickBot="1" x14ac:dyDescent="0.3">
      <c r="A28" s="38"/>
      <c r="B28" s="328">
        <v>0</v>
      </c>
      <c r="C28" s="204">
        <f>+C11</f>
        <v>0</v>
      </c>
      <c r="D28" s="327">
        <f>C12</f>
        <v>23</v>
      </c>
      <c r="E28" s="2"/>
      <c r="F28" s="2"/>
      <c r="G28" s="326">
        <f>B28*C28/D28</f>
        <v>0</v>
      </c>
    </row>
    <row r="29" spans="1:17" ht="15.75" thickBot="1" x14ac:dyDescent="0.3">
      <c r="A29" s="28"/>
      <c r="B29" s="20"/>
      <c r="C29" s="20"/>
      <c r="D29" s="20"/>
      <c r="E29" s="20"/>
      <c r="F29" s="20"/>
      <c r="G29" s="22"/>
      <c r="H29" t="s">
        <v>337</v>
      </c>
    </row>
    <row r="30" spans="1:17" ht="15.75" thickBot="1" x14ac:dyDescent="0.3">
      <c r="H30" s="330">
        <f>IF(G28&gt;G32,G28,G32)</f>
        <v>0</v>
      </c>
    </row>
    <row r="31" spans="1:17" ht="15.75" thickBot="1" x14ac:dyDescent="0.3">
      <c r="A31" s="44" t="s">
        <v>305</v>
      </c>
      <c r="B31" s="45" t="s">
        <v>310</v>
      </c>
      <c r="C31" s="45"/>
      <c r="D31" s="45"/>
      <c r="E31" s="45" t="s">
        <v>406</v>
      </c>
      <c r="F31" s="45"/>
      <c r="G31" s="46"/>
    </row>
    <row r="32" spans="1:17" ht="15.75" thickBot="1" x14ac:dyDescent="0.3">
      <c r="A32" s="38"/>
      <c r="B32" s="329">
        <v>0</v>
      </c>
      <c r="C32" s="327">
        <v>10</v>
      </c>
      <c r="D32" s="327">
        <v>30</v>
      </c>
      <c r="E32" s="204"/>
      <c r="F32" s="2"/>
      <c r="G32" s="326">
        <f>B32/C32/D32*E32</f>
        <v>0</v>
      </c>
    </row>
    <row r="33" spans="1:9" x14ac:dyDescent="0.25">
      <c r="A33" s="38"/>
      <c r="B33" s="2"/>
      <c r="C33" s="2"/>
      <c r="D33" s="2"/>
      <c r="E33" s="2"/>
      <c r="F33" s="2"/>
      <c r="G33" s="18"/>
    </row>
    <row r="34" spans="1:9" ht="15.75" thickBot="1" x14ac:dyDescent="0.3">
      <c r="A34" s="28"/>
      <c r="B34" s="20"/>
      <c r="C34" s="20"/>
      <c r="D34" s="20"/>
      <c r="E34" s="20"/>
      <c r="F34" s="20"/>
      <c r="G34" s="22"/>
    </row>
    <row r="38" spans="1:9" ht="18.75" x14ac:dyDescent="0.3">
      <c r="A38" s="399" t="s">
        <v>330</v>
      </c>
      <c r="B38" s="399"/>
      <c r="C38" s="399"/>
      <c r="D38" s="399"/>
      <c r="E38" s="399"/>
      <c r="F38" s="399"/>
      <c r="G38" s="399"/>
      <c r="H38" s="399"/>
      <c r="I38" s="399"/>
    </row>
    <row r="40" spans="1:9" x14ac:dyDescent="0.25">
      <c r="A40" s="183" t="s">
        <v>116</v>
      </c>
      <c r="B40" t="s">
        <v>332</v>
      </c>
      <c r="D40" t="s">
        <v>331</v>
      </c>
    </row>
    <row r="41" spans="1:9" x14ac:dyDescent="0.25">
      <c r="D41" s="220">
        <v>0</v>
      </c>
    </row>
    <row r="42" spans="1:9" x14ac:dyDescent="0.25">
      <c r="D42" s="220">
        <v>0</v>
      </c>
    </row>
    <row r="43" spans="1:9" x14ac:dyDescent="0.25">
      <c r="D43" s="220">
        <v>0</v>
      </c>
    </row>
    <row r="44" spans="1:9" x14ac:dyDescent="0.25">
      <c r="D44" s="220">
        <v>0</v>
      </c>
    </row>
    <row r="45" spans="1:9" x14ac:dyDescent="0.25">
      <c r="D45" s="220">
        <f>SUM(D41:D44)</f>
        <v>0</v>
      </c>
    </row>
    <row r="46" spans="1:9" x14ac:dyDescent="0.25">
      <c r="C46" s="171">
        <v>0.1</v>
      </c>
    </row>
    <row r="47" spans="1:9" x14ac:dyDescent="0.25">
      <c r="D47" s="220">
        <f>D45*C46</f>
        <v>0</v>
      </c>
    </row>
    <row r="49" spans="1:7" x14ac:dyDescent="0.25">
      <c r="A49" s="183" t="s">
        <v>326</v>
      </c>
    </row>
    <row r="50" spans="1:7" ht="15.75" thickBot="1" x14ac:dyDescent="0.3"/>
    <row r="51" spans="1:7" ht="15.75" thickBot="1" x14ac:dyDescent="0.3">
      <c r="A51" s="44" t="s">
        <v>304</v>
      </c>
      <c r="B51" s="45" t="s">
        <v>306</v>
      </c>
      <c r="C51" s="45" t="s">
        <v>307</v>
      </c>
      <c r="D51" s="45" t="s">
        <v>309</v>
      </c>
      <c r="E51" s="45" t="s">
        <v>308</v>
      </c>
      <c r="F51" s="45"/>
      <c r="G51" s="46"/>
    </row>
    <row r="52" spans="1:7" ht="15.75" thickBot="1" x14ac:dyDescent="0.3">
      <c r="A52" s="38"/>
      <c r="B52" s="204"/>
      <c r="C52" s="2"/>
      <c r="D52" s="2">
        <f>C12</f>
        <v>23</v>
      </c>
      <c r="E52" s="2"/>
      <c r="F52" s="2"/>
      <c r="G52" s="18"/>
    </row>
    <row r="53" spans="1:7" ht="15.75" thickBot="1" x14ac:dyDescent="0.3">
      <c r="A53" s="28"/>
      <c r="B53" s="20"/>
      <c r="C53" s="20"/>
      <c r="D53" s="20"/>
      <c r="E53" s="20"/>
      <c r="F53" s="20"/>
      <c r="G53" s="22"/>
    </row>
    <row r="54" spans="1:7" ht="15.75" thickBot="1" x14ac:dyDescent="0.3"/>
    <row r="55" spans="1:7" x14ac:dyDescent="0.25">
      <c r="A55" s="44" t="s">
        <v>305</v>
      </c>
      <c r="B55" s="45" t="s">
        <v>310</v>
      </c>
      <c r="C55" s="45"/>
      <c r="D55" s="45" t="s">
        <v>309</v>
      </c>
      <c r="E55" s="45" t="s">
        <v>308</v>
      </c>
      <c r="F55" s="45"/>
      <c r="G55" s="46"/>
    </row>
    <row r="56" spans="1:7" ht="15.75" thickBot="1" x14ac:dyDescent="0.3">
      <c r="A56" s="38"/>
      <c r="B56" s="2"/>
      <c r="C56" s="2">
        <v>10</v>
      </c>
      <c r="D56" s="2">
        <f>C12</f>
        <v>23</v>
      </c>
      <c r="E56" s="2"/>
      <c r="F56" s="2"/>
      <c r="G56" s="18"/>
    </row>
    <row r="57" spans="1:7" ht="15.75" thickBot="1" x14ac:dyDescent="0.3">
      <c r="A57" s="38"/>
      <c r="B57" s="204"/>
      <c r="C57" s="2"/>
      <c r="D57" s="2"/>
      <c r="E57" s="2"/>
      <c r="F57" s="2"/>
      <c r="G57" s="18"/>
    </row>
    <row r="58" spans="1:7" ht="15.75" thickBot="1" x14ac:dyDescent="0.3">
      <c r="A58" s="28"/>
      <c r="B58" s="20"/>
      <c r="C58" s="20"/>
      <c r="D58" s="20"/>
      <c r="E58" s="20"/>
      <c r="F58" s="20"/>
      <c r="G58" s="22"/>
    </row>
  </sheetData>
  <mergeCells count="35">
    <mergeCell ref="A1:I1"/>
    <mergeCell ref="A5:B5"/>
    <mergeCell ref="F5:G5"/>
    <mergeCell ref="F6:G6"/>
    <mergeCell ref="A15:B15"/>
    <mergeCell ref="D15:E15"/>
    <mergeCell ref="F11:G11"/>
    <mergeCell ref="F12:G12"/>
    <mergeCell ref="G14:H14"/>
    <mergeCell ref="K1:S1"/>
    <mergeCell ref="K3:M3"/>
    <mergeCell ref="K4:M4"/>
    <mergeCell ref="K5:M5"/>
    <mergeCell ref="K6:L6"/>
    <mergeCell ref="K7:M7"/>
    <mergeCell ref="K8:M8"/>
    <mergeCell ref="K9:M9"/>
    <mergeCell ref="K10:M10"/>
    <mergeCell ref="K11:M11"/>
    <mergeCell ref="A38:I38"/>
    <mergeCell ref="K17:M17"/>
    <mergeCell ref="K19:M19"/>
    <mergeCell ref="K20:M20"/>
    <mergeCell ref="K12:M12"/>
    <mergeCell ref="K13:M13"/>
    <mergeCell ref="K14:M14"/>
    <mergeCell ref="K15:M15"/>
    <mergeCell ref="K16:M16"/>
    <mergeCell ref="A25:I25"/>
    <mergeCell ref="D23:E23"/>
    <mergeCell ref="D16:E16"/>
    <mergeCell ref="D17:E17"/>
    <mergeCell ref="D20:E20"/>
    <mergeCell ref="D21:E21"/>
    <mergeCell ref="D22:E22"/>
  </mergeCells>
  <conditionalFormatting sqref="D27:E27">
    <cfRule type="cellIs" dxfId="12" priority="4" operator="equal">
      <formula>"Nb J Ouvrés"</formula>
    </cfRule>
  </conditionalFormatting>
  <conditionalFormatting sqref="D31:E31">
    <cfRule type="cellIs" dxfId="11" priority="3" operator="equal">
      <formula>"Nb J Ouvrés"</formula>
    </cfRule>
  </conditionalFormatting>
  <conditionalFormatting sqref="D55:E55">
    <cfRule type="cellIs" dxfId="10" priority="1" operator="equal">
      <formula>"Nb J Ouvrés"</formula>
    </cfRule>
  </conditionalFormatting>
  <conditionalFormatting sqref="D51:E51">
    <cfRule type="cellIs" dxfId="9" priority="2" operator="equal">
      <formula>"Nb J Ouvrés"</formula>
    </cfRule>
  </conditionalFormatting>
  <dataValidations count="1">
    <dataValidation type="list" allowBlank="1" showInputMessage="1" showErrorMessage="1" sqref="D22:E22">
      <formula1>$A$16:$A$23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Liste!$A$27:$A$34</xm:f>
          </x14:formula1>
          <xm:sqref>D16:E16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S58"/>
  <sheetViews>
    <sheetView topLeftCell="A20" workbookViewId="0">
      <selection activeCell="D12" sqref="D12"/>
    </sheetView>
  </sheetViews>
  <sheetFormatPr baseColWidth="10" defaultRowHeight="15" x14ac:dyDescent="0.25"/>
  <cols>
    <col min="1" max="1" width="20.5703125" bestFit="1" customWidth="1"/>
    <col min="2" max="2" width="12.5703125" customWidth="1"/>
    <col min="4" max="4" width="11.85546875" customWidth="1"/>
    <col min="5" max="5" width="13.28515625" bestFit="1" customWidth="1"/>
    <col min="6" max="6" width="16" customWidth="1"/>
    <col min="10" max="10" width="3" style="183" customWidth="1"/>
    <col min="15" max="15" width="12.5703125" bestFit="1" customWidth="1"/>
    <col min="16" max="16" width="13.28515625" bestFit="1" customWidth="1"/>
    <col min="17" max="17" width="15" customWidth="1"/>
  </cols>
  <sheetData>
    <row r="1" spans="1:19" ht="18.75" x14ac:dyDescent="0.3">
      <c r="A1" s="399" t="s">
        <v>336</v>
      </c>
      <c r="B1" s="399"/>
      <c r="C1" s="399"/>
      <c r="D1" s="399"/>
      <c r="E1" s="399"/>
      <c r="F1" s="399"/>
      <c r="G1" s="399"/>
      <c r="H1" s="399"/>
      <c r="I1" s="399"/>
      <c r="K1" s="399" t="s">
        <v>328</v>
      </c>
      <c r="L1" s="399" t="s">
        <v>327</v>
      </c>
      <c r="M1" s="399"/>
      <c r="N1" s="399"/>
      <c r="O1" s="399"/>
      <c r="P1" s="399"/>
      <c r="Q1" s="399"/>
      <c r="R1" s="399"/>
      <c r="S1" s="399"/>
    </row>
    <row r="3" spans="1:19" x14ac:dyDescent="0.25">
      <c r="A3" s="137" t="s">
        <v>217</v>
      </c>
      <c r="B3" s="66">
        <f>'INFOS BS'!B25</f>
        <v>5000</v>
      </c>
      <c r="K3" s="373" t="s">
        <v>28</v>
      </c>
      <c r="L3" s="374"/>
      <c r="M3" s="374"/>
      <c r="N3" s="159"/>
      <c r="O3" s="229">
        <v>151.66666666666666</v>
      </c>
      <c r="P3" s="229">
        <v>9.8901098901098905</v>
      </c>
      <c r="Q3" s="230">
        <v>1500</v>
      </c>
    </row>
    <row r="4" spans="1:19" x14ac:dyDescent="0.25">
      <c r="K4" s="366" t="s">
        <v>29</v>
      </c>
      <c r="L4" s="353"/>
      <c r="M4" s="353"/>
      <c r="N4" s="1"/>
      <c r="O4" s="227">
        <v>0</v>
      </c>
      <c r="P4" s="227"/>
      <c r="Q4" s="231">
        <v>0</v>
      </c>
    </row>
    <row r="5" spans="1:19" x14ac:dyDescent="0.25">
      <c r="A5" s="411" t="s">
        <v>218</v>
      </c>
      <c r="B5" s="411"/>
      <c r="D5" t="s">
        <v>219</v>
      </c>
      <c r="F5" s="412" t="s">
        <v>220</v>
      </c>
      <c r="G5" s="412"/>
      <c r="H5" s="138">
        <f>Nb_H_Sem</f>
        <v>35</v>
      </c>
      <c r="K5" s="366" t="s">
        <v>30</v>
      </c>
      <c r="L5" s="353"/>
      <c r="M5" s="353"/>
      <c r="N5" s="1">
        <v>0</v>
      </c>
      <c r="O5" s="227"/>
      <c r="P5" s="227"/>
      <c r="Q5" s="231"/>
    </row>
    <row r="6" spans="1:19" x14ac:dyDescent="0.25">
      <c r="A6" s="137" t="s">
        <v>112</v>
      </c>
      <c r="B6" s="237">
        <f>Début_CP</f>
        <v>0</v>
      </c>
      <c r="D6" s="237">
        <v>42887</v>
      </c>
      <c r="F6" s="412" t="s">
        <v>221</v>
      </c>
      <c r="G6" s="406"/>
      <c r="H6" s="138">
        <f>Nb_J_Sem</f>
        <v>5</v>
      </c>
      <c r="K6" s="366" t="s">
        <v>36</v>
      </c>
      <c r="L6" s="367"/>
      <c r="M6" s="191"/>
      <c r="N6" s="1"/>
      <c r="O6" s="227">
        <v>0</v>
      </c>
      <c r="P6" s="227">
        <v>10.87912087912088</v>
      </c>
      <c r="Q6" s="231">
        <v>0</v>
      </c>
    </row>
    <row r="7" spans="1:19" x14ac:dyDescent="0.25">
      <c r="A7" s="137" t="s">
        <v>113</v>
      </c>
      <c r="B7" s="237">
        <f>Fin_CP</f>
        <v>0</v>
      </c>
      <c r="D7" s="237">
        <f>EOMONTH(D6,0)</f>
        <v>42916</v>
      </c>
      <c r="K7" s="366" t="s">
        <v>303</v>
      </c>
      <c r="L7" s="353"/>
      <c r="M7" s="353"/>
      <c r="N7" s="1"/>
      <c r="O7" s="227">
        <v>0</v>
      </c>
      <c r="P7" s="227">
        <v>12.362637362637363</v>
      </c>
      <c r="Q7" s="231">
        <v>0</v>
      </c>
    </row>
    <row r="8" spans="1:19" x14ac:dyDescent="0.25">
      <c r="B8" s="235"/>
      <c r="D8" s="136"/>
      <c r="K8" s="366" t="s">
        <v>37</v>
      </c>
      <c r="L8" s="353"/>
      <c r="M8" s="353"/>
      <c r="N8" s="1"/>
      <c r="O8" s="227">
        <v>0</v>
      </c>
      <c r="P8" s="227">
        <v>12.362637362637363</v>
      </c>
      <c r="Q8" s="231">
        <v>0</v>
      </c>
    </row>
    <row r="9" spans="1:19" x14ac:dyDescent="0.25">
      <c r="B9" s="235"/>
      <c r="D9" s="136"/>
      <c r="K9" s="366" t="s">
        <v>38</v>
      </c>
      <c r="L9" s="353"/>
      <c r="M9" s="353"/>
      <c r="N9" s="1"/>
      <c r="O9" s="227">
        <v>0</v>
      </c>
      <c r="P9" s="227">
        <v>14.835164835164836</v>
      </c>
      <c r="Q9" s="231">
        <v>0</v>
      </c>
    </row>
    <row r="10" spans="1:19" x14ac:dyDescent="0.25">
      <c r="A10" s="153"/>
      <c r="B10" s="153" t="s">
        <v>225</v>
      </c>
      <c r="C10" s="153" t="s">
        <v>226</v>
      </c>
      <c r="D10" s="153" t="s">
        <v>227</v>
      </c>
      <c r="E10" s="153" t="s">
        <v>228</v>
      </c>
      <c r="F10" s="153" t="s">
        <v>267</v>
      </c>
      <c r="G10" s="153"/>
      <c r="K10" s="366" t="s">
        <v>31</v>
      </c>
      <c r="L10" s="353"/>
      <c r="M10" s="353"/>
      <c r="N10" s="1"/>
      <c r="O10" s="227"/>
      <c r="P10" s="227"/>
      <c r="Q10" s="231">
        <v>0</v>
      </c>
    </row>
    <row r="11" spans="1:19" x14ac:dyDescent="0.25">
      <c r="A11" s="170" t="s">
        <v>222</v>
      </c>
      <c r="B11" s="170">
        <f>C11*7</f>
        <v>0</v>
      </c>
      <c r="C11" s="170">
        <f>NETWORKDAYS(B6,B7)</f>
        <v>0</v>
      </c>
      <c r="D11" s="170">
        <f>B7-B6-INT((B7-B6-IF(WEEKDAY(B7)=1,0,8-WEEKDAY(B6)))/7)</f>
        <v>1</v>
      </c>
      <c r="E11" s="154">
        <f>_xlfn.DAYS(B7,B6)+1</f>
        <v>1</v>
      </c>
      <c r="F11" s="416">
        <f>D7-D6-INT(((D7-D6-IF(WEEKDAY(D7)=1,0,8-WEEKDAY(D6)))/7-SUMPRODUCT((JourFériés&gt;=D6)*(JourFériés&lt;=D7)*(WEEKDAY(JourFériés)&lt;&gt;1))))</f>
        <v>27</v>
      </c>
      <c r="G11" s="417"/>
      <c r="K11" s="366" t="s">
        <v>320</v>
      </c>
      <c r="L11" s="353"/>
      <c r="M11" s="353"/>
      <c r="N11" s="1"/>
      <c r="O11" s="227"/>
      <c r="P11" s="227"/>
      <c r="Q11" s="231">
        <v>0</v>
      </c>
    </row>
    <row r="12" spans="1:19" x14ac:dyDescent="0.25">
      <c r="A12" s="153" t="s">
        <v>223</v>
      </c>
      <c r="B12" s="170">
        <f>C12*7</f>
        <v>154</v>
      </c>
      <c r="C12" s="170">
        <f>NETWORKDAYS(D6,D7)</f>
        <v>22</v>
      </c>
      <c r="D12" s="154">
        <f>D7-D6-INT(((D7-D6-IF(WEEKDAY(D7)=1,0,8-WEEKDAY(D6))/7)))</f>
        <v>1</v>
      </c>
      <c r="E12" s="154">
        <f>_xlfn.DAYS(D7,D6)+1</f>
        <v>30</v>
      </c>
      <c r="K12" s="366">
        <f>'INFOS BS'!K21</f>
        <v>0</v>
      </c>
      <c r="L12" s="353"/>
      <c r="M12" s="353"/>
      <c r="N12" s="1"/>
      <c r="O12" s="227"/>
      <c r="P12" s="227"/>
      <c r="Q12" s="231">
        <v>0</v>
      </c>
    </row>
    <row r="13" spans="1:19" x14ac:dyDescent="0.25">
      <c r="A13" s="153" t="s">
        <v>224</v>
      </c>
      <c r="B13" s="170">
        <f>ROUND(H5*52/12,2)</f>
        <v>151.66999999999999</v>
      </c>
      <c r="C13" s="170">
        <f>ROUND(H6*52/12,2)</f>
        <v>21.67</v>
      </c>
      <c r="D13" s="170">
        <f>(H6+1)*52/12</f>
        <v>26</v>
      </c>
      <c r="E13" s="170">
        <f>ROUNDDOWN(((H6+2)*52/12),0)</f>
        <v>30</v>
      </c>
      <c r="K13" s="366" t="s">
        <v>32</v>
      </c>
      <c r="L13" s="353"/>
      <c r="M13" s="353"/>
      <c r="N13" s="1"/>
      <c r="O13" s="227"/>
      <c r="P13" s="227"/>
      <c r="Q13" s="231"/>
    </row>
    <row r="14" spans="1:19" ht="15.75" thickBot="1" x14ac:dyDescent="0.3">
      <c r="K14" s="366" t="s">
        <v>34</v>
      </c>
      <c r="L14" s="353"/>
      <c r="M14" s="353"/>
      <c r="N14" s="1"/>
      <c r="O14" s="227"/>
      <c r="P14" s="227"/>
      <c r="Q14" s="231"/>
    </row>
    <row r="15" spans="1:19" x14ac:dyDescent="0.25">
      <c r="A15" s="413" t="s">
        <v>255</v>
      </c>
      <c r="B15" s="395"/>
      <c r="D15" s="414" t="s">
        <v>265</v>
      </c>
      <c r="E15" s="415"/>
      <c r="K15" s="366" t="s">
        <v>35</v>
      </c>
      <c r="L15" s="353"/>
      <c r="M15" s="353"/>
      <c r="N15" s="1"/>
      <c r="O15" s="227"/>
      <c r="P15" s="227"/>
      <c r="Q15" s="231"/>
    </row>
    <row r="16" spans="1:19" x14ac:dyDescent="0.25">
      <c r="A16" s="153" t="s">
        <v>256</v>
      </c>
      <c r="B16" s="155">
        <f>IF(B11=0,0,B11*B3/B12)</f>
        <v>0</v>
      </c>
      <c r="D16" s="404" t="s">
        <v>258</v>
      </c>
      <c r="E16" s="405"/>
      <c r="K16" s="366" t="s">
        <v>311</v>
      </c>
      <c r="L16" s="353"/>
      <c r="M16" s="353"/>
      <c r="N16" s="1">
        <v>0</v>
      </c>
      <c r="O16" s="227"/>
      <c r="P16" s="227" t="s">
        <v>329</v>
      </c>
      <c r="Q16" s="231">
        <v>0</v>
      </c>
    </row>
    <row r="17" spans="1:17" ht="15.75" thickBot="1" x14ac:dyDescent="0.3">
      <c r="A17" s="153" t="s">
        <v>257</v>
      </c>
      <c r="B17" s="155">
        <f>IFERROR((B11/B13)*B3,"")</f>
        <v>0</v>
      </c>
      <c r="D17" s="402">
        <f>VLOOKUP(D16,A16:B23,2,FALSE)</f>
        <v>0</v>
      </c>
      <c r="E17" s="403"/>
      <c r="K17" s="366">
        <f>'INFOS BS'!K70</f>
        <v>0</v>
      </c>
      <c r="L17" s="367"/>
      <c r="M17" s="367"/>
      <c r="N17" s="1">
        <v>0</v>
      </c>
      <c r="O17" s="227"/>
      <c r="P17" s="227" t="s">
        <v>329</v>
      </c>
      <c r="Q17" s="231">
        <v>0</v>
      </c>
    </row>
    <row r="18" spans="1:17" x14ac:dyDescent="0.25">
      <c r="A18" s="153" t="s">
        <v>258</v>
      </c>
      <c r="B18" s="155">
        <f>IFERROR((C11/C12)*$B$3,"")</f>
        <v>0</v>
      </c>
      <c r="G18" s="66"/>
      <c r="K18" s="168" t="s">
        <v>312</v>
      </c>
      <c r="L18" s="189"/>
      <c r="M18" s="189"/>
      <c r="N18" s="1"/>
      <c r="O18" s="227"/>
      <c r="P18" s="227"/>
      <c r="Q18" s="231">
        <v>0</v>
      </c>
    </row>
    <row r="19" spans="1:17" x14ac:dyDescent="0.25">
      <c r="A19" s="153" t="s">
        <v>259</v>
      </c>
      <c r="B19" s="155">
        <f>(C11/C13)*$B$3</f>
        <v>0</v>
      </c>
      <c r="K19" s="366" t="s">
        <v>39</v>
      </c>
      <c r="L19" s="353"/>
      <c r="M19" s="353"/>
      <c r="N19" s="1"/>
      <c r="O19" s="227"/>
      <c r="P19" s="227"/>
      <c r="Q19" s="231"/>
    </row>
    <row r="20" spans="1:17" ht="15.75" thickBot="1" x14ac:dyDescent="0.3">
      <c r="A20" s="153" t="s">
        <v>260</v>
      </c>
      <c r="B20" s="251">
        <f>IFERROR((D11/D13)*$B$3,"")</f>
        <v>192.30769230769232</v>
      </c>
      <c r="D20" s="406"/>
      <c r="E20" s="406"/>
      <c r="K20" s="400" t="s">
        <v>40</v>
      </c>
      <c r="L20" s="401"/>
      <c r="M20" s="401"/>
      <c r="N20" s="1"/>
      <c r="O20" s="227"/>
      <c r="P20" s="227"/>
      <c r="Q20" s="231"/>
    </row>
    <row r="21" spans="1:17" x14ac:dyDescent="0.25">
      <c r="A21" s="153" t="s">
        <v>261</v>
      </c>
      <c r="B21" s="155">
        <f>IFERROR((D11/D13)*$B$3,"")</f>
        <v>192.30769230769232</v>
      </c>
      <c r="D21" s="407" t="s">
        <v>266</v>
      </c>
      <c r="E21" s="408"/>
      <c r="N21" s="185" t="s">
        <v>86</v>
      </c>
      <c r="O21" s="232"/>
      <c r="P21" s="232"/>
      <c r="Q21" s="233">
        <v>1500</v>
      </c>
    </row>
    <row r="22" spans="1:17" x14ac:dyDescent="0.25">
      <c r="A22" s="153" t="s">
        <v>262</v>
      </c>
      <c r="B22" s="155">
        <f>IFERROR((E11/E12)*$B$3,"")</f>
        <v>166.66666666666666</v>
      </c>
      <c r="D22" s="409" t="s">
        <v>256</v>
      </c>
      <c r="E22" s="410"/>
    </row>
    <row r="23" spans="1:17" ht="15.75" thickBot="1" x14ac:dyDescent="0.3">
      <c r="A23" s="153" t="s">
        <v>263</v>
      </c>
      <c r="B23" s="155">
        <f>IFERROR((E11/E13)*$B$3,"")</f>
        <v>166.66666666666666</v>
      </c>
      <c r="D23" s="402">
        <f>VLOOKUP(D22,A16:B23,2,FALSE)</f>
        <v>0</v>
      </c>
      <c r="E23" s="403"/>
    </row>
    <row r="25" spans="1:17" ht="18.75" x14ac:dyDescent="0.3">
      <c r="A25" s="399" t="s">
        <v>326</v>
      </c>
      <c r="B25" s="399"/>
      <c r="C25" s="399"/>
      <c r="D25" s="399"/>
      <c r="E25" s="399"/>
      <c r="F25" s="399"/>
      <c r="G25" s="399"/>
      <c r="H25" s="399"/>
      <c r="I25" s="399"/>
    </row>
    <row r="26" spans="1:17" ht="15.75" thickBot="1" x14ac:dyDescent="0.3"/>
    <row r="27" spans="1:17" x14ac:dyDescent="0.25">
      <c r="A27" s="44" t="s">
        <v>304</v>
      </c>
      <c r="B27" s="45" t="s">
        <v>306</v>
      </c>
      <c r="C27" s="45" t="s">
        <v>307</v>
      </c>
      <c r="D27" s="45" t="s">
        <v>309</v>
      </c>
      <c r="E27" s="45" t="s">
        <v>308</v>
      </c>
      <c r="F27" s="45"/>
      <c r="G27" s="46"/>
    </row>
    <row r="28" spans="1:17" x14ac:dyDescent="0.25">
      <c r="A28" s="38"/>
      <c r="B28" s="2"/>
      <c r="C28" s="2">
        <f>+C11</f>
        <v>0</v>
      </c>
      <c r="D28" s="2">
        <f>C12</f>
        <v>22</v>
      </c>
      <c r="E28" s="2"/>
      <c r="F28" s="2"/>
      <c r="G28" s="18"/>
    </row>
    <row r="29" spans="1:17" ht="15.75" thickBot="1" x14ac:dyDescent="0.3">
      <c r="A29" s="28"/>
      <c r="B29" s="20"/>
      <c r="C29" s="20"/>
      <c r="D29" s="20"/>
      <c r="E29" s="20"/>
      <c r="F29" s="20"/>
      <c r="G29" s="22"/>
    </row>
    <row r="30" spans="1:17" ht="15.75" thickBot="1" x14ac:dyDescent="0.3"/>
    <row r="31" spans="1:17" x14ac:dyDescent="0.25">
      <c r="A31" s="44" t="s">
        <v>305</v>
      </c>
      <c r="B31" s="45" t="s">
        <v>310</v>
      </c>
      <c r="C31" s="45"/>
      <c r="D31" s="45" t="s">
        <v>309</v>
      </c>
      <c r="E31" s="45" t="s">
        <v>308</v>
      </c>
      <c r="F31" s="45"/>
      <c r="G31" s="46"/>
      <c r="H31" t="s">
        <v>337</v>
      </c>
    </row>
    <row r="32" spans="1:17" x14ac:dyDescent="0.25">
      <c r="A32" s="38"/>
      <c r="B32" s="2"/>
      <c r="C32" s="2">
        <v>10</v>
      </c>
      <c r="D32" s="2">
        <f>C12</f>
        <v>22</v>
      </c>
      <c r="E32" s="2"/>
      <c r="F32" s="2"/>
      <c r="G32" s="18"/>
      <c r="H32" s="220">
        <v>0</v>
      </c>
    </row>
    <row r="33" spans="1:9" x14ac:dyDescent="0.25">
      <c r="A33" s="38"/>
      <c r="B33" s="2"/>
      <c r="C33" s="2"/>
      <c r="D33" s="2"/>
      <c r="E33" s="2"/>
      <c r="F33" s="2"/>
      <c r="G33" s="18"/>
    </row>
    <row r="34" spans="1:9" ht="15.75" thickBot="1" x14ac:dyDescent="0.3">
      <c r="A34" s="28"/>
      <c r="B34" s="20"/>
      <c r="C34" s="20"/>
      <c r="D34" s="20"/>
      <c r="E34" s="20"/>
      <c r="F34" s="20"/>
      <c r="G34" s="22"/>
    </row>
    <row r="38" spans="1:9" ht="18.75" x14ac:dyDescent="0.3">
      <c r="A38" s="399" t="s">
        <v>330</v>
      </c>
      <c r="B38" s="399"/>
      <c r="C38" s="399"/>
      <c r="D38" s="399"/>
      <c r="E38" s="399"/>
      <c r="F38" s="399"/>
      <c r="G38" s="399"/>
      <c r="H38" s="399"/>
      <c r="I38" s="399"/>
    </row>
    <row r="40" spans="1:9" x14ac:dyDescent="0.25">
      <c r="A40" s="183" t="s">
        <v>116</v>
      </c>
      <c r="B40" t="s">
        <v>332</v>
      </c>
      <c r="D40" t="s">
        <v>331</v>
      </c>
    </row>
    <row r="41" spans="1:9" x14ac:dyDescent="0.25">
      <c r="D41" s="220">
        <v>0</v>
      </c>
    </row>
    <row r="42" spans="1:9" x14ac:dyDescent="0.25">
      <c r="D42" s="220">
        <v>0</v>
      </c>
    </row>
    <row r="43" spans="1:9" x14ac:dyDescent="0.25">
      <c r="D43" s="220">
        <v>0</v>
      </c>
    </row>
    <row r="44" spans="1:9" x14ac:dyDescent="0.25">
      <c r="D44" s="220">
        <v>0</v>
      </c>
    </row>
    <row r="45" spans="1:9" x14ac:dyDescent="0.25">
      <c r="D45" s="220">
        <f>SUM(D41:D44)</f>
        <v>0</v>
      </c>
    </row>
    <row r="46" spans="1:9" x14ac:dyDescent="0.25">
      <c r="C46" s="171">
        <v>0.1</v>
      </c>
    </row>
    <row r="47" spans="1:9" x14ac:dyDescent="0.25">
      <c r="D47" s="220">
        <f>D45*C46</f>
        <v>0</v>
      </c>
    </row>
    <row r="49" spans="1:8" x14ac:dyDescent="0.25">
      <c r="A49" s="183" t="s">
        <v>326</v>
      </c>
    </row>
    <row r="50" spans="1:8" ht="15.75" thickBot="1" x14ac:dyDescent="0.3"/>
    <row r="51" spans="1:8" ht="15.75" thickBot="1" x14ac:dyDescent="0.3">
      <c r="A51" s="44" t="s">
        <v>304</v>
      </c>
      <c r="B51" s="45" t="s">
        <v>306</v>
      </c>
      <c r="C51" s="45" t="s">
        <v>307</v>
      </c>
      <c r="D51" s="45" t="s">
        <v>309</v>
      </c>
      <c r="E51" s="45" t="s">
        <v>308</v>
      </c>
      <c r="F51" s="45"/>
      <c r="G51" s="46"/>
    </row>
    <row r="52" spans="1:8" ht="15.75" thickBot="1" x14ac:dyDescent="0.3">
      <c r="A52" s="38"/>
      <c r="B52" s="204"/>
      <c r="C52" s="2"/>
      <c r="D52" s="2">
        <f>C12</f>
        <v>22</v>
      </c>
      <c r="E52" s="2"/>
      <c r="F52" s="2"/>
      <c r="G52" s="18"/>
    </row>
    <row r="53" spans="1:8" ht="15.75" thickBot="1" x14ac:dyDescent="0.3">
      <c r="A53" s="28"/>
      <c r="B53" s="20"/>
      <c r="C53" s="20"/>
      <c r="D53" s="20"/>
      <c r="E53" s="20"/>
      <c r="F53" s="20"/>
      <c r="G53" s="22"/>
    </row>
    <row r="54" spans="1:8" ht="15.75" thickBot="1" x14ac:dyDescent="0.3"/>
    <row r="55" spans="1:8" x14ac:dyDescent="0.25">
      <c r="A55" s="44" t="s">
        <v>305</v>
      </c>
      <c r="B55" s="45" t="s">
        <v>310</v>
      </c>
      <c r="C55" s="45"/>
      <c r="D55" s="45" t="s">
        <v>309</v>
      </c>
      <c r="E55" s="45" t="s">
        <v>308</v>
      </c>
      <c r="F55" s="45"/>
      <c r="G55" s="46"/>
      <c r="H55" s="183" t="s">
        <v>115</v>
      </c>
    </row>
    <row r="56" spans="1:8" ht="15.75" thickBot="1" x14ac:dyDescent="0.3">
      <c r="A56" s="38"/>
      <c r="B56" s="2"/>
      <c r="C56" s="2">
        <v>10</v>
      </c>
      <c r="D56" s="2">
        <f>C12</f>
        <v>22</v>
      </c>
      <c r="E56" s="2"/>
      <c r="F56" s="2"/>
      <c r="G56" s="18"/>
      <c r="H56" s="250">
        <v>0</v>
      </c>
    </row>
    <row r="57" spans="1:8" ht="15.75" thickBot="1" x14ac:dyDescent="0.3">
      <c r="A57" s="38"/>
      <c r="B57" s="204"/>
      <c r="C57" s="2"/>
      <c r="D57" s="2"/>
      <c r="E57" s="2"/>
      <c r="F57" s="2"/>
      <c r="G57" s="18"/>
      <c r="H57" s="220"/>
    </row>
    <row r="58" spans="1:8" ht="15.75" thickBot="1" x14ac:dyDescent="0.3">
      <c r="A58" s="28"/>
      <c r="B58" s="20"/>
      <c r="C58" s="20"/>
      <c r="D58" s="20"/>
      <c r="E58" s="20"/>
      <c r="F58" s="20"/>
      <c r="G58" s="22"/>
    </row>
  </sheetData>
  <mergeCells count="33">
    <mergeCell ref="A1:I1"/>
    <mergeCell ref="K1:S1"/>
    <mergeCell ref="K3:M3"/>
    <mergeCell ref="K4:M4"/>
    <mergeCell ref="A5:B5"/>
    <mergeCell ref="F5:G5"/>
    <mergeCell ref="K5:M5"/>
    <mergeCell ref="A15:B15"/>
    <mergeCell ref="D15:E15"/>
    <mergeCell ref="K15:M15"/>
    <mergeCell ref="F6:G6"/>
    <mergeCell ref="K6:L6"/>
    <mergeCell ref="K7:M7"/>
    <mergeCell ref="K8:M8"/>
    <mergeCell ref="K9:M9"/>
    <mergeCell ref="K10:M10"/>
    <mergeCell ref="D20:E20"/>
    <mergeCell ref="K20:M20"/>
    <mergeCell ref="F11:G11"/>
    <mergeCell ref="K11:M11"/>
    <mergeCell ref="K12:M12"/>
    <mergeCell ref="K13:M13"/>
    <mergeCell ref="K14:M14"/>
    <mergeCell ref="D16:E16"/>
    <mergeCell ref="K16:M16"/>
    <mergeCell ref="D17:E17"/>
    <mergeCell ref="K17:M17"/>
    <mergeCell ref="K19:M19"/>
    <mergeCell ref="D21:E21"/>
    <mergeCell ref="D22:E22"/>
    <mergeCell ref="D23:E23"/>
    <mergeCell ref="A25:I25"/>
    <mergeCell ref="A38:I38"/>
  </mergeCells>
  <conditionalFormatting sqref="D27:E27">
    <cfRule type="cellIs" dxfId="8" priority="4" operator="equal">
      <formula>"Nb J Ouvrés"</formula>
    </cfRule>
  </conditionalFormatting>
  <conditionalFormatting sqref="D31:E31">
    <cfRule type="cellIs" dxfId="7" priority="3" operator="equal">
      <formula>"Nb J Ouvrés"</formula>
    </cfRule>
  </conditionalFormatting>
  <conditionalFormatting sqref="D55:E55">
    <cfRule type="cellIs" dxfId="6" priority="1" operator="equal">
      <formula>"Nb J Ouvrés"</formula>
    </cfRule>
  </conditionalFormatting>
  <conditionalFormatting sqref="D51:E51">
    <cfRule type="cellIs" dxfId="5" priority="2" operator="equal">
      <formula>"Nb J Ouvrés"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50"/>
  </sheetPr>
  <dimension ref="A1:G52"/>
  <sheetViews>
    <sheetView topLeftCell="A27" workbookViewId="0">
      <selection activeCell="C46" sqref="C46"/>
    </sheetView>
  </sheetViews>
  <sheetFormatPr baseColWidth="10" defaultRowHeight="15" x14ac:dyDescent="0.25"/>
  <cols>
    <col min="1" max="1" width="25.5703125" bestFit="1" customWidth="1"/>
    <col min="2" max="2" width="19.140625" bestFit="1" customWidth="1"/>
    <col min="3" max="3" width="14.85546875" bestFit="1" customWidth="1"/>
    <col min="4" max="4" width="18" bestFit="1" customWidth="1"/>
    <col min="5" max="5" width="14.28515625" bestFit="1" customWidth="1"/>
    <col min="10" max="10" width="18" bestFit="1" customWidth="1"/>
    <col min="11" max="11" width="15.85546875" customWidth="1"/>
    <col min="12" max="12" width="10" bestFit="1" customWidth="1"/>
    <col min="13" max="13" width="15.5703125" bestFit="1" customWidth="1"/>
  </cols>
  <sheetData>
    <row r="1" spans="1:7" ht="18.75" x14ac:dyDescent="0.25">
      <c r="A1" s="419" t="s">
        <v>268</v>
      </c>
      <c r="B1" s="419"/>
      <c r="C1" s="419"/>
      <c r="D1" s="419"/>
      <c r="E1" s="419"/>
      <c r="F1" s="419"/>
    </row>
    <row r="2" spans="1:7" ht="15.75" thickBot="1" x14ac:dyDescent="0.3"/>
    <row r="3" spans="1:7" x14ac:dyDescent="0.25">
      <c r="A3" s="164" t="s">
        <v>269</v>
      </c>
      <c r="B3" s="175">
        <f>'INFOS BS'!B72</f>
        <v>0</v>
      </c>
    </row>
    <row r="4" spans="1:7" x14ac:dyDescent="0.25">
      <c r="A4" s="164" t="s">
        <v>128</v>
      </c>
      <c r="B4" s="176">
        <f>'INFOS BS'!B73</f>
        <v>0</v>
      </c>
    </row>
    <row r="5" spans="1:7" ht="15.75" thickBot="1" x14ac:dyDescent="0.3">
      <c r="A5" s="164" t="s">
        <v>270</v>
      </c>
      <c r="B5" s="165">
        <v>5.38</v>
      </c>
      <c r="C5" s="174">
        <v>0.6</v>
      </c>
    </row>
    <row r="6" spans="1:7" x14ac:dyDescent="0.25">
      <c r="A6" s="164"/>
    </row>
    <row r="7" spans="1:7" x14ac:dyDescent="0.25">
      <c r="A7" s="164"/>
      <c r="B7" s="164" t="s">
        <v>165</v>
      </c>
      <c r="C7" s="164" t="s">
        <v>27</v>
      </c>
      <c r="D7" s="164" t="s">
        <v>195</v>
      </c>
      <c r="G7" s="180" t="s">
        <v>292</v>
      </c>
    </row>
    <row r="8" spans="1:7" x14ac:dyDescent="0.25">
      <c r="A8" s="164" t="s">
        <v>294</v>
      </c>
      <c r="B8" s="172">
        <f>'INFOS BS'!C74</f>
        <v>0</v>
      </c>
      <c r="C8" s="173">
        <f>'INFOS BS'!B74</f>
        <v>0</v>
      </c>
      <c r="D8">
        <f>C8*B3</f>
        <v>0</v>
      </c>
    </row>
    <row r="9" spans="1:7" x14ac:dyDescent="0.25">
      <c r="A9" s="164" t="s">
        <v>129</v>
      </c>
      <c r="B9" s="172">
        <f>'INFOS BS'!C75</f>
        <v>0</v>
      </c>
      <c r="C9" s="173">
        <f>'INFOS BS'!B75</f>
        <v>0</v>
      </c>
      <c r="D9">
        <f>C9*B3</f>
        <v>0</v>
      </c>
    </row>
    <row r="10" spans="1:7" x14ac:dyDescent="0.25">
      <c r="A10" s="164" t="s">
        <v>271</v>
      </c>
      <c r="C10" s="179" t="str">
        <f>IF(B8&gt;C5,C8,"")</f>
        <v/>
      </c>
      <c r="D10" s="177"/>
      <c r="E10" t="s">
        <v>195</v>
      </c>
    </row>
    <row r="11" spans="1:7" x14ac:dyDescent="0.25">
      <c r="A11" s="164" t="s">
        <v>271</v>
      </c>
      <c r="C11" s="179" t="str">
        <f>IF(C8&gt;B5,C8-B5,"")</f>
        <v/>
      </c>
      <c r="D11" s="178" t="str">
        <f>IF(B8&gt;C5,C8,C11)</f>
        <v/>
      </c>
      <c r="E11" s="199">
        <f>IFERROR(D11*B3,0)</f>
        <v>0</v>
      </c>
    </row>
    <row r="13" spans="1:7" ht="18.75" x14ac:dyDescent="0.25">
      <c r="A13" s="419" t="s">
        <v>272</v>
      </c>
      <c r="B13" s="419"/>
      <c r="C13" s="419"/>
      <c r="D13" s="419"/>
      <c r="E13" s="419"/>
      <c r="F13" s="419"/>
    </row>
    <row r="14" spans="1:7" ht="15.75" thickBot="1" x14ac:dyDescent="0.3">
      <c r="E14" s="183" t="s">
        <v>132</v>
      </c>
      <c r="F14" s="183">
        <v>4.75</v>
      </c>
    </row>
    <row r="15" spans="1:7" ht="15.75" thickBot="1" x14ac:dyDescent="0.3">
      <c r="A15" t="s">
        <v>273</v>
      </c>
      <c r="B15" s="187">
        <f>'INFOS BS'!B78</f>
        <v>0</v>
      </c>
      <c r="C15" t="s">
        <v>27</v>
      </c>
    </row>
    <row r="16" spans="1:7" x14ac:dyDescent="0.25">
      <c r="B16" t="s">
        <v>201</v>
      </c>
      <c r="C16" t="s">
        <v>296</v>
      </c>
      <c r="D16" t="s">
        <v>297</v>
      </c>
      <c r="E16" t="s">
        <v>298</v>
      </c>
    </row>
    <row r="17" spans="1:6" x14ac:dyDescent="0.25">
      <c r="A17" s="159" t="s">
        <v>155</v>
      </c>
      <c r="B17" s="77">
        <f>4.75*50%</f>
        <v>2.375</v>
      </c>
      <c r="C17" s="183">
        <f>'INFOS BS'!F77</f>
        <v>0</v>
      </c>
      <c r="D17" s="188">
        <f>IF(C17&lt;B17,F14-C17,"")</f>
        <v>4.75</v>
      </c>
      <c r="E17" s="188">
        <f>D17*$B$15</f>
        <v>0</v>
      </c>
    </row>
    <row r="18" spans="1:6" x14ac:dyDescent="0.25">
      <c r="A18" s="1" t="s">
        <v>158</v>
      </c>
      <c r="B18" s="77">
        <v>6.4</v>
      </c>
      <c r="C18" s="183">
        <f>'INFOS BS'!F78</f>
        <v>0</v>
      </c>
      <c r="D18" s="188" t="str">
        <f>IF(C18&gt;B18,C18-B18,"")</f>
        <v/>
      </c>
      <c r="E18" s="188">
        <f>IFERROR(D18*$B$15,0)</f>
        <v>0</v>
      </c>
    </row>
    <row r="19" spans="1:6" x14ac:dyDescent="0.25">
      <c r="A19" s="1" t="s">
        <v>159</v>
      </c>
      <c r="B19" s="77">
        <v>9</v>
      </c>
      <c r="C19" s="183">
        <f>'INFOS BS'!F79</f>
        <v>0</v>
      </c>
      <c r="D19" s="188" t="str">
        <f t="shared" ref="D19:D20" si="0">IF(C19&gt;B19,C19-B19,"")</f>
        <v/>
      </c>
      <c r="E19" s="188">
        <f>IFERROR(D19*$B$15,0)</f>
        <v>0</v>
      </c>
    </row>
    <row r="20" spans="1:6" x14ac:dyDescent="0.25">
      <c r="A20" s="185" t="s">
        <v>157</v>
      </c>
      <c r="B20" s="77">
        <v>18.399999999999999</v>
      </c>
      <c r="C20" s="183">
        <f>'INFOS BS'!F80</f>
        <v>0</v>
      </c>
      <c r="D20" s="188" t="str">
        <f t="shared" si="0"/>
        <v/>
      </c>
      <c r="E20" s="188">
        <f>IFERROR(D20*$B$15,0)</f>
        <v>0</v>
      </c>
    </row>
    <row r="22" spans="1:6" ht="18.75" x14ac:dyDescent="0.25">
      <c r="A22" s="419" t="s">
        <v>274</v>
      </c>
      <c r="B22" s="419"/>
      <c r="C22" s="419"/>
      <c r="D22" s="419"/>
      <c r="E22" s="419"/>
      <c r="F22" s="419"/>
    </row>
    <row r="23" spans="1:6" x14ac:dyDescent="0.25">
      <c r="A23" s="421" t="s">
        <v>275</v>
      </c>
      <c r="B23" s="422"/>
      <c r="C23" s="423"/>
      <c r="D23" s="424" t="s">
        <v>367</v>
      </c>
      <c r="E23" s="425"/>
      <c r="F23" s="425"/>
    </row>
    <row r="24" spans="1:6" x14ac:dyDescent="0.25">
      <c r="A24" s="309" t="s">
        <v>380</v>
      </c>
      <c r="B24" s="312">
        <f>'INFOS BS'!B87</f>
        <v>0</v>
      </c>
      <c r="C24" s="306">
        <v>12</v>
      </c>
    </row>
    <row r="25" spans="1:6" x14ac:dyDescent="0.25">
      <c r="A25" s="307" t="s">
        <v>374</v>
      </c>
      <c r="B25" s="303">
        <v>0.09</v>
      </c>
      <c r="C25" s="310">
        <f>($B$24*B25)/$C$24</f>
        <v>0</v>
      </c>
      <c r="D25" s="159" t="s">
        <v>369</v>
      </c>
      <c r="E25" s="300">
        <v>0.2</v>
      </c>
      <c r="F25" s="310">
        <f>(B24*E25+E27+E28)/C24</f>
        <v>0</v>
      </c>
    </row>
    <row r="26" spans="1:6" x14ac:dyDescent="0.25">
      <c r="A26" s="307" t="s">
        <v>376</v>
      </c>
      <c r="B26" s="303">
        <v>0.12</v>
      </c>
      <c r="C26" s="310">
        <f>($B$24*B26)/$C$24</f>
        <v>0</v>
      </c>
      <c r="D26" s="185" t="s">
        <v>368</v>
      </c>
      <c r="E26" s="302">
        <v>0.1</v>
      </c>
      <c r="F26" s="310">
        <f>(B24*E26+E27+E28)/C24</f>
        <v>0</v>
      </c>
    </row>
    <row r="27" spans="1:6" x14ac:dyDescent="0.25">
      <c r="A27" s="307" t="s">
        <v>377</v>
      </c>
      <c r="B27" s="303">
        <v>0.06</v>
      </c>
      <c r="C27" s="310">
        <f>($B$24*B27)/$C$24</f>
        <v>0</v>
      </c>
      <c r="D27" s="1" t="s">
        <v>370</v>
      </c>
      <c r="E27" s="312">
        <f>'INFOS BS'!B91</f>
        <v>0</v>
      </c>
      <c r="F27" s="3"/>
    </row>
    <row r="28" spans="1:6" x14ac:dyDescent="0.25">
      <c r="A28" s="301" t="s">
        <v>375</v>
      </c>
      <c r="B28" s="308">
        <v>0.09</v>
      </c>
      <c r="C28" s="311">
        <f>($B$24*B28)/$C$24</f>
        <v>0</v>
      </c>
      <c r="D28" s="281" t="s">
        <v>371</v>
      </c>
      <c r="E28" s="312">
        <f>'INFOS BS'!B92</f>
        <v>0</v>
      </c>
      <c r="F28" s="228"/>
    </row>
    <row r="29" spans="1:6" x14ac:dyDescent="0.25">
      <c r="A29" s="314" t="s">
        <v>372</v>
      </c>
      <c r="B29" s="315"/>
      <c r="C29" s="314" t="s">
        <v>373</v>
      </c>
      <c r="D29" s="315"/>
      <c r="E29" s="316" t="s">
        <v>27</v>
      </c>
      <c r="F29" s="315"/>
    </row>
    <row r="31" spans="1:6" ht="18.75" x14ac:dyDescent="0.25">
      <c r="A31" s="419" t="s">
        <v>276</v>
      </c>
      <c r="B31" s="419"/>
      <c r="C31" s="419"/>
      <c r="D31" s="419"/>
      <c r="E31" s="419"/>
      <c r="F31" s="419"/>
    </row>
    <row r="32" spans="1:6" ht="15.75" thickBot="1" x14ac:dyDescent="0.3">
      <c r="A32" s="156"/>
      <c r="B32" s="157" t="s">
        <v>277</v>
      </c>
      <c r="C32" s="157" t="s">
        <v>278</v>
      </c>
      <c r="D32" s="157" t="s">
        <v>279</v>
      </c>
      <c r="E32" s="157" t="s">
        <v>280</v>
      </c>
      <c r="F32" s="158"/>
    </row>
    <row r="33" spans="1:7" x14ac:dyDescent="0.25">
      <c r="A33" t="s">
        <v>284</v>
      </c>
      <c r="B33">
        <f>VLOOKUP(A33,Liste!A38:C45,2,FALSE)</f>
        <v>68.5</v>
      </c>
      <c r="C33">
        <f>'INFOS BS'!B84</f>
        <v>0</v>
      </c>
      <c r="D33">
        <f>VLOOKUP(A33,Liste!A38:C45,3,FALSE)</f>
        <v>36.6</v>
      </c>
      <c r="E33">
        <f>IF(C33=1,B33,C33*D33)</f>
        <v>0</v>
      </c>
    </row>
    <row r="35" spans="1:7" ht="18.75" x14ac:dyDescent="0.25">
      <c r="A35" s="419" t="s">
        <v>407</v>
      </c>
      <c r="B35" s="419"/>
      <c r="C35" s="419"/>
      <c r="D35" s="419"/>
      <c r="E35" s="419"/>
      <c r="F35" s="419"/>
    </row>
    <row r="38" spans="1:7" x14ac:dyDescent="0.25">
      <c r="B38" t="s">
        <v>132</v>
      </c>
      <c r="C38" s="420" t="s">
        <v>408</v>
      </c>
      <c r="D38" s="420"/>
    </row>
    <row r="39" spans="1:7" x14ac:dyDescent="0.25">
      <c r="C39" t="s">
        <v>409</v>
      </c>
      <c r="D39" t="s">
        <v>410</v>
      </c>
    </row>
    <row r="40" spans="1:7" x14ac:dyDescent="0.25">
      <c r="A40" t="s">
        <v>411</v>
      </c>
      <c r="B40" s="332">
        <v>18.399999999999999</v>
      </c>
      <c r="C40" s="332">
        <v>65.8</v>
      </c>
      <c r="D40" s="332">
        <v>48.9</v>
      </c>
    </row>
    <row r="41" spans="1:7" x14ac:dyDescent="0.25">
      <c r="A41" t="s">
        <v>412</v>
      </c>
      <c r="B41" s="332">
        <v>15.6</v>
      </c>
      <c r="C41" s="332">
        <v>55.9</v>
      </c>
      <c r="D41" s="332">
        <v>41.6</v>
      </c>
    </row>
    <row r="42" spans="1:7" x14ac:dyDescent="0.25">
      <c r="A42" t="s">
        <v>413</v>
      </c>
      <c r="B42" s="332">
        <v>12.9</v>
      </c>
      <c r="C42" s="332">
        <v>46.1</v>
      </c>
      <c r="D42" s="332">
        <v>34.200000000000003</v>
      </c>
    </row>
    <row r="43" spans="1:7" ht="15.75" thickBot="1" x14ac:dyDescent="0.3"/>
    <row r="44" spans="1:7" ht="15.75" thickBot="1" x14ac:dyDescent="0.3">
      <c r="B44" t="s">
        <v>414</v>
      </c>
      <c r="D44" s="207">
        <f>'INFOS BS'!B95</f>
        <v>120</v>
      </c>
    </row>
    <row r="45" spans="1:7" ht="15.75" thickBot="1" x14ac:dyDescent="0.3">
      <c r="B45" t="s">
        <v>405</v>
      </c>
      <c r="D45" s="207">
        <f>'INFOS BS'!B96</f>
        <v>8</v>
      </c>
    </row>
    <row r="46" spans="1:7" ht="15.75" thickBot="1" x14ac:dyDescent="0.3">
      <c r="B46" t="s">
        <v>409</v>
      </c>
      <c r="C46" t="s">
        <v>410</v>
      </c>
      <c r="D46" t="s">
        <v>421</v>
      </c>
      <c r="E46" t="s">
        <v>422</v>
      </c>
      <c r="F46" t="s">
        <v>420</v>
      </c>
      <c r="G46" t="s">
        <v>423</v>
      </c>
    </row>
    <row r="47" spans="1:7" ht="15.75" thickBot="1" x14ac:dyDescent="0.3">
      <c r="A47" t="s">
        <v>411</v>
      </c>
      <c r="B47" s="220">
        <f>B40*2+C40</f>
        <v>102.6</v>
      </c>
      <c r="C47" s="220">
        <f>B40*2+D40</f>
        <v>85.699999999999989</v>
      </c>
      <c r="D47" s="337">
        <f>IF($D$44&gt;B47,$D$44-B47,0)</f>
        <v>17.400000000000006</v>
      </c>
      <c r="E47" s="333">
        <f>D47*$D$45</f>
        <v>139.20000000000005</v>
      </c>
      <c r="F47" s="338">
        <f>IF($D$44&gt;C47,$D$44-C47,0)</f>
        <v>34.300000000000011</v>
      </c>
      <c r="G47" s="334">
        <f>F47*$D$45</f>
        <v>274.40000000000009</v>
      </c>
    </row>
    <row r="48" spans="1:7" ht="15.75" thickBot="1" x14ac:dyDescent="0.3">
      <c r="A48" t="s">
        <v>412</v>
      </c>
      <c r="B48" s="220">
        <f>B41*2+C41</f>
        <v>87.1</v>
      </c>
      <c r="C48" s="220">
        <f>B41*2+D41</f>
        <v>72.8</v>
      </c>
      <c r="D48" s="337">
        <f>IF($D$44&gt;B48,$D$44-B48,0)</f>
        <v>32.900000000000006</v>
      </c>
      <c r="E48" s="333">
        <f t="shared" ref="E48:E49" si="1">D48*$D$45</f>
        <v>263.20000000000005</v>
      </c>
      <c r="F48" s="338">
        <f>IF($D$44&gt;C48,$D$44-C48,0)</f>
        <v>47.2</v>
      </c>
      <c r="G48" s="334">
        <f t="shared" ref="G48:G49" si="2">F48*$D$45</f>
        <v>377.6</v>
      </c>
    </row>
    <row r="49" spans="1:7" ht="15.75" thickBot="1" x14ac:dyDescent="0.3">
      <c r="A49" t="s">
        <v>413</v>
      </c>
      <c r="B49" s="220">
        <f>B42*2+C42</f>
        <v>71.900000000000006</v>
      </c>
      <c r="C49" s="220">
        <f>B42*2+D42</f>
        <v>60</v>
      </c>
      <c r="D49" s="337">
        <f>IF($D$44&gt;B49,$D$44-B49,0)</f>
        <v>48.099999999999994</v>
      </c>
      <c r="E49" s="333">
        <f t="shared" si="1"/>
        <v>384.79999999999995</v>
      </c>
      <c r="F49" s="338">
        <f>IF($D$44&gt;C49,$D$44-C49,0)</f>
        <v>60</v>
      </c>
      <c r="G49" s="334">
        <f t="shared" si="2"/>
        <v>480</v>
      </c>
    </row>
    <row r="50" spans="1:7" ht="15.75" thickBot="1" x14ac:dyDescent="0.3"/>
    <row r="51" spans="1:7" ht="15.75" thickBot="1" x14ac:dyDescent="0.3">
      <c r="A51" t="s">
        <v>418</v>
      </c>
      <c r="B51" s="60" t="s">
        <v>412</v>
      </c>
      <c r="C51" s="334">
        <f>VLOOKUP(B51,A47:F49,5,FALSE)</f>
        <v>263.20000000000005</v>
      </c>
    </row>
    <row r="52" spans="1:7" ht="15.75" thickBot="1" x14ac:dyDescent="0.3">
      <c r="A52" t="s">
        <v>419</v>
      </c>
      <c r="B52" s="60" t="s">
        <v>413</v>
      </c>
      <c r="C52" s="334">
        <f>VLOOKUP(B52,A47:G49,7,FALSE)</f>
        <v>480</v>
      </c>
    </row>
  </sheetData>
  <mergeCells count="8">
    <mergeCell ref="A35:F35"/>
    <mergeCell ref="C38:D38"/>
    <mergeCell ref="A31:F31"/>
    <mergeCell ref="A1:F1"/>
    <mergeCell ref="A13:F13"/>
    <mergeCell ref="A22:F22"/>
    <mergeCell ref="A23:C23"/>
    <mergeCell ref="D23:F23"/>
  </mergeCells>
  <dataValidations count="1">
    <dataValidation type="list" allowBlank="1" showInputMessage="1" showErrorMessage="1" sqref="B51:B52">
      <formula1>$A$47:$A$49</formula1>
    </dataValidation>
  </dataValidations>
  <hyperlinks>
    <hyperlink ref="G7" location="'INFOS BS'!A1" display="INFOS BS"/>
  </hyperlink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Liste!$A$38:$A$45</xm:f>
          </x14:formula1>
          <xm:sqref>A33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2:G25"/>
  <sheetViews>
    <sheetView workbookViewId="0">
      <selection activeCell="I15" sqref="I15"/>
    </sheetView>
  </sheetViews>
  <sheetFormatPr baseColWidth="10" defaultRowHeight="15" x14ac:dyDescent="0.25"/>
  <cols>
    <col min="1" max="1" width="11.5703125" customWidth="1"/>
    <col min="2" max="2" width="26.7109375" bestFit="1" customWidth="1"/>
    <col min="3" max="3" width="11.5703125" customWidth="1"/>
    <col min="4" max="4" width="12.7109375" customWidth="1"/>
    <col min="5" max="7" width="11.5703125" customWidth="1"/>
  </cols>
  <sheetData>
    <row r="2" spans="1:7" x14ac:dyDescent="0.25">
      <c r="B2" s="170" t="s">
        <v>339</v>
      </c>
      <c r="C2" s="282">
        <f>Salaire_Net</f>
        <v>4298.3830150000003</v>
      </c>
    </row>
    <row r="3" spans="1:7" x14ac:dyDescent="0.25">
      <c r="B3" s="170" t="s">
        <v>340</v>
      </c>
      <c r="C3" s="283">
        <f>Nb_Pers_Charge</f>
        <v>0</v>
      </c>
    </row>
    <row r="4" spans="1:7" x14ac:dyDescent="0.25">
      <c r="B4" s="170" t="s">
        <v>341</v>
      </c>
      <c r="C4" s="284">
        <f>Aug_M_Pers</f>
        <v>118.3</v>
      </c>
    </row>
    <row r="6" spans="1:7" x14ac:dyDescent="0.25">
      <c r="D6" s="426" t="s">
        <v>342</v>
      </c>
      <c r="E6" s="426"/>
    </row>
    <row r="7" spans="1:7" x14ac:dyDescent="0.25">
      <c r="A7" s="252" t="s">
        <v>343</v>
      </c>
      <c r="B7" s="429" t="s">
        <v>344</v>
      </c>
      <c r="C7" s="430"/>
      <c r="D7" s="429" t="s">
        <v>365</v>
      </c>
      <c r="E7" s="430"/>
      <c r="F7" s="252" t="s">
        <v>345</v>
      </c>
      <c r="G7" s="265" t="s">
        <v>27</v>
      </c>
    </row>
    <row r="8" spans="1:7" ht="15.75" thickBot="1" x14ac:dyDescent="0.3">
      <c r="A8" s="270"/>
      <c r="B8" s="296" t="s">
        <v>366</v>
      </c>
      <c r="C8" s="293"/>
      <c r="D8" s="294"/>
      <c r="E8" s="293"/>
      <c r="F8" s="295"/>
      <c r="G8" s="297">
        <v>0</v>
      </c>
    </row>
    <row r="9" spans="1:7" x14ac:dyDescent="0.25">
      <c r="A9" s="253">
        <v>1</v>
      </c>
      <c r="B9" s="255" t="s">
        <v>346</v>
      </c>
      <c r="C9" s="256" t="s">
        <v>347</v>
      </c>
      <c r="D9" s="257">
        <v>0</v>
      </c>
      <c r="E9" s="257">
        <v>310.83</v>
      </c>
      <c r="F9" s="257">
        <v>0.05</v>
      </c>
      <c r="G9" s="285">
        <f>E9*F9</f>
        <v>15.541499999999999</v>
      </c>
    </row>
    <row r="10" spans="1:7" x14ac:dyDescent="0.25">
      <c r="A10" s="254">
        <v>2</v>
      </c>
      <c r="B10" s="258" t="s">
        <v>348</v>
      </c>
      <c r="C10" s="259" t="s">
        <v>349</v>
      </c>
      <c r="D10" s="260">
        <v>310.83</v>
      </c>
      <c r="E10" s="260">
        <v>606.66</v>
      </c>
      <c r="F10" s="260">
        <v>0.1</v>
      </c>
      <c r="G10" s="286">
        <f t="shared" ref="G10:G14" si="0">E10*F10</f>
        <v>60.665999999999997</v>
      </c>
    </row>
    <row r="11" spans="1:7" x14ac:dyDescent="0.25">
      <c r="A11" s="254">
        <v>3</v>
      </c>
      <c r="B11" s="261" t="s">
        <v>350</v>
      </c>
      <c r="C11" s="262" t="s">
        <v>351</v>
      </c>
      <c r="D11" s="263">
        <v>606.66</v>
      </c>
      <c r="E11" s="263">
        <v>904.16</v>
      </c>
      <c r="F11" s="263">
        <v>0.2</v>
      </c>
      <c r="G11" s="287">
        <f t="shared" si="0"/>
        <v>180.83199999999999</v>
      </c>
    </row>
    <row r="12" spans="1:7" x14ac:dyDescent="0.25">
      <c r="A12" s="254">
        <v>4</v>
      </c>
      <c r="B12" s="258" t="s">
        <v>352</v>
      </c>
      <c r="C12" s="259" t="s">
        <v>353</v>
      </c>
      <c r="D12" s="260">
        <v>904.16</v>
      </c>
      <c r="E12" s="260">
        <v>1200.83</v>
      </c>
      <c r="F12" s="260">
        <v>0.25</v>
      </c>
      <c r="G12" s="286">
        <f t="shared" si="0"/>
        <v>300.20749999999998</v>
      </c>
    </row>
    <row r="13" spans="1:7" x14ac:dyDescent="0.25">
      <c r="A13" s="254">
        <v>5</v>
      </c>
      <c r="B13" s="261" t="s">
        <v>354</v>
      </c>
      <c r="C13" s="262" t="s">
        <v>355</v>
      </c>
      <c r="D13" s="263">
        <v>1200.83</v>
      </c>
      <c r="E13" s="263">
        <v>1497.5</v>
      </c>
      <c r="F13" s="263">
        <v>0.33</v>
      </c>
      <c r="G13" s="287">
        <f t="shared" si="0"/>
        <v>494.17500000000001</v>
      </c>
    </row>
    <row r="14" spans="1:7" x14ac:dyDescent="0.25">
      <c r="A14" s="254">
        <v>6</v>
      </c>
      <c r="B14" s="258" t="s">
        <v>356</v>
      </c>
      <c r="C14" s="259" t="s">
        <v>357</v>
      </c>
      <c r="D14" s="260">
        <v>1497.5</v>
      </c>
      <c r="E14" s="260">
        <v>1799.15</v>
      </c>
      <c r="F14" s="260">
        <v>0.66</v>
      </c>
      <c r="G14" s="286">
        <f t="shared" si="0"/>
        <v>1187.4390000000001</v>
      </c>
    </row>
    <row r="15" spans="1:7" x14ac:dyDescent="0.25">
      <c r="A15" s="264">
        <v>7</v>
      </c>
      <c r="B15" s="267" t="s">
        <v>363</v>
      </c>
      <c r="C15" s="268">
        <v>1</v>
      </c>
      <c r="D15" s="267"/>
      <c r="E15" s="267"/>
      <c r="F15" s="267"/>
      <c r="G15" s="288">
        <f>E15</f>
        <v>0</v>
      </c>
    </row>
    <row r="16" spans="1:7" ht="15.75" thickBot="1" x14ac:dyDescent="0.3">
      <c r="D16" s="426" t="s">
        <v>358</v>
      </c>
      <c r="E16" s="426"/>
      <c r="G16" s="66"/>
    </row>
    <row r="17" spans="1:7" x14ac:dyDescent="0.25">
      <c r="A17" s="269" t="s">
        <v>343</v>
      </c>
      <c r="B17" s="427" t="s">
        <v>344</v>
      </c>
      <c r="C17" s="428"/>
      <c r="D17" s="427" t="s">
        <v>364</v>
      </c>
      <c r="E17" s="428"/>
      <c r="F17" s="269" t="s">
        <v>345</v>
      </c>
      <c r="G17" s="280" t="s">
        <v>27</v>
      </c>
    </row>
    <row r="18" spans="1:7" x14ac:dyDescent="0.25">
      <c r="A18" s="270"/>
      <c r="B18" s="296" t="s">
        <v>366</v>
      </c>
      <c r="C18" s="293"/>
      <c r="D18" s="293"/>
      <c r="E18" s="293"/>
      <c r="F18" s="298"/>
      <c r="G18" s="299">
        <v>0</v>
      </c>
    </row>
    <row r="19" spans="1:7" x14ac:dyDescent="0.25">
      <c r="A19" s="254">
        <v>1</v>
      </c>
      <c r="B19" s="274" t="s">
        <v>346</v>
      </c>
      <c r="C19" s="275" t="s">
        <v>347</v>
      </c>
      <c r="D19" s="276">
        <v>0</v>
      </c>
      <c r="E19" s="276">
        <f>310.83+(aug_pars_charge*$C$3)</f>
        <v>310.83</v>
      </c>
      <c r="F19" s="276">
        <v>0.05</v>
      </c>
      <c r="G19" s="289">
        <f>E19*F19</f>
        <v>15.541499999999999</v>
      </c>
    </row>
    <row r="20" spans="1:7" x14ac:dyDescent="0.25">
      <c r="A20" s="254">
        <v>2</v>
      </c>
      <c r="B20" s="277" t="s">
        <v>348</v>
      </c>
      <c r="C20" s="278" t="s">
        <v>349</v>
      </c>
      <c r="D20" s="279">
        <f>E19</f>
        <v>310.83</v>
      </c>
      <c r="E20" s="279">
        <f>606.66+(aug_pars_charge*$C$3)</f>
        <v>606.66</v>
      </c>
      <c r="F20" s="279">
        <v>0.1</v>
      </c>
      <c r="G20" s="290">
        <f t="shared" ref="G20:G24" si="1">E20*F20</f>
        <v>60.665999999999997</v>
      </c>
    </row>
    <row r="21" spans="1:7" x14ac:dyDescent="0.25">
      <c r="A21" s="254">
        <v>3</v>
      </c>
      <c r="B21" s="274" t="s">
        <v>350</v>
      </c>
      <c r="C21" s="275" t="s">
        <v>351</v>
      </c>
      <c r="D21" s="276">
        <f>E20</f>
        <v>606.66</v>
      </c>
      <c r="E21" s="276">
        <f>904.16+(aug_pars_charge*$C$3)</f>
        <v>904.16</v>
      </c>
      <c r="F21" s="276">
        <v>0.2</v>
      </c>
      <c r="G21" s="289">
        <f t="shared" si="1"/>
        <v>180.83199999999999</v>
      </c>
    </row>
    <row r="22" spans="1:7" x14ac:dyDescent="0.25">
      <c r="A22" s="254">
        <v>4</v>
      </c>
      <c r="B22" s="277" t="s">
        <v>352</v>
      </c>
      <c r="C22" s="278" t="s">
        <v>353</v>
      </c>
      <c r="D22" s="279">
        <f>E21</f>
        <v>904.16</v>
      </c>
      <c r="E22" s="279">
        <f>1200.83+(aug_pars_charge*$C$3)</f>
        <v>1200.83</v>
      </c>
      <c r="F22" s="279">
        <v>0.25</v>
      </c>
      <c r="G22" s="290">
        <f t="shared" si="1"/>
        <v>300.20749999999998</v>
      </c>
    </row>
    <row r="23" spans="1:7" x14ac:dyDescent="0.25">
      <c r="A23" s="254">
        <v>5</v>
      </c>
      <c r="B23" s="274" t="s">
        <v>354</v>
      </c>
      <c r="C23" s="275" t="s">
        <v>355</v>
      </c>
      <c r="D23" s="276">
        <f>E22</f>
        <v>1200.83</v>
      </c>
      <c r="E23" s="276">
        <f>1497.5+(aug_pars_charge*$C$3)</f>
        <v>1497.5</v>
      </c>
      <c r="F23" s="276">
        <v>0.33</v>
      </c>
      <c r="G23" s="289">
        <f t="shared" si="1"/>
        <v>494.17500000000001</v>
      </c>
    </row>
    <row r="24" spans="1:7" x14ac:dyDescent="0.25">
      <c r="A24" s="254">
        <v>6</v>
      </c>
      <c r="B24" s="277" t="s">
        <v>356</v>
      </c>
      <c r="C24" s="278" t="s">
        <v>357</v>
      </c>
      <c r="D24" s="279">
        <f>E23</f>
        <v>1497.5</v>
      </c>
      <c r="E24" s="279">
        <f>1799.15+(aug_pars_charge*$C$3)</f>
        <v>1799.15</v>
      </c>
      <c r="F24" s="279">
        <v>0.66</v>
      </c>
      <c r="G24" s="290">
        <f t="shared" si="1"/>
        <v>1187.4390000000001</v>
      </c>
    </row>
    <row r="25" spans="1:7" x14ac:dyDescent="0.25">
      <c r="A25" s="264">
        <v>7</v>
      </c>
      <c r="B25" s="271" t="s">
        <v>363</v>
      </c>
      <c r="C25" s="272">
        <v>1</v>
      </c>
      <c r="D25" s="273"/>
      <c r="E25" s="273"/>
      <c r="F25" s="273"/>
      <c r="G25" s="291">
        <f>E25</f>
        <v>0</v>
      </c>
    </row>
  </sheetData>
  <mergeCells count="6">
    <mergeCell ref="D6:E6"/>
    <mergeCell ref="D16:E16"/>
    <mergeCell ref="D17:E17"/>
    <mergeCell ref="B17:C17"/>
    <mergeCell ref="B7:C7"/>
    <mergeCell ref="D7:E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O34"/>
  <sheetViews>
    <sheetView topLeftCell="A3" workbookViewId="0">
      <selection activeCell="R4" sqref="R4"/>
    </sheetView>
  </sheetViews>
  <sheetFormatPr baseColWidth="10" defaultRowHeight="15" x14ac:dyDescent="0.25"/>
  <cols>
    <col min="14" max="14" width="18.28515625" bestFit="1" customWidth="1"/>
    <col min="15" max="15" width="25.5703125" bestFit="1" customWidth="1"/>
  </cols>
  <sheetData>
    <row r="2" spans="1:15" ht="15.75" thickBot="1" x14ac:dyDescent="0.3">
      <c r="B2" s="137" t="s">
        <v>97</v>
      </c>
      <c r="C2" s="139">
        <f>Année</f>
        <v>2017</v>
      </c>
    </row>
    <row r="3" spans="1:15" x14ac:dyDescent="0.25">
      <c r="A3" s="150" t="s">
        <v>229</v>
      </c>
      <c r="B3" s="151" t="s">
        <v>230</v>
      </c>
      <c r="C3" s="151" t="s">
        <v>231</v>
      </c>
      <c r="D3" s="151" t="s">
        <v>232</v>
      </c>
      <c r="E3" s="151" t="s">
        <v>233</v>
      </c>
      <c r="F3" s="151" t="s">
        <v>234</v>
      </c>
      <c r="G3" s="151" t="s">
        <v>235</v>
      </c>
      <c r="H3" s="151" t="s">
        <v>236</v>
      </c>
      <c r="I3" s="151" t="s">
        <v>237</v>
      </c>
      <c r="J3" s="151" t="s">
        <v>238</v>
      </c>
      <c r="K3" s="151" t="s">
        <v>239</v>
      </c>
      <c r="L3" s="152" t="s">
        <v>240</v>
      </c>
      <c r="N3" s="431" t="s">
        <v>241</v>
      </c>
      <c r="O3" s="432"/>
    </row>
    <row r="4" spans="1:15" x14ac:dyDescent="0.25">
      <c r="A4" s="244">
        <f t="array" ref="A4:L34">DATE(C2,COLUMN(1:12),ROW(1:31))</f>
        <v>42736</v>
      </c>
      <c r="B4" s="245">
        <v>42767</v>
      </c>
      <c r="C4" s="245">
        <v>42795</v>
      </c>
      <c r="D4" s="245">
        <v>42826</v>
      </c>
      <c r="E4" s="245">
        <v>42856</v>
      </c>
      <c r="F4" s="245">
        <v>42887</v>
      </c>
      <c r="G4" s="245">
        <v>42917</v>
      </c>
      <c r="H4" s="245">
        <v>42948</v>
      </c>
      <c r="I4" s="245">
        <v>42979</v>
      </c>
      <c r="J4" s="245">
        <v>43009</v>
      </c>
      <c r="K4" s="245">
        <v>43040</v>
      </c>
      <c r="L4" s="246">
        <v>43070</v>
      </c>
      <c r="N4" s="140" t="s">
        <v>97</v>
      </c>
      <c r="O4" s="141">
        <f>Année</f>
        <v>2017</v>
      </c>
    </row>
    <row r="5" spans="1:15" x14ac:dyDescent="0.25">
      <c r="A5" s="244">
        <v>42737</v>
      </c>
      <c r="B5" s="245">
        <v>42768</v>
      </c>
      <c r="C5" s="245">
        <v>42796</v>
      </c>
      <c r="D5" s="245">
        <v>42827</v>
      </c>
      <c r="E5" s="245">
        <v>42857</v>
      </c>
      <c r="F5" s="245">
        <v>42888</v>
      </c>
      <c r="G5" s="245">
        <v>42918</v>
      </c>
      <c r="H5" s="245">
        <v>42949</v>
      </c>
      <c r="I5" s="245">
        <v>42980</v>
      </c>
      <c r="J5" s="245">
        <v>43010</v>
      </c>
      <c r="K5" s="245">
        <v>43041</v>
      </c>
      <c r="L5" s="246">
        <v>43071</v>
      </c>
      <c r="N5" s="142" t="s">
        <v>242</v>
      </c>
      <c r="O5" s="143">
        <f>DATE(O4,1,1)</f>
        <v>42736</v>
      </c>
    </row>
    <row r="6" spans="1:15" x14ac:dyDescent="0.25">
      <c r="A6" s="244">
        <v>42738</v>
      </c>
      <c r="B6" s="245">
        <v>42769</v>
      </c>
      <c r="C6" s="245">
        <v>42797</v>
      </c>
      <c r="D6" s="245">
        <v>42828</v>
      </c>
      <c r="E6" s="245">
        <v>42858</v>
      </c>
      <c r="F6" s="245">
        <v>42889</v>
      </c>
      <c r="G6" s="245">
        <v>42919</v>
      </c>
      <c r="H6" s="245">
        <v>42950</v>
      </c>
      <c r="I6" s="245">
        <v>42981</v>
      </c>
      <c r="J6" s="245">
        <v>43011</v>
      </c>
      <c r="K6" s="245">
        <v>43042</v>
      </c>
      <c r="L6" s="246">
        <v>43072</v>
      </c>
      <c r="N6" s="144" t="s">
        <v>243</v>
      </c>
      <c r="O6" s="143">
        <f>DATE(O4,5,1)</f>
        <v>42856</v>
      </c>
    </row>
    <row r="7" spans="1:15" x14ac:dyDescent="0.25">
      <c r="A7" s="244">
        <v>42739</v>
      </c>
      <c r="B7" s="245">
        <v>42770</v>
      </c>
      <c r="C7" s="245">
        <v>42798</v>
      </c>
      <c r="D7" s="245">
        <v>42829</v>
      </c>
      <c r="E7" s="245">
        <v>42859</v>
      </c>
      <c r="F7" s="245">
        <v>42890</v>
      </c>
      <c r="G7" s="245">
        <v>42920</v>
      </c>
      <c r="H7" s="245">
        <v>42951</v>
      </c>
      <c r="I7" s="245">
        <v>42982</v>
      </c>
      <c r="J7" s="245">
        <v>43012</v>
      </c>
      <c r="K7" s="245">
        <v>43043</v>
      </c>
      <c r="L7" s="246">
        <v>43073</v>
      </c>
      <c r="N7" s="144" t="s">
        <v>244</v>
      </c>
      <c r="O7" s="143">
        <f>DATE(O4,5,8)</f>
        <v>42863</v>
      </c>
    </row>
    <row r="8" spans="1:15" x14ac:dyDescent="0.25">
      <c r="A8" s="244">
        <v>42740</v>
      </c>
      <c r="B8" s="245">
        <v>42771</v>
      </c>
      <c r="C8" s="245">
        <v>42799</v>
      </c>
      <c r="D8" s="245">
        <v>42830</v>
      </c>
      <c r="E8" s="245">
        <v>42860</v>
      </c>
      <c r="F8" s="245">
        <v>42891</v>
      </c>
      <c r="G8" s="245">
        <v>42921</v>
      </c>
      <c r="H8" s="245">
        <v>42952</v>
      </c>
      <c r="I8" s="245">
        <v>42983</v>
      </c>
      <c r="J8" s="245">
        <v>43013</v>
      </c>
      <c r="K8" s="245">
        <v>43044</v>
      </c>
      <c r="L8" s="246">
        <v>43074</v>
      </c>
      <c r="N8" s="144" t="s">
        <v>245</v>
      </c>
      <c r="O8" s="143">
        <f>DATE(O4,7,14)</f>
        <v>42930</v>
      </c>
    </row>
    <row r="9" spans="1:15" x14ac:dyDescent="0.25">
      <c r="A9" s="244">
        <v>42741</v>
      </c>
      <c r="B9" s="245">
        <v>42772</v>
      </c>
      <c r="C9" s="245">
        <v>42800</v>
      </c>
      <c r="D9" s="245">
        <v>42831</v>
      </c>
      <c r="E9" s="245">
        <v>42861</v>
      </c>
      <c r="F9" s="245">
        <v>42892</v>
      </c>
      <c r="G9" s="245">
        <v>42922</v>
      </c>
      <c r="H9" s="245">
        <v>42953</v>
      </c>
      <c r="I9" s="245">
        <v>42984</v>
      </c>
      <c r="J9" s="245">
        <v>43014</v>
      </c>
      <c r="K9" s="245">
        <v>43045</v>
      </c>
      <c r="L9" s="246">
        <v>43075</v>
      </c>
      <c r="N9" s="144" t="s">
        <v>246</v>
      </c>
      <c r="O9" s="143">
        <f>DATE(O4,8,15)</f>
        <v>42962</v>
      </c>
    </row>
    <row r="10" spans="1:15" x14ac:dyDescent="0.25">
      <c r="A10" s="244">
        <v>42742</v>
      </c>
      <c r="B10" s="245">
        <v>42773</v>
      </c>
      <c r="C10" s="245">
        <v>42801</v>
      </c>
      <c r="D10" s="245">
        <v>42832</v>
      </c>
      <c r="E10" s="245">
        <v>42862</v>
      </c>
      <c r="F10" s="245">
        <v>42893</v>
      </c>
      <c r="G10" s="245">
        <v>42923</v>
      </c>
      <c r="H10" s="245">
        <v>42954</v>
      </c>
      <c r="I10" s="245">
        <v>42985</v>
      </c>
      <c r="J10" s="245">
        <v>43015</v>
      </c>
      <c r="K10" s="245">
        <v>43046</v>
      </c>
      <c r="L10" s="246">
        <v>43076</v>
      </c>
      <c r="N10" s="144" t="s">
        <v>247</v>
      </c>
      <c r="O10" s="143">
        <f>DATE(O4,11,1)</f>
        <v>43040</v>
      </c>
    </row>
    <row r="11" spans="1:15" x14ac:dyDescent="0.25">
      <c r="A11" s="244">
        <v>42743</v>
      </c>
      <c r="B11" s="245">
        <v>42774</v>
      </c>
      <c r="C11" s="245">
        <v>42802</v>
      </c>
      <c r="D11" s="245">
        <v>42833</v>
      </c>
      <c r="E11" s="245">
        <v>42863</v>
      </c>
      <c r="F11" s="245">
        <v>42894</v>
      </c>
      <c r="G11" s="245">
        <v>42924</v>
      </c>
      <c r="H11" s="245">
        <v>42955</v>
      </c>
      <c r="I11" s="245">
        <v>42986</v>
      </c>
      <c r="J11" s="245">
        <v>43016</v>
      </c>
      <c r="K11" s="245">
        <v>43047</v>
      </c>
      <c r="L11" s="246">
        <v>43077</v>
      </c>
      <c r="N11" s="144" t="s">
        <v>248</v>
      </c>
      <c r="O11" s="143">
        <f>DATE(O4,11,11)</f>
        <v>43050</v>
      </c>
    </row>
    <row r="12" spans="1:15" ht="15.75" thickBot="1" x14ac:dyDescent="0.3">
      <c r="A12" s="244">
        <v>42744</v>
      </c>
      <c r="B12" s="245">
        <v>42775</v>
      </c>
      <c r="C12" s="245">
        <v>42803</v>
      </c>
      <c r="D12" s="245">
        <v>42834</v>
      </c>
      <c r="E12" s="245">
        <v>42864</v>
      </c>
      <c r="F12" s="245">
        <v>42895</v>
      </c>
      <c r="G12" s="245">
        <v>42925</v>
      </c>
      <c r="H12" s="245">
        <v>42956</v>
      </c>
      <c r="I12" s="245">
        <v>42987</v>
      </c>
      <c r="J12" s="245">
        <v>43017</v>
      </c>
      <c r="K12" s="245">
        <v>43048</v>
      </c>
      <c r="L12" s="246">
        <v>43078</v>
      </c>
      <c r="N12" s="145" t="s">
        <v>249</v>
      </c>
      <c r="O12" s="143">
        <f>DATE(O4,12,15)</f>
        <v>43084</v>
      </c>
    </row>
    <row r="13" spans="1:15" x14ac:dyDescent="0.25">
      <c r="A13" s="244">
        <v>42745</v>
      </c>
      <c r="B13" s="245">
        <v>42776</v>
      </c>
      <c r="C13" s="245">
        <v>42804</v>
      </c>
      <c r="D13" s="245">
        <v>42835</v>
      </c>
      <c r="E13" s="245">
        <v>42865</v>
      </c>
      <c r="F13" s="245">
        <v>42896</v>
      </c>
      <c r="G13" s="245">
        <v>42926</v>
      </c>
      <c r="H13" s="245">
        <v>42957</v>
      </c>
      <c r="I13" s="245">
        <v>42988</v>
      </c>
      <c r="J13" s="245">
        <v>43018</v>
      </c>
      <c r="K13" s="245">
        <v>43049</v>
      </c>
      <c r="L13" s="246">
        <v>43079</v>
      </c>
      <c r="N13" s="146" t="s">
        <v>250</v>
      </c>
      <c r="O13" s="147">
        <f>ROUND(DATE(O4,4,MOD(234-11*MOD(O4,19),30))/7,0)*7-6</f>
        <v>42841</v>
      </c>
    </row>
    <row r="14" spans="1:15" x14ac:dyDescent="0.25">
      <c r="A14" s="244">
        <v>42746</v>
      </c>
      <c r="B14" s="245">
        <v>42777</v>
      </c>
      <c r="C14" s="245">
        <v>42805</v>
      </c>
      <c r="D14" s="245">
        <v>42836</v>
      </c>
      <c r="E14" s="245">
        <v>42866</v>
      </c>
      <c r="F14" s="245">
        <v>42897</v>
      </c>
      <c r="G14" s="245">
        <v>42927</v>
      </c>
      <c r="H14" s="245">
        <v>42958</v>
      </c>
      <c r="I14" s="245">
        <v>42989</v>
      </c>
      <c r="J14" s="245">
        <v>43019</v>
      </c>
      <c r="K14" s="245">
        <v>43050</v>
      </c>
      <c r="L14" s="246">
        <v>43080</v>
      </c>
      <c r="N14" s="146" t="s">
        <v>251</v>
      </c>
      <c r="O14" s="143">
        <f>O13+1</f>
        <v>42842</v>
      </c>
    </row>
    <row r="15" spans="1:15" x14ac:dyDescent="0.25">
      <c r="A15" s="244">
        <v>42747</v>
      </c>
      <c r="B15" s="245">
        <v>42778</v>
      </c>
      <c r="C15" s="245">
        <v>42806</v>
      </c>
      <c r="D15" s="245">
        <v>42837</v>
      </c>
      <c r="E15" s="245">
        <v>42867</v>
      </c>
      <c r="F15" s="245">
        <v>42898</v>
      </c>
      <c r="G15" s="245">
        <v>42928</v>
      </c>
      <c r="H15" s="245">
        <v>42959</v>
      </c>
      <c r="I15" s="245">
        <v>42990</v>
      </c>
      <c r="J15" s="245">
        <v>43020</v>
      </c>
      <c r="K15" s="245">
        <v>43051</v>
      </c>
      <c r="L15" s="246">
        <v>43081</v>
      </c>
      <c r="N15" s="146" t="s">
        <v>252</v>
      </c>
      <c r="O15" s="143">
        <f>O13+39</f>
        <v>42880</v>
      </c>
    </row>
    <row r="16" spans="1:15" x14ac:dyDescent="0.25">
      <c r="A16" s="244">
        <v>42748</v>
      </c>
      <c r="B16" s="245">
        <v>42779</v>
      </c>
      <c r="C16" s="245">
        <v>42807</v>
      </c>
      <c r="D16" s="245">
        <v>42838</v>
      </c>
      <c r="E16" s="245">
        <v>42868</v>
      </c>
      <c r="F16" s="245">
        <v>42899</v>
      </c>
      <c r="G16" s="245">
        <v>42929</v>
      </c>
      <c r="H16" s="245">
        <v>42960</v>
      </c>
      <c r="I16" s="245">
        <v>42991</v>
      </c>
      <c r="J16" s="245">
        <v>43021</v>
      </c>
      <c r="K16" s="245">
        <v>43052</v>
      </c>
      <c r="L16" s="246">
        <v>43082</v>
      </c>
      <c r="N16" s="146" t="s">
        <v>253</v>
      </c>
      <c r="O16" s="143">
        <f>O13+49</f>
        <v>42890</v>
      </c>
    </row>
    <row r="17" spans="1:15" ht="15.75" thickBot="1" x14ac:dyDescent="0.3">
      <c r="A17" s="244">
        <v>42749</v>
      </c>
      <c r="B17" s="245">
        <v>42780</v>
      </c>
      <c r="C17" s="245">
        <v>42808</v>
      </c>
      <c r="D17" s="245">
        <v>42839</v>
      </c>
      <c r="E17" s="245">
        <v>42869</v>
      </c>
      <c r="F17" s="245">
        <v>42900</v>
      </c>
      <c r="G17" s="245">
        <v>42930</v>
      </c>
      <c r="H17" s="245">
        <v>42961</v>
      </c>
      <c r="I17" s="245">
        <v>42992</v>
      </c>
      <c r="J17" s="245">
        <v>43022</v>
      </c>
      <c r="K17" s="245">
        <v>43053</v>
      </c>
      <c r="L17" s="246">
        <v>43083</v>
      </c>
      <c r="N17" s="148" t="s">
        <v>254</v>
      </c>
      <c r="O17" s="149">
        <f>O13+50</f>
        <v>42891</v>
      </c>
    </row>
    <row r="18" spans="1:15" x14ac:dyDescent="0.25">
      <c r="A18" s="244">
        <v>42750</v>
      </c>
      <c r="B18" s="245">
        <v>42781</v>
      </c>
      <c r="C18" s="245">
        <v>42809</v>
      </c>
      <c r="D18" s="245">
        <v>42840</v>
      </c>
      <c r="E18" s="245">
        <v>42870</v>
      </c>
      <c r="F18" s="245">
        <v>42901</v>
      </c>
      <c r="G18" s="245">
        <v>42931</v>
      </c>
      <c r="H18" s="245">
        <v>42962</v>
      </c>
      <c r="I18" s="245">
        <v>42993</v>
      </c>
      <c r="J18" s="245">
        <v>43023</v>
      </c>
      <c r="K18" s="245">
        <v>43054</v>
      </c>
      <c r="L18" s="246">
        <v>43084</v>
      </c>
    </row>
    <row r="19" spans="1:15" x14ac:dyDescent="0.25">
      <c r="A19" s="244">
        <v>42751</v>
      </c>
      <c r="B19" s="245">
        <v>42782</v>
      </c>
      <c r="C19" s="245">
        <v>42810</v>
      </c>
      <c r="D19" s="245">
        <v>42841</v>
      </c>
      <c r="E19" s="245">
        <v>42871</v>
      </c>
      <c r="F19" s="245">
        <v>42902</v>
      </c>
      <c r="G19" s="245">
        <v>42932</v>
      </c>
      <c r="H19" s="245">
        <v>42963</v>
      </c>
      <c r="I19" s="245">
        <v>42994</v>
      </c>
      <c r="J19" s="245">
        <v>43024</v>
      </c>
      <c r="K19" s="245">
        <v>43055</v>
      </c>
      <c r="L19" s="246">
        <v>43085</v>
      </c>
    </row>
    <row r="20" spans="1:15" x14ac:dyDescent="0.25">
      <c r="A20" s="244">
        <v>42752</v>
      </c>
      <c r="B20" s="245">
        <v>42783</v>
      </c>
      <c r="C20" s="245">
        <v>42811</v>
      </c>
      <c r="D20" s="245">
        <v>42842</v>
      </c>
      <c r="E20" s="245">
        <v>42872</v>
      </c>
      <c r="F20" s="245">
        <v>42903</v>
      </c>
      <c r="G20" s="245">
        <v>42933</v>
      </c>
      <c r="H20" s="245">
        <v>42964</v>
      </c>
      <c r="I20" s="245">
        <v>42995</v>
      </c>
      <c r="J20" s="245">
        <v>43025</v>
      </c>
      <c r="K20" s="245">
        <v>43056</v>
      </c>
      <c r="L20" s="246">
        <v>43086</v>
      </c>
    </row>
    <row r="21" spans="1:15" x14ac:dyDescent="0.25">
      <c r="A21" s="244">
        <v>42753</v>
      </c>
      <c r="B21" s="245">
        <v>42784</v>
      </c>
      <c r="C21" s="245">
        <v>42812</v>
      </c>
      <c r="D21" s="245">
        <v>42843</v>
      </c>
      <c r="E21" s="245">
        <v>42873</v>
      </c>
      <c r="F21" s="245">
        <v>42904</v>
      </c>
      <c r="G21" s="245">
        <v>42934</v>
      </c>
      <c r="H21" s="245">
        <v>42965</v>
      </c>
      <c r="I21" s="245">
        <v>42996</v>
      </c>
      <c r="J21" s="245">
        <v>43026</v>
      </c>
      <c r="K21" s="245">
        <v>43057</v>
      </c>
      <c r="L21" s="246">
        <v>43087</v>
      </c>
    </row>
    <row r="22" spans="1:15" x14ac:dyDescent="0.25">
      <c r="A22" s="244">
        <v>42754</v>
      </c>
      <c r="B22" s="245">
        <v>42785</v>
      </c>
      <c r="C22" s="245">
        <v>42813</v>
      </c>
      <c r="D22" s="245">
        <v>42844</v>
      </c>
      <c r="E22" s="245">
        <v>42874</v>
      </c>
      <c r="F22" s="245">
        <v>42905</v>
      </c>
      <c r="G22" s="245">
        <v>42935</v>
      </c>
      <c r="H22" s="245">
        <v>42966</v>
      </c>
      <c r="I22" s="245">
        <v>42997</v>
      </c>
      <c r="J22" s="245">
        <v>43027</v>
      </c>
      <c r="K22" s="245">
        <v>43058</v>
      </c>
      <c r="L22" s="246">
        <v>43088</v>
      </c>
    </row>
    <row r="23" spans="1:15" x14ac:dyDescent="0.25">
      <c r="A23" s="244">
        <v>42755</v>
      </c>
      <c r="B23" s="245">
        <v>42786</v>
      </c>
      <c r="C23" s="245">
        <v>42814</v>
      </c>
      <c r="D23" s="245">
        <v>42845</v>
      </c>
      <c r="E23" s="245">
        <v>42875</v>
      </c>
      <c r="F23" s="245">
        <v>42906</v>
      </c>
      <c r="G23" s="245">
        <v>42936</v>
      </c>
      <c r="H23" s="245">
        <v>42967</v>
      </c>
      <c r="I23" s="245">
        <v>42998</v>
      </c>
      <c r="J23" s="245">
        <v>43028</v>
      </c>
      <c r="K23" s="245">
        <v>43059</v>
      </c>
      <c r="L23" s="246">
        <v>43089</v>
      </c>
    </row>
    <row r="24" spans="1:15" x14ac:dyDescent="0.25">
      <c r="A24" s="244">
        <v>42756</v>
      </c>
      <c r="B24" s="245">
        <v>42787</v>
      </c>
      <c r="C24" s="245">
        <v>42815</v>
      </c>
      <c r="D24" s="245">
        <v>42846</v>
      </c>
      <c r="E24" s="245">
        <v>42876</v>
      </c>
      <c r="F24" s="245">
        <v>42907</v>
      </c>
      <c r="G24" s="245">
        <v>42937</v>
      </c>
      <c r="H24" s="245">
        <v>42968</v>
      </c>
      <c r="I24" s="245">
        <v>42999</v>
      </c>
      <c r="J24" s="245">
        <v>43029</v>
      </c>
      <c r="K24" s="245">
        <v>43060</v>
      </c>
      <c r="L24" s="246">
        <v>43090</v>
      </c>
    </row>
    <row r="25" spans="1:15" x14ac:dyDescent="0.25">
      <c r="A25" s="244">
        <v>42757</v>
      </c>
      <c r="B25" s="245">
        <v>42788</v>
      </c>
      <c r="C25" s="245">
        <v>42816</v>
      </c>
      <c r="D25" s="245">
        <v>42847</v>
      </c>
      <c r="E25" s="245">
        <v>42877</v>
      </c>
      <c r="F25" s="245">
        <v>42908</v>
      </c>
      <c r="G25" s="245">
        <v>42938</v>
      </c>
      <c r="H25" s="245">
        <v>42969</v>
      </c>
      <c r="I25" s="245">
        <v>43000</v>
      </c>
      <c r="J25" s="245">
        <v>43030</v>
      </c>
      <c r="K25" s="245">
        <v>43061</v>
      </c>
      <c r="L25" s="246">
        <v>43091</v>
      </c>
    </row>
    <row r="26" spans="1:15" x14ac:dyDescent="0.25">
      <c r="A26" s="244">
        <v>42758</v>
      </c>
      <c r="B26" s="245">
        <v>42789</v>
      </c>
      <c r="C26" s="245">
        <v>42817</v>
      </c>
      <c r="D26" s="245">
        <v>42848</v>
      </c>
      <c r="E26" s="245">
        <v>42878</v>
      </c>
      <c r="F26" s="245">
        <v>42909</v>
      </c>
      <c r="G26" s="245">
        <v>42939</v>
      </c>
      <c r="H26" s="245">
        <v>42970</v>
      </c>
      <c r="I26" s="245">
        <v>43001</v>
      </c>
      <c r="J26" s="245">
        <v>43031</v>
      </c>
      <c r="K26" s="245">
        <v>43062</v>
      </c>
      <c r="L26" s="246">
        <v>43092</v>
      </c>
    </row>
    <row r="27" spans="1:15" x14ac:dyDescent="0.25">
      <c r="A27" s="244">
        <v>42759</v>
      </c>
      <c r="B27" s="245">
        <v>42790</v>
      </c>
      <c r="C27" s="245">
        <v>42818</v>
      </c>
      <c r="D27" s="245">
        <v>42849</v>
      </c>
      <c r="E27" s="245">
        <v>42879</v>
      </c>
      <c r="F27" s="245">
        <v>42910</v>
      </c>
      <c r="G27" s="245">
        <v>42940</v>
      </c>
      <c r="H27" s="245">
        <v>42971</v>
      </c>
      <c r="I27" s="245">
        <v>43002</v>
      </c>
      <c r="J27" s="245">
        <v>43032</v>
      </c>
      <c r="K27" s="245">
        <v>43063</v>
      </c>
      <c r="L27" s="246">
        <v>43093</v>
      </c>
    </row>
    <row r="28" spans="1:15" x14ac:dyDescent="0.25">
      <c r="A28" s="244">
        <v>42760</v>
      </c>
      <c r="B28" s="245">
        <v>42791</v>
      </c>
      <c r="C28" s="245">
        <v>42819</v>
      </c>
      <c r="D28" s="245">
        <v>42850</v>
      </c>
      <c r="E28" s="245">
        <v>42880</v>
      </c>
      <c r="F28" s="245">
        <v>42911</v>
      </c>
      <c r="G28" s="245">
        <v>42941</v>
      </c>
      <c r="H28" s="245">
        <v>42972</v>
      </c>
      <c r="I28" s="245">
        <v>43003</v>
      </c>
      <c r="J28" s="245">
        <v>43033</v>
      </c>
      <c r="K28" s="245">
        <v>43064</v>
      </c>
      <c r="L28" s="246">
        <v>43094</v>
      </c>
    </row>
    <row r="29" spans="1:15" x14ac:dyDescent="0.25">
      <c r="A29" s="244">
        <v>42761</v>
      </c>
      <c r="B29" s="245">
        <v>42792</v>
      </c>
      <c r="C29" s="245">
        <v>42820</v>
      </c>
      <c r="D29" s="245">
        <v>42851</v>
      </c>
      <c r="E29" s="245">
        <v>42881</v>
      </c>
      <c r="F29" s="245">
        <v>42912</v>
      </c>
      <c r="G29" s="245">
        <v>42942</v>
      </c>
      <c r="H29" s="245">
        <v>42973</v>
      </c>
      <c r="I29" s="245">
        <v>43004</v>
      </c>
      <c r="J29" s="245">
        <v>43034</v>
      </c>
      <c r="K29" s="245">
        <v>43065</v>
      </c>
      <c r="L29" s="246">
        <v>43095</v>
      </c>
    </row>
    <row r="30" spans="1:15" x14ac:dyDescent="0.25">
      <c r="A30" s="244">
        <v>42762</v>
      </c>
      <c r="B30" s="245">
        <v>42793</v>
      </c>
      <c r="C30" s="245">
        <v>42821</v>
      </c>
      <c r="D30" s="245">
        <v>42852</v>
      </c>
      <c r="E30" s="245">
        <v>42882</v>
      </c>
      <c r="F30" s="245">
        <v>42913</v>
      </c>
      <c r="G30" s="245">
        <v>42943</v>
      </c>
      <c r="H30" s="245">
        <v>42974</v>
      </c>
      <c r="I30" s="245">
        <v>43005</v>
      </c>
      <c r="J30" s="245">
        <v>43035</v>
      </c>
      <c r="K30" s="245">
        <v>43066</v>
      </c>
      <c r="L30" s="246">
        <v>43096</v>
      </c>
    </row>
    <row r="31" spans="1:15" x14ac:dyDescent="0.25">
      <c r="A31" s="244">
        <v>42763</v>
      </c>
      <c r="B31" s="245">
        <v>42794</v>
      </c>
      <c r="C31" s="245">
        <v>42822</v>
      </c>
      <c r="D31" s="245">
        <v>42853</v>
      </c>
      <c r="E31" s="245">
        <v>42883</v>
      </c>
      <c r="F31" s="245">
        <v>42914</v>
      </c>
      <c r="G31" s="245">
        <v>42944</v>
      </c>
      <c r="H31" s="245">
        <v>42975</v>
      </c>
      <c r="I31" s="245">
        <v>43006</v>
      </c>
      <c r="J31" s="245">
        <v>43036</v>
      </c>
      <c r="K31" s="245">
        <v>43067</v>
      </c>
      <c r="L31" s="246">
        <v>43097</v>
      </c>
    </row>
    <row r="32" spans="1:15" x14ac:dyDescent="0.25">
      <c r="A32" s="244">
        <v>42764</v>
      </c>
      <c r="B32" s="245">
        <v>42795</v>
      </c>
      <c r="C32" s="245">
        <v>42823</v>
      </c>
      <c r="D32" s="245">
        <v>42854</v>
      </c>
      <c r="E32" s="245">
        <v>42884</v>
      </c>
      <c r="F32" s="245">
        <v>42915</v>
      </c>
      <c r="G32" s="245">
        <v>42945</v>
      </c>
      <c r="H32" s="245">
        <v>42976</v>
      </c>
      <c r="I32" s="245">
        <v>43007</v>
      </c>
      <c r="J32" s="245">
        <v>43037</v>
      </c>
      <c r="K32" s="245">
        <v>43068</v>
      </c>
      <c r="L32" s="246">
        <v>43098</v>
      </c>
    </row>
    <row r="33" spans="1:12" x14ac:dyDescent="0.25">
      <c r="A33" s="244">
        <v>42765</v>
      </c>
      <c r="B33" s="245">
        <v>42796</v>
      </c>
      <c r="C33" s="245">
        <v>42824</v>
      </c>
      <c r="D33" s="245">
        <v>42855</v>
      </c>
      <c r="E33" s="245">
        <v>42885</v>
      </c>
      <c r="F33" s="245">
        <v>42916</v>
      </c>
      <c r="G33" s="245">
        <v>42946</v>
      </c>
      <c r="H33" s="245">
        <v>42977</v>
      </c>
      <c r="I33" s="245">
        <v>43008</v>
      </c>
      <c r="J33" s="245">
        <v>43038</v>
      </c>
      <c r="K33" s="245">
        <v>43069</v>
      </c>
      <c r="L33" s="246">
        <v>43099</v>
      </c>
    </row>
    <row r="34" spans="1:12" ht="15.75" thickBot="1" x14ac:dyDescent="0.3">
      <c r="A34" s="247">
        <v>42766</v>
      </c>
      <c r="B34" s="248">
        <v>42797</v>
      </c>
      <c r="C34" s="248">
        <v>42825</v>
      </c>
      <c r="D34" s="248">
        <v>42856</v>
      </c>
      <c r="E34" s="248">
        <v>42886</v>
      </c>
      <c r="F34" s="248">
        <v>42917</v>
      </c>
      <c r="G34" s="248">
        <v>42947</v>
      </c>
      <c r="H34" s="248">
        <v>42978</v>
      </c>
      <c r="I34" s="248">
        <v>43009</v>
      </c>
      <c r="J34" s="248">
        <v>43039</v>
      </c>
      <c r="K34" s="248">
        <v>43070</v>
      </c>
      <c r="L34" s="249">
        <v>43100</v>
      </c>
    </row>
  </sheetData>
  <mergeCells count="1">
    <mergeCell ref="N3:O3"/>
  </mergeCells>
  <conditionalFormatting sqref="A4:L34">
    <cfRule type="timePeriod" dxfId="4" priority="1" timePeriod="today">
      <formula>FLOOR(A4,1)=TODAY()</formula>
    </cfRule>
    <cfRule type="expression" dxfId="3" priority="2">
      <formula>OR(A4=JourFériés)</formula>
    </cfRule>
    <cfRule type="expression" dxfId="2" priority="3">
      <formula>WEEKDAY(A4)=1</formula>
    </cfRule>
    <cfRule type="expression" dxfId="1" priority="4">
      <formula>WEEKDAY(A4)=7</formula>
    </cfRule>
    <cfRule type="expression" dxfId="0" priority="5">
      <formula>MONTH(A4)&lt;&gt;MONTH(A$4)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workbookViewId="0">
      <selection activeCell="M29" sqref="M29"/>
    </sheetView>
  </sheetViews>
  <sheetFormatPr baseColWidth="10" defaultRowHeight="15" x14ac:dyDescent="0.25"/>
  <cols>
    <col min="1" max="1" width="4.7109375" customWidth="1"/>
    <col min="4" max="4" width="13.28515625" customWidth="1"/>
    <col min="5" max="5" width="10.7109375" bestFit="1" customWidth="1"/>
    <col min="6" max="6" width="14.28515625" customWidth="1"/>
    <col min="7" max="7" width="13.85546875" customWidth="1"/>
    <col min="8" max="8" width="13.7109375" customWidth="1"/>
    <col min="9" max="9" width="14.5703125" customWidth="1"/>
    <col min="10" max="10" width="17" customWidth="1"/>
    <col min="11" max="11" width="13.42578125" customWidth="1"/>
    <col min="12" max="12" width="14.42578125" customWidth="1"/>
    <col min="13" max="13" width="16.5703125" bestFit="1" customWidth="1"/>
    <col min="14" max="14" width="12.7109375" bestFit="1" customWidth="1"/>
    <col min="15" max="15" width="12.85546875" bestFit="1" customWidth="1"/>
    <col min="16" max="16" width="12.7109375" bestFit="1" customWidth="1"/>
    <col min="17" max="17" width="11.85546875" bestFit="1" customWidth="1"/>
    <col min="19" max="19" width="15.5703125" bestFit="1" customWidth="1"/>
  </cols>
  <sheetData>
    <row r="1" spans="1:19" ht="22.5" customHeight="1" x14ac:dyDescent="0.25">
      <c r="E1" s="433" t="s">
        <v>426</v>
      </c>
      <c r="F1" s="433"/>
      <c r="G1" s="433"/>
      <c r="H1" s="433"/>
      <c r="I1" s="433"/>
      <c r="J1" s="433"/>
      <c r="K1" s="433"/>
      <c r="L1" s="433"/>
    </row>
    <row r="2" spans="1:19" ht="15.75" thickBot="1" x14ac:dyDescent="0.3">
      <c r="J2">
        <v>3269</v>
      </c>
      <c r="M2">
        <f>J2*4</f>
        <v>13076</v>
      </c>
      <c r="P2">
        <v>342.48</v>
      </c>
      <c r="S2">
        <f>J2*8</f>
        <v>26152</v>
      </c>
    </row>
    <row r="3" spans="1:19" ht="27.75" customHeight="1" thickBot="1" x14ac:dyDescent="0.3">
      <c r="B3" s="434" t="s">
        <v>427</v>
      </c>
      <c r="C3" s="435" t="s">
        <v>428</v>
      </c>
      <c r="D3" s="436" t="s">
        <v>429</v>
      </c>
      <c r="E3" s="437" t="s">
        <v>430</v>
      </c>
      <c r="F3" s="438" t="s">
        <v>431</v>
      </c>
      <c r="G3" s="438" t="s">
        <v>432</v>
      </c>
      <c r="H3" s="439" t="s">
        <v>433</v>
      </c>
      <c r="I3" s="439" t="s">
        <v>434</v>
      </c>
      <c r="J3" s="439" t="s">
        <v>435</v>
      </c>
      <c r="K3" s="440" t="s">
        <v>436</v>
      </c>
      <c r="L3" s="440" t="s">
        <v>437</v>
      </c>
      <c r="M3" s="440" t="s">
        <v>438</v>
      </c>
      <c r="N3" s="441" t="s">
        <v>439</v>
      </c>
      <c r="O3" s="442" t="s">
        <v>440</v>
      </c>
      <c r="P3" s="443" t="s">
        <v>441</v>
      </c>
      <c r="Q3" s="444" t="s">
        <v>442</v>
      </c>
      <c r="R3" s="444" t="s">
        <v>443</v>
      </c>
      <c r="S3" s="445" t="s">
        <v>444</v>
      </c>
    </row>
    <row r="4" spans="1:19" ht="20.100000000000001" customHeight="1" thickBot="1" x14ac:dyDescent="0.3">
      <c r="A4" s="446">
        <v>1</v>
      </c>
      <c r="B4" s="447">
        <v>1085.51</v>
      </c>
      <c r="C4" s="448">
        <v>1046.06</v>
      </c>
      <c r="D4" s="449">
        <v>109.59</v>
      </c>
      <c r="E4" s="450" t="s">
        <v>445</v>
      </c>
      <c r="F4" s="451">
        <f>B4</f>
        <v>1085.51</v>
      </c>
      <c r="G4" s="451">
        <f>B4</f>
        <v>1085.51</v>
      </c>
      <c r="H4" s="451">
        <f>IF(G4&gt;J4,J4,G4)</f>
        <v>1046.06</v>
      </c>
      <c r="I4" s="452">
        <f>H4</f>
        <v>1046.06</v>
      </c>
      <c r="J4" s="451">
        <f>C4</f>
        <v>1046.06</v>
      </c>
      <c r="K4" s="451">
        <f>IF(G4&gt;M4,M4-J4,IF(G4&gt;J4,G4-J4,0))</f>
        <v>39.450000000000045</v>
      </c>
      <c r="L4" s="452">
        <f>K4</f>
        <v>39.450000000000045</v>
      </c>
      <c r="M4" s="451">
        <f>C4*4</f>
        <v>4184.24</v>
      </c>
      <c r="N4" s="453">
        <f>IF(K4&gt;P4,0,IF(K4&lt;P4,P4-K4,P4))</f>
        <v>70.139999999999958</v>
      </c>
      <c r="O4" s="452">
        <f>N4</f>
        <v>70.139999999999958</v>
      </c>
      <c r="P4" s="454">
        <f>D4</f>
        <v>109.59</v>
      </c>
      <c r="Q4" s="455">
        <f>IF(G4&gt;S4,S4-M4,IF(G4&gt;M4,G4-M4,0))</f>
        <v>0</v>
      </c>
      <c r="R4" s="456">
        <f>Q4</f>
        <v>0</v>
      </c>
      <c r="S4" s="457">
        <f>8*C4</f>
        <v>8368.48</v>
      </c>
    </row>
    <row r="5" spans="1:19" ht="20.100000000000001" customHeight="1" thickBot="1" x14ac:dyDescent="0.3">
      <c r="A5" s="458">
        <v>2</v>
      </c>
      <c r="B5" s="459">
        <v>2015.96</v>
      </c>
      <c r="C5" s="448">
        <v>1961.36</v>
      </c>
      <c r="D5" s="449">
        <v>205.48</v>
      </c>
      <c r="E5" s="460" t="s">
        <v>446</v>
      </c>
      <c r="F5" s="451">
        <f t="shared" ref="F5:F15" si="0">B5</f>
        <v>2015.96</v>
      </c>
      <c r="G5" s="461">
        <f>G4+F5</f>
        <v>3101.4700000000003</v>
      </c>
      <c r="H5" s="462">
        <f>IF(G5&gt;J5,J5,G5)</f>
        <v>3007.42</v>
      </c>
      <c r="I5" s="463">
        <f>H5-H4</f>
        <v>1961.3600000000001</v>
      </c>
      <c r="J5" s="464">
        <f>J4+C5</f>
        <v>3007.42</v>
      </c>
      <c r="K5" s="451">
        <f>IF(G5&gt;M5,M5-J5,IF(G5&gt;J5,G5-J5,0))</f>
        <v>94.050000000000182</v>
      </c>
      <c r="L5" s="465">
        <f>K5-K4</f>
        <v>54.600000000000136</v>
      </c>
      <c r="M5" s="466">
        <f>M4+4*C5</f>
        <v>12029.68</v>
      </c>
      <c r="N5" s="467">
        <f t="shared" ref="N5:N15" si="1">IF(K5&gt;P5,0,IF(K5&lt;P5,P5-K5,P5))</f>
        <v>221.01999999999981</v>
      </c>
      <c r="O5" s="468">
        <f>N5-N4</f>
        <v>150.87999999999985</v>
      </c>
      <c r="P5" s="469">
        <f>P4+D5</f>
        <v>315.07</v>
      </c>
      <c r="Q5" s="470">
        <f t="shared" ref="Q5:Q15" si="2">IF(G5&gt;S5,S5-M5,IF(G5&gt;M5,G5-M5,0))</f>
        <v>0</v>
      </c>
      <c r="R5" s="471">
        <f>Q5-Q4</f>
        <v>0</v>
      </c>
      <c r="S5" s="472">
        <f>S4+C5*8</f>
        <v>24059.360000000001</v>
      </c>
    </row>
    <row r="6" spans="1:19" ht="20.100000000000001" customHeight="1" thickBot="1" x14ac:dyDescent="0.3">
      <c r="A6" s="458">
        <v>3</v>
      </c>
      <c r="B6" s="447">
        <v>1007.96</v>
      </c>
      <c r="C6" s="448">
        <v>523.03</v>
      </c>
      <c r="D6" s="473">
        <v>54.8</v>
      </c>
      <c r="E6" s="474" t="s">
        <v>447</v>
      </c>
      <c r="F6" s="451">
        <f t="shared" si="0"/>
        <v>1007.96</v>
      </c>
      <c r="G6" s="475">
        <f t="shared" ref="G6:G15" si="3">G5+F6</f>
        <v>4109.43</v>
      </c>
      <c r="H6" s="451">
        <f t="shared" ref="H6:H15" si="4">IF(G6&gt;J6,J6,G6)</f>
        <v>3530.45</v>
      </c>
      <c r="I6" s="476">
        <f t="shared" ref="I6:I14" si="5">H6-H5</f>
        <v>523.02999999999975</v>
      </c>
      <c r="J6" s="464">
        <f t="shared" ref="J6:J15" si="6">J5+C6</f>
        <v>3530.45</v>
      </c>
      <c r="K6" s="451">
        <f t="shared" ref="K6:K15" si="7">IF(G6&gt;M6,M6-J6,IF(G6&gt;J6,G6-J6,0))</f>
        <v>578.98000000000047</v>
      </c>
      <c r="L6" s="477">
        <f>K6-K5</f>
        <v>484.93000000000029</v>
      </c>
      <c r="M6" s="466">
        <f t="shared" ref="M6:M14" si="8">M5+4*C6</f>
        <v>14121.8</v>
      </c>
      <c r="N6" s="453">
        <f t="shared" si="1"/>
        <v>0</v>
      </c>
      <c r="O6" s="476">
        <f t="shared" ref="O6:O15" si="9">N6-N5</f>
        <v>-221.01999999999981</v>
      </c>
      <c r="P6" s="469">
        <f t="shared" ref="P6:P15" si="10">P5+D6</f>
        <v>369.87</v>
      </c>
      <c r="Q6" s="455">
        <f t="shared" si="2"/>
        <v>0</v>
      </c>
      <c r="R6" s="456">
        <f t="shared" ref="R6:R15" si="11">Q6-Q5</f>
        <v>0</v>
      </c>
      <c r="S6" s="472">
        <f t="shared" ref="S6:S15" si="12">S5+C6*8</f>
        <v>28243.599999999999</v>
      </c>
    </row>
    <row r="7" spans="1:19" ht="20.100000000000001" customHeight="1" thickBot="1" x14ac:dyDescent="0.3">
      <c r="A7" s="458">
        <v>4</v>
      </c>
      <c r="B7" s="447"/>
      <c r="C7" s="448"/>
      <c r="D7" s="449"/>
      <c r="E7" s="460" t="s">
        <v>448</v>
      </c>
      <c r="F7" s="451">
        <f t="shared" si="0"/>
        <v>0</v>
      </c>
      <c r="G7" s="461">
        <f t="shared" si="3"/>
        <v>4109.43</v>
      </c>
      <c r="H7" s="462">
        <f t="shared" si="4"/>
        <v>3530.45</v>
      </c>
      <c r="I7" s="463">
        <f t="shared" si="5"/>
        <v>0</v>
      </c>
      <c r="J7" s="464">
        <f t="shared" si="6"/>
        <v>3530.45</v>
      </c>
      <c r="K7" s="478">
        <f t="shared" si="7"/>
        <v>578.98000000000047</v>
      </c>
      <c r="L7" s="465">
        <f t="shared" ref="L7:L15" si="13">K7-K6</f>
        <v>0</v>
      </c>
      <c r="M7" s="466">
        <f t="shared" si="8"/>
        <v>14121.8</v>
      </c>
      <c r="N7" s="467">
        <f t="shared" si="1"/>
        <v>0</v>
      </c>
      <c r="O7" s="468">
        <f t="shared" si="9"/>
        <v>0</v>
      </c>
      <c r="P7" s="469">
        <f t="shared" si="10"/>
        <v>369.87</v>
      </c>
      <c r="Q7" s="479">
        <f t="shared" si="2"/>
        <v>0</v>
      </c>
      <c r="R7" s="471">
        <f t="shared" si="11"/>
        <v>0</v>
      </c>
      <c r="S7" s="472">
        <f t="shared" si="12"/>
        <v>28243.599999999999</v>
      </c>
    </row>
    <row r="8" spans="1:19" ht="20.100000000000001" customHeight="1" thickBot="1" x14ac:dyDescent="0.3">
      <c r="A8" s="458">
        <v>5</v>
      </c>
      <c r="B8" s="447"/>
      <c r="C8" s="448"/>
      <c r="D8" s="449"/>
      <c r="E8" s="474" t="s">
        <v>449</v>
      </c>
      <c r="F8" s="451">
        <f t="shared" si="0"/>
        <v>0</v>
      </c>
      <c r="G8" s="475">
        <f t="shared" si="3"/>
        <v>4109.43</v>
      </c>
      <c r="H8" s="451">
        <f t="shared" si="4"/>
        <v>3530.45</v>
      </c>
      <c r="I8" s="476">
        <f t="shared" si="5"/>
        <v>0</v>
      </c>
      <c r="J8" s="464">
        <f t="shared" si="6"/>
        <v>3530.45</v>
      </c>
      <c r="K8" s="451">
        <f t="shared" si="7"/>
        <v>578.98000000000047</v>
      </c>
      <c r="L8" s="477">
        <f t="shared" si="13"/>
        <v>0</v>
      </c>
      <c r="M8" s="466">
        <f t="shared" si="8"/>
        <v>14121.8</v>
      </c>
      <c r="N8" s="453">
        <f t="shared" si="1"/>
        <v>0</v>
      </c>
      <c r="O8" s="476">
        <f t="shared" si="9"/>
        <v>0</v>
      </c>
      <c r="P8" s="469">
        <f t="shared" si="10"/>
        <v>369.87</v>
      </c>
      <c r="Q8" s="455">
        <f t="shared" si="2"/>
        <v>0</v>
      </c>
      <c r="R8" s="456">
        <f t="shared" si="11"/>
        <v>0</v>
      </c>
      <c r="S8" s="472">
        <f t="shared" si="12"/>
        <v>28243.599999999999</v>
      </c>
    </row>
    <row r="9" spans="1:19" ht="20.100000000000001" customHeight="1" thickBot="1" x14ac:dyDescent="0.3">
      <c r="A9" s="458">
        <v>6</v>
      </c>
      <c r="B9" s="447"/>
      <c r="C9" s="448"/>
      <c r="D9" s="449"/>
      <c r="E9" s="480" t="s">
        <v>450</v>
      </c>
      <c r="F9" s="451">
        <f t="shared" si="0"/>
        <v>0</v>
      </c>
      <c r="G9" s="461">
        <f t="shared" si="3"/>
        <v>4109.43</v>
      </c>
      <c r="H9" s="462">
        <f t="shared" si="4"/>
        <v>3530.45</v>
      </c>
      <c r="I9" s="463">
        <f t="shared" si="5"/>
        <v>0</v>
      </c>
      <c r="J9" s="464">
        <f t="shared" si="6"/>
        <v>3530.45</v>
      </c>
      <c r="K9" s="478">
        <f t="shared" si="7"/>
        <v>578.98000000000047</v>
      </c>
      <c r="L9" s="465">
        <f t="shared" si="13"/>
        <v>0</v>
      </c>
      <c r="M9" s="466">
        <f t="shared" si="8"/>
        <v>14121.8</v>
      </c>
      <c r="N9" s="467">
        <f t="shared" si="1"/>
        <v>0</v>
      </c>
      <c r="O9" s="468">
        <f t="shared" si="9"/>
        <v>0</v>
      </c>
      <c r="P9" s="469">
        <f t="shared" si="10"/>
        <v>369.87</v>
      </c>
      <c r="Q9" s="479">
        <f t="shared" si="2"/>
        <v>0</v>
      </c>
      <c r="R9" s="471">
        <f t="shared" si="11"/>
        <v>0</v>
      </c>
      <c r="S9" s="472">
        <f t="shared" si="12"/>
        <v>28243.599999999999</v>
      </c>
    </row>
    <row r="10" spans="1:19" ht="20.100000000000001" customHeight="1" thickBot="1" x14ac:dyDescent="0.3">
      <c r="A10" s="458">
        <v>7</v>
      </c>
      <c r="B10" s="447"/>
      <c r="C10" s="448"/>
      <c r="D10" s="449"/>
      <c r="E10" s="474" t="s">
        <v>451</v>
      </c>
      <c r="F10" s="451">
        <f t="shared" si="0"/>
        <v>0</v>
      </c>
      <c r="G10" s="475">
        <f t="shared" si="3"/>
        <v>4109.43</v>
      </c>
      <c r="H10" s="451">
        <f t="shared" si="4"/>
        <v>3530.45</v>
      </c>
      <c r="I10" s="476">
        <f t="shared" si="5"/>
        <v>0</v>
      </c>
      <c r="J10" s="464">
        <f t="shared" si="6"/>
        <v>3530.45</v>
      </c>
      <c r="K10" s="451">
        <f t="shared" si="7"/>
        <v>578.98000000000047</v>
      </c>
      <c r="L10" s="477">
        <f t="shared" si="13"/>
        <v>0</v>
      </c>
      <c r="M10" s="466">
        <f t="shared" si="8"/>
        <v>14121.8</v>
      </c>
      <c r="N10" s="453">
        <f t="shared" si="1"/>
        <v>0</v>
      </c>
      <c r="O10" s="476">
        <f t="shared" si="9"/>
        <v>0</v>
      </c>
      <c r="P10" s="469">
        <f t="shared" si="10"/>
        <v>369.87</v>
      </c>
      <c r="Q10" s="455">
        <f t="shared" si="2"/>
        <v>0</v>
      </c>
      <c r="R10" s="456">
        <f t="shared" si="11"/>
        <v>0</v>
      </c>
      <c r="S10" s="472">
        <f t="shared" si="12"/>
        <v>28243.599999999999</v>
      </c>
    </row>
    <row r="11" spans="1:19" ht="20.100000000000001" customHeight="1" thickBot="1" x14ac:dyDescent="0.3">
      <c r="A11" s="458">
        <v>8</v>
      </c>
      <c r="B11" s="447"/>
      <c r="C11" s="448"/>
      <c r="D11" s="449"/>
      <c r="E11" s="460" t="s">
        <v>452</v>
      </c>
      <c r="F11" s="451">
        <f t="shared" si="0"/>
        <v>0</v>
      </c>
      <c r="G11" s="461">
        <f t="shared" si="3"/>
        <v>4109.43</v>
      </c>
      <c r="H11" s="462">
        <f t="shared" si="4"/>
        <v>3530.45</v>
      </c>
      <c r="I11" s="463">
        <f t="shared" si="5"/>
        <v>0</v>
      </c>
      <c r="J11" s="464">
        <f t="shared" si="6"/>
        <v>3530.45</v>
      </c>
      <c r="K11" s="478">
        <f t="shared" si="7"/>
        <v>578.98000000000047</v>
      </c>
      <c r="L11" s="465">
        <f t="shared" si="13"/>
        <v>0</v>
      </c>
      <c r="M11" s="466">
        <f t="shared" si="8"/>
        <v>14121.8</v>
      </c>
      <c r="N11" s="467">
        <f t="shared" si="1"/>
        <v>0</v>
      </c>
      <c r="O11" s="468">
        <f t="shared" si="9"/>
        <v>0</v>
      </c>
      <c r="P11" s="469">
        <f t="shared" si="10"/>
        <v>369.87</v>
      </c>
      <c r="Q11" s="479">
        <f t="shared" si="2"/>
        <v>0</v>
      </c>
      <c r="R11" s="471">
        <f t="shared" si="11"/>
        <v>0</v>
      </c>
      <c r="S11" s="472">
        <f t="shared" si="12"/>
        <v>28243.599999999999</v>
      </c>
    </row>
    <row r="12" spans="1:19" ht="20.100000000000001" customHeight="1" thickBot="1" x14ac:dyDescent="0.3">
      <c r="A12" s="458">
        <v>9</v>
      </c>
      <c r="B12" s="447"/>
      <c r="C12" s="448"/>
      <c r="D12" s="449"/>
      <c r="E12" s="474" t="s">
        <v>453</v>
      </c>
      <c r="F12" s="451">
        <f t="shared" si="0"/>
        <v>0</v>
      </c>
      <c r="G12" s="475">
        <f t="shared" si="3"/>
        <v>4109.43</v>
      </c>
      <c r="H12" s="451">
        <f t="shared" si="4"/>
        <v>3530.45</v>
      </c>
      <c r="I12" s="476">
        <f t="shared" si="5"/>
        <v>0</v>
      </c>
      <c r="J12" s="464">
        <f t="shared" si="6"/>
        <v>3530.45</v>
      </c>
      <c r="K12" s="451">
        <f t="shared" si="7"/>
        <v>578.98000000000047</v>
      </c>
      <c r="L12" s="477">
        <f t="shared" si="13"/>
        <v>0</v>
      </c>
      <c r="M12" s="466">
        <f t="shared" si="8"/>
        <v>14121.8</v>
      </c>
      <c r="N12" s="453">
        <f t="shared" si="1"/>
        <v>0</v>
      </c>
      <c r="O12" s="476">
        <f t="shared" si="9"/>
        <v>0</v>
      </c>
      <c r="P12" s="469">
        <f t="shared" si="10"/>
        <v>369.87</v>
      </c>
      <c r="Q12" s="455">
        <f t="shared" si="2"/>
        <v>0</v>
      </c>
      <c r="R12" s="456">
        <f t="shared" si="11"/>
        <v>0</v>
      </c>
      <c r="S12" s="472">
        <f t="shared" si="12"/>
        <v>28243.599999999999</v>
      </c>
    </row>
    <row r="13" spans="1:19" ht="20.100000000000001" customHeight="1" thickBot="1" x14ac:dyDescent="0.3">
      <c r="A13" s="458">
        <v>10</v>
      </c>
      <c r="B13" s="447"/>
      <c r="C13" s="448"/>
      <c r="D13" s="449"/>
      <c r="E13" s="460" t="s">
        <v>454</v>
      </c>
      <c r="F13" s="451">
        <f t="shared" si="0"/>
        <v>0</v>
      </c>
      <c r="G13" s="461">
        <f t="shared" si="3"/>
        <v>4109.43</v>
      </c>
      <c r="H13" s="462">
        <f t="shared" si="4"/>
        <v>3530.45</v>
      </c>
      <c r="I13" s="463">
        <f t="shared" si="5"/>
        <v>0</v>
      </c>
      <c r="J13" s="464">
        <f t="shared" si="6"/>
        <v>3530.45</v>
      </c>
      <c r="K13" s="478">
        <f t="shared" si="7"/>
        <v>578.98000000000047</v>
      </c>
      <c r="L13" s="465">
        <f t="shared" si="13"/>
        <v>0</v>
      </c>
      <c r="M13" s="466">
        <f t="shared" si="8"/>
        <v>14121.8</v>
      </c>
      <c r="N13" s="467">
        <f t="shared" si="1"/>
        <v>0</v>
      </c>
      <c r="O13" s="468">
        <f t="shared" si="9"/>
        <v>0</v>
      </c>
      <c r="P13" s="469">
        <f t="shared" si="10"/>
        <v>369.87</v>
      </c>
      <c r="Q13" s="479">
        <f t="shared" si="2"/>
        <v>0</v>
      </c>
      <c r="R13" s="471">
        <f t="shared" si="11"/>
        <v>0</v>
      </c>
      <c r="S13" s="472">
        <f t="shared" si="12"/>
        <v>28243.599999999999</v>
      </c>
    </row>
    <row r="14" spans="1:19" ht="20.100000000000001" customHeight="1" thickBot="1" x14ac:dyDescent="0.3">
      <c r="A14" s="458">
        <v>11</v>
      </c>
      <c r="B14" s="447"/>
      <c r="C14" s="448"/>
      <c r="D14" s="449"/>
      <c r="E14" s="474" t="s">
        <v>455</v>
      </c>
      <c r="F14" s="451">
        <f t="shared" si="0"/>
        <v>0</v>
      </c>
      <c r="G14" s="475">
        <f t="shared" si="3"/>
        <v>4109.43</v>
      </c>
      <c r="H14" s="451">
        <f t="shared" si="4"/>
        <v>3530.45</v>
      </c>
      <c r="I14" s="476">
        <f t="shared" si="5"/>
        <v>0</v>
      </c>
      <c r="J14" s="464">
        <f t="shared" si="6"/>
        <v>3530.45</v>
      </c>
      <c r="K14" s="451">
        <f t="shared" si="7"/>
        <v>578.98000000000047</v>
      </c>
      <c r="L14" s="477">
        <f t="shared" si="13"/>
        <v>0</v>
      </c>
      <c r="M14" s="466">
        <f t="shared" si="8"/>
        <v>14121.8</v>
      </c>
      <c r="N14" s="453">
        <f t="shared" si="1"/>
        <v>0</v>
      </c>
      <c r="O14" s="476">
        <f t="shared" si="9"/>
        <v>0</v>
      </c>
      <c r="P14" s="469">
        <f t="shared" si="10"/>
        <v>369.87</v>
      </c>
      <c r="Q14" s="455">
        <f t="shared" si="2"/>
        <v>0</v>
      </c>
      <c r="R14" s="456">
        <f t="shared" si="11"/>
        <v>0</v>
      </c>
      <c r="S14" s="472">
        <f t="shared" si="12"/>
        <v>28243.599999999999</v>
      </c>
    </row>
    <row r="15" spans="1:19" ht="20.100000000000001" customHeight="1" thickBot="1" x14ac:dyDescent="0.3">
      <c r="A15" s="458">
        <v>12</v>
      </c>
      <c r="B15" s="481"/>
      <c r="C15" s="482"/>
      <c r="D15" s="483"/>
      <c r="E15" s="484" t="s">
        <v>456</v>
      </c>
      <c r="F15" s="451">
        <f t="shared" si="0"/>
        <v>0</v>
      </c>
      <c r="G15" s="485">
        <f t="shared" si="3"/>
        <v>4109.43</v>
      </c>
      <c r="H15" s="486">
        <f t="shared" si="4"/>
        <v>3530.45</v>
      </c>
      <c r="I15" s="487">
        <f>H15-H14</f>
        <v>0</v>
      </c>
      <c r="J15" s="464">
        <f t="shared" si="6"/>
        <v>3530.45</v>
      </c>
      <c r="K15" s="488">
        <f t="shared" si="7"/>
        <v>578.98000000000047</v>
      </c>
      <c r="L15" s="489">
        <f t="shared" si="13"/>
        <v>0</v>
      </c>
      <c r="M15" s="466">
        <f>M14+4*C15</f>
        <v>14121.8</v>
      </c>
      <c r="N15" s="490">
        <f t="shared" si="1"/>
        <v>0</v>
      </c>
      <c r="O15" s="491">
        <f t="shared" si="9"/>
        <v>0</v>
      </c>
      <c r="P15" s="469">
        <f t="shared" si="10"/>
        <v>369.87</v>
      </c>
      <c r="Q15" s="492">
        <f t="shared" si="2"/>
        <v>0</v>
      </c>
      <c r="R15" s="493">
        <f t="shared" si="11"/>
        <v>0</v>
      </c>
      <c r="S15" s="472">
        <f t="shared" si="12"/>
        <v>28243.599999999999</v>
      </c>
    </row>
    <row r="20" spans="2:8" x14ac:dyDescent="0.25">
      <c r="B20" t="s">
        <v>457</v>
      </c>
      <c r="C20">
        <v>1</v>
      </c>
      <c r="H20" t="s">
        <v>458</v>
      </c>
    </row>
  </sheetData>
  <mergeCells count="1">
    <mergeCell ref="E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21</vt:i4>
      </vt:variant>
    </vt:vector>
  </HeadingPairs>
  <TitlesOfParts>
    <vt:vector size="33" baseType="lpstr">
      <vt:lpstr>Liste</vt:lpstr>
      <vt:lpstr>INFOS BS</vt:lpstr>
      <vt:lpstr>BS CADRE</vt:lpstr>
      <vt:lpstr>Feuil1</vt:lpstr>
      <vt:lpstr>BS SIMPLIFIE</vt:lpstr>
      <vt:lpstr>H SUP</vt:lpstr>
      <vt:lpstr>Abs N R</vt:lpstr>
      <vt:lpstr>Abs CP</vt:lpstr>
      <vt:lpstr>Av Nat</vt:lpstr>
      <vt:lpstr>Saisie_Salaire</vt:lpstr>
      <vt:lpstr>Calendrier</vt:lpstr>
      <vt:lpstr>Régul Plalond</vt:lpstr>
      <vt:lpstr>Année</vt:lpstr>
      <vt:lpstr>Aug_M_Pers</vt:lpstr>
      <vt:lpstr>aug_pars_charge</vt:lpstr>
      <vt:lpstr>D_Absence</vt:lpstr>
      <vt:lpstr>Début_CP</vt:lpstr>
      <vt:lpstr>F_Absence</vt:lpstr>
      <vt:lpstr>Fin_CP</vt:lpstr>
      <vt:lpstr>JourFériés</vt:lpstr>
      <vt:lpstr>liste_Déroulante</vt:lpstr>
      <vt:lpstr>Nb_H_Sem</vt:lpstr>
      <vt:lpstr>Nb_J_Sem</vt:lpstr>
      <vt:lpstr>Nb_pars_charge</vt:lpstr>
      <vt:lpstr>Nb_Pers_Charge</vt:lpstr>
      <vt:lpstr>Nb_Salariés</vt:lpstr>
      <vt:lpstr>PPMUT</vt:lpstr>
      <vt:lpstr>PPPREV</vt:lpstr>
      <vt:lpstr>PSS</vt:lpstr>
      <vt:lpstr>S_BRUT</vt:lpstr>
      <vt:lpstr>Salaire_Net</vt:lpstr>
      <vt:lpstr>SmicMensuel</vt:lpstr>
      <vt:lpstr>T_H_SMIC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MOURREJEAU</dc:creator>
  <cp:lastModifiedBy>cl101006</cp:lastModifiedBy>
  <cp:lastPrinted>2017-11-09T19:56:37Z</cp:lastPrinted>
  <dcterms:created xsi:type="dcterms:W3CDTF">2017-11-06T17:37:21Z</dcterms:created>
  <dcterms:modified xsi:type="dcterms:W3CDTF">2017-11-15T07:39:46Z</dcterms:modified>
</cp:coreProperties>
</file>