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Reclamations\"/>
    </mc:Choice>
  </mc:AlternateContent>
  <bookViews>
    <workbookView xWindow="0" yWindow="0" windowWidth="23745" windowHeight="9060" activeTab="1"/>
  </bookViews>
  <sheets>
    <sheet name="TDB Reclamations" sheetId="3" r:id="rId1"/>
    <sheet name="Réclamations" sheetId="1" r:id="rId2"/>
    <sheet name="Don't delete" sheetId="2" r:id="rId3"/>
  </sheets>
  <externalReferences>
    <externalReference r:id="rId4"/>
  </externalReferences>
  <definedNames>
    <definedName name="Batterie">'Don''t delete'!$M$127</definedName>
    <definedName name="Cdma">'Don''t delete'!$G$10:$G$12</definedName>
    <definedName name="Configuration">'Don''t delete'!$M$45:$M$47</definedName>
    <definedName name="Couverture">'Don''t delete'!$M$16:$M$18</definedName>
    <definedName name="Details_Compte">'Don''t delete'!$M$20:$M$22</definedName>
    <definedName name="Détails_Prix">'Don''t delete'!$M$27:$M$30</definedName>
    <definedName name="Facture">'Don''t delete'!$M$92:$M$94</definedName>
    <definedName name="Informations">'Don''t delete'!$K$3:$K$9</definedName>
    <definedName name="Login_indisponible">'Don''t delete'!$M$87:$M$90</definedName>
    <definedName name="Lte">'Don''t delete'!$G$3:$G$6</definedName>
    <definedName name="Outage">'Don''t delete'!$M$60:$M$64</definedName>
    <definedName name="Plaintes">'Don''t delete'!$K$18:$K$30</definedName>
    <definedName name="Points_de_vente">'Don''t delete'!$M$32:$M$35</definedName>
    <definedName name="Problème_activation">'Don''t delete'!$M$106:$M$109</definedName>
    <definedName name="Problème_appel">'Don''t delete'!$M$37:$M$39</definedName>
    <definedName name="Problème_Compte">'Don''t delete'!$M$101:$M$104</definedName>
    <definedName name="Problème_Connexion">'Don''t delete'!$M$49:$M$56</definedName>
    <definedName name="Problème_Recharge">'Don''t delete'!$M$69:$M$78</definedName>
    <definedName name="Problème_SMS">'Don''t delete'!$M$41:$M$43</definedName>
    <definedName name="Problème_volume_données">'Don''t delete'!$M$81:$M$85</definedName>
    <definedName name="Produits_Services">'Don''t delete'!$M$9:$M$14</definedName>
    <definedName name="Promotion">'Don''t delete'!$M$24:$M$25</definedName>
    <definedName name="Service_Client">'Don''t delete'!$M$96:$M$99</definedName>
    <definedName name="Shorts_codes">'Don''t delete'!$M$3:$M$7</definedName>
    <definedName name="Sim_Bloqué">'Don''t delete'!$M$116:$M$119</definedName>
    <definedName name="Sim_Inactive">'Don''t delete'!$M$111:$M$114</definedName>
    <definedName name="Support_Technique">'Don''t delete'!$K$11:$K$16</definedName>
    <definedName name="Téléphone_bloqué">'Don''t delete'!$M$121:$M$124</definedName>
    <definedName name="Téléphone_ou_SIM_égarée">'Don''t delete'!$M$129</definedName>
    <definedName name="Test">'Don''t delete'!$M$58</definedName>
    <definedName name="Vitesse">'Don''t delete'!$M$66:$M$67</definedName>
    <definedName name="Wimax">'Don''t delete'!$G$8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" i="3"/>
  <c r="C4" i="3" l="1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" i="3"/>
  <c r="E3" i="3"/>
  <c r="AC4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" i="3"/>
  <c r="Q170" i="1"/>
  <c r="Q169" i="1" l="1"/>
  <c r="D169" i="1"/>
  <c r="Q168" i="1"/>
  <c r="D168" i="1"/>
  <c r="Q167" i="1"/>
  <c r="D167" i="1"/>
  <c r="Q166" i="1"/>
  <c r="D166" i="1"/>
  <c r="Q165" i="1"/>
  <c r="D165" i="1"/>
  <c r="Q164" i="1"/>
  <c r="D164" i="1"/>
  <c r="Q163" i="1"/>
  <c r="D163" i="1"/>
  <c r="Q162" i="1"/>
  <c r="D162" i="1"/>
  <c r="Q161" i="1"/>
  <c r="D161" i="1"/>
  <c r="Q160" i="1"/>
  <c r="D160" i="1"/>
  <c r="Q159" i="1"/>
  <c r="D159" i="1"/>
  <c r="Q158" i="1"/>
  <c r="D158" i="1"/>
  <c r="Q157" i="1"/>
  <c r="D157" i="1"/>
  <c r="Q156" i="1"/>
  <c r="D156" i="1"/>
  <c r="Q155" i="1"/>
  <c r="D155" i="1"/>
  <c r="Q154" i="1"/>
  <c r="D154" i="1"/>
  <c r="Q153" i="1"/>
  <c r="D153" i="1"/>
  <c r="Q152" i="1"/>
  <c r="D152" i="1"/>
  <c r="Q151" i="1"/>
  <c r="D151" i="1"/>
  <c r="Q150" i="1"/>
  <c r="D150" i="1"/>
  <c r="Q149" i="1"/>
  <c r="D149" i="1"/>
  <c r="Q148" i="1"/>
  <c r="D148" i="1"/>
  <c r="Q147" i="1"/>
  <c r="D147" i="1"/>
  <c r="Q146" i="1"/>
  <c r="D146" i="1"/>
  <c r="Q145" i="1"/>
  <c r="D145" i="1"/>
  <c r="Q144" i="1"/>
  <c r="D144" i="1"/>
  <c r="Q143" i="1"/>
  <c r="D143" i="1"/>
  <c r="Q142" i="1"/>
  <c r="D142" i="1"/>
  <c r="Q141" i="1"/>
  <c r="D141" i="1"/>
  <c r="Q140" i="1"/>
  <c r="D140" i="1"/>
  <c r="Q139" i="1"/>
  <c r="D139" i="1"/>
  <c r="Q138" i="1"/>
  <c r="D138" i="1"/>
  <c r="Q137" i="1"/>
  <c r="D137" i="1"/>
  <c r="Q136" i="1"/>
  <c r="D136" i="1"/>
  <c r="Q135" i="1"/>
  <c r="D135" i="1"/>
  <c r="Q134" i="1"/>
  <c r="D134" i="1"/>
  <c r="Q133" i="1"/>
  <c r="D133" i="1"/>
  <c r="Q132" i="1"/>
  <c r="D132" i="1"/>
  <c r="Q131" i="1"/>
  <c r="D131" i="1"/>
  <c r="Q130" i="1"/>
  <c r="D130" i="1"/>
  <c r="Q129" i="1"/>
  <c r="D129" i="1"/>
  <c r="Q128" i="1"/>
  <c r="D128" i="1"/>
  <c r="Q127" i="1"/>
  <c r="D127" i="1"/>
  <c r="Q126" i="1"/>
  <c r="D126" i="1"/>
  <c r="Q125" i="1"/>
  <c r="D125" i="1"/>
  <c r="Q124" i="1"/>
  <c r="D124" i="1"/>
  <c r="Q123" i="1"/>
  <c r="D123" i="1"/>
  <c r="Q122" i="1"/>
  <c r="D122" i="1"/>
  <c r="Q121" i="1"/>
  <c r="D121" i="1"/>
  <c r="Q120" i="1"/>
  <c r="D120" i="1"/>
  <c r="Q119" i="1"/>
  <c r="D119" i="1"/>
  <c r="Q118" i="1"/>
  <c r="D118" i="1"/>
  <c r="Q117" i="1"/>
  <c r="D117" i="1"/>
  <c r="Q116" i="1"/>
  <c r="D116" i="1"/>
  <c r="Q115" i="1"/>
  <c r="D115" i="1"/>
  <c r="Q114" i="1"/>
  <c r="D114" i="1"/>
  <c r="Q113" i="1"/>
  <c r="D113" i="1"/>
  <c r="Q112" i="1"/>
  <c r="D112" i="1"/>
  <c r="Q111" i="1"/>
  <c r="D111" i="1"/>
  <c r="Q110" i="1"/>
  <c r="D110" i="1"/>
  <c r="Q109" i="1"/>
  <c r="D109" i="1"/>
  <c r="Q108" i="1"/>
  <c r="D108" i="1"/>
  <c r="Q107" i="1"/>
  <c r="D107" i="1"/>
  <c r="Q106" i="1"/>
  <c r="D106" i="1"/>
  <c r="Q105" i="1"/>
  <c r="D105" i="1"/>
  <c r="Q104" i="1"/>
  <c r="D104" i="1"/>
  <c r="Q103" i="1"/>
  <c r="D103" i="1"/>
  <c r="Q102" i="1"/>
  <c r="D102" i="1"/>
  <c r="Q101" i="1"/>
  <c r="D101" i="1"/>
  <c r="Q100" i="1"/>
  <c r="D100" i="1"/>
  <c r="Q99" i="1"/>
  <c r="D99" i="1"/>
  <c r="Q98" i="1"/>
  <c r="D98" i="1"/>
  <c r="Q97" i="1"/>
  <c r="D97" i="1"/>
  <c r="Q96" i="1"/>
  <c r="D96" i="1"/>
  <c r="Q95" i="1"/>
  <c r="D95" i="1"/>
  <c r="Q94" i="1"/>
  <c r="D94" i="1"/>
  <c r="Q93" i="1"/>
  <c r="D93" i="1"/>
  <c r="Q92" i="1"/>
  <c r="D92" i="1"/>
  <c r="Q91" i="1"/>
  <c r="D91" i="1"/>
  <c r="Q90" i="1"/>
  <c r="D90" i="1"/>
  <c r="Q89" i="1"/>
  <c r="D89" i="1"/>
  <c r="Q88" i="1"/>
  <c r="D88" i="1"/>
  <c r="Q87" i="1"/>
  <c r="D87" i="1"/>
  <c r="Q86" i="1"/>
  <c r="D86" i="1"/>
  <c r="Q85" i="1"/>
  <c r="D85" i="1"/>
  <c r="Q84" i="1"/>
  <c r="D84" i="1"/>
  <c r="Q83" i="1"/>
  <c r="D83" i="1"/>
  <c r="Q82" i="1"/>
  <c r="D82" i="1"/>
  <c r="Q81" i="1"/>
  <c r="D81" i="1"/>
  <c r="Q80" i="1"/>
  <c r="D80" i="1"/>
  <c r="Q79" i="1"/>
  <c r="D79" i="1"/>
  <c r="Q78" i="1"/>
  <c r="D78" i="1"/>
  <c r="Q77" i="1"/>
  <c r="D77" i="1"/>
  <c r="Q76" i="1"/>
  <c r="D76" i="1"/>
  <c r="Q75" i="1"/>
  <c r="D75" i="1"/>
  <c r="Q74" i="1"/>
  <c r="D74" i="1"/>
  <c r="Q73" i="1"/>
  <c r="D73" i="1"/>
  <c r="Q72" i="1"/>
  <c r="D72" i="1"/>
  <c r="Q71" i="1"/>
  <c r="D71" i="1"/>
  <c r="Q70" i="1"/>
  <c r="D70" i="1"/>
  <c r="Q69" i="1"/>
  <c r="D69" i="1"/>
  <c r="Q68" i="1"/>
  <c r="D68" i="1"/>
  <c r="Q67" i="1"/>
  <c r="D67" i="1"/>
  <c r="Q66" i="1"/>
  <c r="D66" i="1"/>
  <c r="Q65" i="1"/>
  <c r="D65" i="1"/>
  <c r="Q64" i="1"/>
  <c r="D64" i="1"/>
  <c r="Q63" i="1"/>
  <c r="D63" i="1"/>
  <c r="Q62" i="1"/>
  <c r="D62" i="1"/>
  <c r="Q61" i="1"/>
  <c r="D61" i="1"/>
  <c r="Q60" i="1"/>
  <c r="D60" i="1"/>
  <c r="Q59" i="1"/>
  <c r="D59" i="1"/>
  <c r="Q58" i="1"/>
  <c r="D58" i="1"/>
  <c r="Q57" i="1"/>
  <c r="D57" i="1"/>
  <c r="Q56" i="1"/>
  <c r="D56" i="1"/>
  <c r="Q55" i="1"/>
  <c r="D55" i="1"/>
  <c r="Q54" i="1"/>
  <c r="D54" i="1"/>
  <c r="Q53" i="1"/>
  <c r="D53" i="1"/>
  <c r="Q52" i="1"/>
  <c r="D52" i="1"/>
  <c r="Q51" i="1"/>
  <c r="D51" i="1"/>
  <c r="Q50" i="1"/>
  <c r="D50" i="1"/>
  <c r="Q49" i="1"/>
  <c r="D49" i="1"/>
  <c r="Q48" i="1"/>
  <c r="D48" i="1"/>
  <c r="Q47" i="1"/>
  <c r="D47" i="1"/>
  <c r="Q46" i="1"/>
  <c r="D46" i="1"/>
  <c r="Q45" i="1"/>
  <c r="D45" i="1"/>
  <c r="Q44" i="1"/>
  <c r="D44" i="1"/>
  <c r="Q43" i="1"/>
  <c r="D43" i="1"/>
  <c r="Q42" i="1"/>
  <c r="D42" i="1"/>
  <c r="Q41" i="1"/>
  <c r="D41" i="1"/>
  <c r="Q40" i="1"/>
  <c r="D40" i="1"/>
  <c r="Q39" i="1"/>
  <c r="D39" i="1"/>
  <c r="Q38" i="1"/>
  <c r="D38" i="1"/>
  <c r="Q37" i="1"/>
  <c r="D37" i="1"/>
  <c r="Q36" i="1"/>
  <c r="D36" i="1"/>
  <c r="Q35" i="1"/>
  <c r="D35" i="1"/>
  <c r="Q34" i="1"/>
  <c r="D34" i="1"/>
  <c r="Q33" i="1"/>
  <c r="D33" i="1"/>
  <c r="Q32" i="1"/>
  <c r="D32" i="1"/>
  <c r="Q31" i="1"/>
  <c r="D31" i="1"/>
  <c r="Q30" i="1"/>
  <c r="D30" i="1"/>
  <c r="Q29" i="1"/>
  <c r="D29" i="1"/>
  <c r="Q28" i="1"/>
  <c r="D28" i="1"/>
  <c r="Q27" i="1"/>
  <c r="D27" i="1"/>
  <c r="Q26" i="1"/>
  <c r="D26" i="1"/>
  <c r="Q25" i="1"/>
  <c r="D25" i="1"/>
  <c r="Q24" i="1"/>
  <c r="D24" i="1"/>
  <c r="Q23" i="1"/>
  <c r="D23" i="1"/>
  <c r="Q22" i="1"/>
  <c r="D22" i="1"/>
  <c r="Q21" i="1"/>
  <c r="D21" i="1"/>
  <c r="Q20" i="1"/>
  <c r="D20" i="1"/>
  <c r="Q19" i="1"/>
  <c r="D19" i="1"/>
  <c r="Q18" i="1"/>
  <c r="D18" i="1"/>
  <c r="Q17" i="1"/>
  <c r="D17" i="1"/>
  <c r="Q16" i="1"/>
  <c r="D16" i="1"/>
  <c r="Q15" i="1"/>
  <c r="D15" i="1"/>
  <c r="Q14" i="1"/>
  <c r="D14" i="1"/>
  <c r="Q13" i="1"/>
  <c r="D13" i="1"/>
  <c r="Q12" i="1"/>
  <c r="D12" i="1"/>
  <c r="Q11" i="1"/>
  <c r="D11" i="1"/>
  <c r="AI4" i="3" l="1"/>
  <c r="AI5" i="3"/>
  <c r="AI6" i="3"/>
  <c r="AI7" i="3"/>
  <c r="AI8" i="3"/>
  <c r="AI9" i="3"/>
  <c r="AI10" i="3"/>
  <c r="AI11" i="3"/>
  <c r="AI12" i="3"/>
  <c r="AI13" i="3"/>
  <c r="AI14" i="3"/>
  <c r="AI15" i="3"/>
  <c r="AI16" i="3"/>
  <c r="AI17" i="3"/>
  <c r="AI18" i="3"/>
  <c r="AI19" i="3"/>
  <c r="AI20" i="3"/>
  <c r="AI21" i="3"/>
  <c r="AI22" i="3"/>
  <c r="AI23" i="3"/>
  <c r="AI24" i="3"/>
  <c r="AI25" i="3"/>
  <c r="AI26" i="3"/>
  <c r="AI27" i="3"/>
  <c r="AI28" i="3"/>
  <c r="AI29" i="3"/>
  <c r="AI30" i="3"/>
  <c r="AI31" i="3"/>
  <c r="AI32" i="3"/>
  <c r="AI33" i="3"/>
  <c r="AI3" i="3"/>
  <c r="AF4" i="3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" i="3"/>
  <c r="Z4" i="3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18" i="3"/>
  <c r="Z19" i="3"/>
  <c r="Z20" i="3"/>
  <c r="Z21" i="3"/>
  <c r="Z22" i="3"/>
  <c r="Z23" i="3"/>
  <c r="Z24" i="3"/>
  <c r="Z25" i="3"/>
  <c r="Z26" i="3"/>
  <c r="Z27" i="3"/>
  <c r="Z28" i="3"/>
  <c r="Z29" i="3"/>
  <c r="Z30" i="3"/>
  <c r="Z31" i="3"/>
  <c r="Z32" i="3"/>
  <c r="Z33" i="3"/>
  <c r="Z3" i="3"/>
  <c r="W4" i="3"/>
  <c r="W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" i="3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" i="3"/>
  <c r="Q4" i="3"/>
  <c r="Q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" i="3"/>
  <c r="H3" i="3"/>
  <c r="E4" i="3"/>
  <c r="F4" i="3"/>
  <c r="G4" i="3"/>
  <c r="E5" i="3"/>
  <c r="F5" i="3"/>
  <c r="G5" i="3"/>
  <c r="E6" i="3"/>
  <c r="F6" i="3"/>
  <c r="G6" i="3"/>
  <c r="E7" i="3"/>
  <c r="F7" i="3"/>
  <c r="G7" i="3"/>
  <c r="E8" i="3"/>
  <c r="F8" i="3"/>
  <c r="G8" i="3"/>
  <c r="E9" i="3"/>
  <c r="F9" i="3"/>
  <c r="G9" i="3"/>
  <c r="E10" i="3"/>
  <c r="F10" i="3"/>
  <c r="G10" i="3"/>
  <c r="E11" i="3"/>
  <c r="F11" i="3"/>
  <c r="G11" i="3"/>
  <c r="E12" i="3"/>
  <c r="F12" i="3"/>
  <c r="G12" i="3"/>
  <c r="E13" i="3"/>
  <c r="F13" i="3"/>
  <c r="G13" i="3"/>
  <c r="E14" i="3"/>
  <c r="F14" i="3"/>
  <c r="G14" i="3"/>
  <c r="E15" i="3"/>
  <c r="F15" i="3"/>
  <c r="G15" i="3"/>
  <c r="E16" i="3"/>
  <c r="F16" i="3"/>
  <c r="G16" i="3"/>
  <c r="E17" i="3"/>
  <c r="F17" i="3"/>
  <c r="G17" i="3"/>
  <c r="E18" i="3"/>
  <c r="F18" i="3"/>
  <c r="G18" i="3"/>
  <c r="E19" i="3"/>
  <c r="F19" i="3"/>
  <c r="G19" i="3"/>
  <c r="E20" i="3"/>
  <c r="F20" i="3"/>
  <c r="G20" i="3"/>
  <c r="E21" i="3"/>
  <c r="F21" i="3"/>
  <c r="G21" i="3"/>
  <c r="E22" i="3"/>
  <c r="F22" i="3"/>
  <c r="G22" i="3"/>
  <c r="E23" i="3"/>
  <c r="F23" i="3"/>
  <c r="G23" i="3"/>
  <c r="E24" i="3"/>
  <c r="F24" i="3"/>
  <c r="G24" i="3"/>
  <c r="E25" i="3"/>
  <c r="F25" i="3"/>
  <c r="G25" i="3"/>
  <c r="E26" i="3"/>
  <c r="F26" i="3"/>
  <c r="G26" i="3"/>
  <c r="E27" i="3"/>
  <c r="F27" i="3"/>
  <c r="G27" i="3"/>
  <c r="E28" i="3"/>
  <c r="F28" i="3"/>
  <c r="G28" i="3"/>
  <c r="E29" i="3"/>
  <c r="F29" i="3"/>
  <c r="G29" i="3"/>
  <c r="E30" i="3"/>
  <c r="F30" i="3"/>
  <c r="G30" i="3"/>
  <c r="E31" i="3"/>
  <c r="F31" i="3"/>
  <c r="G31" i="3"/>
  <c r="E32" i="3"/>
  <c r="F32" i="3"/>
  <c r="G32" i="3"/>
  <c r="E33" i="3"/>
  <c r="F33" i="3"/>
  <c r="G33" i="3"/>
  <c r="G3" i="3"/>
  <c r="F3" i="3"/>
  <c r="AK4" i="3" l="1"/>
  <c r="AK3" i="3"/>
  <c r="AJ32" i="3"/>
  <c r="AJ30" i="3"/>
  <c r="AJ28" i="3"/>
  <c r="AJ26" i="3"/>
  <c r="AJ24" i="3"/>
  <c r="AJ22" i="3"/>
  <c r="AJ20" i="3"/>
  <c r="AJ18" i="3"/>
  <c r="AJ16" i="3"/>
  <c r="AJ14" i="3"/>
  <c r="AJ12" i="3"/>
  <c r="AJ10" i="3"/>
  <c r="AJ8" i="3"/>
  <c r="AJ6" i="3"/>
  <c r="AJ4" i="3"/>
  <c r="AJ33" i="3"/>
  <c r="AJ31" i="3"/>
  <c r="AJ29" i="3"/>
  <c r="AJ27" i="3"/>
  <c r="AJ25" i="3"/>
  <c r="AJ23" i="3"/>
  <c r="AJ21" i="3"/>
  <c r="AJ19" i="3"/>
  <c r="AJ17" i="3"/>
  <c r="AJ15" i="3"/>
  <c r="AJ13" i="3"/>
  <c r="AJ11" i="3"/>
  <c r="AJ9" i="3"/>
  <c r="AJ7" i="3"/>
  <c r="AJ5" i="3"/>
  <c r="AK33" i="3"/>
  <c r="AK31" i="3"/>
  <c r="AK29" i="3"/>
  <c r="AK27" i="3"/>
  <c r="AK25" i="3"/>
  <c r="AK23" i="3"/>
  <c r="AK21" i="3"/>
  <c r="AK19" i="3"/>
  <c r="AK17" i="3"/>
  <c r="AK15" i="3"/>
  <c r="AK13" i="3"/>
  <c r="AK11" i="3"/>
  <c r="AK9" i="3"/>
  <c r="AK7" i="3"/>
  <c r="AK5" i="3"/>
  <c r="AJ3" i="3"/>
  <c r="AK32" i="3"/>
  <c r="AK30" i="3"/>
  <c r="AK28" i="3"/>
  <c r="AK26" i="3"/>
  <c r="AK24" i="3"/>
  <c r="AK22" i="3"/>
  <c r="AK20" i="3"/>
  <c r="AK18" i="3"/>
  <c r="AK16" i="3"/>
  <c r="AK14" i="3"/>
  <c r="AK12" i="3"/>
  <c r="AK10" i="3"/>
  <c r="AK8" i="3"/>
  <c r="AK6" i="3"/>
  <c r="AH4" i="3"/>
  <c r="AG5" i="3"/>
  <c r="AH6" i="3"/>
  <c r="AG7" i="3"/>
  <c r="AH8" i="3"/>
  <c r="AG9" i="3"/>
  <c r="AH10" i="3"/>
  <c r="AG11" i="3"/>
  <c r="AH12" i="3"/>
  <c r="AG13" i="3"/>
  <c r="AH14" i="3"/>
  <c r="AG15" i="3"/>
  <c r="AH16" i="3"/>
  <c r="AG17" i="3"/>
  <c r="AH18" i="3"/>
  <c r="AG19" i="3"/>
  <c r="AH20" i="3"/>
  <c r="AG21" i="3"/>
  <c r="AH22" i="3"/>
  <c r="AG23" i="3"/>
  <c r="AH24" i="3"/>
  <c r="AG25" i="3"/>
  <c r="AH26" i="3"/>
  <c r="AG27" i="3"/>
  <c r="AH28" i="3"/>
  <c r="AG29" i="3"/>
  <c r="AH30" i="3"/>
  <c r="AG31" i="3"/>
  <c r="AH32" i="3"/>
  <c r="AG33" i="3"/>
  <c r="AG3" i="3"/>
  <c r="AG4" i="3"/>
  <c r="AH5" i="3"/>
  <c r="AG6" i="3"/>
  <c r="AH7" i="3"/>
  <c r="AG8" i="3"/>
  <c r="AH9" i="3"/>
  <c r="AG10" i="3"/>
  <c r="AH11" i="3"/>
  <c r="AG12" i="3"/>
  <c r="AH13" i="3"/>
  <c r="AG14" i="3"/>
  <c r="AH15" i="3"/>
  <c r="AG16" i="3"/>
  <c r="AH17" i="3"/>
  <c r="AG18" i="3"/>
  <c r="AH19" i="3"/>
  <c r="AG20" i="3"/>
  <c r="AH21" i="3"/>
  <c r="AG22" i="3"/>
  <c r="AH23" i="3"/>
  <c r="AG24" i="3"/>
  <c r="AH25" i="3"/>
  <c r="AH27" i="3"/>
  <c r="AH29" i="3"/>
  <c r="AG32" i="3"/>
  <c r="AH33" i="3"/>
  <c r="AH3" i="3"/>
  <c r="AG26" i="3"/>
  <c r="AG28" i="3"/>
  <c r="AG30" i="3"/>
  <c r="AH31" i="3"/>
  <c r="AE4" i="3"/>
  <c r="AD5" i="3"/>
  <c r="AE6" i="3"/>
  <c r="AD7" i="3"/>
  <c r="AE8" i="3"/>
  <c r="AD9" i="3"/>
  <c r="AE10" i="3"/>
  <c r="AD11" i="3"/>
  <c r="AE12" i="3"/>
  <c r="AD13" i="3"/>
  <c r="AE14" i="3"/>
  <c r="AD15" i="3"/>
  <c r="AE16" i="3"/>
  <c r="AD17" i="3"/>
  <c r="AE18" i="3"/>
  <c r="AD19" i="3"/>
  <c r="AE20" i="3"/>
  <c r="AD21" i="3"/>
  <c r="AE22" i="3"/>
  <c r="AD23" i="3"/>
  <c r="AE24" i="3"/>
  <c r="AD25" i="3"/>
  <c r="AE26" i="3"/>
  <c r="AD27" i="3"/>
  <c r="AE28" i="3"/>
  <c r="AD29" i="3"/>
  <c r="AE30" i="3"/>
  <c r="AD31" i="3"/>
  <c r="AE32" i="3"/>
  <c r="AD33" i="3"/>
  <c r="AD3" i="3"/>
  <c r="AD4" i="3"/>
  <c r="AE5" i="3"/>
  <c r="AD6" i="3"/>
  <c r="AE7" i="3"/>
  <c r="AD8" i="3"/>
  <c r="AE9" i="3"/>
  <c r="AD10" i="3"/>
  <c r="AE11" i="3"/>
  <c r="AD12" i="3"/>
  <c r="AE13" i="3"/>
  <c r="AD14" i="3"/>
  <c r="AE15" i="3"/>
  <c r="AD16" i="3"/>
  <c r="AE17" i="3"/>
  <c r="AD18" i="3"/>
  <c r="AE19" i="3"/>
  <c r="AD20" i="3"/>
  <c r="AE21" i="3"/>
  <c r="AD22" i="3"/>
  <c r="AE23" i="3"/>
  <c r="AD24" i="3"/>
  <c r="AE25" i="3"/>
  <c r="AD26" i="3"/>
  <c r="AD28" i="3"/>
  <c r="AE29" i="3"/>
  <c r="AD30" i="3"/>
  <c r="AD32" i="3"/>
  <c r="AE33" i="3"/>
  <c r="AE27" i="3"/>
  <c r="AE31" i="3"/>
  <c r="AE3" i="3"/>
  <c r="AB4" i="3"/>
  <c r="AA5" i="3"/>
  <c r="AB6" i="3"/>
  <c r="AA7" i="3"/>
  <c r="AB8" i="3"/>
  <c r="AA9" i="3"/>
  <c r="AB10" i="3"/>
  <c r="AA11" i="3"/>
  <c r="AB12" i="3"/>
  <c r="AA13" i="3"/>
  <c r="AB14" i="3"/>
  <c r="AA15" i="3"/>
  <c r="AB16" i="3"/>
  <c r="AA17" i="3"/>
  <c r="AB18" i="3"/>
  <c r="AA19" i="3"/>
  <c r="AB20" i="3"/>
  <c r="AA21" i="3"/>
  <c r="AB22" i="3"/>
  <c r="AA23" i="3"/>
  <c r="AB24" i="3"/>
  <c r="AA25" i="3"/>
  <c r="AB26" i="3"/>
  <c r="AA27" i="3"/>
  <c r="AB28" i="3"/>
  <c r="AA29" i="3"/>
  <c r="AB30" i="3"/>
  <c r="AA31" i="3"/>
  <c r="AB32" i="3"/>
  <c r="AA33" i="3"/>
  <c r="AA3" i="3"/>
  <c r="AA4" i="3"/>
  <c r="AB5" i="3"/>
  <c r="AA6" i="3"/>
  <c r="AB7" i="3"/>
  <c r="AA8" i="3"/>
  <c r="AB9" i="3"/>
  <c r="AA10" i="3"/>
  <c r="AB11" i="3"/>
  <c r="AA12" i="3"/>
  <c r="AB13" i="3"/>
  <c r="AA14" i="3"/>
  <c r="AB15" i="3"/>
  <c r="AA16" i="3"/>
  <c r="AB17" i="3"/>
  <c r="AA18" i="3"/>
  <c r="AB19" i="3"/>
  <c r="AA20" i="3"/>
  <c r="AB21" i="3"/>
  <c r="AA22" i="3"/>
  <c r="AB23" i="3"/>
  <c r="AA24" i="3"/>
  <c r="AB25" i="3"/>
  <c r="AA26" i="3"/>
  <c r="AB27" i="3"/>
  <c r="AA28" i="3"/>
  <c r="AB29" i="3"/>
  <c r="AA30" i="3"/>
  <c r="AB31" i="3"/>
  <c r="AA32" i="3"/>
  <c r="AB33" i="3"/>
  <c r="AB3" i="3"/>
  <c r="Y4" i="3"/>
  <c r="X5" i="3"/>
  <c r="Y6" i="3"/>
  <c r="X7" i="3"/>
  <c r="Y8" i="3"/>
  <c r="X9" i="3"/>
  <c r="Y10" i="3"/>
  <c r="X11" i="3"/>
  <c r="Y12" i="3"/>
  <c r="X13" i="3"/>
  <c r="Y14" i="3"/>
  <c r="X15" i="3"/>
  <c r="Y16" i="3"/>
  <c r="X17" i="3"/>
  <c r="Y18" i="3"/>
  <c r="X19" i="3"/>
  <c r="Y20" i="3"/>
  <c r="X21" i="3"/>
  <c r="Y22" i="3"/>
  <c r="X23" i="3"/>
  <c r="Y24" i="3"/>
  <c r="X25" i="3"/>
  <c r="Y26" i="3"/>
  <c r="X27" i="3"/>
  <c r="Y28" i="3"/>
  <c r="X29" i="3"/>
  <c r="Y30" i="3"/>
  <c r="X31" i="3"/>
  <c r="Y32" i="3"/>
  <c r="X33" i="3"/>
  <c r="X3" i="3"/>
  <c r="X4" i="3"/>
  <c r="Y5" i="3"/>
  <c r="X6" i="3"/>
  <c r="Y7" i="3"/>
  <c r="X8" i="3"/>
  <c r="Y9" i="3"/>
  <c r="X10" i="3"/>
  <c r="Y11" i="3"/>
  <c r="X12" i="3"/>
  <c r="Y13" i="3"/>
  <c r="X14" i="3"/>
  <c r="Y15" i="3"/>
  <c r="X16" i="3"/>
  <c r="Y17" i="3"/>
  <c r="X18" i="3"/>
  <c r="Y19" i="3"/>
  <c r="X20" i="3"/>
  <c r="Y21" i="3"/>
  <c r="X22" i="3"/>
  <c r="Y23" i="3"/>
  <c r="X24" i="3"/>
  <c r="Y25" i="3"/>
  <c r="X26" i="3"/>
  <c r="Y27" i="3"/>
  <c r="X28" i="3"/>
  <c r="Y29" i="3"/>
  <c r="X30" i="3"/>
  <c r="Y31" i="3"/>
  <c r="X32" i="3"/>
  <c r="Y33" i="3"/>
  <c r="Y3" i="3"/>
  <c r="V4" i="3"/>
  <c r="U5" i="3"/>
  <c r="V6" i="3"/>
  <c r="U7" i="3"/>
  <c r="V8" i="3"/>
  <c r="U9" i="3"/>
  <c r="V10" i="3"/>
  <c r="U11" i="3"/>
  <c r="V12" i="3"/>
  <c r="U13" i="3"/>
  <c r="V14" i="3"/>
  <c r="U15" i="3"/>
  <c r="V16" i="3"/>
  <c r="U17" i="3"/>
  <c r="V18" i="3"/>
  <c r="U19" i="3"/>
  <c r="V20" i="3"/>
  <c r="U21" i="3"/>
  <c r="V22" i="3"/>
  <c r="U23" i="3"/>
  <c r="V24" i="3"/>
  <c r="U25" i="3"/>
  <c r="V26" i="3"/>
  <c r="U27" i="3"/>
  <c r="V28" i="3"/>
  <c r="U29" i="3"/>
  <c r="V30" i="3"/>
  <c r="U31" i="3"/>
  <c r="V32" i="3"/>
  <c r="U33" i="3"/>
  <c r="U3" i="3"/>
  <c r="U4" i="3"/>
  <c r="V5" i="3"/>
  <c r="U6" i="3"/>
  <c r="V7" i="3"/>
  <c r="U8" i="3"/>
  <c r="V9" i="3"/>
  <c r="U10" i="3"/>
  <c r="V11" i="3"/>
  <c r="U12" i="3"/>
  <c r="V13" i="3"/>
  <c r="U14" i="3"/>
  <c r="V15" i="3"/>
  <c r="U16" i="3"/>
  <c r="V17" i="3"/>
  <c r="U18" i="3"/>
  <c r="V19" i="3"/>
  <c r="U20" i="3"/>
  <c r="V21" i="3"/>
  <c r="U22" i="3"/>
  <c r="V23" i="3"/>
  <c r="U24" i="3"/>
  <c r="V25" i="3"/>
  <c r="U26" i="3"/>
  <c r="V27" i="3"/>
  <c r="U28" i="3"/>
  <c r="V29" i="3"/>
  <c r="U30" i="3"/>
  <c r="V31" i="3"/>
  <c r="V33" i="3"/>
  <c r="U32" i="3"/>
  <c r="V3" i="3"/>
  <c r="S4" i="3"/>
  <c r="R5" i="3"/>
  <c r="S6" i="3"/>
  <c r="R7" i="3"/>
  <c r="S8" i="3"/>
  <c r="R9" i="3"/>
  <c r="S10" i="3"/>
  <c r="R11" i="3"/>
  <c r="S12" i="3"/>
  <c r="R13" i="3"/>
  <c r="S14" i="3"/>
  <c r="R15" i="3"/>
  <c r="S16" i="3"/>
  <c r="R17" i="3"/>
  <c r="S18" i="3"/>
  <c r="R19" i="3"/>
  <c r="S20" i="3"/>
  <c r="R21" i="3"/>
  <c r="S22" i="3"/>
  <c r="R23" i="3"/>
  <c r="S24" i="3"/>
  <c r="R25" i="3"/>
  <c r="S26" i="3"/>
  <c r="R27" i="3"/>
  <c r="S28" i="3"/>
  <c r="R29" i="3"/>
  <c r="S30" i="3"/>
  <c r="R31" i="3"/>
  <c r="S32" i="3"/>
  <c r="R33" i="3"/>
  <c r="R3" i="3"/>
  <c r="R4" i="3"/>
  <c r="S5" i="3"/>
  <c r="R6" i="3"/>
  <c r="S7" i="3"/>
  <c r="R8" i="3"/>
  <c r="S9" i="3"/>
  <c r="R10" i="3"/>
  <c r="S11" i="3"/>
  <c r="R12" i="3"/>
  <c r="S13" i="3"/>
  <c r="R14" i="3"/>
  <c r="S15" i="3"/>
  <c r="R16" i="3"/>
  <c r="S17" i="3"/>
  <c r="R18" i="3"/>
  <c r="S19" i="3"/>
  <c r="R20" i="3"/>
  <c r="S21" i="3"/>
  <c r="R22" i="3"/>
  <c r="S23" i="3"/>
  <c r="R24" i="3"/>
  <c r="S25" i="3"/>
  <c r="R26" i="3"/>
  <c r="S27" i="3"/>
  <c r="R28" i="3"/>
  <c r="S29" i="3"/>
  <c r="R30" i="3"/>
  <c r="S31" i="3"/>
  <c r="R32" i="3"/>
  <c r="S33" i="3"/>
  <c r="S3" i="3"/>
  <c r="P4" i="3"/>
  <c r="P6" i="3"/>
  <c r="P8" i="3"/>
  <c r="P10" i="3"/>
  <c r="P12" i="3"/>
  <c r="P14" i="3"/>
  <c r="P16" i="3"/>
  <c r="P18" i="3"/>
  <c r="P20" i="3"/>
  <c r="P22" i="3"/>
  <c r="P24" i="3"/>
  <c r="P26" i="3"/>
  <c r="P28" i="3"/>
  <c r="P30" i="3"/>
  <c r="P32" i="3"/>
  <c r="P5" i="3"/>
  <c r="P7" i="3"/>
  <c r="P9" i="3"/>
  <c r="P11" i="3"/>
  <c r="P13" i="3"/>
  <c r="P15" i="3"/>
  <c r="P17" i="3"/>
  <c r="P19" i="3"/>
  <c r="P21" i="3"/>
  <c r="P23" i="3"/>
  <c r="P25" i="3"/>
  <c r="P27" i="3"/>
  <c r="P29" i="3"/>
  <c r="P33" i="3"/>
  <c r="P3" i="3"/>
  <c r="P31" i="3"/>
  <c r="J4" i="3"/>
  <c r="I5" i="3"/>
  <c r="J6" i="3"/>
  <c r="I7" i="3"/>
  <c r="J8" i="3"/>
  <c r="I9" i="3"/>
  <c r="J10" i="3"/>
  <c r="I11" i="3"/>
  <c r="J12" i="3"/>
  <c r="I13" i="3"/>
  <c r="J14" i="3"/>
  <c r="I15" i="3"/>
  <c r="J16" i="3"/>
  <c r="I17" i="3"/>
  <c r="J18" i="3"/>
  <c r="I19" i="3"/>
  <c r="J20" i="3"/>
  <c r="I21" i="3"/>
  <c r="J22" i="3"/>
  <c r="I23" i="3"/>
  <c r="J24" i="3"/>
  <c r="I25" i="3"/>
  <c r="J26" i="3"/>
  <c r="I27" i="3"/>
  <c r="J28" i="3"/>
  <c r="I29" i="3"/>
  <c r="J30" i="3"/>
  <c r="I31" i="3"/>
  <c r="J32" i="3"/>
  <c r="I33" i="3"/>
  <c r="M4" i="3"/>
  <c r="L5" i="3"/>
  <c r="M6" i="3"/>
  <c r="L7" i="3"/>
  <c r="M8" i="3"/>
  <c r="L9" i="3"/>
  <c r="M10" i="3"/>
  <c r="L11" i="3"/>
  <c r="M12" i="3"/>
  <c r="L13" i="3"/>
  <c r="M14" i="3"/>
  <c r="L15" i="3"/>
  <c r="M16" i="3"/>
  <c r="L17" i="3"/>
  <c r="M18" i="3"/>
  <c r="L19" i="3"/>
  <c r="M20" i="3"/>
  <c r="L21" i="3"/>
  <c r="M22" i="3"/>
  <c r="L23" i="3"/>
  <c r="M24" i="3"/>
  <c r="L25" i="3"/>
  <c r="M26" i="3"/>
  <c r="L27" i="3"/>
  <c r="M28" i="3"/>
  <c r="L29" i="3"/>
  <c r="M30" i="3"/>
  <c r="L31" i="3"/>
  <c r="M32" i="3"/>
  <c r="L33" i="3"/>
  <c r="L3" i="3"/>
  <c r="I8" i="3"/>
  <c r="J9" i="3"/>
  <c r="I12" i="3"/>
  <c r="J13" i="3"/>
  <c r="I16" i="3"/>
  <c r="J17" i="3"/>
  <c r="I20" i="3"/>
  <c r="J21" i="3"/>
  <c r="I24" i="3"/>
  <c r="J25" i="3"/>
  <c r="I28" i="3"/>
  <c r="J29" i="3"/>
  <c r="I32" i="3"/>
  <c r="J33" i="3"/>
  <c r="I4" i="3"/>
  <c r="J5" i="3"/>
  <c r="I6" i="3"/>
  <c r="J7" i="3"/>
  <c r="I10" i="3"/>
  <c r="J11" i="3"/>
  <c r="I14" i="3"/>
  <c r="J15" i="3"/>
  <c r="I18" i="3"/>
  <c r="J19" i="3"/>
  <c r="I22" i="3"/>
  <c r="J23" i="3"/>
  <c r="I26" i="3"/>
  <c r="J27" i="3"/>
  <c r="I30" i="3"/>
  <c r="J31" i="3"/>
  <c r="L4" i="3"/>
  <c r="M5" i="3"/>
  <c r="M3" i="3"/>
  <c r="L14" i="3"/>
  <c r="L16" i="3"/>
  <c r="L18" i="3"/>
  <c r="M19" i="3"/>
  <c r="L22" i="3"/>
  <c r="M23" i="3"/>
  <c r="L26" i="3"/>
  <c r="M27" i="3"/>
  <c r="L30" i="3"/>
  <c r="M31" i="3"/>
  <c r="L6" i="3"/>
  <c r="M7" i="3"/>
  <c r="L8" i="3"/>
  <c r="M9" i="3"/>
  <c r="L10" i="3"/>
  <c r="M11" i="3"/>
  <c r="L12" i="3"/>
  <c r="M13" i="3"/>
  <c r="M15" i="3"/>
  <c r="M17" i="3"/>
  <c r="L20" i="3"/>
  <c r="M21" i="3"/>
  <c r="L24" i="3"/>
  <c r="M25" i="3"/>
  <c r="L28" i="3"/>
  <c r="M29" i="3"/>
  <c r="L32" i="3"/>
  <c r="M33" i="3"/>
  <c r="I3" i="3"/>
  <c r="J3" i="3"/>
</calcChain>
</file>

<file path=xl/sharedStrings.xml><?xml version="1.0" encoding="utf-8"?>
<sst xmlns="http://schemas.openxmlformats.org/spreadsheetml/2006/main" count="1299" uniqueCount="197">
  <si>
    <t>Nbre</t>
  </si>
  <si>
    <t xml:space="preserve">Typologie </t>
  </si>
  <si>
    <t xml:space="preserve">Code Réclamation  </t>
  </si>
  <si>
    <t>Noms &amp; Prenoms</t>
  </si>
  <si>
    <t>Customer MSISDN</t>
  </si>
  <si>
    <t xml:space="preserve">Services </t>
  </si>
  <si>
    <t>Equipements</t>
  </si>
  <si>
    <t>Ville</t>
  </si>
  <si>
    <t>Quartier</t>
  </si>
  <si>
    <t>Requetes</t>
  </si>
  <si>
    <t xml:space="preserve">Catégories </t>
  </si>
  <si>
    <t>Types</t>
  </si>
  <si>
    <t>Probleme rencontré</t>
  </si>
  <si>
    <t>Solution apportée</t>
  </si>
  <si>
    <t>Date_ Resolution</t>
  </si>
  <si>
    <t>Delai de resolution</t>
  </si>
  <si>
    <t xml:space="preserve">Statuts </t>
  </si>
  <si>
    <t>Showroom Bonanjo</t>
  </si>
  <si>
    <t>Cdma</t>
  </si>
  <si>
    <t>GC318</t>
  </si>
  <si>
    <t>Plaintes</t>
  </si>
  <si>
    <t>Téléphone_bloqué</t>
  </si>
  <si>
    <t xml:space="preserve">Perte de Résau </t>
  </si>
  <si>
    <t>Fermé</t>
  </si>
  <si>
    <t>Showroom Akwa</t>
  </si>
  <si>
    <t>Wimax</t>
  </si>
  <si>
    <t xml:space="preserve">Box Wimax </t>
  </si>
  <si>
    <t>Problème_Recharge</t>
  </si>
  <si>
    <t xml:space="preserve">Credit expire vite </t>
  </si>
  <si>
    <t xml:space="preserve">Lte </t>
  </si>
  <si>
    <t>Mifi Lte</t>
  </si>
  <si>
    <t>Vitesse</t>
  </si>
  <si>
    <t>Débit lent</t>
  </si>
  <si>
    <t>Support_Technique</t>
  </si>
  <si>
    <t>Problème_Connexion</t>
  </si>
  <si>
    <t>Réseau_Hors_Service</t>
  </si>
  <si>
    <t xml:space="preserve">Sim Lte </t>
  </si>
  <si>
    <t>Outage</t>
  </si>
  <si>
    <t>Problème_électrique</t>
  </si>
  <si>
    <t xml:space="preserve">Recharges indisponibles </t>
  </si>
  <si>
    <t>Test</t>
  </si>
  <si>
    <t>Test demande</t>
  </si>
  <si>
    <t xml:space="preserve">Bonus indisponible </t>
  </si>
  <si>
    <t xml:space="preserve">Micro- coupures </t>
  </si>
  <si>
    <t>Pas_de_signal</t>
  </si>
  <si>
    <t>C2</t>
  </si>
  <si>
    <t>Forfait non disponible</t>
  </si>
  <si>
    <t>En cours</t>
  </si>
  <si>
    <t>Typologie</t>
  </si>
  <si>
    <t>Code</t>
  </si>
  <si>
    <t xml:space="preserve">Equipements </t>
  </si>
  <si>
    <t xml:space="preserve">Requetes </t>
  </si>
  <si>
    <t xml:space="preserve">Back Office </t>
  </si>
  <si>
    <t>RCBAO</t>
  </si>
  <si>
    <t>Box Lte</t>
  </si>
  <si>
    <t xml:space="preserve">Informations </t>
  </si>
  <si>
    <t>Couverture</t>
  </si>
  <si>
    <t>Autre</t>
  </si>
  <si>
    <t>RCDG</t>
  </si>
  <si>
    <t>Details_Compte</t>
  </si>
  <si>
    <t>MSISDN</t>
  </si>
  <si>
    <t xml:space="preserve">Front Office </t>
  </si>
  <si>
    <t>RCFRO</t>
  </si>
  <si>
    <t>Détails_Prix</t>
  </si>
  <si>
    <t>Recharge</t>
  </si>
  <si>
    <t>Ouvert</t>
  </si>
  <si>
    <t>SSBAS</t>
  </si>
  <si>
    <t xml:space="preserve">Phone Lte </t>
  </si>
  <si>
    <t>Points_de_vente</t>
  </si>
  <si>
    <t xml:space="preserve">Solde </t>
  </si>
  <si>
    <t>SSESS</t>
  </si>
  <si>
    <t>Produits_Services</t>
  </si>
  <si>
    <t>Transfert</t>
  </si>
  <si>
    <t>SSPEY</t>
  </si>
  <si>
    <t>Promotion</t>
  </si>
  <si>
    <t>SRCSP</t>
  </si>
  <si>
    <t>Shorts_codes</t>
  </si>
  <si>
    <t>Details_Technologies</t>
  </si>
  <si>
    <t>Showroom Bafoussam</t>
  </si>
  <si>
    <t>SRBAF</t>
  </si>
  <si>
    <t>Détails_équipements</t>
  </si>
  <si>
    <t>Showroom Bonamoussadi</t>
  </si>
  <si>
    <t>SRBDI</t>
  </si>
  <si>
    <t>Configuration</t>
  </si>
  <si>
    <t>Détails_Produits</t>
  </si>
  <si>
    <t>SRDHL</t>
  </si>
  <si>
    <t>Sim Cdma</t>
  </si>
  <si>
    <t>Informations_Recharges</t>
  </si>
  <si>
    <t xml:space="preserve">Showroom Garoua </t>
  </si>
  <si>
    <t>SRGAR</t>
  </si>
  <si>
    <t>Problème_appel</t>
  </si>
  <si>
    <t>Usage</t>
  </si>
  <si>
    <t>SRAVK</t>
  </si>
  <si>
    <t>Wifi</t>
  </si>
  <si>
    <t>Problème_SMS</t>
  </si>
  <si>
    <t>Hors Réseau</t>
  </si>
  <si>
    <t>Test de Couverture</t>
  </si>
  <si>
    <t>Batterie</t>
  </si>
  <si>
    <t>Zone de couverture</t>
  </si>
  <si>
    <t xml:space="preserve">Facture </t>
  </si>
  <si>
    <t>Login_indisponible</t>
  </si>
  <si>
    <t>Activation</t>
  </si>
  <si>
    <t>Problème_activation</t>
  </si>
  <si>
    <t>Details des paramètres de connexion</t>
  </si>
  <si>
    <t>Problème_Compte</t>
  </si>
  <si>
    <t>Information de compte</t>
  </si>
  <si>
    <t>Problème_volume_données</t>
  </si>
  <si>
    <t>Promotions en cours</t>
  </si>
  <si>
    <t>Service_Client</t>
  </si>
  <si>
    <t>Sim_Bloqué</t>
  </si>
  <si>
    <t>Sim_Inactive</t>
  </si>
  <si>
    <t>Facture</t>
  </si>
  <si>
    <t>Frequence</t>
  </si>
  <si>
    <t>Prix</t>
  </si>
  <si>
    <t>Reconduire SIM</t>
  </si>
  <si>
    <t xml:space="preserve">Téléphone /Sim/ Modem défectueux </t>
  </si>
  <si>
    <t>Showroom</t>
  </si>
  <si>
    <t>adresse distributeur</t>
  </si>
  <si>
    <t>call box</t>
  </si>
  <si>
    <t>Partenaire</t>
  </si>
  <si>
    <t>émission</t>
  </si>
  <si>
    <t xml:space="preserve">Réception </t>
  </si>
  <si>
    <t>Réception &amp; émission</t>
  </si>
  <si>
    <t>Logiciel</t>
  </si>
  <si>
    <t>Réseau</t>
  </si>
  <si>
    <t>Echec de connexion</t>
  </si>
  <si>
    <t>Led Rouge de la clé</t>
  </si>
  <si>
    <t>Led Wimax éteint quand le modem allumé</t>
  </si>
  <si>
    <t>Leds instable du Modem</t>
  </si>
  <si>
    <t>Leds stables mais pas d'accès à internet</t>
  </si>
  <si>
    <t>BTS HS</t>
  </si>
  <si>
    <t>Problème liens Camtel</t>
  </si>
  <si>
    <t>Problème liens MTN</t>
  </si>
  <si>
    <t>Site Webs non disponibles</t>
  </si>
  <si>
    <t>Bande passante saturée</t>
  </si>
  <si>
    <t>Carte de recharge non valide</t>
  </si>
  <si>
    <t xml:space="preserve">Client Hotline pas redirigé vers le CSC </t>
  </si>
  <si>
    <t>Crédit disparu</t>
  </si>
  <si>
    <t>Erreur de transfert</t>
  </si>
  <si>
    <t>facturation incorrecte</t>
  </si>
  <si>
    <t>Page de crédit expiré continue à apparaitre</t>
  </si>
  <si>
    <t>Perte de crédit</t>
  </si>
  <si>
    <t>Recharge non souscrit</t>
  </si>
  <si>
    <t>MAJ du quotat journalier</t>
  </si>
  <si>
    <t>Quota Bowi # Quota CSC</t>
  </si>
  <si>
    <t>Quota expiré rapidement</t>
  </si>
  <si>
    <t>Subscription Queueing issue</t>
  </si>
  <si>
    <t>Usage Incorrect des données</t>
  </si>
  <si>
    <t>CsC indisponible</t>
  </si>
  <si>
    <t>CSC indisponible hotline</t>
  </si>
  <si>
    <t>login et mot de passe incorrect</t>
  </si>
  <si>
    <t>Mot de passe impossible à changer</t>
  </si>
  <si>
    <t>Facture non reçu</t>
  </si>
  <si>
    <t>Compte bloqué avec facture payée</t>
  </si>
  <si>
    <t>Facture incorrecte</t>
  </si>
  <si>
    <t>CSC non disponible</t>
  </si>
  <si>
    <t>Mauvais service Téléconseiller</t>
  </si>
  <si>
    <t>Pas de rappel</t>
  </si>
  <si>
    <t>RDV non respecté</t>
  </si>
  <si>
    <t>Notification envoyée vers un compte incorrect</t>
  </si>
  <si>
    <t>Notification non reçue</t>
  </si>
  <si>
    <t>Paramètre de connexion incorrecte</t>
  </si>
  <si>
    <t>Paramètre de connexion non reçu</t>
  </si>
  <si>
    <t>Activation incomplète</t>
  </si>
  <si>
    <t>Activation sans Identification</t>
  </si>
  <si>
    <t>Equipement non activé</t>
  </si>
  <si>
    <t>MAC adresse incorrecte</t>
  </si>
  <si>
    <t>ICC incorrecte</t>
  </si>
  <si>
    <t>SIM non activé</t>
  </si>
  <si>
    <t>PIN</t>
  </si>
  <si>
    <t>PUK</t>
  </si>
  <si>
    <t>Sim delete</t>
  </si>
  <si>
    <t>SWAP</t>
  </si>
  <si>
    <t>perte de téléphone</t>
  </si>
  <si>
    <t>Téléphone bloqué</t>
  </si>
  <si>
    <t>batterie défectueuse</t>
  </si>
  <si>
    <t>Téléphone_ou_SIM_égarée</t>
  </si>
  <si>
    <t>Informations</t>
  </si>
  <si>
    <t>Support</t>
  </si>
  <si>
    <t>Total</t>
  </si>
  <si>
    <t>Moyenne</t>
  </si>
  <si>
    <t>M-1</t>
  </si>
  <si>
    <t>Shop Bastos</t>
  </si>
  <si>
    <t>Shop Essos</t>
  </si>
  <si>
    <t>Shop Peyrissac</t>
  </si>
  <si>
    <t>Back Office</t>
  </si>
  <si>
    <t>Front Office</t>
  </si>
  <si>
    <t>Showroom Yaounde</t>
  </si>
  <si>
    <t>27/12/2017</t>
  </si>
  <si>
    <t>28/12/2017</t>
  </si>
  <si>
    <t>Internal</t>
  </si>
  <si>
    <t>CDMA</t>
  </si>
  <si>
    <t>internal</t>
  </si>
  <si>
    <t>fermé</t>
  </si>
  <si>
    <t>Dates</t>
  </si>
  <si>
    <t>Showroom Garoua</t>
  </si>
  <si>
    <t>Direction Generale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</si>
</sst>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haroni"/>
    </font>
    <font>
      <sz val="9"/>
      <color rgb="FF000000"/>
      <name val="Aharoni"/>
      <charset val="177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2" xfId="0" applyNumberFormat="1" applyBorder="1" applyAlignment="1">
      <alignment horizontal="center" vertical="center" wrapText="1"/>
    </xf>
    <xf numFmtId="0" fontId="0" fillId="3" borderId="7" xfId="0" applyFont="1" applyFill="1" applyBorder="1" applyAlignment="1">
      <alignment horizontal="lef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11" fontId="0" fillId="0" borderId="0" xfId="0" applyNumberFormat="1" applyFont="1" applyBorder="1" applyAlignment="1">
      <alignment horizontal="center" vertical="center"/>
    </xf>
    <xf numFmtId="0" fontId="0" fillId="0" borderId="0" xfId="0" applyFont="1"/>
    <xf numFmtId="0" fontId="0" fillId="0" borderId="2" xfId="0" applyFont="1" applyBorder="1"/>
    <xf numFmtId="0" fontId="1" fillId="3" borderId="5" xfId="0" applyFont="1" applyFill="1" applyBorder="1" applyAlignment="1">
      <alignment horizontal="left" vertical="center"/>
    </xf>
    <xf numFmtId="0" fontId="0" fillId="3" borderId="5" xfId="0" applyFont="1" applyFill="1" applyBorder="1"/>
    <xf numFmtId="0" fontId="1" fillId="3" borderId="6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vertical="center"/>
    </xf>
    <xf numFmtId="0" fontId="0" fillId="4" borderId="0" xfId="0" applyFont="1" applyFill="1"/>
    <xf numFmtId="0" fontId="0" fillId="3" borderId="8" xfId="0" applyFont="1" applyFill="1" applyBorder="1" applyAlignment="1">
      <alignment horizontal="left"/>
    </xf>
    <xf numFmtId="0" fontId="0" fillId="3" borderId="9" xfId="0" applyFont="1" applyFill="1" applyBorder="1" applyAlignment="1">
      <alignment horizontal="left"/>
    </xf>
    <xf numFmtId="0" fontId="0" fillId="6" borderId="6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 vertical="center"/>
    </xf>
    <xf numFmtId="0" fontId="0" fillId="3" borderId="10" xfId="0" applyFont="1" applyFill="1" applyBorder="1" applyAlignment="1">
      <alignment horizontal="left"/>
    </xf>
    <xf numFmtId="0" fontId="0" fillId="6" borderId="7" xfId="0" applyFont="1" applyFill="1" applyBorder="1"/>
    <xf numFmtId="0" fontId="0" fillId="6" borderId="7" xfId="0" applyFont="1" applyFill="1" applyBorder="1" applyAlignment="1">
      <alignment vertical="center"/>
    </xf>
    <xf numFmtId="0" fontId="0" fillId="3" borderId="11" xfId="0" applyFont="1" applyFill="1" applyBorder="1" applyAlignment="1">
      <alignment horizontal="left"/>
    </xf>
    <xf numFmtId="0" fontId="0" fillId="3" borderId="6" xfId="0" applyFont="1" applyFill="1" applyBorder="1"/>
    <xf numFmtId="0" fontId="0" fillId="5" borderId="5" xfId="0" applyFont="1" applyFill="1" applyBorder="1" applyAlignment="1">
      <alignment vertical="center"/>
    </xf>
    <xf numFmtId="0" fontId="0" fillId="5" borderId="6" xfId="0" applyFont="1" applyFill="1" applyBorder="1" applyAlignment="1">
      <alignment vertical="center"/>
    </xf>
    <xf numFmtId="0" fontId="0" fillId="5" borderId="7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/>
    </xf>
    <xf numFmtId="0" fontId="0" fillId="5" borderId="7" xfId="0" applyFont="1" applyFill="1" applyBorder="1" applyAlignment="1">
      <alignment vertical="center"/>
    </xf>
    <xf numFmtId="0" fontId="0" fillId="3" borderId="5" xfId="0" applyFont="1" applyFill="1" applyBorder="1" applyAlignment="1">
      <alignment horizontal="left"/>
    </xf>
    <xf numFmtId="0" fontId="0" fillId="3" borderId="5" xfId="0" applyFont="1" applyFill="1" applyBorder="1" applyAlignment="1">
      <alignment vertical="center"/>
    </xf>
    <xf numFmtId="0" fontId="1" fillId="5" borderId="6" xfId="0" applyFont="1" applyFill="1" applyBorder="1" applyAlignment="1">
      <alignment horizontal="left" vertical="center"/>
    </xf>
    <xf numFmtId="0" fontId="0" fillId="3" borderId="6" xfId="0" applyFont="1" applyFill="1" applyBorder="1" applyAlignment="1">
      <alignment horizontal="left"/>
    </xf>
    <xf numFmtId="0" fontId="0" fillId="3" borderId="2" xfId="0" applyFont="1" applyFill="1" applyBorder="1" applyAlignment="1">
      <alignment vertical="center"/>
    </xf>
    <xf numFmtId="0" fontId="0" fillId="6" borderId="2" xfId="0" applyFont="1" applyFill="1" applyBorder="1"/>
    <xf numFmtId="0" fontId="0" fillId="6" borderId="8" xfId="0" applyFont="1" applyFill="1" applyBorder="1" applyAlignment="1">
      <alignment horizontal="left"/>
    </xf>
    <xf numFmtId="0" fontId="0" fillId="6" borderId="9" xfId="0" applyFont="1" applyFill="1" applyBorder="1" applyAlignment="1">
      <alignment horizontal="left"/>
    </xf>
    <xf numFmtId="0" fontId="0" fillId="6" borderId="11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 vertical="center"/>
    </xf>
    <xf numFmtId="0" fontId="0" fillId="6" borderId="2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/>
    </xf>
    <xf numFmtId="0" fontId="0" fillId="5" borderId="2" xfId="0" applyFont="1" applyFill="1" applyBorder="1"/>
    <xf numFmtId="0" fontId="0" fillId="5" borderId="2" xfId="0" applyFont="1" applyFill="1" applyBorder="1" applyAlignment="1">
      <alignment horizontal="left"/>
    </xf>
    <xf numFmtId="0" fontId="0" fillId="5" borderId="2" xfId="0" applyFont="1" applyFill="1" applyBorder="1" applyAlignment="1">
      <alignment vertical="center"/>
    </xf>
    <xf numFmtId="0" fontId="0" fillId="5" borderId="12" xfId="0" applyFont="1" applyFill="1" applyBorder="1" applyAlignment="1">
      <alignment horizontal="left"/>
    </xf>
    <xf numFmtId="0" fontId="0" fillId="5" borderId="13" xfId="0" applyFont="1" applyFill="1" applyBorder="1" applyAlignment="1">
      <alignment horizontal="left"/>
    </xf>
    <xf numFmtId="0" fontId="0" fillId="5" borderId="14" xfId="0" applyFont="1" applyFill="1" applyBorder="1" applyAlignment="1">
      <alignment horizontal="left"/>
    </xf>
    <xf numFmtId="0" fontId="0" fillId="5" borderId="12" xfId="0" applyFont="1" applyFill="1" applyBorder="1" applyAlignment="1">
      <alignment vertical="center"/>
    </xf>
    <xf numFmtId="0" fontId="0" fillId="5" borderId="13" xfId="0" applyFont="1" applyFill="1" applyBorder="1" applyAlignment="1">
      <alignment vertical="center"/>
    </xf>
    <xf numFmtId="0" fontId="0" fillId="5" borderId="14" xfId="0" applyFont="1" applyFill="1" applyBorder="1"/>
    <xf numFmtId="0" fontId="0" fillId="5" borderId="19" xfId="0" applyFont="1" applyFill="1" applyBorder="1" applyAlignment="1">
      <alignment horizontal="left"/>
    </xf>
    <xf numFmtId="0" fontId="0" fillId="5" borderId="0" xfId="0" applyFont="1" applyFill="1" applyBorder="1" applyAlignment="1">
      <alignment horizontal="left"/>
    </xf>
    <xf numFmtId="0" fontId="0" fillId="6" borderId="19" xfId="0" applyFont="1" applyFill="1" applyBorder="1" applyAlignment="1">
      <alignment horizontal="left"/>
    </xf>
    <xf numFmtId="0" fontId="0" fillId="5" borderId="20" xfId="0" applyFont="1" applyFill="1" applyBorder="1" applyAlignment="1">
      <alignment vertical="center"/>
    </xf>
    <xf numFmtId="0" fontId="0" fillId="5" borderId="0" xfId="0" applyFont="1" applyFill="1" applyBorder="1"/>
    <xf numFmtId="0" fontId="0" fillId="0" borderId="0" xfId="0" applyAlignment="1">
      <alignment wrapText="1"/>
    </xf>
    <xf numFmtId="0" fontId="1" fillId="0" borderId="0" xfId="0" applyFont="1" applyAlignment="1">
      <alignment horizontal="left" wrapText="1"/>
    </xf>
    <xf numFmtId="0" fontId="0" fillId="4" borderId="0" xfId="0" applyFont="1" applyFill="1" applyBorder="1"/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4" xfId="0" applyNumberForma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 wrapText="1"/>
    </xf>
    <xf numFmtId="14" fontId="0" fillId="0" borderId="24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0" fontId="0" fillId="0" borderId="24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wrapText="1"/>
    </xf>
    <xf numFmtId="3" fontId="0" fillId="0" borderId="2" xfId="0" applyNumberFormat="1" applyBorder="1" applyAlignment="1">
      <alignment horizontal="center" vertical="center" wrapText="1"/>
    </xf>
    <xf numFmtId="0" fontId="0" fillId="0" borderId="24" xfId="0" applyBorder="1" applyAlignment="1">
      <alignment wrapText="1"/>
    </xf>
    <xf numFmtId="0" fontId="0" fillId="0" borderId="22" xfId="0" applyBorder="1" applyAlignment="1">
      <alignment horizontal="center" vertical="center" wrapText="1"/>
    </xf>
    <xf numFmtId="0" fontId="1" fillId="8" borderId="18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7" borderId="18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</cellXfs>
  <cellStyles count="1">
    <cellStyle name="Normal" xfId="0" builtinId="0"/>
  </cellStyles>
  <dxfs count="35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Reclamation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lamations"/>
      <sheetName val="Feuil1"/>
      <sheetName val="Don't delete"/>
      <sheetName val="Fichier Reclamation2"/>
    </sheetNames>
    <sheetDataSet>
      <sheetData sheetId="0"/>
      <sheetData sheetId="1" refreshError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6" name="Tableau6" displayName="Tableau6" ref="A10:R170" totalsRowShown="0" headerRowDxfId="34" headerRowBorderDxfId="33" tableBorderDxfId="32" totalsRowBorderDxfId="31">
  <autoFilter ref="A10:R170"/>
  <tableColumns count="18">
    <tableColumn id="1" name="Nbre" dataDxfId="30"/>
    <tableColumn id="2" name="Dates" dataDxfId="29"/>
    <tableColumn id="3" name="Typologie " dataDxfId="28"/>
    <tableColumn id="4" name="Code Réclamation  " dataDxfId="27">
      <calculatedColumnFormula>IFERROR(VLOOKUP([1]!Tableau6[[#This Row],[Typologie ]],[1]!Tableau1[#Data],2,0),"")</calculatedColumnFormula>
    </tableColumn>
    <tableColumn id="5" name="Noms &amp; Prenoms" dataDxfId="26"/>
    <tableColumn id="6" name="Customer MSISDN" dataDxfId="25"/>
    <tableColumn id="7" name="Services " dataDxfId="24"/>
    <tableColumn id="8" name="Equipements" dataDxfId="23"/>
    <tableColumn id="9" name="Ville" dataDxfId="22"/>
    <tableColumn id="10" name="Quartier" dataDxfId="21"/>
    <tableColumn id="11" name="Requetes" dataDxfId="20"/>
    <tableColumn id="12" name="Catégories " dataDxfId="19"/>
    <tableColumn id="13" name="Types" dataDxfId="18"/>
    <tableColumn id="14" name="Probleme rencontré" dataDxfId="17"/>
    <tableColumn id="15" name="Solution apportée" dataDxfId="16"/>
    <tableColumn id="16" name="Date_ Resolution" dataDxfId="15"/>
    <tableColumn id="17" name="Delai de resolution" dataDxfId="14">
      <calculatedColumnFormula>IF([1]!Tableau6[[#This Row],[Date_ Resolution]]="","",NETWORKDAYS.INTL([1]!Tableau6[[#This Row],[Date ]],[1]!Tableau6[[#This Row],[Date_ Resolution]],11,11)&amp;" Jr")</calculatedColumnFormula>
    </tableColumn>
    <tableColumn id="18" name="Statuts 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2:C14" totalsRowShown="0" headerRowDxfId="12" dataDxfId="11">
  <autoFilter ref="B2:C14"/>
  <sortState ref="B3:C14">
    <sortCondition ref="B2:B14"/>
  </sortState>
  <tableColumns count="2">
    <tableColumn id="1" name="Typologie" dataDxfId="10"/>
    <tableColumn id="2" name="Code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2:E5" totalsRowShown="0" headerRowDxfId="8" dataDxfId="7">
  <autoFilter ref="E2:E5"/>
  <tableColumns count="1">
    <tableColumn id="1" name="Services 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I2:I5" totalsRowShown="0" headerRowDxfId="5" dataDxfId="4">
  <autoFilter ref="I2:I5"/>
  <tableColumns count="1">
    <tableColumn id="1" name="Requetes 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O2:O5" totalsRowShown="0" headerRowDxfId="2" dataDxfId="1">
  <autoFilter ref="O2:O5"/>
  <sortState ref="O3:O5">
    <sortCondition ref="O2:O5"/>
  </sortState>
  <tableColumns count="1">
    <tableColumn id="1" name="Statuts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zoomScale="70" zoomScaleNormal="7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40" sqref="A40"/>
    </sheetView>
  </sheetViews>
  <sheetFormatPr baseColWidth="10" defaultColWidth="11.375" defaultRowHeight="15"/>
  <cols>
    <col min="1" max="1" width="13.375" style="72" bestFit="1" customWidth="1"/>
    <col min="2" max="2" width="13.75" style="72" bestFit="1" customWidth="1"/>
    <col min="3" max="3" width="11.375" style="72"/>
    <col min="4" max="4" width="15.625" style="72" customWidth="1"/>
    <col min="5" max="5" width="13.75" style="72" bestFit="1" customWidth="1"/>
    <col min="6" max="7" width="11.375" style="72"/>
    <col min="8" max="8" width="13.75" style="72" bestFit="1" customWidth="1"/>
    <col min="9" max="10" width="11.375" style="72"/>
    <col min="11" max="11" width="13.75" style="72" bestFit="1" customWidth="1"/>
    <col min="12" max="13" width="11.375" style="72"/>
    <col min="14" max="14" width="13.75" style="72" bestFit="1" customWidth="1"/>
    <col min="15" max="16" width="11.375" style="72"/>
    <col min="17" max="17" width="13.75" style="72" bestFit="1" customWidth="1"/>
    <col min="18" max="19" width="11.375" style="72"/>
    <col min="20" max="20" width="13.75" style="72" bestFit="1" customWidth="1"/>
    <col min="21" max="22" width="11.375" style="72"/>
    <col min="23" max="23" width="13.75" style="72" bestFit="1" customWidth="1"/>
    <col min="24" max="25" width="11.375" style="72"/>
    <col min="26" max="26" width="13.75" style="72" bestFit="1" customWidth="1"/>
    <col min="27" max="28" width="11.375" style="72"/>
    <col min="29" max="29" width="13.75" style="72" bestFit="1" customWidth="1"/>
    <col min="30" max="31" width="11.375" style="72"/>
    <col min="32" max="32" width="13.75" style="72" bestFit="1" customWidth="1"/>
    <col min="33" max="34" width="11.375" style="72"/>
    <col min="35" max="35" width="13.75" style="72" bestFit="1" customWidth="1"/>
    <col min="36" max="16384" width="11.375" style="72"/>
  </cols>
  <sheetData>
    <row r="1" spans="1:37">
      <c r="A1" s="71"/>
      <c r="B1" s="100" t="s">
        <v>24</v>
      </c>
      <c r="C1" s="101"/>
      <c r="D1" s="102"/>
      <c r="E1" s="97" t="s">
        <v>78</v>
      </c>
      <c r="F1" s="98"/>
      <c r="G1" s="99"/>
      <c r="H1" s="100" t="s">
        <v>187</v>
      </c>
      <c r="I1" s="101"/>
      <c r="J1" s="102"/>
      <c r="K1" s="97" t="s">
        <v>81</v>
      </c>
      <c r="L1" s="98"/>
      <c r="M1" s="99"/>
      <c r="N1" s="100" t="s">
        <v>17</v>
      </c>
      <c r="O1" s="101"/>
      <c r="P1" s="102"/>
      <c r="Q1" s="97" t="s">
        <v>195</v>
      </c>
      <c r="R1" s="98"/>
      <c r="S1" s="99"/>
      <c r="T1" s="100" t="s">
        <v>182</v>
      </c>
      <c r="U1" s="101"/>
      <c r="V1" s="102"/>
      <c r="W1" s="97" t="s">
        <v>183</v>
      </c>
      <c r="X1" s="98"/>
      <c r="Y1" s="99"/>
      <c r="Z1" s="100" t="s">
        <v>184</v>
      </c>
      <c r="AA1" s="101"/>
      <c r="AB1" s="102"/>
      <c r="AC1" s="97" t="s">
        <v>185</v>
      </c>
      <c r="AD1" s="98"/>
      <c r="AE1" s="99"/>
      <c r="AF1" s="100" t="s">
        <v>186</v>
      </c>
      <c r="AG1" s="101"/>
      <c r="AH1" s="102"/>
      <c r="AI1" s="97" t="s">
        <v>196</v>
      </c>
      <c r="AJ1" s="98"/>
      <c r="AK1" s="99"/>
    </row>
    <row r="2" spans="1:37" s="80" customFormat="1" ht="43.5" customHeight="1">
      <c r="A2" s="77" t="s">
        <v>194</v>
      </c>
      <c r="B2" s="78" t="s">
        <v>177</v>
      </c>
      <c r="C2" s="78" t="s">
        <v>20</v>
      </c>
      <c r="D2" s="78" t="s">
        <v>33</v>
      </c>
      <c r="E2" s="79" t="s">
        <v>177</v>
      </c>
      <c r="F2" s="79" t="s">
        <v>20</v>
      </c>
      <c r="G2" s="79" t="s">
        <v>33</v>
      </c>
      <c r="H2" s="78" t="s">
        <v>177</v>
      </c>
      <c r="I2" s="78" t="s">
        <v>20</v>
      </c>
      <c r="J2" s="78" t="s">
        <v>33</v>
      </c>
      <c r="K2" s="79" t="s">
        <v>177</v>
      </c>
      <c r="L2" s="79" t="s">
        <v>20</v>
      </c>
      <c r="M2" s="79" t="s">
        <v>33</v>
      </c>
      <c r="N2" s="78" t="s">
        <v>177</v>
      </c>
      <c r="O2" s="78" t="s">
        <v>20</v>
      </c>
      <c r="P2" s="78" t="s">
        <v>33</v>
      </c>
      <c r="Q2" s="79" t="s">
        <v>177</v>
      </c>
      <c r="R2" s="79" t="s">
        <v>20</v>
      </c>
      <c r="S2" s="79" t="s">
        <v>33</v>
      </c>
      <c r="T2" s="78" t="s">
        <v>177</v>
      </c>
      <c r="U2" s="78" t="s">
        <v>20</v>
      </c>
      <c r="V2" s="78" t="s">
        <v>33</v>
      </c>
      <c r="W2" s="79" t="s">
        <v>177</v>
      </c>
      <c r="X2" s="79" t="s">
        <v>20</v>
      </c>
      <c r="Y2" s="79" t="s">
        <v>33</v>
      </c>
      <c r="Z2" s="78" t="s">
        <v>177</v>
      </c>
      <c r="AA2" s="78" t="s">
        <v>20</v>
      </c>
      <c r="AB2" s="78" t="s">
        <v>178</v>
      </c>
      <c r="AC2" s="79" t="s">
        <v>177</v>
      </c>
      <c r="AD2" s="79" t="s">
        <v>20</v>
      </c>
      <c r="AE2" s="79" t="s">
        <v>33</v>
      </c>
      <c r="AF2" s="78" t="s">
        <v>177</v>
      </c>
      <c r="AG2" s="78" t="s">
        <v>20</v>
      </c>
      <c r="AH2" s="78" t="s">
        <v>33</v>
      </c>
      <c r="AI2" s="79" t="s">
        <v>177</v>
      </c>
      <c r="AJ2" s="79" t="s">
        <v>20</v>
      </c>
      <c r="AK2" s="79" t="s">
        <v>33</v>
      </c>
    </row>
    <row r="3" spans="1:37">
      <c r="A3" s="73">
        <v>43101</v>
      </c>
      <c r="B3" s="74">
        <f>SUMPRODUCT((Tableau6[[Typologie ]]='Don''t delete'!B9)*(Tableau6[Dates]=$A3)*(Tableau6[Requetes]=B$2))</f>
        <v>0</v>
      </c>
      <c r="C3" s="74">
        <f>SUMPRODUCT((Tableau6[[Typologie ]]="Showroom Akwa")*(Tableau6[Dates]=$A3)*(Tableau6[Requetes]=C$2))</f>
        <v>0</v>
      </c>
      <c r="D3" s="74">
        <f>SUMPRODUCT((Tableau6[Dates]=$A3)*(Tableau6[[Typologie ]]="Showroom Akwa")*(Tableau6[Requetes]=D$2))</f>
        <v>0</v>
      </c>
      <c r="E3" s="75">
        <f>SUMPRODUCT((Tableau6[[Typologie ]]="Showroom Bafoussam")*(Tableau6[Dates]=$A3)*(Tableau6[Requetes]=E$2))</f>
        <v>0</v>
      </c>
      <c r="F3" s="75">
        <f>SUMPRODUCT((Tableau6[[Typologie ]]="Showroom Bafoussam")*(Tableau6[Dates]=$A3)*(Tableau6[Requetes]=F$2))</f>
        <v>0</v>
      </c>
      <c r="G3" s="75">
        <f>SUMPRODUCT((Tableau6[[Typologie ]]="Showroom Bafoussam")*(Tableau6[Dates]=$A3)*(Tableau6[Requetes]=G$2))</f>
        <v>0</v>
      </c>
      <c r="H3" s="74">
        <f>SUMPRODUCT((Tableau6[[Typologie ]]="Showroom Yaounde")*(Tableau6[Dates]=$A3)*(Tableau6[Requetes]=H$2))</f>
        <v>0</v>
      </c>
      <c r="I3" s="74">
        <f>SUMPRODUCT((Tableau6[[Code Réclamation  ]]="Showroom Yaounde")*(Tableau6[[Typologie ]]=$A3)*(Tableau6[[Catégories ]]=I$2))</f>
        <v>0</v>
      </c>
      <c r="J3" s="74">
        <f>SUMPRODUCT((Tableau6[Noms &amp; Prenoms]="Showroom Yaounde")*(Tableau6[[Code Réclamation  ]]=$A3)*(Tableau6[Types]=J$2))</f>
        <v>0</v>
      </c>
      <c r="K3" s="75">
        <f>SUMPRODUCT((Tableau6[[Typologie ]]="Showroom Bonamoussadi")*(Tableau6[Dates]=$A3)*(Tableau6[Requetes]=K$2))</f>
        <v>0</v>
      </c>
      <c r="L3" s="75">
        <f>SUMPRODUCT((Tableau6[[Code Réclamation  ]]="Showroom Bonamoussadi")*(Tableau6[[Typologie ]]=$A3)*(Tableau6[[Catégories ]]=L$2))</f>
        <v>0</v>
      </c>
      <c r="M3" s="75">
        <f>SUMPRODUCT((Tableau6[Noms &amp; Prenoms]="Showroom Bonamoussadi")*(Tableau6[[Code Réclamation  ]]=$A3)*(Tableau6[Types]=M$2))</f>
        <v>0</v>
      </c>
      <c r="N3" s="74">
        <f>SUMPRODUCT((Tableau6[[Typologie ]]="Showroom Bonanjo")*(Tableau6[Dates]=$A3)*(Tableau6[Requetes]=N$2))</f>
        <v>0</v>
      </c>
      <c r="O3" s="74">
        <f>SUMPRODUCT((Tableau6[Dates]=$A3)*(Tableau6[[Typologie ]]="Showroom Bonanjo")*(Tableau6[Requetes]=O$2))</f>
        <v>0</v>
      </c>
      <c r="P3" s="74">
        <f>SUMPRODUCT((Tableau6[Noms &amp; Prenoms]="Showroom Bonanjo")*(Tableau6[[Code Réclamation  ]]=$A3)*(Tableau6[Types]=P$2))</f>
        <v>0</v>
      </c>
      <c r="Q3" s="75">
        <f>SUMPRODUCT((Tableau6[[Typologie ]]="Showroom Garoua")*(Tableau6[Dates]=$A3)*(Tableau6[Requetes]=Q$2))</f>
        <v>0</v>
      </c>
      <c r="R3" s="75">
        <f>SUMPRODUCT((Tableau6[[Code Réclamation  ]]="Showroom Garoua")*(Tableau6[[Typologie ]]=$A3)*(Tableau6[[Catégories ]]=R$2))</f>
        <v>0</v>
      </c>
      <c r="S3" s="75">
        <f>SUMPRODUCT((Tableau6[Noms &amp; Prenoms]="Showroom Garoua")*(Tableau6[[Code Réclamation  ]]=$A3)*(Tableau6[Types]=S$2))</f>
        <v>0</v>
      </c>
      <c r="T3" s="74">
        <f>SUMPRODUCT((Tableau6[[Typologie ]]="Shop Bastos")*(Tableau6[Dates]=$A3)*(Tableau6[Requetes]=T$2))</f>
        <v>0</v>
      </c>
      <c r="U3" s="74">
        <f>SUMPRODUCT((Tableau6[[Code Réclamation  ]]="Shop Bastos")*(Tableau6[[Typologie ]]=$A3)*(Tableau6[[Catégories ]]=U$2))</f>
        <v>0</v>
      </c>
      <c r="V3" s="74">
        <f>SUMPRODUCT((Tableau6[Noms &amp; Prenoms]="Shop Bastos")*(Tableau6[[Code Réclamation  ]]=$A3)*(Tableau6[Types]=V$2))</f>
        <v>0</v>
      </c>
      <c r="W3" s="75">
        <f>SUMPRODUCT((Tableau6[[Typologie ]]="Shop Essos")*(Tableau6[Dates]=$A3)*(Tableau6[Requetes]=W$2))</f>
        <v>0</v>
      </c>
      <c r="X3" s="75">
        <f>SUMPRODUCT((Tableau6[[Code Réclamation  ]]="Shop Essos")*(Tableau6[[Typologie ]]=$A3)*(Tableau6[[Catégories ]]=X$2))</f>
        <v>0</v>
      </c>
      <c r="Y3" s="75">
        <f>SUMPRODUCT((Tableau6[Noms &amp; Prenoms]="Shop Essos")*(Tableau6[[Code Réclamation  ]]=$A3)*(Tableau6[Types]=Y$2))</f>
        <v>0</v>
      </c>
      <c r="Z3" s="74">
        <f>SUMPRODUCT((Tableau6[[Typologie ]]="Shop Peyrissac")*(Tableau6[Dates]=$A3)*(Tableau6[Requetes]=Z$2))</f>
        <v>0</v>
      </c>
      <c r="AA3" s="74">
        <f>SUMPRODUCT((Tableau6[[Code Réclamation  ]]="Shop Peyrissac")*(Tableau6[[Typologie ]]=$A3)*(Tableau6[[Catégories ]]=AA$2))</f>
        <v>0</v>
      </c>
      <c r="AB3" s="74">
        <f>SUMPRODUCT((Tableau6[Noms &amp; Prenoms]="Shop Peyrissac")*(Tableau6[[Code Réclamation  ]]=$A3)*(Tableau6[Types]=AB$2))</f>
        <v>0</v>
      </c>
      <c r="AC3" s="75">
        <f>SUMPRODUCT((Tableau6[Dates]=$A3)*(Tableau6[Requetes]=AC$2))</f>
        <v>0</v>
      </c>
      <c r="AD3" s="75">
        <f>SUMPRODUCT((Tableau6[[Code Réclamation  ]]="Back Office")*(Tableau6[[Typologie ]]=$A3)*(Tableau6[[Catégories ]]=AD$2))</f>
        <v>0</v>
      </c>
      <c r="AE3" s="75">
        <f>SUMPRODUCT((Tableau6[Noms &amp; Prenoms]="Back Office")*(Tableau6[[Code Réclamation  ]]=$A3)*(Tableau6[Types]=AE$2))</f>
        <v>0</v>
      </c>
      <c r="AF3" s="74">
        <f>SUMPRODUCT((Tableau6[[Typologie ]]="Front Office")*(Tableau6[Dates]=$A3)*(Tableau6[Requetes]=AF$2))</f>
        <v>0</v>
      </c>
      <c r="AG3" s="74">
        <f>SUMPRODUCT((Tableau6[[Code Réclamation  ]]="Front Office")*(Tableau6[[Typologie ]]=$A3)*(Tableau6[[Catégories ]]=AG$2))</f>
        <v>0</v>
      </c>
      <c r="AH3" s="74">
        <f>SUMPRODUCT((Tableau6[Noms &amp; Prenoms]="Front Office")*(Tableau6[[Code Réclamation  ]]=$A3)*(Tableau6[Types]=AH$2))</f>
        <v>0</v>
      </c>
      <c r="AI3" s="75">
        <f>SUMPRODUCT((Tableau6[[Typologie ]]="Direction Générale")*(Tableau6[Dates]=$A3)*(Tableau6[Requetes]=AI$2))</f>
        <v>0</v>
      </c>
      <c r="AJ3" s="75">
        <f>SUMPRODUCT((Tableau6[[Code Réclamation  ]]="Direction Générale")*(Tableau6[[Typologie ]]=$A3)*(Tableau6[[Catégories ]]=AJ$2))</f>
        <v>0</v>
      </c>
      <c r="AK3" s="75">
        <f>SUMPRODUCT((Tableau6[Noms &amp; Prenoms]="Direction Générale")*(Tableau6[[Code Réclamation  ]]=$A3)*(Tableau6[Types]=AK$2))</f>
        <v>0</v>
      </c>
    </row>
    <row r="4" spans="1:37">
      <c r="A4" s="73">
        <v>43102</v>
      </c>
      <c r="B4" s="74">
        <f>SUMPRODUCT((Tableau6[[Typologie ]]='Don''t delete'!B10)*(Tableau6[Dates]=$A4)*(Tableau6[Requetes]=B$2))</f>
        <v>0</v>
      </c>
      <c r="C4" s="74">
        <f>SUMPRODUCT((Tableau6[[Typologie ]]="Showroom Akwa")*(Tableau6[Dates]=$A4)*(Tableau6[Requetes]=C$2))</f>
        <v>1</v>
      </c>
      <c r="D4" s="74">
        <f>SUMPRODUCT((Tableau6[Dates]=$A4)*(Tableau6[[Typologie ]]="Showroom Akwa")*(Tableau6[Requetes]=D$2))</f>
        <v>1</v>
      </c>
      <c r="E4" s="75">
        <f>SUMPRODUCT((Tableau6[[Typologie ]]="Showroom Bafoussam")*(Tableau6[Dates]=$A4)*(Tableau6[Requetes]=E$2))</f>
        <v>0</v>
      </c>
      <c r="F4" s="75">
        <f>SUMPRODUCT((Tableau6[[Typologie ]]="Showroom Bafoussam")*(Tableau6[Dates]=$A4)*(Tableau6[Requetes]=F$2))</f>
        <v>0</v>
      </c>
      <c r="G4" s="75">
        <f>SUMPRODUCT((Tableau6[[Typologie ]]="Showroom Bafoussam")*(Tableau6[Dates]=$A4)*(Tableau6[Requetes]=G$2))</f>
        <v>0</v>
      </c>
      <c r="H4" s="74">
        <f>SUMPRODUCT((Tableau6[[Typologie ]]="Showroom Yaounde")*(Tableau6[Dates]=$A4)*(Tableau6[Requetes]=H$2))</f>
        <v>0</v>
      </c>
      <c r="I4" s="74">
        <f>SUMPRODUCT((Tableau6[[Code Réclamation  ]]="Showroom Yaounde")*(Tableau6[[Typologie ]]=$A4)*(Tableau6[[Catégories ]]=I$2))</f>
        <v>0</v>
      </c>
      <c r="J4" s="74">
        <f>SUMPRODUCT((Tableau6[Noms &amp; Prenoms]="Showroom Yaounde")*(Tableau6[[Code Réclamation  ]]=$A4)*(Tableau6[Types]=J$2))</f>
        <v>0</v>
      </c>
      <c r="K4" s="75">
        <f>SUMPRODUCT((Tableau6[[Typologie ]]="Showroom Bonamoussadi")*(Tableau6[Dates]=$A4)*(Tableau6[Requetes]=K$2))</f>
        <v>0</v>
      </c>
      <c r="L4" s="75">
        <f>SUMPRODUCT((Tableau6[[Code Réclamation  ]]="Showroom Bonamoussadi")*(Tableau6[[Typologie ]]=$A4)*(Tableau6[[Catégories ]]=L$2))</f>
        <v>0</v>
      </c>
      <c r="M4" s="75">
        <f>SUMPRODUCT((Tableau6[Noms &amp; Prenoms]="Showroom Bonamoussadi")*(Tableau6[[Code Réclamation  ]]=$A4)*(Tableau6[Types]=M$2))</f>
        <v>0</v>
      </c>
      <c r="N4" s="74">
        <f>SUMPRODUCT((Tableau6[[Typologie ]]="Showroom Bonanjo")*(Tableau6[Dates]=$A4)*(Tableau6[Requetes]=N$2))</f>
        <v>0</v>
      </c>
      <c r="O4" s="74">
        <f>SUMPRODUCT((Tableau6[Dates]=$A4)*(Tableau6[[Typologie ]]="Showroom Bonanjo")*(Tableau6[Requetes]=O$2))</f>
        <v>0</v>
      </c>
      <c r="P4" s="74">
        <f>SUMPRODUCT((Tableau6[Noms &amp; Prenoms]="Showroom Bonanjo")*(Tableau6[[Code Réclamation  ]]=$A4)*(Tableau6[Types]=P$2))</f>
        <v>0</v>
      </c>
      <c r="Q4" s="75">
        <f>SUMPRODUCT((Tableau6[[Typologie ]]="Showroom Garoua")*(Tableau6[Dates]=$A4)*(Tableau6[Requetes]=Q$2))</f>
        <v>0</v>
      </c>
      <c r="R4" s="75">
        <f>SUMPRODUCT((Tableau6[[Code Réclamation  ]]="Showroom Garoua")*(Tableau6[[Typologie ]]=$A4)*(Tableau6[[Catégories ]]=R$2))</f>
        <v>0</v>
      </c>
      <c r="S4" s="75">
        <f>SUMPRODUCT((Tableau6[Noms &amp; Prenoms]="Showroom Garoua")*(Tableau6[[Code Réclamation  ]]=$A4)*(Tableau6[Types]=S$2))</f>
        <v>0</v>
      </c>
      <c r="T4" s="74">
        <f>SUMPRODUCT((Tableau6[[Typologie ]]="Shop Bastos")*(Tableau6[Dates]=$A4)*(Tableau6[Requetes]=T$2))</f>
        <v>0</v>
      </c>
      <c r="U4" s="74">
        <f>SUMPRODUCT((Tableau6[[Code Réclamation  ]]="Shop Bastos")*(Tableau6[[Typologie ]]=$A4)*(Tableau6[[Catégories ]]=U$2))</f>
        <v>0</v>
      </c>
      <c r="V4" s="74">
        <f>SUMPRODUCT((Tableau6[Noms &amp; Prenoms]="Shop Bastos")*(Tableau6[[Code Réclamation  ]]=$A4)*(Tableau6[Types]=V$2))</f>
        <v>0</v>
      </c>
      <c r="W4" s="75">
        <f>SUMPRODUCT((Tableau6[[Typologie ]]="Shop Essos")*(Tableau6[Dates]=$A4)*(Tableau6[Requetes]=W$2))</f>
        <v>0</v>
      </c>
      <c r="X4" s="75">
        <f>SUMPRODUCT((Tableau6[[Code Réclamation  ]]="Shop Essos")*(Tableau6[[Typologie ]]=$A4)*(Tableau6[[Catégories ]]=X$2))</f>
        <v>0</v>
      </c>
      <c r="Y4" s="75">
        <f>SUMPRODUCT((Tableau6[Noms &amp; Prenoms]="Shop Essos")*(Tableau6[[Code Réclamation  ]]=$A4)*(Tableau6[Types]=Y$2))</f>
        <v>0</v>
      </c>
      <c r="Z4" s="74">
        <f>SUMPRODUCT((Tableau6[[Typologie ]]="Shop Peyrissac")*(Tableau6[Dates]=$A4)*(Tableau6[Requetes]=Z$2))</f>
        <v>0</v>
      </c>
      <c r="AA4" s="74">
        <f>SUMPRODUCT((Tableau6[[Code Réclamation  ]]="Shop Peyrissac")*(Tableau6[[Typologie ]]=$A4)*(Tableau6[[Catégories ]]=AA$2))</f>
        <v>0</v>
      </c>
      <c r="AB4" s="74">
        <f>SUMPRODUCT((Tableau6[Noms &amp; Prenoms]="Shop Peyrissac")*(Tableau6[[Code Réclamation  ]]=$A4)*(Tableau6[Types]=AB$2))</f>
        <v>0</v>
      </c>
      <c r="AC4" s="75">
        <f>SUMPRODUCT((Tableau6[Dates]=$A4)*(Tableau6[Requetes]=AC$2))</f>
        <v>0</v>
      </c>
      <c r="AD4" s="75">
        <f>SUMPRODUCT((Tableau6[[Code Réclamation  ]]="Back Office")*(Tableau6[[Typologie ]]=$A4)*(Tableau6[[Catégories ]]=AD$2))</f>
        <v>0</v>
      </c>
      <c r="AE4" s="75">
        <f>SUMPRODUCT((Tableau6[Noms &amp; Prenoms]="Back Office")*(Tableau6[[Code Réclamation  ]]=$A4)*(Tableau6[Types]=AE$2))</f>
        <v>0</v>
      </c>
      <c r="AF4" s="74">
        <f>SUMPRODUCT((Tableau6[[Typologie ]]="Front Office")*(Tableau6[Dates]=$A4)*(Tableau6[Requetes]=AF$2))</f>
        <v>0</v>
      </c>
      <c r="AG4" s="74">
        <f>SUMPRODUCT((Tableau6[[Code Réclamation  ]]="Front Office")*(Tableau6[[Typologie ]]=$A4)*(Tableau6[[Catégories ]]=AG$2))</f>
        <v>0</v>
      </c>
      <c r="AH4" s="74">
        <f>SUMPRODUCT((Tableau6[Noms &amp; Prenoms]="Front Office")*(Tableau6[[Code Réclamation  ]]=$A4)*(Tableau6[Types]=AH$2))</f>
        <v>0</v>
      </c>
      <c r="AI4" s="75">
        <f>SUMPRODUCT((Tableau6[[Typologie ]]="Direction Générale")*(Tableau6[Dates]=$A4)*(Tableau6[Requetes]=AI$2))</f>
        <v>0</v>
      </c>
      <c r="AJ4" s="75">
        <f>SUMPRODUCT((Tableau6[[Code Réclamation  ]]="Direction Générale")*(Tableau6[[Typologie ]]=$A4)*(Tableau6[[Catégories ]]=AJ$2))</f>
        <v>0</v>
      </c>
      <c r="AK4" s="75">
        <f>SUMPRODUCT((Tableau6[Noms &amp; Prenoms]="Direction Générale")*(Tableau6[[Code Réclamation  ]]=$A4)*(Tableau6[Types]=AK$2))</f>
        <v>0</v>
      </c>
    </row>
    <row r="5" spans="1:37">
      <c r="A5" s="73">
        <v>43103</v>
      </c>
      <c r="B5" s="74">
        <f>SUMPRODUCT((Tableau6[[Typologie ]]='Don''t delete'!B11)*(Tableau6[Dates]=$A5)*(Tableau6[Requetes]=B$2))</f>
        <v>0</v>
      </c>
      <c r="C5" s="74">
        <f>SUMPRODUCT((Tableau6[[Typologie ]]="Showroom Akwa")*(Tableau6[Dates]=$A5)*(Tableau6[Requetes]=C$2))</f>
        <v>0</v>
      </c>
      <c r="D5" s="74">
        <f>SUMPRODUCT((Tableau6[Dates]=$A5)*(Tableau6[[Typologie ]]="Showroom Akwa")*(Tableau6[Requetes]=D$2))</f>
        <v>0</v>
      </c>
      <c r="E5" s="75">
        <f>SUMPRODUCT((Tableau6[[Typologie ]]="Showroom Bafoussam")*(Tableau6[Dates]=$A5)*(Tableau6[Requetes]=E$2))</f>
        <v>0</v>
      </c>
      <c r="F5" s="75">
        <f>SUMPRODUCT((Tableau6[[Typologie ]]="Showroom Bafoussam")*(Tableau6[Dates]=$A5)*(Tableau6[Requetes]=F$2))</f>
        <v>0</v>
      </c>
      <c r="G5" s="75">
        <f>SUMPRODUCT((Tableau6[[Typologie ]]="Showroom Bafoussam")*(Tableau6[Dates]=$A5)*(Tableau6[Requetes]=G$2))</f>
        <v>0</v>
      </c>
      <c r="H5" s="74">
        <f>SUMPRODUCT((Tableau6[[Typologie ]]="Showroom Yaounde")*(Tableau6[Dates]=$A5)*(Tableau6[Requetes]=H$2))</f>
        <v>0</v>
      </c>
      <c r="I5" s="74">
        <f>SUMPRODUCT((Tableau6[[Code Réclamation  ]]="Showroom Yaounde")*(Tableau6[[Typologie ]]=$A5)*(Tableau6[[Catégories ]]=I$2))</f>
        <v>0</v>
      </c>
      <c r="J5" s="74">
        <f>SUMPRODUCT((Tableau6[Noms &amp; Prenoms]="Showroom Yaounde")*(Tableau6[[Code Réclamation  ]]=$A5)*(Tableau6[Types]=J$2))</f>
        <v>0</v>
      </c>
      <c r="K5" s="75">
        <f>SUMPRODUCT((Tableau6[[Typologie ]]="Showroom Bonamoussadi")*(Tableau6[Dates]=$A5)*(Tableau6[Requetes]=K$2))</f>
        <v>0</v>
      </c>
      <c r="L5" s="75">
        <f>SUMPRODUCT((Tableau6[[Code Réclamation  ]]="Showroom Bonamoussadi")*(Tableau6[[Typologie ]]=$A5)*(Tableau6[[Catégories ]]=L$2))</f>
        <v>0</v>
      </c>
      <c r="M5" s="75">
        <f>SUMPRODUCT((Tableau6[Noms &amp; Prenoms]="Showroom Bonamoussadi")*(Tableau6[[Code Réclamation  ]]=$A5)*(Tableau6[Types]=M$2))</f>
        <v>0</v>
      </c>
      <c r="N5" s="74">
        <f>SUMPRODUCT((Tableau6[[Typologie ]]="Showroom Bonanjo")*(Tableau6[Dates]=$A5)*(Tableau6[Requetes]=N$2))</f>
        <v>0</v>
      </c>
      <c r="O5" s="74">
        <f>SUMPRODUCT((Tableau6[Dates]=$A5)*(Tableau6[[Typologie ]]="Showroom Bonanjo")*(Tableau6[Requetes]=O$2))</f>
        <v>0</v>
      </c>
      <c r="P5" s="74">
        <f>SUMPRODUCT((Tableau6[Noms &amp; Prenoms]="Showroom Bonanjo")*(Tableau6[[Code Réclamation  ]]=$A5)*(Tableau6[Types]=P$2))</f>
        <v>0</v>
      </c>
      <c r="Q5" s="75">
        <f>SUMPRODUCT((Tableau6[[Typologie ]]="Showroom Garoua")*(Tableau6[Dates]=$A5)*(Tableau6[Requetes]=Q$2))</f>
        <v>0</v>
      </c>
      <c r="R5" s="75">
        <f>SUMPRODUCT((Tableau6[[Code Réclamation  ]]="Showroom Garoua")*(Tableau6[[Typologie ]]=$A5)*(Tableau6[[Catégories ]]=R$2))</f>
        <v>0</v>
      </c>
      <c r="S5" s="75">
        <f>SUMPRODUCT((Tableau6[Noms &amp; Prenoms]="Showroom Garoua")*(Tableau6[[Code Réclamation  ]]=$A5)*(Tableau6[Types]=S$2))</f>
        <v>0</v>
      </c>
      <c r="T5" s="74">
        <f>SUMPRODUCT((Tableau6[[Typologie ]]="Shop Bastos")*(Tableau6[Dates]=$A5)*(Tableau6[Requetes]=T$2))</f>
        <v>0</v>
      </c>
      <c r="U5" s="74">
        <f>SUMPRODUCT((Tableau6[[Code Réclamation  ]]="Shop Bastos")*(Tableau6[[Typologie ]]=$A5)*(Tableau6[[Catégories ]]=U$2))</f>
        <v>0</v>
      </c>
      <c r="V5" s="74">
        <f>SUMPRODUCT((Tableau6[Noms &amp; Prenoms]="Shop Bastos")*(Tableau6[[Code Réclamation  ]]=$A5)*(Tableau6[Types]=V$2))</f>
        <v>0</v>
      </c>
      <c r="W5" s="75">
        <f>SUMPRODUCT((Tableau6[[Typologie ]]="Shop Essos")*(Tableau6[Dates]=$A5)*(Tableau6[Requetes]=W$2))</f>
        <v>0</v>
      </c>
      <c r="X5" s="75">
        <f>SUMPRODUCT((Tableau6[[Code Réclamation  ]]="Shop Essos")*(Tableau6[[Typologie ]]=$A5)*(Tableau6[[Catégories ]]=X$2))</f>
        <v>0</v>
      </c>
      <c r="Y5" s="75">
        <f>SUMPRODUCT((Tableau6[Noms &amp; Prenoms]="Shop Essos")*(Tableau6[[Code Réclamation  ]]=$A5)*(Tableau6[Types]=Y$2))</f>
        <v>0</v>
      </c>
      <c r="Z5" s="74">
        <f>SUMPRODUCT((Tableau6[[Typologie ]]="Shop Peyrissac")*(Tableau6[Dates]=$A5)*(Tableau6[Requetes]=Z$2))</f>
        <v>0</v>
      </c>
      <c r="AA5" s="74">
        <f>SUMPRODUCT((Tableau6[[Code Réclamation  ]]="Shop Peyrissac")*(Tableau6[[Typologie ]]=$A5)*(Tableau6[[Catégories ]]=AA$2))</f>
        <v>0</v>
      </c>
      <c r="AB5" s="74">
        <f>SUMPRODUCT((Tableau6[Noms &amp; Prenoms]="Shop Peyrissac")*(Tableau6[[Code Réclamation  ]]=$A5)*(Tableau6[Types]=AB$2))</f>
        <v>0</v>
      </c>
      <c r="AC5" s="75">
        <f>SUMPRODUCT((Tableau6[Dates]=$A5)*(Tableau6[Requetes]=AC$2))</f>
        <v>0</v>
      </c>
      <c r="AD5" s="75">
        <f>SUMPRODUCT((Tableau6[[Code Réclamation  ]]="Back Office")*(Tableau6[[Typologie ]]=$A5)*(Tableau6[[Catégories ]]=AD$2))</f>
        <v>0</v>
      </c>
      <c r="AE5" s="75">
        <f>SUMPRODUCT((Tableau6[Noms &amp; Prenoms]="Back Office")*(Tableau6[[Code Réclamation  ]]=$A5)*(Tableau6[Types]=AE$2))</f>
        <v>0</v>
      </c>
      <c r="AF5" s="74">
        <f>SUMPRODUCT((Tableau6[[Typologie ]]="Front Office")*(Tableau6[Dates]=$A5)*(Tableau6[Requetes]=AF$2))</f>
        <v>0</v>
      </c>
      <c r="AG5" s="74">
        <f>SUMPRODUCT((Tableau6[[Code Réclamation  ]]="Front Office")*(Tableau6[[Typologie ]]=$A5)*(Tableau6[[Catégories ]]=AG$2))</f>
        <v>0</v>
      </c>
      <c r="AH5" s="74">
        <f>SUMPRODUCT((Tableau6[Noms &amp; Prenoms]="Front Office")*(Tableau6[[Code Réclamation  ]]=$A5)*(Tableau6[Types]=AH$2))</f>
        <v>0</v>
      </c>
      <c r="AI5" s="75">
        <f>SUMPRODUCT((Tableau6[[Typologie ]]="Direction Générale")*(Tableau6[Dates]=$A5)*(Tableau6[Requetes]=AI$2))</f>
        <v>0</v>
      </c>
      <c r="AJ5" s="75">
        <f>SUMPRODUCT((Tableau6[[Code Réclamation  ]]="Direction Générale")*(Tableau6[[Typologie ]]=$A5)*(Tableau6[[Catégories ]]=AJ$2))</f>
        <v>0</v>
      </c>
      <c r="AK5" s="75">
        <f>SUMPRODUCT((Tableau6[Noms &amp; Prenoms]="Direction Générale")*(Tableau6[[Code Réclamation  ]]=$A5)*(Tableau6[Types]=AK$2))</f>
        <v>0</v>
      </c>
    </row>
    <row r="6" spans="1:37">
      <c r="A6" s="73">
        <v>43104</v>
      </c>
      <c r="B6" s="74">
        <f>SUMPRODUCT((Tableau6[[Typologie ]]='Don''t delete'!B12)*(Tableau6[Dates]=$A6)*(Tableau6[Requetes]=B$2))</f>
        <v>0</v>
      </c>
      <c r="C6" s="74">
        <f>SUMPRODUCT((Tableau6[[Typologie ]]="Showroom Akwa")*(Tableau6[Dates]=$A6)*(Tableau6[Requetes]=C$2))</f>
        <v>0</v>
      </c>
      <c r="D6" s="74">
        <f>SUMPRODUCT((Tableau6[Dates]=$A6)*(Tableau6[[Typologie ]]="Showroom Akwa")*(Tableau6[Requetes]=D$2))</f>
        <v>0</v>
      </c>
      <c r="E6" s="75">
        <f>SUMPRODUCT((Tableau6[[Typologie ]]="Showroom Bafoussam")*(Tableau6[Dates]=$A6)*(Tableau6[Requetes]=E$2))</f>
        <v>0</v>
      </c>
      <c r="F6" s="75">
        <f>SUMPRODUCT((Tableau6[[Typologie ]]="Showroom Bafoussam")*(Tableau6[Dates]=$A6)*(Tableau6[Requetes]=F$2))</f>
        <v>0</v>
      </c>
      <c r="G6" s="75">
        <f>SUMPRODUCT((Tableau6[[Typologie ]]="Showroom Bafoussam")*(Tableau6[Dates]=$A6)*(Tableau6[Requetes]=G$2))</f>
        <v>0</v>
      </c>
      <c r="H6" s="74">
        <f>SUMPRODUCT((Tableau6[[Typologie ]]="Showroom Yaounde")*(Tableau6[Dates]=$A6)*(Tableau6[Requetes]=H$2))</f>
        <v>0</v>
      </c>
      <c r="I6" s="74">
        <f>SUMPRODUCT((Tableau6[[Code Réclamation  ]]="Showroom Yaounde")*(Tableau6[[Typologie ]]=$A6)*(Tableau6[[Catégories ]]=I$2))</f>
        <v>0</v>
      </c>
      <c r="J6" s="74">
        <f>SUMPRODUCT((Tableau6[Noms &amp; Prenoms]="Showroom Yaounde")*(Tableau6[[Code Réclamation  ]]=$A6)*(Tableau6[Types]=J$2))</f>
        <v>0</v>
      </c>
      <c r="K6" s="75">
        <f>SUMPRODUCT((Tableau6[[Typologie ]]="Showroom Bonamoussadi")*(Tableau6[Dates]=$A6)*(Tableau6[Requetes]=K$2))</f>
        <v>0</v>
      </c>
      <c r="L6" s="75">
        <f>SUMPRODUCT((Tableau6[[Code Réclamation  ]]="Showroom Bonamoussadi")*(Tableau6[[Typologie ]]=$A6)*(Tableau6[[Catégories ]]=L$2))</f>
        <v>0</v>
      </c>
      <c r="M6" s="75">
        <f>SUMPRODUCT((Tableau6[Noms &amp; Prenoms]="Showroom Bonamoussadi")*(Tableau6[[Code Réclamation  ]]=$A6)*(Tableau6[Types]=M$2))</f>
        <v>0</v>
      </c>
      <c r="N6" s="74">
        <f>SUMPRODUCT((Tableau6[[Typologie ]]="Showroom Bonanjo")*(Tableau6[Dates]=$A6)*(Tableau6[Requetes]=N$2))</f>
        <v>0</v>
      </c>
      <c r="O6" s="74">
        <f>SUMPRODUCT((Tableau6[Dates]=$A6)*(Tableau6[[Typologie ]]="Showroom Bonanjo")*(Tableau6[Requetes]=O$2))</f>
        <v>0</v>
      </c>
      <c r="P6" s="74">
        <f>SUMPRODUCT((Tableau6[Noms &amp; Prenoms]="Showroom Bonanjo")*(Tableau6[[Code Réclamation  ]]=$A6)*(Tableau6[Types]=P$2))</f>
        <v>0</v>
      </c>
      <c r="Q6" s="75">
        <f>SUMPRODUCT((Tableau6[[Typologie ]]="Showroom Garoua")*(Tableau6[Dates]=$A6)*(Tableau6[Requetes]=Q$2))</f>
        <v>0</v>
      </c>
      <c r="R6" s="75">
        <f>SUMPRODUCT((Tableau6[[Code Réclamation  ]]="Showroom Garoua")*(Tableau6[[Typologie ]]=$A6)*(Tableau6[[Catégories ]]=R$2))</f>
        <v>0</v>
      </c>
      <c r="S6" s="75">
        <f>SUMPRODUCT((Tableau6[Noms &amp; Prenoms]="Showroom Garoua")*(Tableau6[[Code Réclamation  ]]=$A6)*(Tableau6[Types]=S$2))</f>
        <v>0</v>
      </c>
      <c r="T6" s="74">
        <f>SUMPRODUCT((Tableau6[[Typologie ]]="Shop Bastos")*(Tableau6[Dates]=$A6)*(Tableau6[Requetes]=T$2))</f>
        <v>0</v>
      </c>
      <c r="U6" s="74">
        <f>SUMPRODUCT((Tableau6[[Code Réclamation  ]]="Shop Bastos")*(Tableau6[[Typologie ]]=$A6)*(Tableau6[[Catégories ]]=U$2))</f>
        <v>0</v>
      </c>
      <c r="V6" s="74">
        <f>SUMPRODUCT((Tableau6[Noms &amp; Prenoms]="Shop Bastos")*(Tableau6[[Code Réclamation  ]]=$A6)*(Tableau6[Types]=V$2))</f>
        <v>0</v>
      </c>
      <c r="W6" s="75">
        <f>SUMPRODUCT((Tableau6[[Typologie ]]="Shop Essos")*(Tableau6[Dates]=$A6)*(Tableau6[Requetes]=W$2))</f>
        <v>0</v>
      </c>
      <c r="X6" s="75">
        <f>SUMPRODUCT((Tableau6[[Code Réclamation  ]]="Shop Essos")*(Tableau6[[Typologie ]]=$A6)*(Tableau6[[Catégories ]]=X$2))</f>
        <v>0</v>
      </c>
      <c r="Y6" s="75">
        <f>SUMPRODUCT((Tableau6[Noms &amp; Prenoms]="Shop Essos")*(Tableau6[[Code Réclamation  ]]=$A6)*(Tableau6[Types]=Y$2))</f>
        <v>0</v>
      </c>
      <c r="Z6" s="74">
        <f>SUMPRODUCT((Tableau6[[Typologie ]]="Shop Peyrissac")*(Tableau6[Dates]=$A6)*(Tableau6[Requetes]=Z$2))</f>
        <v>0</v>
      </c>
      <c r="AA6" s="74">
        <f>SUMPRODUCT((Tableau6[[Code Réclamation  ]]="Shop Peyrissac")*(Tableau6[[Typologie ]]=$A6)*(Tableau6[[Catégories ]]=AA$2))</f>
        <v>0</v>
      </c>
      <c r="AB6" s="74">
        <f>SUMPRODUCT((Tableau6[Noms &amp; Prenoms]="Shop Peyrissac")*(Tableau6[[Code Réclamation  ]]=$A6)*(Tableau6[Types]=AB$2))</f>
        <v>0</v>
      </c>
      <c r="AC6" s="75">
        <f>SUMPRODUCT((Tableau6[Dates]=$A6)*(Tableau6[Requetes]=AC$2))</f>
        <v>0</v>
      </c>
      <c r="AD6" s="75">
        <f>SUMPRODUCT((Tableau6[[Code Réclamation  ]]="Back Office")*(Tableau6[[Typologie ]]=$A6)*(Tableau6[[Catégories ]]=AD$2))</f>
        <v>0</v>
      </c>
      <c r="AE6" s="75">
        <f>SUMPRODUCT((Tableau6[Noms &amp; Prenoms]="Back Office")*(Tableau6[[Code Réclamation  ]]=$A6)*(Tableau6[Types]=AE$2))</f>
        <v>0</v>
      </c>
      <c r="AF6" s="74">
        <f>SUMPRODUCT((Tableau6[[Typologie ]]="Front Office")*(Tableau6[Dates]=$A6)*(Tableau6[Requetes]=AF$2))</f>
        <v>0</v>
      </c>
      <c r="AG6" s="74">
        <f>SUMPRODUCT((Tableau6[[Code Réclamation  ]]="Front Office")*(Tableau6[[Typologie ]]=$A6)*(Tableau6[[Catégories ]]=AG$2))</f>
        <v>0</v>
      </c>
      <c r="AH6" s="74">
        <f>SUMPRODUCT((Tableau6[Noms &amp; Prenoms]="Front Office")*(Tableau6[[Code Réclamation  ]]=$A6)*(Tableau6[Types]=AH$2))</f>
        <v>0</v>
      </c>
      <c r="AI6" s="75">
        <f>SUMPRODUCT((Tableau6[[Typologie ]]="Direction Générale")*(Tableau6[Dates]=$A6)*(Tableau6[Requetes]=AI$2))</f>
        <v>0</v>
      </c>
      <c r="AJ6" s="75">
        <f>SUMPRODUCT((Tableau6[[Code Réclamation  ]]="Direction Générale")*(Tableau6[[Typologie ]]=$A6)*(Tableau6[[Catégories ]]=AJ$2))</f>
        <v>0</v>
      </c>
      <c r="AK6" s="75">
        <f>SUMPRODUCT((Tableau6[Noms &amp; Prenoms]="Direction Générale")*(Tableau6[[Code Réclamation  ]]=$A6)*(Tableau6[Types]=AK$2))</f>
        <v>0</v>
      </c>
    </row>
    <row r="7" spans="1:37">
      <c r="A7" s="73">
        <v>43105</v>
      </c>
      <c r="B7" s="74">
        <f>SUMPRODUCT((Tableau6[[Typologie ]]='Don''t delete'!B13)*(Tableau6[Dates]=$A7)*(Tableau6[Requetes]=B$2))</f>
        <v>0</v>
      </c>
      <c r="C7" s="74">
        <f>SUMPRODUCT((Tableau6[[Typologie ]]="Showroom Akwa")*(Tableau6[Dates]=$A7)*(Tableau6[Requetes]=C$2))</f>
        <v>0</v>
      </c>
      <c r="D7" s="74">
        <f>SUMPRODUCT((Tableau6[Dates]=$A7)*(Tableau6[[Typologie ]]="Showroom Akwa")*(Tableau6[Requetes]=D$2))</f>
        <v>0</v>
      </c>
      <c r="E7" s="75">
        <f>SUMPRODUCT((Tableau6[[Typologie ]]="Showroom Bafoussam")*(Tableau6[Dates]=$A7)*(Tableau6[Requetes]=E$2))</f>
        <v>0</v>
      </c>
      <c r="F7" s="75">
        <f>SUMPRODUCT((Tableau6[[Typologie ]]="Showroom Bafoussam")*(Tableau6[Dates]=$A7)*(Tableau6[Requetes]=F$2))</f>
        <v>0</v>
      </c>
      <c r="G7" s="75">
        <f>SUMPRODUCT((Tableau6[[Typologie ]]="Showroom Bafoussam")*(Tableau6[Dates]=$A7)*(Tableau6[Requetes]=G$2))</f>
        <v>0</v>
      </c>
      <c r="H7" s="74">
        <f>SUMPRODUCT((Tableau6[[Typologie ]]="Showroom Yaounde")*(Tableau6[Dates]=$A7)*(Tableau6[Requetes]=H$2))</f>
        <v>0</v>
      </c>
      <c r="I7" s="74">
        <f>SUMPRODUCT((Tableau6[[Code Réclamation  ]]="Showroom Yaounde")*(Tableau6[[Typologie ]]=$A7)*(Tableau6[[Catégories ]]=I$2))</f>
        <v>0</v>
      </c>
      <c r="J7" s="74">
        <f>SUMPRODUCT((Tableau6[Noms &amp; Prenoms]="Showroom Yaounde")*(Tableau6[[Code Réclamation  ]]=$A7)*(Tableau6[Types]=J$2))</f>
        <v>0</v>
      </c>
      <c r="K7" s="75">
        <f>SUMPRODUCT((Tableau6[[Typologie ]]="Showroom Bonamoussadi")*(Tableau6[Dates]=$A7)*(Tableau6[Requetes]=K$2))</f>
        <v>0</v>
      </c>
      <c r="L7" s="75">
        <f>SUMPRODUCT((Tableau6[[Code Réclamation  ]]="Showroom Bonamoussadi")*(Tableau6[[Typologie ]]=$A7)*(Tableau6[[Catégories ]]=L$2))</f>
        <v>0</v>
      </c>
      <c r="M7" s="75">
        <f>SUMPRODUCT((Tableau6[Noms &amp; Prenoms]="Showroom Bonamoussadi")*(Tableau6[[Code Réclamation  ]]=$A7)*(Tableau6[Types]=M$2))</f>
        <v>0</v>
      </c>
      <c r="N7" s="74">
        <f>SUMPRODUCT((Tableau6[[Typologie ]]="Showroom Bonanjo")*(Tableau6[Dates]=$A7)*(Tableau6[Requetes]=N$2))</f>
        <v>0</v>
      </c>
      <c r="O7" s="74">
        <f>SUMPRODUCT((Tableau6[Dates]=$A7)*(Tableau6[[Typologie ]]="Showroom Bonanjo")*(Tableau6[Requetes]=O$2))</f>
        <v>0</v>
      </c>
      <c r="P7" s="74">
        <f>SUMPRODUCT((Tableau6[Noms &amp; Prenoms]="Showroom Bonanjo")*(Tableau6[[Code Réclamation  ]]=$A7)*(Tableau6[Types]=P$2))</f>
        <v>0</v>
      </c>
      <c r="Q7" s="75">
        <f>SUMPRODUCT((Tableau6[[Typologie ]]="Showroom Garoua")*(Tableau6[Dates]=$A7)*(Tableau6[Requetes]=Q$2))</f>
        <v>0</v>
      </c>
      <c r="R7" s="75">
        <f>SUMPRODUCT((Tableau6[[Code Réclamation  ]]="Showroom Garoua")*(Tableau6[[Typologie ]]=$A7)*(Tableau6[[Catégories ]]=R$2))</f>
        <v>0</v>
      </c>
      <c r="S7" s="75">
        <f>SUMPRODUCT((Tableau6[Noms &amp; Prenoms]="Showroom Garoua")*(Tableau6[[Code Réclamation  ]]=$A7)*(Tableau6[Types]=S$2))</f>
        <v>0</v>
      </c>
      <c r="T7" s="74">
        <f>SUMPRODUCT((Tableau6[[Typologie ]]="Shop Bastos")*(Tableau6[Dates]=$A7)*(Tableau6[Requetes]=T$2))</f>
        <v>0</v>
      </c>
      <c r="U7" s="74">
        <f>SUMPRODUCT((Tableau6[[Code Réclamation  ]]="Shop Bastos")*(Tableau6[[Typologie ]]=$A7)*(Tableau6[[Catégories ]]=U$2))</f>
        <v>0</v>
      </c>
      <c r="V7" s="74">
        <f>SUMPRODUCT((Tableau6[Noms &amp; Prenoms]="Shop Bastos")*(Tableau6[[Code Réclamation  ]]=$A7)*(Tableau6[Types]=V$2))</f>
        <v>0</v>
      </c>
      <c r="W7" s="75">
        <f>SUMPRODUCT((Tableau6[[Typologie ]]="Shop Essos")*(Tableau6[Dates]=$A7)*(Tableau6[Requetes]=W$2))</f>
        <v>0</v>
      </c>
      <c r="X7" s="75">
        <f>SUMPRODUCT((Tableau6[[Code Réclamation  ]]="Shop Essos")*(Tableau6[[Typologie ]]=$A7)*(Tableau6[[Catégories ]]=X$2))</f>
        <v>0</v>
      </c>
      <c r="Y7" s="75">
        <f>SUMPRODUCT((Tableau6[Noms &amp; Prenoms]="Shop Essos")*(Tableau6[[Code Réclamation  ]]=$A7)*(Tableau6[Types]=Y$2))</f>
        <v>0</v>
      </c>
      <c r="Z7" s="74">
        <f>SUMPRODUCT((Tableau6[[Typologie ]]="Shop Peyrissac")*(Tableau6[Dates]=$A7)*(Tableau6[Requetes]=Z$2))</f>
        <v>0</v>
      </c>
      <c r="AA7" s="74">
        <f>SUMPRODUCT((Tableau6[[Code Réclamation  ]]="Shop Peyrissac")*(Tableau6[[Typologie ]]=$A7)*(Tableau6[[Catégories ]]=AA$2))</f>
        <v>0</v>
      </c>
      <c r="AB7" s="74">
        <f>SUMPRODUCT((Tableau6[Noms &amp; Prenoms]="Shop Peyrissac")*(Tableau6[[Code Réclamation  ]]=$A7)*(Tableau6[Types]=AB$2))</f>
        <v>0</v>
      </c>
      <c r="AC7" s="75">
        <f>SUMPRODUCT((Tableau6[Dates]=$A7)*(Tableau6[Requetes]=AC$2))</f>
        <v>0</v>
      </c>
      <c r="AD7" s="75">
        <f>SUMPRODUCT((Tableau6[[Code Réclamation  ]]="Back Office")*(Tableau6[[Typologie ]]=$A7)*(Tableau6[[Catégories ]]=AD$2))</f>
        <v>0</v>
      </c>
      <c r="AE7" s="75">
        <f>SUMPRODUCT((Tableau6[Noms &amp; Prenoms]="Back Office")*(Tableau6[[Code Réclamation  ]]=$A7)*(Tableau6[Types]=AE$2))</f>
        <v>0</v>
      </c>
      <c r="AF7" s="74">
        <f>SUMPRODUCT((Tableau6[[Typologie ]]="Front Office")*(Tableau6[Dates]=$A7)*(Tableau6[Requetes]=AF$2))</f>
        <v>0</v>
      </c>
      <c r="AG7" s="74">
        <f>SUMPRODUCT((Tableau6[[Code Réclamation  ]]="Front Office")*(Tableau6[[Typologie ]]=$A7)*(Tableau6[[Catégories ]]=AG$2))</f>
        <v>0</v>
      </c>
      <c r="AH7" s="74">
        <f>SUMPRODUCT((Tableau6[Noms &amp; Prenoms]="Front Office")*(Tableau6[[Code Réclamation  ]]=$A7)*(Tableau6[Types]=AH$2))</f>
        <v>0</v>
      </c>
      <c r="AI7" s="75">
        <f>SUMPRODUCT((Tableau6[[Typologie ]]="Direction Générale")*(Tableau6[Dates]=$A7)*(Tableau6[Requetes]=AI$2))</f>
        <v>0</v>
      </c>
      <c r="AJ7" s="75">
        <f>SUMPRODUCT((Tableau6[[Code Réclamation  ]]="Direction Générale")*(Tableau6[[Typologie ]]=$A7)*(Tableau6[[Catégories ]]=AJ$2))</f>
        <v>0</v>
      </c>
      <c r="AK7" s="75">
        <f>SUMPRODUCT((Tableau6[Noms &amp; Prenoms]="Direction Générale")*(Tableau6[[Code Réclamation  ]]=$A7)*(Tableau6[Types]=AK$2))</f>
        <v>0</v>
      </c>
    </row>
    <row r="8" spans="1:37">
      <c r="A8" s="73">
        <v>43106</v>
      </c>
      <c r="B8" s="74">
        <f>SUMPRODUCT((Tableau6[[Typologie ]]='Don''t delete'!B14)*(Tableau6[Dates]=$A8)*(Tableau6[Requetes]=B$2))</f>
        <v>0</v>
      </c>
      <c r="C8" s="74">
        <f>SUMPRODUCT((Tableau6[[Typologie ]]="Showroom Akwa")*(Tableau6[Dates]=$A8)*(Tableau6[Requetes]=C$2))</f>
        <v>0</v>
      </c>
      <c r="D8" s="74">
        <f>SUMPRODUCT((Tableau6[Dates]=$A8)*(Tableau6[[Typologie ]]="Showroom Akwa")*(Tableau6[Requetes]=D$2))</f>
        <v>0</v>
      </c>
      <c r="E8" s="75">
        <f>SUMPRODUCT((Tableau6[[Typologie ]]="Showroom Bafoussam")*(Tableau6[Dates]=$A8)*(Tableau6[Requetes]=E$2))</f>
        <v>0</v>
      </c>
      <c r="F8" s="75">
        <f>SUMPRODUCT((Tableau6[[Typologie ]]="Showroom Bafoussam")*(Tableau6[Dates]=$A8)*(Tableau6[Requetes]=F$2))</f>
        <v>0</v>
      </c>
      <c r="G8" s="75">
        <f>SUMPRODUCT((Tableau6[[Typologie ]]="Showroom Bafoussam")*(Tableau6[Dates]=$A8)*(Tableau6[Requetes]=G$2))</f>
        <v>0</v>
      </c>
      <c r="H8" s="74">
        <f>SUMPRODUCT((Tableau6[[Typologie ]]="Showroom Yaounde")*(Tableau6[Dates]=$A8)*(Tableau6[Requetes]=H$2))</f>
        <v>0</v>
      </c>
      <c r="I8" s="74">
        <f>SUMPRODUCT((Tableau6[[Code Réclamation  ]]="Showroom Yaounde")*(Tableau6[[Typologie ]]=$A8)*(Tableau6[[Catégories ]]=I$2))</f>
        <v>0</v>
      </c>
      <c r="J8" s="74">
        <f>SUMPRODUCT((Tableau6[Noms &amp; Prenoms]="Showroom Yaounde")*(Tableau6[[Code Réclamation  ]]=$A8)*(Tableau6[Types]=J$2))</f>
        <v>0</v>
      </c>
      <c r="K8" s="75">
        <f>SUMPRODUCT((Tableau6[[Typologie ]]="Showroom Bonamoussadi")*(Tableau6[Dates]=$A8)*(Tableau6[Requetes]=K$2))</f>
        <v>0</v>
      </c>
      <c r="L8" s="75">
        <f>SUMPRODUCT((Tableau6[[Code Réclamation  ]]="Showroom Bonamoussadi")*(Tableau6[[Typologie ]]=$A8)*(Tableau6[[Catégories ]]=L$2))</f>
        <v>0</v>
      </c>
      <c r="M8" s="75">
        <f>SUMPRODUCT((Tableau6[Noms &amp; Prenoms]="Showroom Bonamoussadi")*(Tableau6[[Code Réclamation  ]]=$A8)*(Tableau6[Types]=M$2))</f>
        <v>0</v>
      </c>
      <c r="N8" s="74">
        <f>SUMPRODUCT((Tableau6[[Typologie ]]="Showroom Bonanjo")*(Tableau6[Dates]=$A8)*(Tableau6[Requetes]=N$2))</f>
        <v>0</v>
      </c>
      <c r="O8" s="74">
        <f>SUMPRODUCT((Tableau6[Dates]=$A8)*(Tableau6[[Typologie ]]="Showroom Bonanjo")*(Tableau6[Requetes]=O$2))</f>
        <v>0</v>
      </c>
      <c r="P8" s="74">
        <f>SUMPRODUCT((Tableau6[Noms &amp; Prenoms]="Showroom Bonanjo")*(Tableau6[[Code Réclamation  ]]=$A8)*(Tableau6[Types]=P$2))</f>
        <v>0</v>
      </c>
      <c r="Q8" s="75">
        <f>SUMPRODUCT((Tableau6[[Typologie ]]="Showroom Garoua")*(Tableau6[Dates]=$A8)*(Tableau6[Requetes]=Q$2))</f>
        <v>0</v>
      </c>
      <c r="R8" s="75">
        <f>SUMPRODUCT((Tableau6[[Code Réclamation  ]]="Showroom Garoua")*(Tableau6[[Typologie ]]=$A8)*(Tableau6[[Catégories ]]=R$2))</f>
        <v>0</v>
      </c>
      <c r="S8" s="75">
        <f>SUMPRODUCT((Tableau6[Noms &amp; Prenoms]="Showroom Garoua")*(Tableau6[[Code Réclamation  ]]=$A8)*(Tableau6[Types]=S$2))</f>
        <v>0</v>
      </c>
      <c r="T8" s="74">
        <f>SUMPRODUCT((Tableau6[[Typologie ]]="Shop Bastos")*(Tableau6[Dates]=$A8)*(Tableau6[Requetes]=T$2))</f>
        <v>0</v>
      </c>
      <c r="U8" s="74">
        <f>SUMPRODUCT((Tableau6[[Code Réclamation  ]]="Shop Bastos")*(Tableau6[[Typologie ]]=$A8)*(Tableau6[[Catégories ]]=U$2))</f>
        <v>0</v>
      </c>
      <c r="V8" s="74">
        <f>SUMPRODUCT((Tableau6[Noms &amp; Prenoms]="Shop Bastos")*(Tableau6[[Code Réclamation  ]]=$A8)*(Tableau6[Types]=V$2))</f>
        <v>0</v>
      </c>
      <c r="W8" s="75">
        <f>SUMPRODUCT((Tableau6[[Typologie ]]="Shop Essos")*(Tableau6[Dates]=$A8)*(Tableau6[Requetes]=W$2))</f>
        <v>0</v>
      </c>
      <c r="X8" s="75">
        <f>SUMPRODUCT((Tableau6[[Code Réclamation  ]]="Shop Essos")*(Tableau6[[Typologie ]]=$A8)*(Tableau6[[Catégories ]]=X$2))</f>
        <v>0</v>
      </c>
      <c r="Y8" s="75">
        <f>SUMPRODUCT((Tableau6[Noms &amp; Prenoms]="Shop Essos")*(Tableau6[[Code Réclamation  ]]=$A8)*(Tableau6[Types]=Y$2))</f>
        <v>0</v>
      </c>
      <c r="Z8" s="74">
        <f>SUMPRODUCT((Tableau6[[Typologie ]]="Shop Peyrissac")*(Tableau6[Dates]=$A8)*(Tableau6[Requetes]=Z$2))</f>
        <v>0</v>
      </c>
      <c r="AA8" s="74">
        <f>SUMPRODUCT((Tableau6[[Code Réclamation  ]]="Shop Peyrissac")*(Tableau6[[Typologie ]]=$A8)*(Tableau6[[Catégories ]]=AA$2))</f>
        <v>0</v>
      </c>
      <c r="AB8" s="74">
        <f>SUMPRODUCT((Tableau6[Noms &amp; Prenoms]="Shop Peyrissac")*(Tableau6[[Code Réclamation  ]]=$A8)*(Tableau6[Types]=AB$2))</f>
        <v>0</v>
      </c>
      <c r="AC8" s="75">
        <f>SUMPRODUCT((Tableau6[Dates]=$A8)*(Tableau6[Requetes]=AC$2))</f>
        <v>0</v>
      </c>
      <c r="AD8" s="75">
        <f>SUMPRODUCT((Tableau6[[Code Réclamation  ]]="Back Office")*(Tableau6[[Typologie ]]=$A8)*(Tableau6[[Catégories ]]=AD$2))</f>
        <v>0</v>
      </c>
      <c r="AE8" s="75">
        <f>SUMPRODUCT((Tableau6[Noms &amp; Prenoms]="Back Office")*(Tableau6[[Code Réclamation  ]]=$A8)*(Tableau6[Types]=AE$2))</f>
        <v>0</v>
      </c>
      <c r="AF8" s="74">
        <f>SUMPRODUCT((Tableau6[[Typologie ]]="Front Office")*(Tableau6[Dates]=$A8)*(Tableau6[Requetes]=AF$2))</f>
        <v>0</v>
      </c>
      <c r="AG8" s="74">
        <f>SUMPRODUCT((Tableau6[[Code Réclamation  ]]="Front Office")*(Tableau6[[Typologie ]]=$A8)*(Tableau6[[Catégories ]]=AG$2))</f>
        <v>0</v>
      </c>
      <c r="AH8" s="74">
        <f>SUMPRODUCT((Tableau6[Noms &amp; Prenoms]="Front Office")*(Tableau6[[Code Réclamation  ]]=$A8)*(Tableau6[Types]=AH$2))</f>
        <v>0</v>
      </c>
      <c r="AI8" s="75">
        <f>SUMPRODUCT((Tableau6[[Typologie ]]="Direction Générale")*(Tableau6[Dates]=$A8)*(Tableau6[Requetes]=AI$2))</f>
        <v>0</v>
      </c>
      <c r="AJ8" s="75">
        <f>SUMPRODUCT((Tableau6[[Code Réclamation  ]]="Direction Générale")*(Tableau6[[Typologie ]]=$A8)*(Tableau6[[Catégories ]]=AJ$2))</f>
        <v>0</v>
      </c>
      <c r="AK8" s="75">
        <f>SUMPRODUCT((Tableau6[Noms &amp; Prenoms]="Direction Générale")*(Tableau6[[Code Réclamation  ]]=$A8)*(Tableau6[Types]=AK$2))</f>
        <v>0</v>
      </c>
    </row>
    <row r="9" spans="1:37">
      <c r="A9" s="73">
        <v>43107</v>
      </c>
      <c r="B9" s="74">
        <f>SUMPRODUCT((Tableau6[[Typologie ]]='Don''t delete'!B15)*(Tableau6[Dates]=$A9)*(Tableau6[Requetes]=B$2))</f>
        <v>0</v>
      </c>
      <c r="C9" s="74">
        <f>SUMPRODUCT((Tableau6[[Typologie ]]="Showroom Akwa")*(Tableau6[Dates]=$A9)*(Tableau6[Requetes]=C$2))</f>
        <v>0</v>
      </c>
      <c r="D9" s="74">
        <f>SUMPRODUCT((Tableau6[Dates]=$A9)*(Tableau6[[Typologie ]]="Showroom Akwa")*(Tableau6[Requetes]=D$2))</f>
        <v>0</v>
      </c>
      <c r="E9" s="75">
        <f>SUMPRODUCT((Tableau6[[Typologie ]]="Showroom Bafoussam")*(Tableau6[Dates]=$A9)*(Tableau6[Requetes]=E$2))</f>
        <v>0</v>
      </c>
      <c r="F9" s="75">
        <f>SUMPRODUCT((Tableau6[[Typologie ]]="Showroom Bafoussam")*(Tableau6[Dates]=$A9)*(Tableau6[Requetes]=F$2))</f>
        <v>0</v>
      </c>
      <c r="G9" s="75">
        <f>SUMPRODUCT((Tableau6[[Typologie ]]="Showroom Bafoussam")*(Tableau6[Dates]=$A9)*(Tableau6[Requetes]=G$2))</f>
        <v>0</v>
      </c>
      <c r="H9" s="74">
        <f>SUMPRODUCT((Tableau6[[Typologie ]]="Showroom Yaounde")*(Tableau6[Dates]=$A9)*(Tableau6[Requetes]=H$2))</f>
        <v>0</v>
      </c>
      <c r="I9" s="74">
        <f>SUMPRODUCT((Tableau6[[Code Réclamation  ]]="Showroom Yaounde")*(Tableau6[[Typologie ]]=$A9)*(Tableau6[[Catégories ]]=I$2))</f>
        <v>0</v>
      </c>
      <c r="J9" s="74">
        <f>SUMPRODUCT((Tableau6[Noms &amp; Prenoms]="Showroom Yaounde")*(Tableau6[[Code Réclamation  ]]=$A9)*(Tableau6[Types]=J$2))</f>
        <v>0</v>
      </c>
      <c r="K9" s="75">
        <f>SUMPRODUCT((Tableau6[[Typologie ]]="Showroom Bonamoussadi")*(Tableau6[Dates]=$A9)*(Tableau6[Requetes]=K$2))</f>
        <v>0</v>
      </c>
      <c r="L9" s="75">
        <f>SUMPRODUCT((Tableau6[[Code Réclamation  ]]="Showroom Bonamoussadi")*(Tableau6[[Typologie ]]=$A9)*(Tableau6[[Catégories ]]=L$2))</f>
        <v>0</v>
      </c>
      <c r="M9" s="75">
        <f>SUMPRODUCT((Tableau6[Noms &amp; Prenoms]="Showroom Bonamoussadi")*(Tableau6[[Code Réclamation  ]]=$A9)*(Tableau6[Types]=M$2))</f>
        <v>0</v>
      </c>
      <c r="N9" s="74">
        <f>SUMPRODUCT((Tableau6[[Typologie ]]="Showroom Bonanjo")*(Tableau6[Dates]=$A9)*(Tableau6[Requetes]=N$2))</f>
        <v>0</v>
      </c>
      <c r="O9" s="74">
        <f>SUMPRODUCT((Tableau6[Dates]=$A9)*(Tableau6[[Typologie ]]="Showroom Bonanjo")*(Tableau6[Requetes]=O$2))</f>
        <v>0</v>
      </c>
      <c r="P9" s="74">
        <f>SUMPRODUCT((Tableau6[Noms &amp; Prenoms]="Showroom Bonanjo")*(Tableau6[[Code Réclamation  ]]=$A9)*(Tableau6[Types]=P$2))</f>
        <v>0</v>
      </c>
      <c r="Q9" s="75">
        <f>SUMPRODUCT((Tableau6[[Typologie ]]="Showroom Garoua")*(Tableau6[Dates]=$A9)*(Tableau6[Requetes]=Q$2))</f>
        <v>0</v>
      </c>
      <c r="R9" s="75">
        <f>SUMPRODUCT((Tableau6[[Code Réclamation  ]]="Showroom Garoua")*(Tableau6[[Typologie ]]=$A9)*(Tableau6[[Catégories ]]=R$2))</f>
        <v>0</v>
      </c>
      <c r="S9" s="75">
        <f>SUMPRODUCT((Tableau6[Noms &amp; Prenoms]="Showroom Garoua")*(Tableau6[[Code Réclamation  ]]=$A9)*(Tableau6[Types]=S$2))</f>
        <v>0</v>
      </c>
      <c r="T9" s="74">
        <f>SUMPRODUCT((Tableau6[[Typologie ]]="Shop Bastos")*(Tableau6[Dates]=$A9)*(Tableau6[Requetes]=T$2))</f>
        <v>0</v>
      </c>
      <c r="U9" s="74">
        <f>SUMPRODUCT((Tableau6[[Code Réclamation  ]]="Shop Bastos")*(Tableau6[[Typologie ]]=$A9)*(Tableau6[[Catégories ]]=U$2))</f>
        <v>0</v>
      </c>
      <c r="V9" s="74">
        <f>SUMPRODUCT((Tableau6[Noms &amp; Prenoms]="Shop Bastos")*(Tableau6[[Code Réclamation  ]]=$A9)*(Tableau6[Types]=V$2))</f>
        <v>0</v>
      </c>
      <c r="W9" s="75">
        <f>SUMPRODUCT((Tableau6[[Typologie ]]="Shop Essos")*(Tableau6[Dates]=$A9)*(Tableau6[Requetes]=W$2))</f>
        <v>0</v>
      </c>
      <c r="X9" s="75">
        <f>SUMPRODUCT((Tableau6[[Code Réclamation  ]]="Shop Essos")*(Tableau6[[Typologie ]]=$A9)*(Tableau6[[Catégories ]]=X$2))</f>
        <v>0</v>
      </c>
      <c r="Y9" s="75">
        <f>SUMPRODUCT((Tableau6[Noms &amp; Prenoms]="Shop Essos")*(Tableau6[[Code Réclamation  ]]=$A9)*(Tableau6[Types]=Y$2))</f>
        <v>0</v>
      </c>
      <c r="Z9" s="74">
        <f>SUMPRODUCT((Tableau6[[Typologie ]]="Shop Peyrissac")*(Tableau6[Dates]=$A9)*(Tableau6[Requetes]=Z$2))</f>
        <v>0</v>
      </c>
      <c r="AA9" s="74">
        <f>SUMPRODUCT((Tableau6[[Code Réclamation  ]]="Shop Peyrissac")*(Tableau6[[Typologie ]]=$A9)*(Tableau6[[Catégories ]]=AA$2))</f>
        <v>0</v>
      </c>
      <c r="AB9" s="74">
        <f>SUMPRODUCT((Tableau6[Noms &amp; Prenoms]="Shop Peyrissac")*(Tableau6[[Code Réclamation  ]]=$A9)*(Tableau6[Types]=AB$2))</f>
        <v>0</v>
      </c>
      <c r="AC9" s="75">
        <f>SUMPRODUCT((Tableau6[Dates]=$A9)*(Tableau6[Requetes]=AC$2))</f>
        <v>0</v>
      </c>
      <c r="AD9" s="75">
        <f>SUMPRODUCT((Tableau6[[Code Réclamation  ]]="Back Office")*(Tableau6[[Typologie ]]=$A9)*(Tableau6[[Catégories ]]=AD$2))</f>
        <v>0</v>
      </c>
      <c r="AE9" s="75">
        <f>SUMPRODUCT((Tableau6[Noms &amp; Prenoms]="Back Office")*(Tableau6[[Code Réclamation  ]]=$A9)*(Tableau6[Types]=AE$2))</f>
        <v>0</v>
      </c>
      <c r="AF9" s="74">
        <f>SUMPRODUCT((Tableau6[[Typologie ]]="Front Office")*(Tableau6[Dates]=$A9)*(Tableau6[Requetes]=AF$2))</f>
        <v>0</v>
      </c>
      <c r="AG9" s="74">
        <f>SUMPRODUCT((Tableau6[[Code Réclamation  ]]="Front Office")*(Tableau6[[Typologie ]]=$A9)*(Tableau6[[Catégories ]]=AG$2))</f>
        <v>0</v>
      </c>
      <c r="AH9" s="74">
        <f>SUMPRODUCT((Tableau6[Noms &amp; Prenoms]="Front Office")*(Tableau6[[Code Réclamation  ]]=$A9)*(Tableau6[Types]=AH$2))</f>
        <v>0</v>
      </c>
      <c r="AI9" s="75">
        <f>SUMPRODUCT((Tableau6[[Typologie ]]="Direction Générale")*(Tableau6[Dates]=$A9)*(Tableau6[Requetes]=AI$2))</f>
        <v>0</v>
      </c>
      <c r="AJ9" s="75">
        <f>SUMPRODUCT((Tableau6[[Code Réclamation  ]]="Direction Générale")*(Tableau6[[Typologie ]]=$A9)*(Tableau6[[Catégories ]]=AJ$2))</f>
        <v>0</v>
      </c>
      <c r="AK9" s="75">
        <f>SUMPRODUCT((Tableau6[Noms &amp; Prenoms]="Direction Générale")*(Tableau6[[Code Réclamation  ]]=$A9)*(Tableau6[Types]=AK$2))</f>
        <v>0</v>
      </c>
    </row>
    <row r="10" spans="1:37">
      <c r="A10" s="73">
        <v>43108</v>
      </c>
      <c r="B10" s="74">
        <f>SUMPRODUCT((Tableau6[[Typologie ]]='Don''t delete'!B16)*(Tableau6[Dates]=$A10)*(Tableau6[Requetes]=B$2))</f>
        <v>0</v>
      </c>
      <c r="C10" s="74">
        <f>SUMPRODUCT((Tableau6[[Typologie ]]="Showroom Akwa")*(Tableau6[Dates]=$A10)*(Tableau6[Requetes]=C$2))</f>
        <v>0</v>
      </c>
      <c r="D10" s="74">
        <f>SUMPRODUCT((Tableau6[Dates]=$A10)*(Tableau6[[Typologie ]]="Showroom Akwa")*(Tableau6[Requetes]=D$2))</f>
        <v>0</v>
      </c>
      <c r="E10" s="75">
        <f>SUMPRODUCT((Tableau6[[Typologie ]]="Showroom Bafoussam")*(Tableau6[Dates]=$A10)*(Tableau6[Requetes]=E$2))</f>
        <v>0</v>
      </c>
      <c r="F10" s="75">
        <f>SUMPRODUCT((Tableau6[[Typologie ]]="Showroom Bafoussam")*(Tableau6[Dates]=$A10)*(Tableau6[Requetes]=F$2))</f>
        <v>0</v>
      </c>
      <c r="G10" s="75">
        <f>SUMPRODUCT((Tableau6[[Typologie ]]="Showroom Bafoussam")*(Tableau6[Dates]=$A10)*(Tableau6[Requetes]=G$2))</f>
        <v>0</v>
      </c>
      <c r="H10" s="74">
        <f>SUMPRODUCT((Tableau6[[Typologie ]]="Showroom Yaounde")*(Tableau6[Dates]=$A10)*(Tableau6[Requetes]=H$2))</f>
        <v>0</v>
      </c>
      <c r="I10" s="74">
        <f>SUMPRODUCT((Tableau6[[Code Réclamation  ]]="Showroom Yaounde")*(Tableau6[[Typologie ]]=$A10)*(Tableau6[[Catégories ]]=I$2))</f>
        <v>0</v>
      </c>
      <c r="J10" s="74">
        <f>SUMPRODUCT((Tableau6[Noms &amp; Prenoms]="Showroom Yaounde")*(Tableau6[[Code Réclamation  ]]=$A10)*(Tableau6[Types]=J$2))</f>
        <v>0</v>
      </c>
      <c r="K10" s="75">
        <f>SUMPRODUCT((Tableau6[[Typologie ]]="Showroom Bonamoussadi")*(Tableau6[Dates]=$A10)*(Tableau6[Requetes]=K$2))</f>
        <v>0</v>
      </c>
      <c r="L10" s="75">
        <f>SUMPRODUCT((Tableau6[[Code Réclamation  ]]="Showroom Bonamoussadi")*(Tableau6[[Typologie ]]=$A10)*(Tableau6[[Catégories ]]=L$2))</f>
        <v>0</v>
      </c>
      <c r="M10" s="75">
        <f>SUMPRODUCT((Tableau6[Noms &amp; Prenoms]="Showroom Bonamoussadi")*(Tableau6[[Code Réclamation  ]]=$A10)*(Tableau6[Types]=M$2))</f>
        <v>0</v>
      </c>
      <c r="N10" s="74">
        <f>SUMPRODUCT((Tableau6[[Typologie ]]="Showroom Bonanjo")*(Tableau6[Dates]=$A10)*(Tableau6[Requetes]=N$2))</f>
        <v>0</v>
      </c>
      <c r="O10" s="74">
        <f>SUMPRODUCT((Tableau6[Dates]=$A10)*(Tableau6[[Typologie ]]="Showroom Bonanjo")*(Tableau6[Requetes]=O$2))</f>
        <v>0</v>
      </c>
      <c r="P10" s="74">
        <f>SUMPRODUCT((Tableau6[Noms &amp; Prenoms]="Showroom Bonanjo")*(Tableau6[[Code Réclamation  ]]=$A10)*(Tableau6[Types]=P$2))</f>
        <v>0</v>
      </c>
      <c r="Q10" s="75">
        <f>SUMPRODUCT((Tableau6[[Typologie ]]="Showroom Garoua")*(Tableau6[Dates]=$A10)*(Tableau6[Requetes]=Q$2))</f>
        <v>0</v>
      </c>
      <c r="R10" s="75">
        <f>SUMPRODUCT((Tableau6[[Code Réclamation  ]]="Showroom Garoua")*(Tableau6[[Typologie ]]=$A10)*(Tableau6[[Catégories ]]=R$2))</f>
        <v>0</v>
      </c>
      <c r="S10" s="75">
        <f>SUMPRODUCT((Tableau6[Noms &amp; Prenoms]="Showroom Garoua")*(Tableau6[[Code Réclamation  ]]=$A10)*(Tableau6[Types]=S$2))</f>
        <v>0</v>
      </c>
      <c r="T10" s="74">
        <f>SUMPRODUCT((Tableau6[[Typologie ]]="Shop Bastos")*(Tableau6[Dates]=$A10)*(Tableau6[Requetes]=T$2))</f>
        <v>0</v>
      </c>
      <c r="U10" s="74">
        <f>SUMPRODUCT((Tableau6[[Code Réclamation  ]]="Shop Bastos")*(Tableau6[[Typologie ]]=$A10)*(Tableau6[[Catégories ]]=U$2))</f>
        <v>0</v>
      </c>
      <c r="V10" s="74">
        <f>SUMPRODUCT((Tableau6[Noms &amp; Prenoms]="Shop Bastos")*(Tableau6[[Code Réclamation  ]]=$A10)*(Tableau6[Types]=V$2))</f>
        <v>0</v>
      </c>
      <c r="W10" s="75">
        <f>SUMPRODUCT((Tableau6[[Typologie ]]="Shop Essos")*(Tableau6[Dates]=$A10)*(Tableau6[Requetes]=W$2))</f>
        <v>0</v>
      </c>
      <c r="X10" s="75">
        <f>SUMPRODUCT((Tableau6[[Code Réclamation  ]]="Shop Essos")*(Tableau6[[Typologie ]]=$A10)*(Tableau6[[Catégories ]]=X$2))</f>
        <v>0</v>
      </c>
      <c r="Y10" s="75">
        <f>SUMPRODUCT((Tableau6[Noms &amp; Prenoms]="Shop Essos")*(Tableau6[[Code Réclamation  ]]=$A10)*(Tableau6[Types]=Y$2))</f>
        <v>0</v>
      </c>
      <c r="Z10" s="74">
        <f>SUMPRODUCT((Tableau6[[Typologie ]]="Shop Peyrissac")*(Tableau6[Dates]=$A10)*(Tableau6[Requetes]=Z$2))</f>
        <v>0</v>
      </c>
      <c r="AA10" s="74">
        <f>SUMPRODUCT((Tableau6[[Code Réclamation  ]]="Shop Peyrissac")*(Tableau6[[Typologie ]]=$A10)*(Tableau6[[Catégories ]]=AA$2))</f>
        <v>0</v>
      </c>
      <c r="AB10" s="74">
        <f>SUMPRODUCT((Tableau6[Noms &amp; Prenoms]="Shop Peyrissac")*(Tableau6[[Code Réclamation  ]]=$A10)*(Tableau6[Types]=AB$2))</f>
        <v>0</v>
      </c>
      <c r="AC10" s="75">
        <f>SUMPRODUCT((Tableau6[Dates]=$A10)*(Tableau6[Requetes]=AC$2))</f>
        <v>0</v>
      </c>
      <c r="AD10" s="75">
        <f>SUMPRODUCT((Tableau6[[Code Réclamation  ]]="Back Office")*(Tableau6[[Typologie ]]=$A10)*(Tableau6[[Catégories ]]=AD$2))</f>
        <v>0</v>
      </c>
      <c r="AE10" s="75">
        <f>SUMPRODUCT((Tableau6[Noms &amp; Prenoms]="Back Office")*(Tableau6[[Code Réclamation  ]]=$A10)*(Tableau6[Types]=AE$2))</f>
        <v>0</v>
      </c>
      <c r="AF10" s="74">
        <f>SUMPRODUCT((Tableau6[[Typologie ]]="Front Office")*(Tableau6[Dates]=$A10)*(Tableau6[Requetes]=AF$2))</f>
        <v>0</v>
      </c>
      <c r="AG10" s="74">
        <f>SUMPRODUCT((Tableau6[[Code Réclamation  ]]="Front Office")*(Tableau6[[Typologie ]]=$A10)*(Tableau6[[Catégories ]]=AG$2))</f>
        <v>0</v>
      </c>
      <c r="AH10" s="74">
        <f>SUMPRODUCT((Tableau6[Noms &amp; Prenoms]="Front Office")*(Tableau6[[Code Réclamation  ]]=$A10)*(Tableau6[Types]=AH$2))</f>
        <v>0</v>
      </c>
      <c r="AI10" s="75">
        <f>SUMPRODUCT((Tableau6[[Typologie ]]="Direction Générale")*(Tableau6[Dates]=$A10)*(Tableau6[Requetes]=AI$2))</f>
        <v>0</v>
      </c>
      <c r="AJ10" s="75">
        <f>SUMPRODUCT((Tableau6[[Code Réclamation  ]]="Direction Générale")*(Tableau6[[Typologie ]]=$A10)*(Tableau6[[Catégories ]]=AJ$2))</f>
        <v>0</v>
      </c>
      <c r="AK10" s="75">
        <f>SUMPRODUCT((Tableau6[Noms &amp; Prenoms]="Direction Générale")*(Tableau6[[Code Réclamation  ]]=$A10)*(Tableau6[Types]=AK$2))</f>
        <v>0</v>
      </c>
    </row>
    <row r="11" spans="1:37">
      <c r="A11" s="73">
        <v>43109</v>
      </c>
      <c r="B11" s="74">
        <f>SUMPRODUCT((Tableau6[[Typologie ]]='Don''t delete'!B17)*(Tableau6[Dates]=$A11)*(Tableau6[Requetes]=B$2))</f>
        <v>0</v>
      </c>
      <c r="C11" s="74">
        <f>SUMPRODUCT((Tableau6[[Typologie ]]="Showroom Akwa")*(Tableau6[Dates]=$A11)*(Tableau6[Requetes]=C$2))</f>
        <v>0</v>
      </c>
      <c r="D11" s="74">
        <f>SUMPRODUCT((Tableau6[Dates]=$A11)*(Tableau6[[Typologie ]]="Showroom Akwa")*(Tableau6[Requetes]=D$2))</f>
        <v>0</v>
      </c>
      <c r="E11" s="75">
        <f>SUMPRODUCT((Tableau6[[Typologie ]]="Showroom Bafoussam")*(Tableau6[Dates]=$A11)*(Tableau6[Requetes]=E$2))</f>
        <v>0</v>
      </c>
      <c r="F11" s="75">
        <f>SUMPRODUCT((Tableau6[[Typologie ]]="Showroom Bafoussam")*(Tableau6[Dates]=$A11)*(Tableau6[Requetes]=F$2))</f>
        <v>0</v>
      </c>
      <c r="G11" s="75">
        <f>SUMPRODUCT((Tableau6[[Typologie ]]="Showroom Bafoussam")*(Tableau6[Dates]=$A11)*(Tableau6[Requetes]=G$2))</f>
        <v>0</v>
      </c>
      <c r="H11" s="74">
        <f>SUMPRODUCT((Tableau6[[Typologie ]]="Showroom Yaounde")*(Tableau6[Dates]=$A11)*(Tableau6[Requetes]=H$2))</f>
        <v>0</v>
      </c>
      <c r="I11" s="74">
        <f>SUMPRODUCT((Tableau6[[Code Réclamation  ]]="Showroom Yaounde")*(Tableau6[[Typologie ]]=$A11)*(Tableau6[[Catégories ]]=I$2))</f>
        <v>0</v>
      </c>
      <c r="J11" s="74">
        <f>SUMPRODUCT((Tableau6[Noms &amp; Prenoms]="Showroom Yaounde")*(Tableau6[[Code Réclamation  ]]=$A11)*(Tableau6[Types]=J$2))</f>
        <v>0</v>
      </c>
      <c r="K11" s="75">
        <f>SUMPRODUCT((Tableau6[[Typologie ]]="Showroom Bonamoussadi")*(Tableau6[Dates]=$A11)*(Tableau6[Requetes]=K$2))</f>
        <v>0</v>
      </c>
      <c r="L11" s="75">
        <f>SUMPRODUCT((Tableau6[[Code Réclamation  ]]="Showroom Bonamoussadi")*(Tableau6[[Typologie ]]=$A11)*(Tableau6[[Catégories ]]=L$2))</f>
        <v>0</v>
      </c>
      <c r="M11" s="75">
        <f>SUMPRODUCT((Tableau6[Noms &amp; Prenoms]="Showroom Bonamoussadi")*(Tableau6[[Code Réclamation  ]]=$A11)*(Tableau6[Types]=M$2))</f>
        <v>0</v>
      </c>
      <c r="N11" s="74">
        <f>SUMPRODUCT((Tableau6[[Typologie ]]="Showroom Bonanjo")*(Tableau6[Dates]=$A11)*(Tableau6[Requetes]=N$2))</f>
        <v>0</v>
      </c>
      <c r="O11" s="74">
        <f>SUMPRODUCT((Tableau6[Dates]=$A11)*(Tableau6[[Typologie ]]="Showroom Bonanjo")*(Tableau6[Requetes]=O$2))</f>
        <v>0</v>
      </c>
      <c r="P11" s="74">
        <f>SUMPRODUCT((Tableau6[Noms &amp; Prenoms]="Showroom Bonanjo")*(Tableau6[[Code Réclamation  ]]=$A11)*(Tableau6[Types]=P$2))</f>
        <v>0</v>
      </c>
      <c r="Q11" s="75">
        <f>SUMPRODUCT((Tableau6[[Typologie ]]="Showroom Garoua")*(Tableau6[Dates]=$A11)*(Tableau6[Requetes]=Q$2))</f>
        <v>0</v>
      </c>
      <c r="R11" s="75">
        <f>SUMPRODUCT((Tableau6[[Code Réclamation  ]]="Showroom Garoua")*(Tableau6[[Typologie ]]=$A11)*(Tableau6[[Catégories ]]=R$2))</f>
        <v>0</v>
      </c>
      <c r="S11" s="75">
        <f>SUMPRODUCT((Tableau6[Noms &amp; Prenoms]="Showroom Garoua")*(Tableau6[[Code Réclamation  ]]=$A11)*(Tableau6[Types]=S$2))</f>
        <v>0</v>
      </c>
      <c r="T11" s="74">
        <f>SUMPRODUCT((Tableau6[[Typologie ]]="Shop Bastos")*(Tableau6[Dates]=$A11)*(Tableau6[Requetes]=T$2))</f>
        <v>0</v>
      </c>
      <c r="U11" s="74">
        <f>SUMPRODUCT((Tableau6[[Code Réclamation  ]]="Shop Bastos")*(Tableau6[[Typologie ]]=$A11)*(Tableau6[[Catégories ]]=U$2))</f>
        <v>0</v>
      </c>
      <c r="V11" s="74">
        <f>SUMPRODUCT((Tableau6[Noms &amp; Prenoms]="Shop Bastos")*(Tableau6[[Code Réclamation  ]]=$A11)*(Tableau6[Types]=V$2))</f>
        <v>0</v>
      </c>
      <c r="W11" s="75">
        <f>SUMPRODUCT((Tableau6[[Typologie ]]="Shop Essos")*(Tableau6[Dates]=$A11)*(Tableau6[Requetes]=W$2))</f>
        <v>0</v>
      </c>
      <c r="X11" s="75">
        <f>SUMPRODUCT((Tableau6[[Code Réclamation  ]]="Shop Essos")*(Tableau6[[Typologie ]]=$A11)*(Tableau6[[Catégories ]]=X$2))</f>
        <v>0</v>
      </c>
      <c r="Y11" s="75">
        <f>SUMPRODUCT((Tableau6[Noms &amp; Prenoms]="Shop Essos")*(Tableau6[[Code Réclamation  ]]=$A11)*(Tableau6[Types]=Y$2))</f>
        <v>0</v>
      </c>
      <c r="Z11" s="74">
        <f>SUMPRODUCT((Tableau6[[Typologie ]]="Shop Peyrissac")*(Tableau6[Dates]=$A11)*(Tableau6[Requetes]=Z$2))</f>
        <v>0</v>
      </c>
      <c r="AA11" s="74">
        <f>SUMPRODUCT((Tableau6[[Code Réclamation  ]]="Shop Peyrissac")*(Tableau6[[Typologie ]]=$A11)*(Tableau6[[Catégories ]]=AA$2))</f>
        <v>0</v>
      </c>
      <c r="AB11" s="74">
        <f>SUMPRODUCT((Tableau6[Noms &amp; Prenoms]="Shop Peyrissac")*(Tableau6[[Code Réclamation  ]]=$A11)*(Tableau6[Types]=AB$2))</f>
        <v>0</v>
      </c>
      <c r="AC11" s="75">
        <f>SUMPRODUCT((Tableau6[Dates]=$A11)*(Tableau6[Requetes]=AC$2))</f>
        <v>0</v>
      </c>
      <c r="AD11" s="75">
        <f>SUMPRODUCT((Tableau6[[Code Réclamation  ]]="Back Office")*(Tableau6[[Typologie ]]=$A11)*(Tableau6[[Catégories ]]=AD$2))</f>
        <v>0</v>
      </c>
      <c r="AE11" s="75">
        <f>SUMPRODUCT((Tableau6[Noms &amp; Prenoms]="Back Office")*(Tableau6[[Code Réclamation  ]]=$A11)*(Tableau6[Types]=AE$2))</f>
        <v>0</v>
      </c>
      <c r="AF11" s="74">
        <f>SUMPRODUCT((Tableau6[[Typologie ]]="Front Office")*(Tableau6[Dates]=$A11)*(Tableau6[Requetes]=AF$2))</f>
        <v>0</v>
      </c>
      <c r="AG11" s="74">
        <f>SUMPRODUCT((Tableau6[[Code Réclamation  ]]="Front Office")*(Tableau6[[Typologie ]]=$A11)*(Tableau6[[Catégories ]]=AG$2))</f>
        <v>0</v>
      </c>
      <c r="AH11" s="74">
        <f>SUMPRODUCT((Tableau6[Noms &amp; Prenoms]="Front Office")*(Tableau6[[Code Réclamation  ]]=$A11)*(Tableau6[Types]=AH$2))</f>
        <v>0</v>
      </c>
      <c r="AI11" s="75">
        <f>SUMPRODUCT((Tableau6[[Typologie ]]="Direction Générale")*(Tableau6[Dates]=$A11)*(Tableau6[Requetes]=AI$2))</f>
        <v>0</v>
      </c>
      <c r="AJ11" s="75">
        <f>SUMPRODUCT((Tableau6[[Code Réclamation  ]]="Direction Générale")*(Tableau6[[Typologie ]]=$A11)*(Tableau6[[Catégories ]]=AJ$2))</f>
        <v>0</v>
      </c>
      <c r="AK11" s="75">
        <f>SUMPRODUCT((Tableau6[Noms &amp; Prenoms]="Direction Générale")*(Tableau6[[Code Réclamation  ]]=$A11)*(Tableau6[Types]=AK$2))</f>
        <v>0</v>
      </c>
    </row>
    <row r="12" spans="1:37">
      <c r="A12" s="73">
        <v>43110</v>
      </c>
      <c r="B12" s="74">
        <f>SUMPRODUCT((Tableau6[[Typologie ]]='Don''t delete'!B18)*(Tableau6[Dates]=$A12)*(Tableau6[Requetes]=B$2))</f>
        <v>0</v>
      </c>
      <c r="C12" s="74">
        <f>SUMPRODUCT((Tableau6[[Typologie ]]="Showroom Akwa")*(Tableau6[Dates]=$A12)*(Tableau6[Requetes]=C$2))</f>
        <v>0</v>
      </c>
      <c r="D12" s="74">
        <f>SUMPRODUCT((Tableau6[Dates]=$A12)*(Tableau6[[Typologie ]]="Showroom Akwa")*(Tableau6[Requetes]=D$2))</f>
        <v>5</v>
      </c>
      <c r="E12" s="75">
        <f>SUMPRODUCT((Tableau6[[Typologie ]]="Showroom Bafoussam")*(Tableau6[Dates]=$A12)*(Tableau6[Requetes]=E$2))</f>
        <v>0</v>
      </c>
      <c r="F12" s="75">
        <f>SUMPRODUCT((Tableau6[[Typologie ]]="Showroom Bafoussam")*(Tableau6[Dates]=$A12)*(Tableau6[Requetes]=F$2))</f>
        <v>0</v>
      </c>
      <c r="G12" s="75">
        <f>SUMPRODUCT((Tableau6[[Typologie ]]="Showroom Bafoussam")*(Tableau6[Dates]=$A12)*(Tableau6[Requetes]=G$2))</f>
        <v>1</v>
      </c>
      <c r="H12" s="74">
        <f>SUMPRODUCT((Tableau6[[Typologie ]]="Showroom Yaounde")*(Tableau6[Dates]=$A12)*(Tableau6[Requetes]=H$2))</f>
        <v>0</v>
      </c>
      <c r="I12" s="74">
        <f>SUMPRODUCT((Tableau6[[Code Réclamation  ]]="Showroom Yaounde")*(Tableau6[[Typologie ]]=$A12)*(Tableau6[[Catégories ]]=I$2))</f>
        <v>0</v>
      </c>
      <c r="J12" s="74">
        <f>SUMPRODUCT((Tableau6[Noms &amp; Prenoms]="Showroom Yaounde")*(Tableau6[[Code Réclamation  ]]=$A12)*(Tableau6[Types]=J$2))</f>
        <v>0</v>
      </c>
      <c r="K12" s="75">
        <f>SUMPRODUCT((Tableau6[[Typologie ]]="Showroom Bonamoussadi")*(Tableau6[Dates]=$A12)*(Tableau6[Requetes]=K$2))</f>
        <v>0</v>
      </c>
      <c r="L12" s="75">
        <f>SUMPRODUCT((Tableau6[[Code Réclamation  ]]="Showroom Bonamoussadi")*(Tableau6[[Typologie ]]=$A12)*(Tableau6[[Catégories ]]=L$2))</f>
        <v>0</v>
      </c>
      <c r="M12" s="75">
        <f>SUMPRODUCT((Tableau6[Noms &amp; Prenoms]="Showroom Bonamoussadi")*(Tableau6[[Code Réclamation  ]]=$A12)*(Tableau6[Types]=M$2))</f>
        <v>0</v>
      </c>
      <c r="N12" s="74">
        <f>SUMPRODUCT((Tableau6[[Typologie ]]="Showroom Bonanjo")*(Tableau6[Dates]=$A12)*(Tableau6[Requetes]=N$2))</f>
        <v>0</v>
      </c>
      <c r="O12" s="74">
        <f>SUMPRODUCT((Tableau6[Dates]=$A12)*(Tableau6[[Typologie ]]="Showroom Bonanjo")*(Tableau6[Requetes]=O$2))</f>
        <v>0</v>
      </c>
      <c r="P12" s="74">
        <f>SUMPRODUCT((Tableau6[Noms &amp; Prenoms]="Showroom Bonanjo")*(Tableau6[[Code Réclamation  ]]=$A12)*(Tableau6[Types]=P$2))</f>
        <v>0</v>
      </c>
      <c r="Q12" s="75">
        <f>SUMPRODUCT((Tableau6[[Typologie ]]="Showroom Garoua")*(Tableau6[Dates]=$A12)*(Tableau6[Requetes]=Q$2))</f>
        <v>0</v>
      </c>
      <c r="R12" s="75">
        <f>SUMPRODUCT((Tableau6[[Code Réclamation  ]]="Showroom Garoua")*(Tableau6[[Typologie ]]=$A12)*(Tableau6[[Catégories ]]=R$2))</f>
        <v>0</v>
      </c>
      <c r="S12" s="75">
        <f>SUMPRODUCT((Tableau6[Noms &amp; Prenoms]="Showroom Garoua")*(Tableau6[[Code Réclamation  ]]=$A12)*(Tableau6[Types]=S$2))</f>
        <v>0</v>
      </c>
      <c r="T12" s="74">
        <f>SUMPRODUCT((Tableau6[[Typologie ]]="Shop Bastos")*(Tableau6[Dates]=$A12)*(Tableau6[Requetes]=T$2))</f>
        <v>0</v>
      </c>
      <c r="U12" s="74">
        <f>SUMPRODUCT((Tableau6[[Code Réclamation  ]]="Shop Bastos")*(Tableau6[[Typologie ]]=$A12)*(Tableau6[[Catégories ]]=U$2))</f>
        <v>0</v>
      </c>
      <c r="V12" s="74">
        <f>SUMPRODUCT((Tableau6[Noms &amp; Prenoms]="Shop Bastos")*(Tableau6[[Code Réclamation  ]]=$A12)*(Tableau6[Types]=V$2))</f>
        <v>0</v>
      </c>
      <c r="W12" s="75">
        <f>SUMPRODUCT((Tableau6[[Typologie ]]="Shop Essos")*(Tableau6[Dates]=$A12)*(Tableau6[Requetes]=W$2))</f>
        <v>0</v>
      </c>
      <c r="X12" s="75">
        <f>SUMPRODUCT((Tableau6[[Code Réclamation  ]]="Shop Essos")*(Tableau6[[Typologie ]]=$A12)*(Tableau6[[Catégories ]]=X$2))</f>
        <v>0</v>
      </c>
      <c r="Y12" s="75">
        <f>SUMPRODUCT((Tableau6[Noms &amp; Prenoms]="Shop Essos")*(Tableau6[[Code Réclamation  ]]=$A12)*(Tableau6[Types]=Y$2))</f>
        <v>0</v>
      </c>
      <c r="Z12" s="74">
        <f>SUMPRODUCT((Tableau6[[Typologie ]]="Shop Peyrissac")*(Tableau6[Dates]=$A12)*(Tableau6[Requetes]=Z$2))</f>
        <v>0</v>
      </c>
      <c r="AA12" s="74">
        <f>SUMPRODUCT((Tableau6[[Code Réclamation  ]]="Shop Peyrissac")*(Tableau6[[Typologie ]]=$A12)*(Tableau6[[Catégories ]]=AA$2))</f>
        <v>0</v>
      </c>
      <c r="AB12" s="74">
        <f>SUMPRODUCT((Tableau6[Noms &amp; Prenoms]="Shop Peyrissac")*(Tableau6[[Code Réclamation  ]]=$A12)*(Tableau6[Types]=AB$2))</f>
        <v>0</v>
      </c>
      <c r="AC12" s="75">
        <f>SUMPRODUCT((Tableau6[Dates]=$A12)*(Tableau6[Requetes]=AC$2))</f>
        <v>0</v>
      </c>
      <c r="AD12" s="75">
        <f>SUMPRODUCT((Tableau6[[Code Réclamation  ]]="Back Office")*(Tableau6[[Typologie ]]=$A12)*(Tableau6[[Catégories ]]=AD$2))</f>
        <v>0</v>
      </c>
      <c r="AE12" s="75">
        <f>SUMPRODUCT((Tableau6[Noms &amp; Prenoms]="Back Office")*(Tableau6[[Code Réclamation  ]]=$A12)*(Tableau6[Types]=AE$2))</f>
        <v>0</v>
      </c>
      <c r="AF12" s="74">
        <f>SUMPRODUCT((Tableau6[[Typologie ]]="Front Office")*(Tableau6[Dates]=$A12)*(Tableau6[Requetes]=AF$2))</f>
        <v>0</v>
      </c>
      <c r="AG12" s="74">
        <f>SUMPRODUCT((Tableau6[[Code Réclamation  ]]="Front Office")*(Tableau6[[Typologie ]]=$A12)*(Tableau6[[Catégories ]]=AG$2))</f>
        <v>0</v>
      </c>
      <c r="AH12" s="74">
        <f>SUMPRODUCT((Tableau6[Noms &amp; Prenoms]="Front Office")*(Tableau6[[Code Réclamation  ]]=$A12)*(Tableau6[Types]=AH$2))</f>
        <v>0</v>
      </c>
      <c r="AI12" s="75">
        <f>SUMPRODUCT((Tableau6[[Typologie ]]="Direction Générale")*(Tableau6[Dates]=$A12)*(Tableau6[Requetes]=AI$2))</f>
        <v>0</v>
      </c>
      <c r="AJ12" s="75">
        <f>SUMPRODUCT((Tableau6[[Code Réclamation  ]]="Direction Générale")*(Tableau6[[Typologie ]]=$A12)*(Tableau6[[Catégories ]]=AJ$2))</f>
        <v>0</v>
      </c>
      <c r="AK12" s="75">
        <f>SUMPRODUCT((Tableau6[Noms &amp; Prenoms]="Direction Générale")*(Tableau6[[Code Réclamation  ]]=$A12)*(Tableau6[Types]=AK$2))</f>
        <v>0</v>
      </c>
    </row>
    <row r="13" spans="1:37">
      <c r="A13" s="73">
        <v>43111</v>
      </c>
      <c r="B13" s="74">
        <f>SUMPRODUCT((Tableau6[[Typologie ]]='Don''t delete'!B19)*(Tableau6[Dates]=$A13)*(Tableau6[Requetes]=B$2))</f>
        <v>0</v>
      </c>
      <c r="C13" s="74">
        <f>SUMPRODUCT((Tableau6[[Typologie ]]="Showroom Akwa")*(Tableau6[Dates]=$A13)*(Tableau6[Requetes]=C$2))</f>
        <v>0</v>
      </c>
      <c r="D13" s="74">
        <f>SUMPRODUCT((Tableau6[Dates]=$A13)*(Tableau6[[Typologie ]]="Showroom Akwa")*(Tableau6[Requetes]=D$2))</f>
        <v>0</v>
      </c>
      <c r="E13" s="75">
        <f>SUMPRODUCT((Tableau6[[Typologie ]]="Showroom Bafoussam")*(Tableau6[Dates]=$A13)*(Tableau6[Requetes]=E$2))</f>
        <v>0</v>
      </c>
      <c r="F13" s="75">
        <f>SUMPRODUCT((Tableau6[[Typologie ]]="Showroom Bafoussam")*(Tableau6[Dates]=$A13)*(Tableau6[Requetes]=F$2))</f>
        <v>0</v>
      </c>
      <c r="G13" s="75">
        <f>SUMPRODUCT((Tableau6[[Typologie ]]="Showroom Bafoussam")*(Tableau6[Dates]=$A13)*(Tableau6[Requetes]=G$2))</f>
        <v>0</v>
      </c>
      <c r="H13" s="74">
        <f>SUMPRODUCT((Tableau6[[Typologie ]]="Showroom Yaounde")*(Tableau6[Dates]=$A13)*(Tableau6[Requetes]=H$2))</f>
        <v>0</v>
      </c>
      <c r="I13" s="74">
        <f>SUMPRODUCT((Tableau6[[Code Réclamation  ]]="Showroom Yaounde")*(Tableau6[[Typologie ]]=$A13)*(Tableau6[[Catégories ]]=I$2))</f>
        <v>0</v>
      </c>
      <c r="J13" s="74">
        <f>SUMPRODUCT((Tableau6[Noms &amp; Prenoms]="Showroom Yaounde")*(Tableau6[[Code Réclamation  ]]=$A13)*(Tableau6[Types]=J$2))</f>
        <v>0</v>
      </c>
      <c r="K13" s="75">
        <f>SUMPRODUCT((Tableau6[[Typologie ]]="Showroom Bonamoussadi")*(Tableau6[Dates]=$A13)*(Tableau6[Requetes]=K$2))</f>
        <v>0</v>
      </c>
      <c r="L13" s="75">
        <f>SUMPRODUCT((Tableau6[[Code Réclamation  ]]="Showroom Bonamoussadi")*(Tableau6[[Typologie ]]=$A13)*(Tableau6[[Catégories ]]=L$2))</f>
        <v>0</v>
      </c>
      <c r="M13" s="75">
        <f>SUMPRODUCT((Tableau6[Noms &amp; Prenoms]="Showroom Bonamoussadi")*(Tableau6[[Code Réclamation  ]]=$A13)*(Tableau6[Types]=M$2))</f>
        <v>0</v>
      </c>
      <c r="N13" s="74">
        <f>SUMPRODUCT((Tableau6[[Typologie ]]="Showroom Bonanjo")*(Tableau6[Dates]=$A13)*(Tableau6[Requetes]=N$2))</f>
        <v>0</v>
      </c>
      <c r="O13" s="74">
        <f>SUMPRODUCT((Tableau6[Dates]=$A13)*(Tableau6[[Typologie ]]="Showroom Bonanjo")*(Tableau6[Requetes]=O$2))</f>
        <v>0</v>
      </c>
      <c r="P13" s="74">
        <f>SUMPRODUCT((Tableau6[Noms &amp; Prenoms]="Showroom Bonanjo")*(Tableau6[[Code Réclamation  ]]=$A13)*(Tableau6[Types]=P$2))</f>
        <v>0</v>
      </c>
      <c r="Q13" s="75">
        <f>SUMPRODUCT((Tableau6[[Typologie ]]="Showroom Garoua")*(Tableau6[Dates]=$A13)*(Tableau6[Requetes]=Q$2))</f>
        <v>0</v>
      </c>
      <c r="R13" s="75">
        <f>SUMPRODUCT((Tableau6[[Code Réclamation  ]]="Showroom Garoua")*(Tableau6[[Typologie ]]=$A13)*(Tableau6[[Catégories ]]=R$2))</f>
        <v>0</v>
      </c>
      <c r="S13" s="75">
        <f>SUMPRODUCT((Tableau6[Noms &amp; Prenoms]="Showroom Garoua")*(Tableau6[[Code Réclamation  ]]=$A13)*(Tableau6[Types]=S$2))</f>
        <v>0</v>
      </c>
      <c r="T13" s="74">
        <f>SUMPRODUCT((Tableau6[[Typologie ]]="Shop Bastos")*(Tableau6[Dates]=$A13)*(Tableau6[Requetes]=T$2))</f>
        <v>0</v>
      </c>
      <c r="U13" s="74">
        <f>SUMPRODUCT((Tableau6[[Code Réclamation  ]]="Shop Bastos")*(Tableau6[[Typologie ]]=$A13)*(Tableau6[[Catégories ]]=U$2))</f>
        <v>0</v>
      </c>
      <c r="V13" s="74">
        <f>SUMPRODUCT((Tableau6[Noms &amp; Prenoms]="Shop Bastos")*(Tableau6[[Code Réclamation  ]]=$A13)*(Tableau6[Types]=V$2))</f>
        <v>0</v>
      </c>
      <c r="W13" s="75">
        <f>SUMPRODUCT((Tableau6[[Typologie ]]="Shop Essos")*(Tableau6[Dates]=$A13)*(Tableau6[Requetes]=W$2))</f>
        <v>0</v>
      </c>
      <c r="X13" s="75">
        <f>SUMPRODUCT((Tableau6[[Code Réclamation  ]]="Shop Essos")*(Tableau6[[Typologie ]]=$A13)*(Tableau6[[Catégories ]]=X$2))</f>
        <v>0</v>
      </c>
      <c r="Y13" s="75">
        <f>SUMPRODUCT((Tableau6[Noms &amp; Prenoms]="Shop Essos")*(Tableau6[[Code Réclamation  ]]=$A13)*(Tableau6[Types]=Y$2))</f>
        <v>0</v>
      </c>
      <c r="Z13" s="74">
        <f>SUMPRODUCT((Tableau6[[Typologie ]]="Shop Peyrissac")*(Tableau6[Dates]=$A13)*(Tableau6[Requetes]=Z$2))</f>
        <v>0</v>
      </c>
      <c r="AA13" s="74">
        <f>SUMPRODUCT((Tableau6[[Code Réclamation  ]]="Shop Peyrissac")*(Tableau6[[Typologie ]]=$A13)*(Tableau6[[Catégories ]]=AA$2))</f>
        <v>0</v>
      </c>
      <c r="AB13" s="74">
        <f>SUMPRODUCT((Tableau6[Noms &amp; Prenoms]="Shop Peyrissac")*(Tableau6[[Code Réclamation  ]]=$A13)*(Tableau6[Types]=AB$2))</f>
        <v>0</v>
      </c>
      <c r="AC13" s="75">
        <f>SUMPRODUCT((Tableau6[Dates]=$A13)*(Tableau6[Requetes]=AC$2))</f>
        <v>0</v>
      </c>
      <c r="AD13" s="75">
        <f>SUMPRODUCT((Tableau6[[Code Réclamation  ]]="Back Office")*(Tableau6[[Typologie ]]=$A13)*(Tableau6[[Catégories ]]=AD$2))</f>
        <v>0</v>
      </c>
      <c r="AE13" s="75">
        <f>SUMPRODUCT((Tableau6[Noms &amp; Prenoms]="Back Office")*(Tableau6[[Code Réclamation  ]]=$A13)*(Tableau6[Types]=AE$2))</f>
        <v>0</v>
      </c>
      <c r="AF13" s="74">
        <f>SUMPRODUCT((Tableau6[[Typologie ]]="Front Office")*(Tableau6[Dates]=$A13)*(Tableau6[Requetes]=AF$2))</f>
        <v>0</v>
      </c>
      <c r="AG13" s="74">
        <f>SUMPRODUCT((Tableau6[[Code Réclamation  ]]="Front Office")*(Tableau6[[Typologie ]]=$A13)*(Tableau6[[Catégories ]]=AG$2))</f>
        <v>0</v>
      </c>
      <c r="AH13" s="74">
        <f>SUMPRODUCT((Tableau6[Noms &amp; Prenoms]="Front Office")*(Tableau6[[Code Réclamation  ]]=$A13)*(Tableau6[Types]=AH$2))</f>
        <v>0</v>
      </c>
      <c r="AI13" s="75">
        <f>SUMPRODUCT((Tableau6[[Typologie ]]="Direction Générale")*(Tableau6[Dates]=$A13)*(Tableau6[Requetes]=AI$2))</f>
        <v>0</v>
      </c>
      <c r="AJ13" s="75">
        <f>SUMPRODUCT((Tableau6[[Code Réclamation  ]]="Direction Générale")*(Tableau6[[Typologie ]]=$A13)*(Tableau6[[Catégories ]]=AJ$2))</f>
        <v>0</v>
      </c>
      <c r="AK13" s="75">
        <f>SUMPRODUCT((Tableau6[Noms &amp; Prenoms]="Direction Générale")*(Tableau6[[Code Réclamation  ]]=$A13)*(Tableau6[Types]=AK$2))</f>
        <v>0</v>
      </c>
    </row>
    <row r="14" spans="1:37">
      <c r="A14" s="73">
        <v>43112</v>
      </c>
      <c r="B14" s="74">
        <f>SUMPRODUCT((Tableau6[[Typologie ]]='Don''t delete'!B20)*(Tableau6[Dates]=$A14)*(Tableau6[Requetes]=B$2))</f>
        <v>0</v>
      </c>
      <c r="C14" s="74">
        <f>SUMPRODUCT((Tableau6[[Typologie ]]="Showroom Akwa")*(Tableau6[Dates]=$A14)*(Tableau6[Requetes]=C$2))</f>
        <v>0</v>
      </c>
      <c r="D14" s="74">
        <f>SUMPRODUCT((Tableau6[Dates]=$A14)*(Tableau6[[Typologie ]]="Showroom Akwa")*(Tableau6[Requetes]=D$2))</f>
        <v>0</v>
      </c>
      <c r="E14" s="75">
        <f>SUMPRODUCT((Tableau6[[Typologie ]]="Showroom Bafoussam")*(Tableau6[Dates]=$A14)*(Tableau6[Requetes]=E$2))</f>
        <v>0</v>
      </c>
      <c r="F14" s="75">
        <f>SUMPRODUCT((Tableau6[[Typologie ]]="Showroom Bafoussam")*(Tableau6[Dates]=$A14)*(Tableau6[Requetes]=F$2))</f>
        <v>0</v>
      </c>
      <c r="G14" s="75">
        <f>SUMPRODUCT((Tableau6[[Typologie ]]="Showroom Bafoussam")*(Tableau6[Dates]=$A14)*(Tableau6[Requetes]=G$2))</f>
        <v>0</v>
      </c>
      <c r="H14" s="74">
        <f>SUMPRODUCT((Tableau6[[Typologie ]]="Showroom Yaounde")*(Tableau6[Dates]=$A14)*(Tableau6[Requetes]=H$2))</f>
        <v>0</v>
      </c>
      <c r="I14" s="74">
        <f>SUMPRODUCT((Tableau6[[Code Réclamation  ]]="Showroom Yaounde")*(Tableau6[[Typologie ]]=$A14)*(Tableau6[[Catégories ]]=I$2))</f>
        <v>0</v>
      </c>
      <c r="J14" s="74">
        <f>SUMPRODUCT((Tableau6[Noms &amp; Prenoms]="Showroom Yaounde")*(Tableau6[[Code Réclamation  ]]=$A14)*(Tableau6[Types]=J$2))</f>
        <v>0</v>
      </c>
      <c r="K14" s="75">
        <f>SUMPRODUCT((Tableau6[[Typologie ]]="Showroom Bonamoussadi")*(Tableau6[Dates]=$A14)*(Tableau6[Requetes]=K$2))</f>
        <v>0</v>
      </c>
      <c r="L14" s="75">
        <f>SUMPRODUCT((Tableau6[[Code Réclamation  ]]="Showroom Bonamoussadi")*(Tableau6[[Typologie ]]=$A14)*(Tableau6[[Catégories ]]=L$2))</f>
        <v>0</v>
      </c>
      <c r="M14" s="75">
        <f>SUMPRODUCT((Tableau6[Noms &amp; Prenoms]="Showroom Bonamoussadi")*(Tableau6[[Code Réclamation  ]]=$A14)*(Tableau6[Types]=M$2))</f>
        <v>0</v>
      </c>
      <c r="N14" s="74">
        <f>SUMPRODUCT((Tableau6[[Typologie ]]="Showroom Bonanjo")*(Tableau6[Dates]=$A14)*(Tableau6[Requetes]=N$2))</f>
        <v>0</v>
      </c>
      <c r="O14" s="74">
        <f>SUMPRODUCT((Tableau6[Dates]=$A14)*(Tableau6[[Typologie ]]="Showroom Bonanjo")*(Tableau6[Requetes]=O$2))</f>
        <v>0</v>
      </c>
      <c r="P14" s="74">
        <f>SUMPRODUCT((Tableau6[Noms &amp; Prenoms]="Showroom Bonanjo")*(Tableau6[[Code Réclamation  ]]=$A14)*(Tableau6[Types]=P$2))</f>
        <v>0</v>
      </c>
      <c r="Q14" s="75">
        <f>SUMPRODUCT((Tableau6[[Typologie ]]="Showroom Garoua")*(Tableau6[Dates]=$A14)*(Tableau6[Requetes]=Q$2))</f>
        <v>0</v>
      </c>
      <c r="R14" s="75">
        <f>SUMPRODUCT((Tableau6[[Code Réclamation  ]]="Showroom Garoua")*(Tableau6[[Typologie ]]=$A14)*(Tableau6[[Catégories ]]=R$2))</f>
        <v>0</v>
      </c>
      <c r="S14" s="75">
        <f>SUMPRODUCT((Tableau6[Noms &amp; Prenoms]="Showroom Garoua")*(Tableau6[[Code Réclamation  ]]=$A14)*(Tableau6[Types]=S$2))</f>
        <v>0</v>
      </c>
      <c r="T14" s="74">
        <f>SUMPRODUCT((Tableau6[[Typologie ]]="Shop Bastos")*(Tableau6[Dates]=$A14)*(Tableau6[Requetes]=T$2))</f>
        <v>0</v>
      </c>
      <c r="U14" s="74">
        <f>SUMPRODUCT((Tableau6[[Code Réclamation  ]]="Shop Bastos")*(Tableau6[[Typologie ]]=$A14)*(Tableau6[[Catégories ]]=U$2))</f>
        <v>0</v>
      </c>
      <c r="V14" s="74">
        <f>SUMPRODUCT((Tableau6[Noms &amp; Prenoms]="Shop Bastos")*(Tableau6[[Code Réclamation  ]]=$A14)*(Tableau6[Types]=V$2))</f>
        <v>0</v>
      </c>
      <c r="W14" s="75">
        <f>SUMPRODUCT((Tableau6[[Typologie ]]="Shop Essos")*(Tableau6[Dates]=$A14)*(Tableau6[Requetes]=W$2))</f>
        <v>0</v>
      </c>
      <c r="X14" s="75">
        <f>SUMPRODUCT((Tableau6[[Code Réclamation  ]]="Shop Essos")*(Tableau6[[Typologie ]]=$A14)*(Tableau6[[Catégories ]]=X$2))</f>
        <v>0</v>
      </c>
      <c r="Y14" s="75">
        <f>SUMPRODUCT((Tableau6[Noms &amp; Prenoms]="Shop Essos")*(Tableau6[[Code Réclamation  ]]=$A14)*(Tableau6[Types]=Y$2))</f>
        <v>0</v>
      </c>
      <c r="Z14" s="74">
        <f>SUMPRODUCT((Tableau6[[Typologie ]]="Shop Peyrissac")*(Tableau6[Dates]=$A14)*(Tableau6[Requetes]=Z$2))</f>
        <v>0</v>
      </c>
      <c r="AA14" s="74">
        <f>SUMPRODUCT((Tableau6[[Code Réclamation  ]]="Shop Peyrissac")*(Tableau6[[Typologie ]]=$A14)*(Tableau6[[Catégories ]]=AA$2))</f>
        <v>0</v>
      </c>
      <c r="AB14" s="74">
        <f>SUMPRODUCT((Tableau6[Noms &amp; Prenoms]="Shop Peyrissac")*(Tableau6[[Code Réclamation  ]]=$A14)*(Tableau6[Types]=AB$2))</f>
        <v>0</v>
      </c>
      <c r="AC14" s="75">
        <f>SUMPRODUCT((Tableau6[Dates]=$A14)*(Tableau6[Requetes]=AC$2))</f>
        <v>0</v>
      </c>
      <c r="AD14" s="75">
        <f>SUMPRODUCT((Tableau6[[Code Réclamation  ]]="Back Office")*(Tableau6[[Typologie ]]=$A14)*(Tableau6[[Catégories ]]=AD$2))</f>
        <v>0</v>
      </c>
      <c r="AE14" s="75">
        <f>SUMPRODUCT((Tableau6[Noms &amp; Prenoms]="Back Office")*(Tableau6[[Code Réclamation  ]]=$A14)*(Tableau6[Types]=AE$2))</f>
        <v>0</v>
      </c>
      <c r="AF14" s="74">
        <f>SUMPRODUCT((Tableau6[[Typologie ]]="Front Office")*(Tableau6[Dates]=$A14)*(Tableau6[Requetes]=AF$2))</f>
        <v>0</v>
      </c>
      <c r="AG14" s="74">
        <f>SUMPRODUCT((Tableau6[[Code Réclamation  ]]="Front Office")*(Tableau6[[Typologie ]]=$A14)*(Tableau6[[Catégories ]]=AG$2))</f>
        <v>0</v>
      </c>
      <c r="AH14" s="74">
        <f>SUMPRODUCT((Tableau6[Noms &amp; Prenoms]="Front Office")*(Tableau6[[Code Réclamation  ]]=$A14)*(Tableau6[Types]=AH$2))</f>
        <v>0</v>
      </c>
      <c r="AI14" s="75">
        <f>SUMPRODUCT((Tableau6[[Typologie ]]="Direction Générale")*(Tableau6[Dates]=$A14)*(Tableau6[Requetes]=AI$2))</f>
        <v>0</v>
      </c>
      <c r="AJ14" s="75">
        <f>SUMPRODUCT((Tableau6[[Code Réclamation  ]]="Direction Générale")*(Tableau6[[Typologie ]]=$A14)*(Tableau6[[Catégories ]]=AJ$2))</f>
        <v>0</v>
      </c>
      <c r="AK14" s="75">
        <f>SUMPRODUCT((Tableau6[Noms &amp; Prenoms]="Direction Générale")*(Tableau6[[Code Réclamation  ]]=$A14)*(Tableau6[Types]=AK$2))</f>
        <v>0</v>
      </c>
    </row>
    <row r="15" spans="1:37">
      <c r="A15" s="73">
        <v>43113</v>
      </c>
      <c r="B15" s="74">
        <f>SUMPRODUCT((Tableau6[[Typologie ]]='Don''t delete'!B21)*(Tableau6[Dates]=$A15)*(Tableau6[Requetes]=B$2))</f>
        <v>0</v>
      </c>
      <c r="C15" s="74">
        <f>SUMPRODUCT((Tableau6[[Typologie ]]="Showroom Akwa")*(Tableau6[Dates]=$A15)*(Tableau6[Requetes]=C$2))</f>
        <v>0</v>
      </c>
      <c r="D15" s="74">
        <f>SUMPRODUCT((Tableau6[Dates]=$A15)*(Tableau6[[Typologie ]]="Showroom Akwa")*(Tableau6[Requetes]=D$2))</f>
        <v>0</v>
      </c>
      <c r="E15" s="75">
        <f>SUMPRODUCT((Tableau6[[Typologie ]]="Showroom Bafoussam")*(Tableau6[Dates]=$A15)*(Tableau6[Requetes]=E$2))</f>
        <v>0</v>
      </c>
      <c r="F15" s="75">
        <f>SUMPRODUCT((Tableau6[[Typologie ]]="Showroom Bafoussam")*(Tableau6[Dates]=$A15)*(Tableau6[Requetes]=F$2))</f>
        <v>0</v>
      </c>
      <c r="G15" s="75">
        <f>SUMPRODUCT((Tableau6[[Typologie ]]="Showroom Bafoussam")*(Tableau6[Dates]=$A15)*(Tableau6[Requetes]=G$2))</f>
        <v>0</v>
      </c>
      <c r="H15" s="74">
        <f>SUMPRODUCT((Tableau6[[Typologie ]]="Showroom Yaounde")*(Tableau6[Dates]=$A15)*(Tableau6[Requetes]=H$2))</f>
        <v>0</v>
      </c>
      <c r="I15" s="74">
        <f>SUMPRODUCT((Tableau6[[Code Réclamation  ]]="Showroom Yaounde")*(Tableau6[[Typologie ]]=$A15)*(Tableau6[[Catégories ]]=I$2))</f>
        <v>0</v>
      </c>
      <c r="J15" s="74">
        <f>SUMPRODUCT((Tableau6[Noms &amp; Prenoms]="Showroom Yaounde")*(Tableau6[[Code Réclamation  ]]=$A15)*(Tableau6[Types]=J$2))</f>
        <v>0</v>
      </c>
      <c r="K15" s="75">
        <f>SUMPRODUCT((Tableau6[[Typologie ]]="Showroom Bonamoussadi")*(Tableau6[Dates]=$A15)*(Tableau6[Requetes]=K$2))</f>
        <v>0</v>
      </c>
      <c r="L15" s="75">
        <f>SUMPRODUCT((Tableau6[[Code Réclamation  ]]="Showroom Bonamoussadi")*(Tableau6[[Typologie ]]=$A15)*(Tableau6[[Catégories ]]=L$2))</f>
        <v>0</v>
      </c>
      <c r="M15" s="75">
        <f>SUMPRODUCT((Tableau6[Noms &amp; Prenoms]="Showroom Bonamoussadi")*(Tableau6[[Code Réclamation  ]]=$A15)*(Tableau6[Types]=M$2))</f>
        <v>0</v>
      </c>
      <c r="N15" s="74">
        <f>SUMPRODUCT((Tableau6[[Typologie ]]="Showroom Bonanjo")*(Tableau6[Dates]=$A15)*(Tableau6[Requetes]=N$2))</f>
        <v>0</v>
      </c>
      <c r="O15" s="74">
        <f>SUMPRODUCT((Tableau6[Dates]=$A15)*(Tableau6[[Typologie ]]="Showroom Bonanjo")*(Tableau6[Requetes]=O$2))</f>
        <v>0</v>
      </c>
      <c r="P15" s="74">
        <f>SUMPRODUCT((Tableau6[Noms &amp; Prenoms]="Showroom Bonanjo")*(Tableau6[[Code Réclamation  ]]=$A15)*(Tableau6[Types]=P$2))</f>
        <v>0</v>
      </c>
      <c r="Q15" s="75">
        <f>SUMPRODUCT((Tableau6[[Typologie ]]="Showroom Garoua")*(Tableau6[Dates]=$A15)*(Tableau6[Requetes]=Q$2))</f>
        <v>0</v>
      </c>
      <c r="R15" s="75">
        <f>SUMPRODUCT((Tableau6[[Code Réclamation  ]]="Showroom Garoua")*(Tableau6[[Typologie ]]=$A15)*(Tableau6[[Catégories ]]=R$2))</f>
        <v>0</v>
      </c>
      <c r="S15" s="75">
        <f>SUMPRODUCT((Tableau6[Noms &amp; Prenoms]="Showroom Garoua")*(Tableau6[[Code Réclamation  ]]=$A15)*(Tableau6[Types]=S$2))</f>
        <v>0</v>
      </c>
      <c r="T15" s="74">
        <f>SUMPRODUCT((Tableau6[[Typologie ]]="Shop Bastos")*(Tableau6[Dates]=$A15)*(Tableau6[Requetes]=T$2))</f>
        <v>0</v>
      </c>
      <c r="U15" s="74">
        <f>SUMPRODUCT((Tableau6[[Code Réclamation  ]]="Shop Bastos")*(Tableau6[[Typologie ]]=$A15)*(Tableau6[[Catégories ]]=U$2))</f>
        <v>0</v>
      </c>
      <c r="V15" s="74">
        <f>SUMPRODUCT((Tableau6[Noms &amp; Prenoms]="Shop Bastos")*(Tableau6[[Code Réclamation  ]]=$A15)*(Tableau6[Types]=V$2))</f>
        <v>0</v>
      </c>
      <c r="W15" s="75">
        <f>SUMPRODUCT((Tableau6[[Typologie ]]="Shop Essos")*(Tableau6[Dates]=$A15)*(Tableau6[Requetes]=W$2))</f>
        <v>0</v>
      </c>
      <c r="X15" s="75">
        <f>SUMPRODUCT((Tableau6[[Code Réclamation  ]]="Shop Essos")*(Tableau6[[Typologie ]]=$A15)*(Tableau6[[Catégories ]]=X$2))</f>
        <v>0</v>
      </c>
      <c r="Y15" s="75">
        <f>SUMPRODUCT((Tableau6[Noms &amp; Prenoms]="Shop Essos")*(Tableau6[[Code Réclamation  ]]=$A15)*(Tableau6[Types]=Y$2))</f>
        <v>0</v>
      </c>
      <c r="Z15" s="74">
        <f>SUMPRODUCT((Tableau6[[Typologie ]]="Shop Peyrissac")*(Tableau6[Dates]=$A15)*(Tableau6[Requetes]=Z$2))</f>
        <v>0</v>
      </c>
      <c r="AA15" s="74">
        <f>SUMPRODUCT((Tableau6[[Code Réclamation  ]]="Shop Peyrissac")*(Tableau6[[Typologie ]]=$A15)*(Tableau6[[Catégories ]]=AA$2))</f>
        <v>0</v>
      </c>
      <c r="AB15" s="74">
        <f>SUMPRODUCT((Tableau6[Noms &amp; Prenoms]="Shop Peyrissac")*(Tableau6[[Code Réclamation  ]]=$A15)*(Tableau6[Types]=AB$2))</f>
        <v>0</v>
      </c>
      <c r="AC15" s="75">
        <f>SUMPRODUCT((Tableau6[Dates]=$A15)*(Tableau6[Requetes]=AC$2))</f>
        <v>0</v>
      </c>
      <c r="AD15" s="75">
        <f>SUMPRODUCT((Tableau6[[Code Réclamation  ]]="Back Office")*(Tableau6[[Typologie ]]=$A15)*(Tableau6[[Catégories ]]=AD$2))</f>
        <v>0</v>
      </c>
      <c r="AE15" s="75">
        <f>SUMPRODUCT((Tableau6[Noms &amp; Prenoms]="Back Office")*(Tableau6[[Code Réclamation  ]]=$A15)*(Tableau6[Types]=AE$2))</f>
        <v>0</v>
      </c>
      <c r="AF15" s="74">
        <f>SUMPRODUCT((Tableau6[[Typologie ]]="Front Office")*(Tableau6[Dates]=$A15)*(Tableau6[Requetes]=AF$2))</f>
        <v>0</v>
      </c>
      <c r="AG15" s="74">
        <f>SUMPRODUCT((Tableau6[[Code Réclamation  ]]="Front Office")*(Tableau6[[Typologie ]]=$A15)*(Tableau6[[Catégories ]]=AG$2))</f>
        <v>0</v>
      </c>
      <c r="AH15" s="74">
        <f>SUMPRODUCT((Tableau6[Noms &amp; Prenoms]="Front Office")*(Tableau6[[Code Réclamation  ]]=$A15)*(Tableau6[Types]=AH$2))</f>
        <v>0</v>
      </c>
      <c r="AI15" s="75">
        <f>SUMPRODUCT((Tableau6[[Typologie ]]="Direction Générale")*(Tableau6[Dates]=$A15)*(Tableau6[Requetes]=AI$2))</f>
        <v>0</v>
      </c>
      <c r="AJ15" s="75">
        <f>SUMPRODUCT((Tableau6[[Code Réclamation  ]]="Direction Générale")*(Tableau6[[Typologie ]]=$A15)*(Tableau6[[Catégories ]]=AJ$2))</f>
        <v>0</v>
      </c>
      <c r="AK15" s="75">
        <f>SUMPRODUCT((Tableau6[Noms &amp; Prenoms]="Direction Générale")*(Tableau6[[Code Réclamation  ]]=$A15)*(Tableau6[Types]=AK$2))</f>
        <v>0</v>
      </c>
    </row>
    <row r="16" spans="1:37">
      <c r="A16" s="73">
        <v>43114</v>
      </c>
      <c r="B16" s="74">
        <f>SUMPRODUCT((Tableau6[[Typologie ]]='Don''t delete'!B22)*(Tableau6[Dates]=$A16)*(Tableau6[Requetes]=B$2))</f>
        <v>0</v>
      </c>
      <c r="C16" s="74">
        <f>SUMPRODUCT((Tableau6[[Typologie ]]="Showroom Akwa")*(Tableau6[Dates]=$A16)*(Tableau6[Requetes]=C$2))</f>
        <v>0</v>
      </c>
      <c r="D16" s="74">
        <f>SUMPRODUCT((Tableau6[Dates]=$A16)*(Tableau6[[Typologie ]]="Showroom Akwa")*(Tableau6[Requetes]=D$2))</f>
        <v>0</v>
      </c>
      <c r="E16" s="75">
        <f>SUMPRODUCT((Tableau6[[Typologie ]]="Showroom Bafoussam")*(Tableau6[Dates]=$A16)*(Tableau6[Requetes]=E$2))</f>
        <v>0</v>
      </c>
      <c r="F16" s="75">
        <f>SUMPRODUCT((Tableau6[[Typologie ]]="Showroom Bafoussam")*(Tableau6[Dates]=$A16)*(Tableau6[Requetes]=F$2))</f>
        <v>0</v>
      </c>
      <c r="G16" s="75">
        <f>SUMPRODUCT((Tableau6[[Typologie ]]="Showroom Bafoussam")*(Tableau6[Dates]=$A16)*(Tableau6[Requetes]=G$2))</f>
        <v>0</v>
      </c>
      <c r="H16" s="74">
        <f>SUMPRODUCT((Tableau6[[Typologie ]]="Showroom Yaounde")*(Tableau6[Dates]=$A16)*(Tableau6[Requetes]=H$2))</f>
        <v>0</v>
      </c>
      <c r="I16" s="74">
        <f>SUMPRODUCT((Tableau6[[Code Réclamation  ]]="Showroom Yaounde")*(Tableau6[[Typologie ]]=$A16)*(Tableau6[[Catégories ]]=I$2))</f>
        <v>0</v>
      </c>
      <c r="J16" s="74">
        <f>SUMPRODUCT((Tableau6[Noms &amp; Prenoms]="Showroom Yaounde")*(Tableau6[[Code Réclamation  ]]=$A16)*(Tableau6[Types]=J$2))</f>
        <v>0</v>
      </c>
      <c r="K16" s="75">
        <f>SUMPRODUCT((Tableau6[[Typologie ]]="Showroom Bonamoussadi")*(Tableau6[Dates]=$A16)*(Tableau6[Requetes]=K$2))</f>
        <v>0</v>
      </c>
      <c r="L16" s="75">
        <f>SUMPRODUCT((Tableau6[[Code Réclamation  ]]="Showroom Bonamoussadi")*(Tableau6[[Typologie ]]=$A16)*(Tableau6[[Catégories ]]=L$2))</f>
        <v>0</v>
      </c>
      <c r="M16" s="75">
        <f>SUMPRODUCT((Tableau6[Noms &amp; Prenoms]="Showroom Bonamoussadi")*(Tableau6[[Code Réclamation  ]]=$A16)*(Tableau6[Types]=M$2))</f>
        <v>0</v>
      </c>
      <c r="N16" s="74">
        <f>SUMPRODUCT((Tableau6[[Typologie ]]="Showroom Bonanjo")*(Tableau6[Dates]=$A16)*(Tableau6[Requetes]=N$2))</f>
        <v>0</v>
      </c>
      <c r="O16" s="74">
        <f>SUMPRODUCT((Tableau6[Dates]=$A16)*(Tableau6[[Typologie ]]="Showroom Bonanjo")*(Tableau6[Requetes]=O$2))</f>
        <v>0</v>
      </c>
      <c r="P16" s="74">
        <f>SUMPRODUCT((Tableau6[Noms &amp; Prenoms]="Showroom Bonanjo")*(Tableau6[[Code Réclamation  ]]=$A16)*(Tableau6[Types]=P$2))</f>
        <v>0</v>
      </c>
      <c r="Q16" s="75">
        <f>SUMPRODUCT((Tableau6[[Typologie ]]="Showroom Garoua")*(Tableau6[Dates]=$A16)*(Tableau6[Requetes]=Q$2))</f>
        <v>0</v>
      </c>
      <c r="R16" s="75">
        <f>SUMPRODUCT((Tableau6[[Code Réclamation  ]]="Showroom Garoua")*(Tableau6[[Typologie ]]=$A16)*(Tableau6[[Catégories ]]=R$2))</f>
        <v>0</v>
      </c>
      <c r="S16" s="75">
        <f>SUMPRODUCT((Tableau6[Noms &amp; Prenoms]="Showroom Garoua")*(Tableau6[[Code Réclamation  ]]=$A16)*(Tableau6[Types]=S$2))</f>
        <v>0</v>
      </c>
      <c r="T16" s="74">
        <f>SUMPRODUCT((Tableau6[[Typologie ]]="Shop Bastos")*(Tableau6[Dates]=$A16)*(Tableau6[Requetes]=T$2))</f>
        <v>0</v>
      </c>
      <c r="U16" s="74">
        <f>SUMPRODUCT((Tableau6[[Code Réclamation  ]]="Shop Bastos")*(Tableau6[[Typologie ]]=$A16)*(Tableau6[[Catégories ]]=U$2))</f>
        <v>0</v>
      </c>
      <c r="V16" s="74">
        <f>SUMPRODUCT((Tableau6[Noms &amp; Prenoms]="Shop Bastos")*(Tableau6[[Code Réclamation  ]]=$A16)*(Tableau6[Types]=V$2))</f>
        <v>0</v>
      </c>
      <c r="W16" s="75">
        <f>SUMPRODUCT((Tableau6[[Typologie ]]="Shop Essos")*(Tableau6[Dates]=$A16)*(Tableau6[Requetes]=W$2))</f>
        <v>0</v>
      </c>
      <c r="X16" s="75">
        <f>SUMPRODUCT((Tableau6[[Code Réclamation  ]]="Shop Essos")*(Tableau6[[Typologie ]]=$A16)*(Tableau6[[Catégories ]]=X$2))</f>
        <v>0</v>
      </c>
      <c r="Y16" s="75">
        <f>SUMPRODUCT((Tableau6[Noms &amp; Prenoms]="Shop Essos")*(Tableau6[[Code Réclamation  ]]=$A16)*(Tableau6[Types]=Y$2))</f>
        <v>0</v>
      </c>
      <c r="Z16" s="74">
        <f>SUMPRODUCT((Tableau6[[Typologie ]]="Shop Peyrissac")*(Tableau6[Dates]=$A16)*(Tableau6[Requetes]=Z$2))</f>
        <v>0</v>
      </c>
      <c r="AA16" s="74">
        <f>SUMPRODUCT((Tableau6[[Code Réclamation  ]]="Shop Peyrissac")*(Tableau6[[Typologie ]]=$A16)*(Tableau6[[Catégories ]]=AA$2))</f>
        <v>0</v>
      </c>
      <c r="AB16" s="74">
        <f>SUMPRODUCT((Tableau6[Noms &amp; Prenoms]="Shop Peyrissac")*(Tableau6[[Code Réclamation  ]]=$A16)*(Tableau6[Types]=AB$2))</f>
        <v>0</v>
      </c>
      <c r="AC16" s="75">
        <f>SUMPRODUCT((Tableau6[Dates]=$A16)*(Tableau6[Requetes]=AC$2))</f>
        <v>0</v>
      </c>
      <c r="AD16" s="75">
        <f>SUMPRODUCT((Tableau6[[Code Réclamation  ]]="Back Office")*(Tableau6[[Typologie ]]=$A16)*(Tableau6[[Catégories ]]=AD$2))</f>
        <v>0</v>
      </c>
      <c r="AE16" s="75">
        <f>SUMPRODUCT((Tableau6[Noms &amp; Prenoms]="Back Office")*(Tableau6[[Code Réclamation  ]]=$A16)*(Tableau6[Types]=AE$2))</f>
        <v>0</v>
      </c>
      <c r="AF16" s="74">
        <f>SUMPRODUCT((Tableau6[[Typologie ]]="Front Office")*(Tableau6[Dates]=$A16)*(Tableau6[Requetes]=AF$2))</f>
        <v>0</v>
      </c>
      <c r="AG16" s="74">
        <f>SUMPRODUCT((Tableau6[[Code Réclamation  ]]="Front Office")*(Tableau6[[Typologie ]]=$A16)*(Tableau6[[Catégories ]]=AG$2))</f>
        <v>0</v>
      </c>
      <c r="AH16" s="74">
        <f>SUMPRODUCT((Tableau6[Noms &amp; Prenoms]="Front Office")*(Tableau6[[Code Réclamation  ]]=$A16)*(Tableau6[Types]=AH$2))</f>
        <v>0</v>
      </c>
      <c r="AI16" s="75">
        <f>SUMPRODUCT((Tableau6[[Typologie ]]="Direction Générale")*(Tableau6[Dates]=$A16)*(Tableau6[Requetes]=AI$2))</f>
        <v>0</v>
      </c>
      <c r="AJ16" s="75">
        <f>SUMPRODUCT((Tableau6[[Code Réclamation  ]]="Direction Générale")*(Tableau6[[Typologie ]]=$A16)*(Tableau6[[Catégories ]]=AJ$2))</f>
        <v>0</v>
      </c>
      <c r="AK16" s="75">
        <f>SUMPRODUCT((Tableau6[Noms &amp; Prenoms]="Direction Générale")*(Tableau6[[Code Réclamation  ]]=$A16)*(Tableau6[Types]=AK$2))</f>
        <v>0</v>
      </c>
    </row>
    <row r="17" spans="1:37">
      <c r="A17" s="73">
        <v>43115</v>
      </c>
      <c r="B17" s="74">
        <f>SUMPRODUCT((Tableau6[[Typologie ]]='Don''t delete'!B23)*(Tableau6[Dates]=$A17)*(Tableau6[Requetes]=B$2))</f>
        <v>0</v>
      </c>
      <c r="C17" s="74">
        <f>SUMPRODUCT((Tableau6[[Typologie ]]="Showroom Akwa")*(Tableau6[Dates]=$A17)*(Tableau6[Requetes]=C$2))</f>
        <v>0</v>
      </c>
      <c r="D17" s="74">
        <f>SUMPRODUCT((Tableau6[Dates]=$A17)*(Tableau6[[Typologie ]]="Showroom Akwa")*(Tableau6[Requetes]=D$2))</f>
        <v>0</v>
      </c>
      <c r="E17" s="75">
        <f>SUMPRODUCT((Tableau6[[Typologie ]]="Showroom Bafoussam")*(Tableau6[Dates]=$A17)*(Tableau6[Requetes]=E$2))</f>
        <v>0</v>
      </c>
      <c r="F17" s="75">
        <f>SUMPRODUCT((Tableau6[[Typologie ]]="Showroom Bafoussam")*(Tableau6[Dates]=$A17)*(Tableau6[Requetes]=F$2))</f>
        <v>0</v>
      </c>
      <c r="G17" s="75">
        <f>SUMPRODUCT((Tableau6[[Typologie ]]="Showroom Bafoussam")*(Tableau6[Dates]=$A17)*(Tableau6[Requetes]=G$2))</f>
        <v>0</v>
      </c>
      <c r="H17" s="74">
        <f>SUMPRODUCT((Tableau6[[Typologie ]]="Showroom Yaounde")*(Tableau6[Dates]=$A17)*(Tableau6[Requetes]=H$2))</f>
        <v>0</v>
      </c>
      <c r="I17" s="74">
        <f>SUMPRODUCT((Tableau6[[Code Réclamation  ]]="Showroom Yaounde")*(Tableau6[[Typologie ]]=$A17)*(Tableau6[[Catégories ]]=I$2))</f>
        <v>0</v>
      </c>
      <c r="J17" s="74">
        <f>SUMPRODUCT((Tableau6[Noms &amp; Prenoms]="Showroom Yaounde")*(Tableau6[[Code Réclamation  ]]=$A17)*(Tableau6[Types]=J$2))</f>
        <v>0</v>
      </c>
      <c r="K17" s="75">
        <f>SUMPRODUCT((Tableau6[[Typologie ]]="Showroom Bonamoussadi")*(Tableau6[Dates]=$A17)*(Tableau6[Requetes]=K$2))</f>
        <v>0</v>
      </c>
      <c r="L17" s="75">
        <f>SUMPRODUCT((Tableau6[[Code Réclamation  ]]="Showroom Bonamoussadi")*(Tableau6[[Typologie ]]=$A17)*(Tableau6[[Catégories ]]=L$2))</f>
        <v>0</v>
      </c>
      <c r="M17" s="75">
        <f>SUMPRODUCT((Tableau6[Noms &amp; Prenoms]="Showroom Bonamoussadi")*(Tableau6[[Code Réclamation  ]]=$A17)*(Tableau6[Types]=M$2))</f>
        <v>0</v>
      </c>
      <c r="N17" s="74">
        <f>SUMPRODUCT((Tableau6[[Typologie ]]="Showroom Bonanjo")*(Tableau6[Dates]=$A17)*(Tableau6[Requetes]=N$2))</f>
        <v>0</v>
      </c>
      <c r="O17" s="74">
        <f>SUMPRODUCT((Tableau6[Dates]=$A17)*(Tableau6[[Typologie ]]="Showroom Bonanjo")*(Tableau6[Requetes]=O$2))</f>
        <v>0</v>
      </c>
      <c r="P17" s="74">
        <f>SUMPRODUCT((Tableau6[Noms &amp; Prenoms]="Showroom Bonanjo")*(Tableau6[[Code Réclamation  ]]=$A17)*(Tableau6[Types]=P$2))</f>
        <v>0</v>
      </c>
      <c r="Q17" s="75">
        <f>SUMPRODUCT((Tableau6[[Typologie ]]="Showroom Garoua")*(Tableau6[Dates]=$A17)*(Tableau6[Requetes]=Q$2))</f>
        <v>0</v>
      </c>
      <c r="R17" s="75">
        <f>SUMPRODUCT((Tableau6[[Code Réclamation  ]]="Showroom Garoua")*(Tableau6[[Typologie ]]=$A17)*(Tableau6[[Catégories ]]=R$2))</f>
        <v>0</v>
      </c>
      <c r="S17" s="75">
        <f>SUMPRODUCT((Tableau6[Noms &amp; Prenoms]="Showroom Garoua")*(Tableau6[[Code Réclamation  ]]=$A17)*(Tableau6[Types]=S$2))</f>
        <v>0</v>
      </c>
      <c r="T17" s="74">
        <f>SUMPRODUCT((Tableau6[[Typologie ]]="Shop Bastos")*(Tableau6[Dates]=$A17)*(Tableau6[Requetes]=T$2))</f>
        <v>0</v>
      </c>
      <c r="U17" s="74">
        <f>SUMPRODUCT((Tableau6[[Code Réclamation  ]]="Shop Bastos")*(Tableau6[[Typologie ]]=$A17)*(Tableau6[[Catégories ]]=U$2))</f>
        <v>0</v>
      </c>
      <c r="V17" s="74">
        <f>SUMPRODUCT((Tableau6[Noms &amp; Prenoms]="Shop Bastos")*(Tableau6[[Code Réclamation  ]]=$A17)*(Tableau6[Types]=V$2))</f>
        <v>0</v>
      </c>
      <c r="W17" s="75">
        <f>SUMPRODUCT((Tableau6[[Typologie ]]="Shop Essos")*(Tableau6[Dates]=$A17)*(Tableau6[Requetes]=W$2))</f>
        <v>0</v>
      </c>
      <c r="X17" s="75">
        <f>SUMPRODUCT((Tableau6[[Code Réclamation  ]]="Shop Essos")*(Tableau6[[Typologie ]]=$A17)*(Tableau6[[Catégories ]]=X$2))</f>
        <v>0</v>
      </c>
      <c r="Y17" s="75">
        <f>SUMPRODUCT((Tableau6[Noms &amp; Prenoms]="Shop Essos")*(Tableau6[[Code Réclamation  ]]=$A17)*(Tableau6[Types]=Y$2))</f>
        <v>0</v>
      </c>
      <c r="Z17" s="74">
        <f>SUMPRODUCT((Tableau6[[Typologie ]]="Shop Peyrissac")*(Tableau6[Dates]=$A17)*(Tableau6[Requetes]=Z$2))</f>
        <v>0</v>
      </c>
      <c r="AA17" s="74">
        <f>SUMPRODUCT((Tableau6[[Code Réclamation  ]]="Shop Peyrissac")*(Tableau6[[Typologie ]]=$A17)*(Tableau6[[Catégories ]]=AA$2))</f>
        <v>0</v>
      </c>
      <c r="AB17" s="74">
        <f>SUMPRODUCT((Tableau6[Noms &amp; Prenoms]="Shop Peyrissac")*(Tableau6[[Code Réclamation  ]]=$A17)*(Tableau6[Types]=AB$2))</f>
        <v>0</v>
      </c>
      <c r="AC17" s="75">
        <f>SUMPRODUCT((Tableau6[Dates]=$A17)*(Tableau6[Requetes]=AC$2))</f>
        <v>0</v>
      </c>
      <c r="AD17" s="75">
        <f>SUMPRODUCT((Tableau6[[Code Réclamation  ]]="Back Office")*(Tableau6[[Typologie ]]=$A17)*(Tableau6[[Catégories ]]=AD$2))</f>
        <v>0</v>
      </c>
      <c r="AE17" s="75">
        <f>SUMPRODUCT((Tableau6[Noms &amp; Prenoms]="Back Office")*(Tableau6[[Code Réclamation  ]]=$A17)*(Tableau6[Types]=AE$2))</f>
        <v>0</v>
      </c>
      <c r="AF17" s="74">
        <f>SUMPRODUCT((Tableau6[[Typologie ]]="Front Office")*(Tableau6[Dates]=$A17)*(Tableau6[Requetes]=AF$2))</f>
        <v>0</v>
      </c>
      <c r="AG17" s="74">
        <f>SUMPRODUCT((Tableau6[[Code Réclamation  ]]="Front Office")*(Tableau6[[Typologie ]]=$A17)*(Tableau6[[Catégories ]]=AG$2))</f>
        <v>0</v>
      </c>
      <c r="AH17" s="74">
        <f>SUMPRODUCT((Tableau6[Noms &amp; Prenoms]="Front Office")*(Tableau6[[Code Réclamation  ]]=$A17)*(Tableau6[Types]=AH$2))</f>
        <v>0</v>
      </c>
      <c r="AI17" s="75">
        <f>SUMPRODUCT((Tableau6[[Typologie ]]="Direction Générale")*(Tableau6[Dates]=$A17)*(Tableau6[Requetes]=AI$2))</f>
        <v>0</v>
      </c>
      <c r="AJ17" s="75">
        <f>SUMPRODUCT((Tableau6[[Code Réclamation  ]]="Direction Générale")*(Tableau6[[Typologie ]]=$A17)*(Tableau6[[Catégories ]]=AJ$2))</f>
        <v>0</v>
      </c>
      <c r="AK17" s="75">
        <f>SUMPRODUCT((Tableau6[Noms &amp; Prenoms]="Direction Générale")*(Tableau6[[Code Réclamation  ]]=$A17)*(Tableau6[Types]=AK$2))</f>
        <v>0</v>
      </c>
    </row>
    <row r="18" spans="1:37">
      <c r="A18" s="73">
        <v>43116</v>
      </c>
      <c r="B18" s="74">
        <f>SUMPRODUCT((Tableau6[[Typologie ]]='Don''t delete'!B24)*(Tableau6[Dates]=$A18)*(Tableau6[Requetes]=B$2))</f>
        <v>0</v>
      </c>
      <c r="C18" s="74">
        <f>SUMPRODUCT((Tableau6[[Typologie ]]="Showroom Akwa")*(Tableau6[Dates]=$A18)*(Tableau6[Requetes]=C$2))</f>
        <v>0</v>
      </c>
      <c r="D18" s="74">
        <f>SUMPRODUCT((Tableau6[Dates]=$A18)*(Tableau6[[Typologie ]]="Showroom Akwa")*(Tableau6[Requetes]=D$2))</f>
        <v>1</v>
      </c>
      <c r="E18" s="75">
        <f>SUMPRODUCT((Tableau6[[Typologie ]]="Showroom Bafoussam")*(Tableau6[Dates]=$A18)*(Tableau6[Requetes]=E$2))</f>
        <v>0</v>
      </c>
      <c r="F18" s="75">
        <f>SUMPRODUCT((Tableau6[[Typologie ]]="Showroom Bafoussam")*(Tableau6[Dates]=$A18)*(Tableau6[Requetes]=F$2))</f>
        <v>0</v>
      </c>
      <c r="G18" s="75">
        <f>SUMPRODUCT((Tableau6[[Typologie ]]="Showroom Bafoussam")*(Tableau6[Dates]=$A18)*(Tableau6[Requetes]=G$2))</f>
        <v>0</v>
      </c>
      <c r="H18" s="74">
        <f>SUMPRODUCT((Tableau6[[Typologie ]]="Showroom Yaounde")*(Tableau6[Dates]=$A18)*(Tableau6[Requetes]=H$2))</f>
        <v>0</v>
      </c>
      <c r="I18" s="74">
        <f>SUMPRODUCT((Tableau6[[Code Réclamation  ]]="Showroom Yaounde")*(Tableau6[[Typologie ]]=$A18)*(Tableau6[[Catégories ]]=I$2))</f>
        <v>0</v>
      </c>
      <c r="J18" s="74">
        <f>SUMPRODUCT((Tableau6[Noms &amp; Prenoms]="Showroom Yaounde")*(Tableau6[[Code Réclamation  ]]=$A18)*(Tableau6[Types]=J$2))</f>
        <v>0</v>
      </c>
      <c r="K18" s="75">
        <f>SUMPRODUCT((Tableau6[[Typologie ]]="Showroom Bonamoussadi")*(Tableau6[Dates]=$A18)*(Tableau6[Requetes]=K$2))</f>
        <v>0</v>
      </c>
      <c r="L18" s="75">
        <f>SUMPRODUCT((Tableau6[[Code Réclamation  ]]="Showroom Bonamoussadi")*(Tableau6[[Typologie ]]=$A18)*(Tableau6[[Catégories ]]=L$2))</f>
        <v>0</v>
      </c>
      <c r="M18" s="75">
        <f>SUMPRODUCT((Tableau6[Noms &amp; Prenoms]="Showroom Bonamoussadi")*(Tableau6[[Code Réclamation  ]]=$A18)*(Tableau6[Types]=M$2))</f>
        <v>0</v>
      </c>
      <c r="N18" s="74">
        <f>SUMPRODUCT((Tableau6[[Typologie ]]="Showroom Bonanjo")*(Tableau6[Dates]=$A18)*(Tableau6[Requetes]=N$2))</f>
        <v>0</v>
      </c>
      <c r="O18" s="74">
        <f>SUMPRODUCT((Tableau6[Dates]=$A18)*(Tableau6[[Typologie ]]="Showroom Bonanjo")*(Tableau6[Requetes]=O$2))</f>
        <v>0</v>
      </c>
      <c r="P18" s="74">
        <f>SUMPRODUCT((Tableau6[Noms &amp; Prenoms]="Showroom Bonanjo")*(Tableau6[[Code Réclamation  ]]=$A18)*(Tableau6[Types]=P$2))</f>
        <v>0</v>
      </c>
      <c r="Q18" s="75">
        <f>SUMPRODUCT((Tableau6[[Typologie ]]="Showroom Garoua")*(Tableau6[Dates]=$A18)*(Tableau6[Requetes]=Q$2))</f>
        <v>0</v>
      </c>
      <c r="R18" s="75">
        <f>SUMPRODUCT((Tableau6[[Code Réclamation  ]]="Showroom Garoua")*(Tableau6[[Typologie ]]=$A18)*(Tableau6[[Catégories ]]=R$2))</f>
        <v>0</v>
      </c>
      <c r="S18" s="75">
        <f>SUMPRODUCT((Tableau6[Noms &amp; Prenoms]="Showroom Garoua")*(Tableau6[[Code Réclamation  ]]=$A18)*(Tableau6[Types]=S$2))</f>
        <v>0</v>
      </c>
      <c r="T18" s="74">
        <f>SUMPRODUCT((Tableau6[[Typologie ]]="Shop Bastos")*(Tableau6[Dates]=$A18)*(Tableau6[Requetes]=T$2))</f>
        <v>0</v>
      </c>
      <c r="U18" s="74">
        <f>SUMPRODUCT((Tableau6[[Code Réclamation  ]]="Shop Bastos")*(Tableau6[[Typologie ]]=$A18)*(Tableau6[[Catégories ]]=U$2))</f>
        <v>0</v>
      </c>
      <c r="V18" s="74">
        <f>SUMPRODUCT((Tableau6[Noms &amp; Prenoms]="Shop Bastos")*(Tableau6[[Code Réclamation  ]]=$A18)*(Tableau6[Types]=V$2))</f>
        <v>0</v>
      </c>
      <c r="W18" s="75">
        <f>SUMPRODUCT((Tableau6[[Typologie ]]="Shop Essos")*(Tableau6[Dates]=$A18)*(Tableau6[Requetes]=W$2))</f>
        <v>0</v>
      </c>
      <c r="X18" s="75">
        <f>SUMPRODUCT((Tableau6[[Code Réclamation  ]]="Shop Essos")*(Tableau6[[Typologie ]]=$A18)*(Tableau6[[Catégories ]]=X$2))</f>
        <v>0</v>
      </c>
      <c r="Y18" s="75">
        <f>SUMPRODUCT((Tableau6[Noms &amp; Prenoms]="Shop Essos")*(Tableau6[[Code Réclamation  ]]=$A18)*(Tableau6[Types]=Y$2))</f>
        <v>0</v>
      </c>
      <c r="Z18" s="74">
        <f>SUMPRODUCT((Tableau6[[Typologie ]]="Shop Peyrissac")*(Tableau6[Dates]=$A18)*(Tableau6[Requetes]=Z$2))</f>
        <v>0</v>
      </c>
      <c r="AA18" s="74">
        <f>SUMPRODUCT((Tableau6[[Code Réclamation  ]]="Shop Peyrissac")*(Tableau6[[Typologie ]]=$A18)*(Tableau6[[Catégories ]]=AA$2))</f>
        <v>0</v>
      </c>
      <c r="AB18" s="74">
        <f>SUMPRODUCT((Tableau6[Noms &amp; Prenoms]="Shop Peyrissac")*(Tableau6[[Code Réclamation  ]]=$A18)*(Tableau6[Types]=AB$2))</f>
        <v>0</v>
      </c>
      <c r="AC18" s="75">
        <f>SUMPRODUCT((Tableau6[Dates]=$A18)*(Tableau6[Requetes]=AC$2))</f>
        <v>0</v>
      </c>
      <c r="AD18" s="75">
        <f>SUMPRODUCT((Tableau6[[Code Réclamation  ]]="Back Office")*(Tableau6[[Typologie ]]=$A18)*(Tableau6[[Catégories ]]=AD$2))</f>
        <v>0</v>
      </c>
      <c r="AE18" s="75">
        <f>SUMPRODUCT((Tableau6[Noms &amp; Prenoms]="Back Office")*(Tableau6[[Code Réclamation  ]]=$A18)*(Tableau6[Types]=AE$2))</f>
        <v>0</v>
      </c>
      <c r="AF18" s="74">
        <f>SUMPRODUCT((Tableau6[[Typologie ]]="Front Office")*(Tableau6[Dates]=$A18)*(Tableau6[Requetes]=AF$2))</f>
        <v>0</v>
      </c>
      <c r="AG18" s="74">
        <f>SUMPRODUCT((Tableau6[[Code Réclamation  ]]="Front Office")*(Tableau6[[Typologie ]]=$A18)*(Tableau6[[Catégories ]]=AG$2))</f>
        <v>0</v>
      </c>
      <c r="AH18" s="74">
        <f>SUMPRODUCT((Tableau6[Noms &amp; Prenoms]="Front Office")*(Tableau6[[Code Réclamation  ]]=$A18)*(Tableau6[Types]=AH$2))</f>
        <v>0</v>
      </c>
      <c r="AI18" s="75">
        <f>SUMPRODUCT((Tableau6[[Typologie ]]="Direction Générale")*(Tableau6[Dates]=$A18)*(Tableau6[Requetes]=AI$2))</f>
        <v>0</v>
      </c>
      <c r="AJ18" s="75">
        <f>SUMPRODUCT((Tableau6[[Code Réclamation  ]]="Direction Générale")*(Tableau6[[Typologie ]]=$A18)*(Tableau6[[Catégories ]]=AJ$2))</f>
        <v>0</v>
      </c>
      <c r="AK18" s="75">
        <f>SUMPRODUCT((Tableau6[Noms &amp; Prenoms]="Direction Générale")*(Tableau6[[Code Réclamation  ]]=$A18)*(Tableau6[Types]=AK$2))</f>
        <v>0</v>
      </c>
    </row>
    <row r="19" spans="1:37">
      <c r="A19" s="73">
        <v>43117</v>
      </c>
      <c r="B19" s="74">
        <f>SUMPRODUCT((Tableau6[[Typologie ]]='Don''t delete'!B25)*(Tableau6[Dates]=$A19)*(Tableau6[Requetes]=B$2))</f>
        <v>0</v>
      </c>
      <c r="C19" s="74">
        <f>SUMPRODUCT((Tableau6[[Typologie ]]="Showroom Akwa")*(Tableau6[Dates]=$A19)*(Tableau6[Requetes]=C$2))</f>
        <v>0</v>
      </c>
      <c r="D19" s="74">
        <f>SUMPRODUCT((Tableau6[Dates]=$A19)*(Tableau6[[Typologie ]]="Showroom Akwa")*(Tableau6[Requetes]=D$2))</f>
        <v>0</v>
      </c>
      <c r="E19" s="75">
        <f>SUMPRODUCT((Tableau6[[Typologie ]]="Showroom Bafoussam")*(Tableau6[Dates]=$A19)*(Tableau6[Requetes]=E$2))</f>
        <v>0</v>
      </c>
      <c r="F19" s="75">
        <f>SUMPRODUCT((Tableau6[[Typologie ]]="Showroom Bafoussam")*(Tableau6[Dates]=$A19)*(Tableau6[Requetes]=F$2))</f>
        <v>0</v>
      </c>
      <c r="G19" s="75">
        <f>SUMPRODUCT((Tableau6[[Typologie ]]="Showroom Bafoussam")*(Tableau6[Dates]=$A19)*(Tableau6[Requetes]=G$2))</f>
        <v>0</v>
      </c>
      <c r="H19" s="74">
        <f>SUMPRODUCT((Tableau6[[Typologie ]]="Showroom Yaounde")*(Tableau6[Dates]=$A19)*(Tableau6[Requetes]=H$2))</f>
        <v>0</v>
      </c>
      <c r="I19" s="74">
        <f>SUMPRODUCT((Tableau6[[Code Réclamation  ]]="Showroom Yaounde")*(Tableau6[[Typologie ]]=$A19)*(Tableau6[[Catégories ]]=I$2))</f>
        <v>0</v>
      </c>
      <c r="J19" s="74">
        <f>SUMPRODUCT((Tableau6[Noms &amp; Prenoms]="Showroom Yaounde")*(Tableau6[[Code Réclamation  ]]=$A19)*(Tableau6[Types]=J$2))</f>
        <v>0</v>
      </c>
      <c r="K19" s="75">
        <f>SUMPRODUCT((Tableau6[[Typologie ]]="Showroom Bonamoussadi")*(Tableau6[Dates]=$A19)*(Tableau6[Requetes]=K$2))</f>
        <v>0</v>
      </c>
      <c r="L19" s="75">
        <f>SUMPRODUCT((Tableau6[[Code Réclamation  ]]="Showroom Bonamoussadi")*(Tableau6[[Typologie ]]=$A19)*(Tableau6[[Catégories ]]=L$2))</f>
        <v>0</v>
      </c>
      <c r="M19" s="75">
        <f>SUMPRODUCT((Tableau6[Noms &amp; Prenoms]="Showroom Bonamoussadi")*(Tableau6[[Code Réclamation  ]]=$A19)*(Tableau6[Types]=M$2))</f>
        <v>0</v>
      </c>
      <c r="N19" s="74">
        <f>SUMPRODUCT((Tableau6[[Typologie ]]="Showroom Bonanjo")*(Tableau6[Dates]=$A19)*(Tableau6[Requetes]=N$2))</f>
        <v>0</v>
      </c>
      <c r="O19" s="74">
        <f>SUMPRODUCT((Tableau6[Dates]=$A19)*(Tableau6[[Typologie ]]="Showroom Bonanjo")*(Tableau6[Requetes]=O$2))</f>
        <v>0</v>
      </c>
      <c r="P19" s="74">
        <f>SUMPRODUCT((Tableau6[Noms &amp; Prenoms]="Showroom Bonanjo")*(Tableau6[[Code Réclamation  ]]=$A19)*(Tableau6[Types]=P$2))</f>
        <v>0</v>
      </c>
      <c r="Q19" s="75">
        <f>SUMPRODUCT((Tableau6[[Typologie ]]="Showroom Garoua")*(Tableau6[Dates]=$A19)*(Tableau6[Requetes]=Q$2))</f>
        <v>0</v>
      </c>
      <c r="R19" s="75">
        <f>SUMPRODUCT((Tableau6[[Code Réclamation  ]]="Showroom Garoua")*(Tableau6[[Typologie ]]=$A19)*(Tableau6[[Catégories ]]=R$2))</f>
        <v>0</v>
      </c>
      <c r="S19" s="75">
        <f>SUMPRODUCT((Tableau6[Noms &amp; Prenoms]="Showroom Garoua")*(Tableau6[[Code Réclamation  ]]=$A19)*(Tableau6[Types]=S$2))</f>
        <v>0</v>
      </c>
      <c r="T19" s="74">
        <f>SUMPRODUCT((Tableau6[[Typologie ]]="Shop Bastos")*(Tableau6[Dates]=$A19)*(Tableau6[Requetes]=T$2))</f>
        <v>0</v>
      </c>
      <c r="U19" s="74">
        <f>SUMPRODUCT((Tableau6[[Code Réclamation  ]]="Shop Bastos")*(Tableau6[[Typologie ]]=$A19)*(Tableau6[[Catégories ]]=U$2))</f>
        <v>0</v>
      </c>
      <c r="V19" s="74">
        <f>SUMPRODUCT((Tableau6[Noms &amp; Prenoms]="Shop Bastos")*(Tableau6[[Code Réclamation  ]]=$A19)*(Tableau6[Types]=V$2))</f>
        <v>0</v>
      </c>
      <c r="W19" s="75">
        <f>SUMPRODUCT((Tableau6[[Typologie ]]="Shop Essos")*(Tableau6[Dates]=$A19)*(Tableau6[Requetes]=W$2))</f>
        <v>0</v>
      </c>
      <c r="X19" s="75">
        <f>SUMPRODUCT((Tableau6[[Code Réclamation  ]]="Shop Essos")*(Tableau6[[Typologie ]]=$A19)*(Tableau6[[Catégories ]]=X$2))</f>
        <v>0</v>
      </c>
      <c r="Y19" s="75">
        <f>SUMPRODUCT((Tableau6[Noms &amp; Prenoms]="Shop Essos")*(Tableau6[[Code Réclamation  ]]=$A19)*(Tableau6[Types]=Y$2))</f>
        <v>0</v>
      </c>
      <c r="Z19" s="74">
        <f>SUMPRODUCT((Tableau6[[Typologie ]]="Shop Peyrissac")*(Tableau6[Dates]=$A19)*(Tableau6[Requetes]=Z$2))</f>
        <v>0</v>
      </c>
      <c r="AA19" s="74">
        <f>SUMPRODUCT((Tableau6[[Code Réclamation  ]]="Shop Peyrissac")*(Tableau6[[Typologie ]]=$A19)*(Tableau6[[Catégories ]]=AA$2))</f>
        <v>0</v>
      </c>
      <c r="AB19" s="74">
        <f>SUMPRODUCT((Tableau6[Noms &amp; Prenoms]="Shop Peyrissac")*(Tableau6[[Code Réclamation  ]]=$A19)*(Tableau6[Types]=AB$2))</f>
        <v>0</v>
      </c>
      <c r="AC19" s="75">
        <f>SUMPRODUCT((Tableau6[Dates]=$A19)*(Tableau6[Requetes]=AC$2))</f>
        <v>0</v>
      </c>
      <c r="AD19" s="75">
        <f>SUMPRODUCT((Tableau6[[Code Réclamation  ]]="Back Office")*(Tableau6[[Typologie ]]=$A19)*(Tableau6[[Catégories ]]=AD$2))</f>
        <v>0</v>
      </c>
      <c r="AE19" s="75">
        <f>SUMPRODUCT((Tableau6[Noms &amp; Prenoms]="Back Office")*(Tableau6[[Code Réclamation  ]]=$A19)*(Tableau6[Types]=AE$2))</f>
        <v>0</v>
      </c>
      <c r="AF19" s="74">
        <f>SUMPRODUCT((Tableau6[[Typologie ]]="Front Office")*(Tableau6[Dates]=$A19)*(Tableau6[Requetes]=AF$2))</f>
        <v>0</v>
      </c>
      <c r="AG19" s="74">
        <f>SUMPRODUCT((Tableau6[[Code Réclamation  ]]="Front Office")*(Tableau6[[Typologie ]]=$A19)*(Tableau6[[Catégories ]]=AG$2))</f>
        <v>0</v>
      </c>
      <c r="AH19" s="74">
        <f>SUMPRODUCT((Tableau6[Noms &amp; Prenoms]="Front Office")*(Tableau6[[Code Réclamation  ]]=$A19)*(Tableau6[Types]=AH$2))</f>
        <v>0</v>
      </c>
      <c r="AI19" s="75">
        <f>SUMPRODUCT((Tableau6[[Typologie ]]="Direction Générale")*(Tableau6[Dates]=$A19)*(Tableau6[Requetes]=AI$2))</f>
        <v>0</v>
      </c>
      <c r="AJ19" s="75">
        <f>SUMPRODUCT((Tableau6[[Code Réclamation  ]]="Direction Générale")*(Tableau6[[Typologie ]]=$A19)*(Tableau6[[Catégories ]]=AJ$2))</f>
        <v>0</v>
      </c>
      <c r="AK19" s="75">
        <f>SUMPRODUCT((Tableau6[Noms &amp; Prenoms]="Direction Générale")*(Tableau6[[Code Réclamation  ]]=$A19)*(Tableau6[Types]=AK$2))</f>
        <v>0</v>
      </c>
    </row>
    <row r="20" spans="1:37">
      <c r="A20" s="73">
        <v>43118</v>
      </c>
      <c r="B20" s="74">
        <f>SUMPRODUCT((Tableau6[[Typologie ]]='Don''t delete'!B26)*(Tableau6[Dates]=$A20)*(Tableau6[Requetes]=B$2))</f>
        <v>0</v>
      </c>
      <c r="C20" s="74">
        <f>SUMPRODUCT((Tableau6[[Typologie ]]="Showroom Akwa")*(Tableau6[Dates]=$A20)*(Tableau6[Requetes]=C$2))</f>
        <v>0</v>
      </c>
      <c r="D20" s="74">
        <f>SUMPRODUCT((Tableau6[Dates]=$A20)*(Tableau6[[Typologie ]]="Showroom Akwa")*(Tableau6[Requetes]=D$2))</f>
        <v>0</v>
      </c>
      <c r="E20" s="75">
        <f>SUMPRODUCT((Tableau6[[Typologie ]]="Showroom Bafoussam")*(Tableau6[Dates]=$A20)*(Tableau6[Requetes]=E$2))</f>
        <v>0</v>
      </c>
      <c r="F20" s="75">
        <f>SUMPRODUCT((Tableau6[[Typologie ]]="Showroom Bafoussam")*(Tableau6[Dates]=$A20)*(Tableau6[Requetes]=F$2))</f>
        <v>0</v>
      </c>
      <c r="G20" s="75">
        <f>SUMPRODUCT((Tableau6[[Typologie ]]="Showroom Bafoussam")*(Tableau6[Dates]=$A20)*(Tableau6[Requetes]=G$2))</f>
        <v>0</v>
      </c>
      <c r="H20" s="74">
        <f>SUMPRODUCT((Tableau6[[Typologie ]]="Showroom Yaounde")*(Tableau6[Dates]=$A20)*(Tableau6[Requetes]=H$2))</f>
        <v>0</v>
      </c>
      <c r="I20" s="74">
        <f>SUMPRODUCT((Tableau6[[Code Réclamation  ]]="Showroom Yaounde")*(Tableau6[[Typologie ]]=$A20)*(Tableau6[[Catégories ]]=I$2))</f>
        <v>0</v>
      </c>
      <c r="J20" s="74">
        <f>SUMPRODUCT((Tableau6[Noms &amp; Prenoms]="Showroom Yaounde")*(Tableau6[[Code Réclamation  ]]=$A20)*(Tableau6[Types]=J$2))</f>
        <v>0</v>
      </c>
      <c r="K20" s="75">
        <f>SUMPRODUCT((Tableau6[[Typologie ]]="Showroom Bonamoussadi")*(Tableau6[Dates]=$A20)*(Tableau6[Requetes]=K$2))</f>
        <v>0</v>
      </c>
      <c r="L20" s="75">
        <f>SUMPRODUCT((Tableau6[[Code Réclamation  ]]="Showroom Bonamoussadi")*(Tableau6[[Typologie ]]=$A20)*(Tableau6[[Catégories ]]=L$2))</f>
        <v>0</v>
      </c>
      <c r="M20" s="75">
        <f>SUMPRODUCT((Tableau6[Noms &amp; Prenoms]="Showroom Bonamoussadi")*(Tableau6[[Code Réclamation  ]]=$A20)*(Tableau6[Types]=M$2))</f>
        <v>0</v>
      </c>
      <c r="N20" s="74">
        <f>SUMPRODUCT((Tableau6[[Typologie ]]="Showroom Bonanjo")*(Tableau6[Dates]=$A20)*(Tableau6[Requetes]=N$2))</f>
        <v>0</v>
      </c>
      <c r="O20" s="74">
        <f>SUMPRODUCT((Tableau6[Dates]=$A20)*(Tableau6[[Typologie ]]="Showroom Bonanjo")*(Tableau6[Requetes]=O$2))</f>
        <v>0</v>
      </c>
      <c r="P20" s="74">
        <f>SUMPRODUCT((Tableau6[Noms &amp; Prenoms]="Showroom Bonanjo")*(Tableau6[[Code Réclamation  ]]=$A20)*(Tableau6[Types]=P$2))</f>
        <v>0</v>
      </c>
      <c r="Q20" s="75">
        <f>SUMPRODUCT((Tableau6[[Typologie ]]="Showroom Garoua")*(Tableau6[Dates]=$A20)*(Tableau6[Requetes]=Q$2))</f>
        <v>0</v>
      </c>
      <c r="R20" s="75">
        <f>SUMPRODUCT((Tableau6[[Code Réclamation  ]]="Showroom Garoua")*(Tableau6[[Typologie ]]=$A20)*(Tableau6[[Catégories ]]=R$2))</f>
        <v>0</v>
      </c>
      <c r="S20" s="75">
        <f>SUMPRODUCT((Tableau6[Noms &amp; Prenoms]="Showroom Garoua")*(Tableau6[[Code Réclamation  ]]=$A20)*(Tableau6[Types]=S$2))</f>
        <v>0</v>
      </c>
      <c r="T20" s="74">
        <f>SUMPRODUCT((Tableau6[[Typologie ]]="Shop Bastos")*(Tableau6[Dates]=$A20)*(Tableau6[Requetes]=T$2))</f>
        <v>0</v>
      </c>
      <c r="U20" s="74">
        <f>SUMPRODUCT((Tableau6[[Code Réclamation  ]]="Shop Bastos")*(Tableau6[[Typologie ]]=$A20)*(Tableau6[[Catégories ]]=U$2))</f>
        <v>0</v>
      </c>
      <c r="V20" s="74">
        <f>SUMPRODUCT((Tableau6[Noms &amp; Prenoms]="Shop Bastos")*(Tableau6[[Code Réclamation  ]]=$A20)*(Tableau6[Types]=V$2))</f>
        <v>0</v>
      </c>
      <c r="W20" s="75">
        <f>SUMPRODUCT((Tableau6[[Typologie ]]="Shop Essos")*(Tableau6[Dates]=$A20)*(Tableau6[Requetes]=W$2))</f>
        <v>0</v>
      </c>
      <c r="X20" s="75">
        <f>SUMPRODUCT((Tableau6[[Code Réclamation  ]]="Shop Essos")*(Tableau6[[Typologie ]]=$A20)*(Tableau6[[Catégories ]]=X$2))</f>
        <v>0</v>
      </c>
      <c r="Y20" s="75">
        <f>SUMPRODUCT((Tableau6[Noms &amp; Prenoms]="Shop Essos")*(Tableau6[[Code Réclamation  ]]=$A20)*(Tableau6[Types]=Y$2))</f>
        <v>0</v>
      </c>
      <c r="Z20" s="74">
        <f>SUMPRODUCT((Tableau6[[Typologie ]]="Shop Peyrissac")*(Tableau6[Dates]=$A20)*(Tableau6[Requetes]=Z$2))</f>
        <v>0</v>
      </c>
      <c r="AA20" s="74">
        <f>SUMPRODUCT((Tableau6[[Code Réclamation  ]]="Shop Peyrissac")*(Tableau6[[Typologie ]]=$A20)*(Tableau6[[Catégories ]]=AA$2))</f>
        <v>0</v>
      </c>
      <c r="AB20" s="74">
        <f>SUMPRODUCT((Tableau6[Noms &amp; Prenoms]="Shop Peyrissac")*(Tableau6[[Code Réclamation  ]]=$A20)*(Tableau6[Types]=AB$2))</f>
        <v>0</v>
      </c>
      <c r="AC20" s="75">
        <f>SUMPRODUCT((Tableau6[Dates]=$A20)*(Tableau6[Requetes]=AC$2))</f>
        <v>0</v>
      </c>
      <c r="AD20" s="75">
        <f>SUMPRODUCT((Tableau6[[Code Réclamation  ]]="Back Office")*(Tableau6[[Typologie ]]=$A20)*(Tableau6[[Catégories ]]=AD$2))</f>
        <v>0</v>
      </c>
      <c r="AE20" s="75">
        <f>SUMPRODUCT((Tableau6[Noms &amp; Prenoms]="Back Office")*(Tableau6[[Code Réclamation  ]]=$A20)*(Tableau6[Types]=AE$2))</f>
        <v>0</v>
      </c>
      <c r="AF20" s="74">
        <f>SUMPRODUCT((Tableau6[[Typologie ]]="Front Office")*(Tableau6[Dates]=$A20)*(Tableau6[Requetes]=AF$2))</f>
        <v>0</v>
      </c>
      <c r="AG20" s="74">
        <f>SUMPRODUCT((Tableau6[[Code Réclamation  ]]="Front Office")*(Tableau6[[Typologie ]]=$A20)*(Tableau6[[Catégories ]]=AG$2))</f>
        <v>0</v>
      </c>
      <c r="AH20" s="74">
        <f>SUMPRODUCT((Tableau6[Noms &amp; Prenoms]="Front Office")*(Tableau6[[Code Réclamation  ]]=$A20)*(Tableau6[Types]=AH$2))</f>
        <v>0</v>
      </c>
      <c r="AI20" s="75">
        <f>SUMPRODUCT((Tableau6[[Typologie ]]="Direction Générale")*(Tableau6[Dates]=$A20)*(Tableau6[Requetes]=AI$2))</f>
        <v>0</v>
      </c>
      <c r="AJ20" s="75">
        <f>SUMPRODUCT((Tableau6[[Code Réclamation  ]]="Direction Générale")*(Tableau6[[Typologie ]]=$A20)*(Tableau6[[Catégories ]]=AJ$2))</f>
        <v>0</v>
      </c>
      <c r="AK20" s="75">
        <f>SUMPRODUCT((Tableau6[Noms &amp; Prenoms]="Direction Générale")*(Tableau6[[Code Réclamation  ]]=$A20)*(Tableau6[Types]=AK$2))</f>
        <v>0</v>
      </c>
    </row>
    <row r="21" spans="1:37">
      <c r="A21" s="73">
        <v>43119</v>
      </c>
      <c r="B21" s="74">
        <f>SUMPRODUCT((Tableau6[[Typologie ]]='Don''t delete'!B27)*(Tableau6[Dates]=$A21)*(Tableau6[Requetes]=B$2))</f>
        <v>0</v>
      </c>
      <c r="C21" s="74">
        <f>SUMPRODUCT((Tableau6[[Typologie ]]="Showroom Akwa")*(Tableau6[Dates]=$A21)*(Tableau6[Requetes]=C$2))</f>
        <v>0</v>
      </c>
      <c r="D21" s="74">
        <f>SUMPRODUCT((Tableau6[Dates]=$A21)*(Tableau6[[Typologie ]]="Showroom Akwa")*(Tableau6[Requetes]=D$2))</f>
        <v>0</v>
      </c>
      <c r="E21" s="75">
        <f>SUMPRODUCT((Tableau6[[Typologie ]]="Showroom Bafoussam")*(Tableau6[Dates]=$A21)*(Tableau6[Requetes]=E$2))</f>
        <v>0</v>
      </c>
      <c r="F21" s="75">
        <f>SUMPRODUCT((Tableau6[[Typologie ]]="Showroom Bafoussam")*(Tableau6[Dates]=$A21)*(Tableau6[Requetes]=F$2))</f>
        <v>0</v>
      </c>
      <c r="G21" s="75">
        <f>SUMPRODUCT((Tableau6[[Typologie ]]="Showroom Bafoussam")*(Tableau6[Dates]=$A21)*(Tableau6[Requetes]=G$2))</f>
        <v>0</v>
      </c>
      <c r="H21" s="74">
        <f>SUMPRODUCT((Tableau6[[Typologie ]]="Showroom Yaounde")*(Tableau6[Dates]=$A21)*(Tableau6[Requetes]=H$2))</f>
        <v>0</v>
      </c>
      <c r="I21" s="74">
        <f>SUMPRODUCT((Tableau6[[Code Réclamation  ]]="Showroom Yaounde")*(Tableau6[[Typologie ]]=$A21)*(Tableau6[[Catégories ]]=I$2))</f>
        <v>0</v>
      </c>
      <c r="J21" s="74">
        <f>SUMPRODUCT((Tableau6[Noms &amp; Prenoms]="Showroom Yaounde")*(Tableau6[[Code Réclamation  ]]=$A21)*(Tableau6[Types]=J$2))</f>
        <v>0</v>
      </c>
      <c r="K21" s="75">
        <f>SUMPRODUCT((Tableau6[[Typologie ]]="Showroom Bonamoussadi")*(Tableau6[Dates]=$A21)*(Tableau6[Requetes]=K$2))</f>
        <v>0</v>
      </c>
      <c r="L21" s="75">
        <f>SUMPRODUCT((Tableau6[[Code Réclamation  ]]="Showroom Bonamoussadi")*(Tableau6[[Typologie ]]=$A21)*(Tableau6[[Catégories ]]=L$2))</f>
        <v>0</v>
      </c>
      <c r="M21" s="75">
        <f>SUMPRODUCT((Tableau6[Noms &amp; Prenoms]="Showroom Bonamoussadi")*(Tableau6[[Code Réclamation  ]]=$A21)*(Tableau6[Types]=M$2))</f>
        <v>0</v>
      </c>
      <c r="N21" s="74">
        <f>SUMPRODUCT((Tableau6[[Typologie ]]="Showroom Bonanjo")*(Tableau6[Dates]=$A21)*(Tableau6[Requetes]=N$2))</f>
        <v>0</v>
      </c>
      <c r="O21" s="74">
        <f>SUMPRODUCT((Tableau6[Dates]=$A21)*(Tableau6[[Typologie ]]="Showroom Bonanjo")*(Tableau6[Requetes]=O$2))</f>
        <v>0</v>
      </c>
      <c r="P21" s="74">
        <f>SUMPRODUCT((Tableau6[Noms &amp; Prenoms]="Showroom Bonanjo")*(Tableau6[[Code Réclamation  ]]=$A21)*(Tableau6[Types]=P$2))</f>
        <v>0</v>
      </c>
      <c r="Q21" s="75">
        <f>SUMPRODUCT((Tableau6[[Typologie ]]="Showroom Garoua")*(Tableau6[Dates]=$A21)*(Tableau6[Requetes]=Q$2))</f>
        <v>0</v>
      </c>
      <c r="R21" s="75">
        <f>SUMPRODUCT((Tableau6[[Code Réclamation  ]]="Showroom Garoua")*(Tableau6[[Typologie ]]=$A21)*(Tableau6[[Catégories ]]=R$2))</f>
        <v>0</v>
      </c>
      <c r="S21" s="75">
        <f>SUMPRODUCT((Tableau6[Noms &amp; Prenoms]="Showroom Garoua")*(Tableau6[[Code Réclamation  ]]=$A21)*(Tableau6[Types]=S$2))</f>
        <v>0</v>
      </c>
      <c r="T21" s="74">
        <f>SUMPRODUCT((Tableau6[[Typologie ]]="Shop Bastos")*(Tableau6[Dates]=$A21)*(Tableau6[Requetes]=T$2))</f>
        <v>0</v>
      </c>
      <c r="U21" s="74">
        <f>SUMPRODUCT((Tableau6[[Code Réclamation  ]]="Shop Bastos")*(Tableau6[[Typologie ]]=$A21)*(Tableau6[[Catégories ]]=U$2))</f>
        <v>0</v>
      </c>
      <c r="V21" s="74">
        <f>SUMPRODUCT((Tableau6[Noms &amp; Prenoms]="Shop Bastos")*(Tableau6[[Code Réclamation  ]]=$A21)*(Tableau6[Types]=V$2))</f>
        <v>0</v>
      </c>
      <c r="W21" s="75">
        <f>SUMPRODUCT((Tableau6[[Typologie ]]="Shop Essos")*(Tableau6[Dates]=$A21)*(Tableau6[Requetes]=W$2))</f>
        <v>0</v>
      </c>
      <c r="X21" s="75">
        <f>SUMPRODUCT((Tableau6[[Code Réclamation  ]]="Shop Essos")*(Tableau6[[Typologie ]]=$A21)*(Tableau6[[Catégories ]]=X$2))</f>
        <v>0</v>
      </c>
      <c r="Y21" s="75">
        <f>SUMPRODUCT((Tableau6[Noms &amp; Prenoms]="Shop Essos")*(Tableau6[[Code Réclamation  ]]=$A21)*(Tableau6[Types]=Y$2))</f>
        <v>0</v>
      </c>
      <c r="Z21" s="74">
        <f>SUMPRODUCT((Tableau6[[Typologie ]]="Shop Peyrissac")*(Tableau6[Dates]=$A21)*(Tableau6[Requetes]=Z$2))</f>
        <v>0</v>
      </c>
      <c r="AA21" s="74">
        <f>SUMPRODUCT((Tableau6[[Code Réclamation  ]]="Shop Peyrissac")*(Tableau6[[Typologie ]]=$A21)*(Tableau6[[Catégories ]]=AA$2))</f>
        <v>0</v>
      </c>
      <c r="AB21" s="74">
        <f>SUMPRODUCT((Tableau6[Noms &amp; Prenoms]="Shop Peyrissac")*(Tableau6[[Code Réclamation  ]]=$A21)*(Tableau6[Types]=AB$2))</f>
        <v>0</v>
      </c>
      <c r="AC21" s="75">
        <f>SUMPRODUCT((Tableau6[Dates]=$A21)*(Tableau6[Requetes]=AC$2))</f>
        <v>0</v>
      </c>
      <c r="AD21" s="75">
        <f>SUMPRODUCT((Tableau6[[Code Réclamation  ]]="Back Office")*(Tableau6[[Typologie ]]=$A21)*(Tableau6[[Catégories ]]=AD$2))</f>
        <v>0</v>
      </c>
      <c r="AE21" s="75">
        <f>SUMPRODUCT((Tableau6[Noms &amp; Prenoms]="Back Office")*(Tableau6[[Code Réclamation  ]]=$A21)*(Tableau6[Types]=AE$2))</f>
        <v>0</v>
      </c>
      <c r="AF21" s="74">
        <f>SUMPRODUCT((Tableau6[[Typologie ]]="Front Office")*(Tableau6[Dates]=$A21)*(Tableau6[Requetes]=AF$2))</f>
        <v>0</v>
      </c>
      <c r="AG21" s="74">
        <f>SUMPRODUCT((Tableau6[[Code Réclamation  ]]="Front Office")*(Tableau6[[Typologie ]]=$A21)*(Tableau6[[Catégories ]]=AG$2))</f>
        <v>0</v>
      </c>
      <c r="AH21" s="74">
        <f>SUMPRODUCT((Tableau6[Noms &amp; Prenoms]="Front Office")*(Tableau6[[Code Réclamation  ]]=$A21)*(Tableau6[Types]=AH$2))</f>
        <v>0</v>
      </c>
      <c r="AI21" s="75">
        <f>SUMPRODUCT((Tableau6[[Typologie ]]="Direction Générale")*(Tableau6[Dates]=$A21)*(Tableau6[Requetes]=AI$2))</f>
        <v>0</v>
      </c>
      <c r="AJ21" s="75">
        <f>SUMPRODUCT((Tableau6[[Code Réclamation  ]]="Direction Générale")*(Tableau6[[Typologie ]]=$A21)*(Tableau6[[Catégories ]]=AJ$2))</f>
        <v>0</v>
      </c>
      <c r="AK21" s="75">
        <f>SUMPRODUCT((Tableau6[Noms &amp; Prenoms]="Direction Générale")*(Tableau6[[Code Réclamation  ]]=$A21)*(Tableau6[Types]=AK$2))</f>
        <v>0</v>
      </c>
    </row>
    <row r="22" spans="1:37">
      <c r="A22" s="73">
        <v>43120</v>
      </c>
      <c r="B22" s="74">
        <f>SUMPRODUCT((Tableau6[[Typologie ]]='Don''t delete'!B28)*(Tableau6[Dates]=$A22)*(Tableau6[Requetes]=B$2))</f>
        <v>0</v>
      </c>
      <c r="C22" s="74">
        <f>SUMPRODUCT((Tableau6[[Typologie ]]="Showroom Akwa")*(Tableau6[Dates]=$A22)*(Tableau6[Requetes]=C$2))</f>
        <v>0</v>
      </c>
      <c r="D22" s="74">
        <f>SUMPRODUCT((Tableau6[Dates]=$A22)*(Tableau6[[Typologie ]]="Showroom Akwa")*(Tableau6[Requetes]=D$2))</f>
        <v>0</v>
      </c>
      <c r="E22" s="75">
        <f>SUMPRODUCT((Tableau6[[Typologie ]]="Showroom Bafoussam")*(Tableau6[Dates]=$A22)*(Tableau6[Requetes]=E$2))</f>
        <v>0</v>
      </c>
      <c r="F22" s="75">
        <f>SUMPRODUCT((Tableau6[[Typologie ]]="Showroom Bafoussam")*(Tableau6[Dates]=$A22)*(Tableau6[Requetes]=F$2))</f>
        <v>0</v>
      </c>
      <c r="G22" s="75">
        <f>SUMPRODUCT((Tableau6[[Typologie ]]="Showroom Bafoussam")*(Tableau6[Dates]=$A22)*(Tableau6[Requetes]=G$2))</f>
        <v>0</v>
      </c>
      <c r="H22" s="74">
        <f>SUMPRODUCT((Tableau6[[Typologie ]]="Showroom Yaounde")*(Tableau6[Dates]=$A22)*(Tableau6[Requetes]=H$2))</f>
        <v>0</v>
      </c>
      <c r="I22" s="74">
        <f>SUMPRODUCT((Tableau6[[Code Réclamation  ]]="Showroom Yaounde")*(Tableau6[[Typologie ]]=$A22)*(Tableau6[[Catégories ]]=I$2))</f>
        <v>0</v>
      </c>
      <c r="J22" s="74">
        <f>SUMPRODUCT((Tableau6[Noms &amp; Prenoms]="Showroom Yaounde")*(Tableau6[[Code Réclamation  ]]=$A22)*(Tableau6[Types]=J$2))</f>
        <v>0</v>
      </c>
      <c r="K22" s="75">
        <f>SUMPRODUCT((Tableau6[[Typologie ]]="Showroom Bonamoussadi")*(Tableau6[Dates]=$A22)*(Tableau6[Requetes]=K$2))</f>
        <v>0</v>
      </c>
      <c r="L22" s="75">
        <f>SUMPRODUCT((Tableau6[[Code Réclamation  ]]="Showroom Bonamoussadi")*(Tableau6[[Typologie ]]=$A22)*(Tableau6[[Catégories ]]=L$2))</f>
        <v>0</v>
      </c>
      <c r="M22" s="75">
        <f>SUMPRODUCT((Tableau6[Noms &amp; Prenoms]="Showroom Bonamoussadi")*(Tableau6[[Code Réclamation  ]]=$A22)*(Tableau6[Types]=M$2))</f>
        <v>0</v>
      </c>
      <c r="N22" s="74">
        <f>SUMPRODUCT((Tableau6[[Typologie ]]="Showroom Bonanjo")*(Tableau6[Dates]=$A22)*(Tableau6[Requetes]=N$2))</f>
        <v>0</v>
      </c>
      <c r="O22" s="74">
        <f>SUMPRODUCT((Tableau6[Dates]=$A22)*(Tableau6[[Typologie ]]="Showroom Bonanjo")*(Tableau6[Requetes]=O$2))</f>
        <v>0</v>
      </c>
      <c r="P22" s="74">
        <f>SUMPRODUCT((Tableau6[Noms &amp; Prenoms]="Showroom Bonanjo")*(Tableau6[[Code Réclamation  ]]=$A22)*(Tableau6[Types]=P$2))</f>
        <v>0</v>
      </c>
      <c r="Q22" s="75">
        <f>SUMPRODUCT((Tableau6[[Typologie ]]="Showroom Garoua")*(Tableau6[Dates]=$A22)*(Tableau6[Requetes]=Q$2))</f>
        <v>0</v>
      </c>
      <c r="R22" s="75">
        <f>SUMPRODUCT((Tableau6[[Code Réclamation  ]]="Showroom Garoua")*(Tableau6[[Typologie ]]=$A22)*(Tableau6[[Catégories ]]=R$2))</f>
        <v>0</v>
      </c>
      <c r="S22" s="75">
        <f>SUMPRODUCT((Tableau6[Noms &amp; Prenoms]="Showroom Garoua")*(Tableau6[[Code Réclamation  ]]=$A22)*(Tableau6[Types]=S$2))</f>
        <v>0</v>
      </c>
      <c r="T22" s="74">
        <f>SUMPRODUCT((Tableau6[[Typologie ]]="Shop Bastos")*(Tableau6[Dates]=$A22)*(Tableau6[Requetes]=T$2))</f>
        <v>0</v>
      </c>
      <c r="U22" s="74">
        <f>SUMPRODUCT((Tableau6[[Code Réclamation  ]]="Shop Bastos")*(Tableau6[[Typologie ]]=$A22)*(Tableau6[[Catégories ]]=U$2))</f>
        <v>0</v>
      </c>
      <c r="V22" s="74">
        <f>SUMPRODUCT((Tableau6[Noms &amp; Prenoms]="Shop Bastos")*(Tableau6[[Code Réclamation  ]]=$A22)*(Tableau6[Types]=V$2))</f>
        <v>0</v>
      </c>
      <c r="W22" s="75">
        <f>SUMPRODUCT((Tableau6[[Typologie ]]="Shop Essos")*(Tableau6[Dates]=$A22)*(Tableau6[Requetes]=W$2))</f>
        <v>0</v>
      </c>
      <c r="X22" s="75">
        <f>SUMPRODUCT((Tableau6[[Code Réclamation  ]]="Shop Essos")*(Tableau6[[Typologie ]]=$A22)*(Tableau6[[Catégories ]]=X$2))</f>
        <v>0</v>
      </c>
      <c r="Y22" s="75">
        <f>SUMPRODUCT((Tableau6[Noms &amp; Prenoms]="Shop Essos")*(Tableau6[[Code Réclamation  ]]=$A22)*(Tableau6[Types]=Y$2))</f>
        <v>0</v>
      </c>
      <c r="Z22" s="74">
        <f>SUMPRODUCT((Tableau6[[Typologie ]]="Shop Peyrissac")*(Tableau6[Dates]=$A22)*(Tableau6[Requetes]=Z$2))</f>
        <v>0</v>
      </c>
      <c r="AA22" s="74">
        <f>SUMPRODUCT((Tableau6[[Code Réclamation  ]]="Shop Peyrissac")*(Tableau6[[Typologie ]]=$A22)*(Tableau6[[Catégories ]]=AA$2))</f>
        <v>0</v>
      </c>
      <c r="AB22" s="74">
        <f>SUMPRODUCT((Tableau6[Noms &amp; Prenoms]="Shop Peyrissac")*(Tableau6[[Code Réclamation  ]]=$A22)*(Tableau6[Types]=AB$2))</f>
        <v>0</v>
      </c>
      <c r="AC22" s="75">
        <f>SUMPRODUCT((Tableau6[Dates]=$A22)*(Tableau6[Requetes]=AC$2))</f>
        <v>0</v>
      </c>
      <c r="AD22" s="75">
        <f>SUMPRODUCT((Tableau6[[Code Réclamation  ]]="Back Office")*(Tableau6[[Typologie ]]=$A22)*(Tableau6[[Catégories ]]=AD$2))</f>
        <v>0</v>
      </c>
      <c r="AE22" s="75">
        <f>SUMPRODUCT((Tableau6[Noms &amp; Prenoms]="Back Office")*(Tableau6[[Code Réclamation  ]]=$A22)*(Tableau6[Types]=AE$2))</f>
        <v>0</v>
      </c>
      <c r="AF22" s="74">
        <f>SUMPRODUCT((Tableau6[[Typologie ]]="Front Office")*(Tableau6[Dates]=$A22)*(Tableau6[Requetes]=AF$2))</f>
        <v>0</v>
      </c>
      <c r="AG22" s="74">
        <f>SUMPRODUCT((Tableau6[[Code Réclamation  ]]="Front Office")*(Tableau6[[Typologie ]]=$A22)*(Tableau6[[Catégories ]]=AG$2))</f>
        <v>0</v>
      </c>
      <c r="AH22" s="74">
        <f>SUMPRODUCT((Tableau6[Noms &amp; Prenoms]="Front Office")*(Tableau6[[Code Réclamation  ]]=$A22)*(Tableau6[Types]=AH$2))</f>
        <v>0</v>
      </c>
      <c r="AI22" s="75">
        <f>SUMPRODUCT((Tableau6[[Typologie ]]="Direction Générale")*(Tableau6[Dates]=$A22)*(Tableau6[Requetes]=AI$2))</f>
        <v>0</v>
      </c>
      <c r="AJ22" s="75">
        <f>SUMPRODUCT((Tableau6[[Code Réclamation  ]]="Direction Générale")*(Tableau6[[Typologie ]]=$A22)*(Tableau6[[Catégories ]]=AJ$2))</f>
        <v>0</v>
      </c>
      <c r="AK22" s="75">
        <f>SUMPRODUCT((Tableau6[Noms &amp; Prenoms]="Direction Générale")*(Tableau6[[Code Réclamation  ]]=$A22)*(Tableau6[Types]=AK$2))</f>
        <v>0</v>
      </c>
    </row>
    <row r="23" spans="1:37">
      <c r="A23" s="73">
        <v>43121</v>
      </c>
      <c r="B23" s="74">
        <f>SUMPRODUCT((Tableau6[[Typologie ]]='Don''t delete'!B29)*(Tableau6[Dates]=$A23)*(Tableau6[Requetes]=B$2))</f>
        <v>0</v>
      </c>
      <c r="C23" s="74">
        <f>SUMPRODUCT((Tableau6[[Typologie ]]="Showroom Akwa")*(Tableau6[Dates]=$A23)*(Tableau6[Requetes]=C$2))</f>
        <v>0</v>
      </c>
      <c r="D23" s="74">
        <f>SUMPRODUCT((Tableau6[Dates]=$A23)*(Tableau6[[Typologie ]]="Showroom Akwa")*(Tableau6[Requetes]=D$2))</f>
        <v>0</v>
      </c>
      <c r="E23" s="75">
        <f>SUMPRODUCT((Tableau6[[Typologie ]]="Showroom Bafoussam")*(Tableau6[Dates]=$A23)*(Tableau6[Requetes]=E$2))</f>
        <v>0</v>
      </c>
      <c r="F23" s="75">
        <f>SUMPRODUCT((Tableau6[[Typologie ]]="Showroom Bafoussam")*(Tableau6[Dates]=$A23)*(Tableau6[Requetes]=F$2))</f>
        <v>0</v>
      </c>
      <c r="G23" s="75">
        <f>SUMPRODUCT((Tableau6[[Typologie ]]="Showroom Bafoussam")*(Tableau6[Dates]=$A23)*(Tableau6[Requetes]=G$2))</f>
        <v>0</v>
      </c>
      <c r="H23" s="74">
        <f>SUMPRODUCT((Tableau6[[Typologie ]]="Showroom Yaounde")*(Tableau6[Dates]=$A23)*(Tableau6[Requetes]=H$2))</f>
        <v>0</v>
      </c>
      <c r="I23" s="74">
        <f>SUMPRODUCT((Tableau6[[Code Réclamation  ]]="Showroom Yaounde")*(Tableau6[[Typologie ]]=$A23)*(Tableau6[[Catégories ]]=I$2))</f>
        <v>0</v>
      </c>
      <c r="J23" s="74">
        <f>SUMPRODUCT((Tableau6[Noms &amp; Prenoms]="Showroom Yaounde")*(Tableau6[[Code Réclamation  ]]=$A23)*(Tableau6[Types]=J$2))</f>
        <v>0</v>
      </c>
      <c r="K23" s="75">
        <f>SUMPRODUCT((Tableau6[[Typologie ]]="Showroom Bonamoussadi")*(Tableau6[Dates]=$A23)*(Tableau6[Requetes]=K$2))</f>
        <v>0</v>
      </c>
      <c r="L23" s="75">
        <f>SUMPRODUCT((Tableau6[[Code Réclamation  ]]="Showroom Bonamoussadi")*(Tableau6[[Typologie ]]=$A23)*(Tableau6[[Catégories ]]=L$2))</f>
        <v>0</v>
      </c>
      <c r="M23" s="75">
        <f>SUMPRODUCT((Tableau6[Noms &amp; Prenoms]="Showroom Bonamoussadi")*(Tableau6[[Code Réclamation  ]]=$A23)*(Tableau6[Types]=M$2))</f>
        <v>0</v>
      </c>
      <c r="N23" s="74">
        <f>SUMPRODUCT((Tableau6[[Typologie ]]="Showroom Bonanjo")*(Tableau6[Dates]=$A23)*(Tableau6[Requetes]=N$2))</f>
        <v>0</v>
      </c>
      <c r="O23" s="74">
        <f>SUMPRODUCT((Tableau6[Dates]=$A23)*(Tableau6[[Typologie ]]="Showroom Bonanjo")*(Tableau6[Requetes]=O$2))</f>
        <v>0</v>
      </c>
      <c r="P23" s="74">
        <f>SUMPRODUCT((Tableau6[Noms &amp; Prenoms]="Showroom Bonanjo")*(Tableau6[[Code Réclamation  ]]=$A23)*(Tableau6[Types]=P$2))</f>
        <v>0</v>
      </c>
      <c r="Q23" s="75">
        <f>SUMPRODUCT((Tableau6[[Typologie ]]="Showroom Garoua")*(Tableau6[Dates]=$A23)*(Tableau6[Requetes]=Q$2))</f>
        <v>0</v>
      </c>
      <c r="R23" s="75">
        <f>SUMPRODUCT((Tableau6[[Code Réclamation  ]]="Showroom Garoua")*(Tableau6[[Typologie ]]=$A23)*(Tableau6[[Catégories ]]=R$2))</f>
        <v>0</v>
      </c>
      <c r="S23" s="75">
        <f>SUMPRODUCT((Tableau6[Noms &amp; Prenoms]="Showroom Garoua")*(Tableau6[[Code Réclamation  ]]=$A23)*(Tableau6[Types]=S$2))</f>
        <v>0</v>
      </c>
      <c r="T23" s="74">
        <f>SUMPRODUCT((Tableau6[[Typologie ]]="Shop Bastos")*(Tableau6[Dates]=$A23)*(Tableau6[Requetes]=T$2))</f>
        <v>0</v>
      </c>
      <c r="U23" s="74">
        <f>SUMPRODUCT((Tableau6[[Code Réclamation  ]]="Shop Bastos")*(Tableau6[[Typologie ]]=$A23)*(Tableau6[[Catégories ]]=U$2))</f>
        <v>0</v>
      </c>
      <c r="V23" s="74">
        <f>SUMPRODUCT((Tableau6[Noms &amp; Prenoms]="Shop Bastos")*(Tableau6[[Code Réclamation  ]]=$A23)*(Tableau6[Types]=V$2))</f>
        <v>0</v>
      </c>
      <c r="W23" s="75">
        <f>SUMPRODUCT((Tableau6[[Typologie ]]="Shop Essos")*(Tableau6[Dates]=$A23)*(Tableau6[Requetes]=W$2))</f>
        <v>0</v>
      </c>
      <c r="X23" s="75">
        <f>SUMPRODUCT((Tableau6[[Code Réclamation  ]]="Shop Essos")*(Tableau6[[Typologie ]]=$A23)*(Tableau6[[Catégories ]]=X$2))</f>
        <v>0</v>
      </c>
      <c r="Y23" s="75">
        <f>SUMPRODUCT((Tableau6[Noms &amp; Prenoms]="Shop Essos")*(Tableau6[[Code Réclamation  ]]=$A23)*(Tableau6[Types]=Y$2))</f>
        <v>0</v>
      </c>
      <c r="Z23" s="74">
        <f>SUMPRODUCT((Tableau6[[Typologie ]]="Shop Peyrissac")*(Tableau6[Dates]=$A23)*(Tableau6[Requetes]=Z$2))</f>
        <v>0</v>
      </c>
      <c r="AA23" s="74">
        <f>SUMPRODUCT((Tableau6[[Code Réclamation  ]]="Shop Peyrissac")*(Tableau6[[Typologie ]]=$A23)*(Tableau6[[Catégories ]]=AA$2))</f>
        <v>0</v>
      </c>
      <c r="AB23" s="74">
        <f>SUMPRODUCT((Tableau6[Noms &amp; Prenoms]="Shop Peyrissac")*(Tableau6[[Code Réclamation  ]]=$A23)*(Tableau6[Types]=AB$2))</f>
        <v>0</v>
      </c>
      <c r="AC23" s="75">
        <f>SUMPRODUCT((Tableau6[Dates]=$A23)*(Tableau6[Requetes]=AC$2))</f>
        <v>0</v>
      </c>
      <c r="AD23" s="75">
        <f>SUMPRODUCT((Tableau6[[Code Réclamation  ]]="Back Office")*(Tableau6[[Typologie ]]=$A23)*(Tableau6[[Catégories ]]=AD$2))</f>
        <v>0</v>
      </c>
      <c r="AE23" s="75">
        <f>SUMPRODUCT((Tableau6[Noms &amp; Prenoms]="Back Office")*(Tableau6[[Code Réclamation  ]]=$A23)*(Tableau6[Types]=AE$2))</f>
        <v>0</v>
      </c>
      <c r="AF23" s="74">
        <f>SUMPRODUCT((Tableau6[[Typologie ]]="Front Office")*(Tableau6[Dates]=$A23)*(Tableau6[Requetes]=AF$2))</f>
        <v>0</v>
      </c>
      <c r="AG23" s="74">
        <f>SUMPRODUCT((Tableau6[[Code Réclamation  ]]="Front Office")*(Tableau6[[Typologie ]]=$A23)*(Tableau6[[Catégories ]]=AG$2))</f>
        <v>0</v>
      </c>
      <c r="AH23" s="74">
        <f>SUMPRODUCT((Tableau6[Noms &amp; Prenoms]="Front Office")*(Tableau6[[Code Réclamation  ]]=$A23)*(Tableau6[Types]=AH$2))</f>
        <v>0</v>
      </c>
      <c r="AI23" s="75">
        <f>SUMPRODUCT((Tableau6[[Typologie ]]="Direction Générale")*(Tableau6[Dates]=$A23)*(Tableau6[Requetes]=AI$2))</f>
        <v>0</v>
      </c>
      <c r="AJ23" s="75">
        <f>SUMPRODUCT((Tableau6[[Code Réclamation  ]]="Direction Générale")*(Tableau6[[Typologie ]]=$A23)*(Tableau6[[Catégories ]]=AJ$2))</f>
        <v>0</v>
      </c>
      <c r="AK23" s="75">
        <f>SUMPRODUCT((Tableau6[Noms &amp; Prenoms]="Direction Générale")*(Tableau6[[Code Réclamation  ]]=$A23)*(Tableau6[Types]=AK$2))</f>
        <v>0</v>
      </c>
    </row>
    <row r="24" spans="1:37">
      <c r="A24" s="73">
        <v>43122</v>
      </c>
      <c r="B24" s="74">
        <f>SUMPRODUCT((Tableau6[[Typologie ]]='Don''t delete'!B30)*(Tableau6[Dates]=$A24)*(Tableau6[Requetes]=B$2))</f>
        <v>0</v>
      </c>
      <c r="C24" s="74">
        <f>SUMPRODUCT((Tableau6[[Typologie ]]="Showroom Akwa")*(Tableau6[Dates]=$A24)*(Tableau6[Requetes]=C$2))</f>
        <v>0</v>
      </c>
      <c r="D24" s="74">
        <f>SUMPRODUCT((Tableau6[Dates]=$A24)*(Tableau6[[Typologie ]]="Showroom Akwa")*(Tableau6[Requetes]=D$2))</f>
        <v>0</v>
      </c>
      <c r="E24" s="75">
        <f>SUMPRODUCT((Tableau6[[Typologie ]]="Showroom Bafoussam")*(Tableau6[Dates]=$A24)*(Tableau6[Requetes]=E$2))</f>
        <v>0</v>
      </c>
      <c r="F24" s="75">
        <f>SUMPRODUCT((Tableau6[[Typologie ]]="Showroom Bafoussam")*(Tableau6[Dates]=$A24)*(Tableau6[Requetes]=F$2))</f>
        <v>0</v>
      </c>
      <c r="G24" s="75">
        <f>SUMPRODUCT((Tableau6[[Typologie ]]="Showroom Bafoussam")*(Tableau6[Dates]=$A24)*(Tableau6[Requetes]=G$2))</f>
        <v>0</v>
      </c>
      <c r="H24" s="74">
        <f>SUMPRODUCT((Tableau6[[Typologie ]]="Showroom Yaounde")*(Tableau6[Dates]=$A24)*(Tableau6[Requetes]=H$2))</f>
        <v>0</v>
      </c>
      <c r="I24" s="74">
        <f>SUMPRODUCT((Tableau6[[Code Réclamation  ]]="Showroom Yaounde")*(Tableau6[[Typologie ]]=$A24)*(Tableau6[[Catégories ]]=I$2))</f>
        <v>0</v>
      </c>
      <c r="J24" s="74">
        <f>SUMPRODUCT((Tableau6[Noms &amp; Prenoms]="Showroom Yaounde")*(Tableau6[[Code Réclamation  ]]=$A24)*(Tableau6[Types]=J$2))</f>
        <v>0</v>
      </c>
      <c r="K24" s="75">
        <f>SUMPRODUCT((Tableau6[[Typologie ]]="Showroom Bonamoussadi")*(Tableau6[Dates]=$A24)*(Tableau6[Requetes]=K$2))</f>
        <v>0</v>
      </c>
      <c r="L24" s="75">
        <f>SUMPRODUCT((Tableau6[[Code Réclamation  ]]="Showroom Bonamoussadi")*(Tableau6[[Typologie ]]=$A24)*(Tableau6[[Catégories ]]=L$2))</f>
        <v>0</v>
      </c>
      <c r="M24" s="75">
        <f>SUMPRODUCT((Tableau6[Noms &amp; Prenoms]="Showroom Bonamoussadi")*(Tableau6[[Code Réclamation  ]]=$A24)*(Tableau6[Types]=M$2))</f>
        <v>0</v>
      </c>
      <c r="N24" s="74">
        <f>SUMPRODUCT((Tableau6[[Typologie ]]="Showroom Bonanjo")*(Tableau6[Dates]=$A24)*(Tableau6[Requetes]=N$2))</f>
        <v>0</v>
      </c>
      <c r="O24" s="74">
        <f>SUMPRODUCT((Tableau6[Dates]=$A24)*(Tableau6[[Typologie ]]="Showroom Bonanjo")*(Tableau6[Requetes]=O$2))</f>
        <v>0</v>
      </c>
      <c r="P24" s="74">
        <f>SUMPRODUCT((Tableau6[Noms &amp; Prenoms]="Showroom Bonanjo")*(Tableau6[[Code Réclamation  ]]=$A24)*(Tableau6[Types]=P$2))</f>
        <v>0</v>
      </c>
      <c r="Q24" s="75">
        <f>SUMPRODUCT((Tableau6[[Typologie ]]="Showroom Garoua")*(Tableau6[Dates]=$A24)*(Tableau6[Requetes]=Q$2))</f>
        <v>0</v>
      </c>
      <c r="R24" s="75">
        <f>SUMPRODUCT((Tableau6[[Code Réclamation  ]]="Showroom Garoua")*(Tableau6[[Typologie ]]=$A24)*(Tableau6[[Catégories ]]=R$2))</f>
        <v>0</v>
      </c>
      <c r="S24" s="75">
        <f>SUMPRODUCT((Tableau6[Noms &amp; Prenoms]="Showroom Garoua")*(Tableau6[[Code Réclamation  ]]=$A24)*(Tableau6[Types]=S$2))</f>
        <v>0</v>
      </c>
      <c r="T24" s="74">
        <f>SUMPRODUCT((Tableau6[[Typologie ]]="Shop Bastos")*(Tableau6[Dates]=$A24)*(Tableau6[Requetes]=T$2))</f>
        <v>0</v>
      </c>
      <c r="U24" s="74">
        <f>SUMPRODUCT((Tableau6[[Code Réclamation  ]]="Shop Bastos")*(Tableau6[[Typologie ]]=$A24)*(Tableau6[[Catégories ]]=U$2))</f>
        <v>0</v>
      </c>
      <c r="V24" s="74">
        <f>SUMPRODUCT((Tableau6[Noms &amp; Prenoms]="Shop Bastos")*(Tableau6[[Code Réclamation  ]]=$A24)*(Tableau6[Types]=V$2))</f>
        <v>0</v>
      </c>
      <c r="W24" s="75">
        <f>SUMPRODUCT((Tableau6[[Typologie ]]="Shop Essos")*(Tableau6[Dates]=$A24)*(Tableau6[Requetes]=W$2))</f>
        <v>0</v>
      </c>
      <c r="X24" s="75">
        <f>SUMPRODUCT((Tableau6[[Code Réclamation  ]]="Shop Essos")*(Tableau6[[Typologie ]]=$A24)*(Tableau6[[Catégories ]]=X$2))</f>
        <v>0</v>
      </c>
      <c r="Y24" s="75">
        <f>SUMPRODUCT((Tableau6[Noms &amp; Prenoms]="Shop Essos")*(Tableau6[[Code Réclamation  ]]=$A24)*(Tableau6[Types]=Y$2))</f>
        <v>0</v>
      </c>
      <c r="Z24" s="74">
        <f>SUMPRODUCT((Tableau6[[Typologie ]]="Shop Peyrissac")*(Tableau6[Dates]=$A24)*(Tableau6[Requetes]=Z$2))</f>
        <v>0</v>
      </c>
      <c r="AA24" s="74">
        <f>SUMPRODUCT((Tableau6[[Code Réclamation  ]]="Shop Peyrissac")*(Tableau6[[Typologie ]]=$A24)*(Tableau6[[Catégories ]]=AA$2))</f>
        <v>0</v>
      </c>
      <c r="AB24" s="74">
        <f>SUMPRODUCT((Tableau6[Noms &amp; Prenoms]="Shop Peyrissac")*(Tableau6[[Code Réclamation  ]]=$A24)*(Tableau6[Types]=AB$2))</f>
        <v>0</v>
      </c>
      <c r="AC24" s="75">
        <f>SUMPRODUCT((Tableau6[Dates]=$A24)*(Tableau6[Requetes]=AC$2))</f>
        <v>0</v>
      </c>
      <c r="AD24" s="75">
        <f>SUMPRODUCT((Tableau6[[Code Réclamation  ]]="Back Office")*(Tableau6[[Typologie ]]=$A24)*(Tableau6[[Catégories ]]=AD$2))</f>
        <v>0</v>
      </c>
      <c r="AE24" s="75">
        <f>SUMPRODUCT((Tableau6[Noms &amp; Prenoms]="Back Office")*(Tableau6[[Code Réclamation  ]]=$A24)*(Tableau6[Types]=AE$2))</f>
        <v>0</v>
      </c>
      <c r="AF24" s="74">
        <f>SUMPRODUCT((Tableau6[[Typologie ]]="Front Office")*(Tableau6[Dates]=$A24)*(Tableau6[Requetes]=AF$2))</f>
        <v>0</v>
      </c>
      <c r="AG24" s="74">
        <f>SUMPRODUCT((Tableau6[[Code Réclamation  ]]="Front Office")*(Tableau6[[Typologie ]]=$A24)*(Tableau6[[Catégories ]]=AG$2))</f>
        <v>0</v>
      </c>
      <c r="AH24" s="74">
        <f>SUMPRODUCT((Tableau6[Noms &amp; Prenoms]="Front Office")*(Tableau6[[Code Réclamation  ]]=$A24)*(Tableau6[Types]=AH$2))</f>
        <v>0</v>
      </c>
      <c r="AI24" s="75">
        <f>SUMPRODUCT((Tableau6[[Typologie ]]="Direction Générale")*(Tableau6[Dates]=$A24)*(Tableau6[Requetes]=AI$2))</f>
        <v>0</v>
      </c>
      <c r="AJ24" s="75">
        <f>SUMPRODUCT((Tableau6[[Code Réclamation  ]]="Direction Générale")*(Tableau6[[Typologie ]]=$A24)*(Tableau6[[Catégories ]]=AJ$2))</f>
        <v>0</v>
      </c>
      <c r="AK24" s="75">
        <f>SUMPRODUCT((Tableau6[Noms &amp; Prenoms]="Direction Générale")*(Tableau6[[Code Réclamation  ]]=$A24)*(Tableau6[Types]=AK$2))</f>
        <v>0</v>
      </c>
    </row>
    <row r="25" spans="1:37">
      <c r="A25" s="73">
        <v>43123</v>
      </c>
      <c r="B25" s="74">
        <f>SUMPRODUCT((Tableau6[[Typologie ]]='Don''t delete'!B31)*(Tableau6[Dates]=$A25)*(Tableau6[Requetes]=B$2))</f>
        <v>0</v>
      </c>
      <c r="C25" s="74">
        <f>SUMPRODUCT((Tableau6[[Typologie ]]="Showroom Akwa")*(Tableau6[Dates]=$A25)*(Tableau6[Requetes]=C$2))</f>
        <v>0</v>
      </c>
      <c r="D25" s="74">
        <f>SUMPRODUCT((Tableau6[Dates]=$A25)*(Tableau6[[Typologie ]]="Showroom Akwa")*(Tableau6[Requetes]=D$2))</f>
        <v>0</v>
      </c>
      <c r="E25" s="75">
        <f>SUMPRODUCT((Tableau6[[Typologie ]]="Showroom Bafoussam")*(Tableau6[Dates]=$A25)*(Tableau6[Requetes]=E$2))</f>
        <v>0</v>
      </c>
      <c r="F25" s="75">
        <f>SUMPRODUCT((Tableau6[[Typologie ]]="Showroom Bafoussam")*(Tableau6[Dates]=$A25)*(Tableau6[Requetes]=F$2))</f>
        <v>0</v>
      </c>
      <c r="G25" s="75">
        <f>SUMPRODUCT((Tableau6[[Typologie ]]="Showroom Bafoussam")*(Tableau6[Dates]=$A25)*(Tableau6[Requetes]=G$2))</f>
        <v>0</v>
      </c>
      <c r="H25" s="74">
        <f>SUMPRODUCT((Tableau6[[Typologie ]]="Showroom Yaounde")*(Tableau6[Dates]=$A25)*(Tableau6[Requetes]=H$2))</f>
        <v>0</v>
      </c>
      <c r="I25" s="74">
        <f>SUMPRODUCT((Tableau6[[Code Réclamation  ]]="Showroom Yaounde")*(Tableau6[[Typologie ]]=$A25)*(Tableau6[[Catégories ]]=I$2))</f>
        <v>0</v>
      </c>
      <c r="J25" s="74">
        <f>SUMPRODUCT((Tableau6[Noms &amp; Prenoms]="Showroom Yaounde")*(Tableau6[[Code Réclamation  ]]=$A25)*(Tableau6[Types]=J$2))</f>
        <v>0</v>
      </c>
      <c r="K25" s="75">
        <f>SUMPRODUCT((Tableau6[[Typologie ]]="Showroom Bonamoussadi")*(Tableau6[Dates]=$A25)*(Tableau6[Requetes]=K$2))</f>
        <v>0</v>
      </c>
      <c r="L25" s="75">
        <f>SUMPRODUCT((Tableau6[[Code Réclamation  ]]="Showroom Bonamoussadi")*(Tableau6[[Typologie ]]=$A25)*(Tableau6[[Catégories ]]=L$2))</f>
        <v>0</v>
      </c>
      <c r="M25" s="75">
        <f>SUMPRODUCT((Tableau6[Noms &amp; Prenoms]="Showroom Bonamoussadi")*(Tableau6[[Code Réclamation  ]]=$A25)*(Tableau6[Types]=M$2))</f>
        <v>0</v>
      </c>
      <c r="N25" s="74">
        <f>SUMPRODUCT((Tableau6[[Typologie ]]="Showroom Bonanjo")*(Tableau6[Dates]=$A25)*(Tableau6[Requetes]=N$2))</f>
        <v>0</v>
      </c>
      <c r="O25" s="74">
        <f>SUMPRODUCT((Tableau6[Dates]=$A25)*(Tableau6[[Typologie ]]="Showroom Bonanjo")*(Tableau6[Requetes]=O$2))</f>
        <v>0</v>
      </c>
      <c r="P25" s="74">
        <f>SUMPRODUCT((Tableau6[Noms &amp; Prenoms]="Showroom Bonanjo")*(Tableau6[[Code Réclamation  ]]=$A25)*(Tableau6[Types]=P$2))</f>
        <v>0</v>
      </c>
      <c r="Q25" s="75">
        <f>SUMPRODUCT((Tableau6[[Typologie ]]="Showroom Garoua")*(Tableau6[Dates]=$A25)*(Tableau6[Requetes]=Q$2))</f>
        <v>0</v>
      </c>
      <c r="R25" s="75">
        <f>SUMPRODUCT((Tableau6[[Code Réclamation  ]]="Showroom Garoua")*(Tableau6[[Typologie ]]=$A25)*(Tableau6[[Catégories ]]=R$2))</f>
        <v>0</v>
      </c>
      <c r="S25" s="75">
        <f>SUMPRODUCT((Tableau6[Noms &amp; Prenoms]="Showroom Garoua")*(Tableau6[[Code Réclamation  ]]=$A25)*(Tableau6[Types]=S$2))</f>
        <v>0</v>
      </c>
      <c r="T25" s="74">
        <f>SUMPRODUCT((Tableau6[[Typologie ]]="Shop Bastos")*(Tableau6[Dates]=$A25)*(Tableau6[Requetes]=T$2))</f>
        <v>0</v>
      </c>
      <c r="U25" s="74">
        <f>SUMPRODUCT((Tableau6[[Code Réclamation  ]]="Shop Bastos")*(Tableau6[[Typologie ]]=$A25)*(Tableau6[[Catégories ]]=U$2))</f>
        <v>0</v>
      </c>
      <c r="V25" s="74">
        <f>SUMPRODUCT((Tableau6[Noms &amp; Prenoms]="Shop Bastos")*(Tableau6[[Code Réclamation  ]]=$A25)*(Tableau6[Types]=V$2))</f>
        <v>0</v>
      </c>
      <c r="W25" s="75">
        <f>SUMPRODUCT((Tableau6[[Typologie ]]="Shop Essos")*(Tableau6[Dates]=$A25)*(Tableau6[Requetes]=W$2))</f>
        <v>0</v>
      </c>
      <c r="X25" s="75">
        <f>SUMPRODUCT((Tableau6[[Code Réclamation  ]]="Shop Essos")*(Tableau6[[Typologie ]]=$A25)*(Tableau6[[Catégories ]]=X$2))</f>
        <v>0</v>
      </c>
      <c r="Y25" s="75">
        <f>SUMPRODUCT((Tableau6[Noms &amp; Prenoms]="Shop Essos")*(Tableau6[[Code Réclamation  ]]=$A25)*(Tableau6[Types]=Y$2))</f>
        <v>0</v>
      </c>
      <c r="Z25" s="74">
        <f>SUMPRODUCT((Tableau6[[Typologie ]]="Shop Peyrissac")*(Tableau6[Dates]=$A25)*(Tableau6[Requetes]=Z$2))</f>
        <v>0</v>
      </c>
      <c r="AA25" s="74">
        <f>SUMPRODUCT((Tableau6[[Code Réclamation  ]]="Shop Peyrissac")*(Tableau6[[Typologie ]]=$A25)*(Tableau6[[Catégories ]]=AA$2))</f>
        <v>0</v>
      </c>
      <c r="AB25" s="74">
        <f>SUMPRODUCT((Tableau6[Noms &amp; Prenoms]="Shop Peyrissac")*(Tableau6[[Code Réclamation  ]]=$A25)*(Tableau6[Types]=AB$2))</f>
        <v>0</v>
      </c>
      <c r="AC25" s="75">
        <f>SUMPRODUCT((Tableau6[Dates]=$A25)*(Tableau6[Requetes]=AC$2))</f>
        <v>0</v>
      </c>
      <c r="AD25" s="75">
        <f>SUMPRODUCT((Tableau6[[Code Réclamation  ]]="Back Office")*(Tableau6[[Typologie ]]=$A25)*(Tableau6[[Catégories ]]=AD$2))</f>
        <v>0</v>
      </c>
      <c r="AE25" s="75">
        <f>SUMPRODUCT((Tableau6[Noms &amp; Prenoms]="Back Office")*(Tableau6[[Code Réclamation  ]]=$A25)*(Tableau6[Types]=AE$2))</f>
        <v>0</v>
      </c>
      <c r="AF25" s="74">
        <f>SUMPRODUCT((Tableau6[[Typologie ]]="Front Office")*(Tableau6[Dates]=$A25)*(Tableau6[Requetes]=AF$2))</f>
        <v>0</v>
      </c>
      <c r="AG25" s="74">
        <f>SUMPRODUCT((Tableau6[[Code Réclamation  ]]="Front Office")*(Tableau6[[Typologie ]]=$A25)*(Tableau6[[Catégories ]]=AG$2))</f>
        <v>0</v>
      </c>
      <c r="AH25" s="74">
        <f>SUMPRODUCT((Tableau6[Noms &amp; Prenoms]="Front Office")*(Tableau6[[Code Réclamation  ]]=$A25)*(Tableau6[Types]=AH$2))</f>
        <v>0</v>
      </c>
      <c r="AI25" s="75">
        <f>SUMPRODUCT((Tableau6[[Typologie ]]="Direction Générale")*(Tableau6[Dates]=$A25)*(Tableau6[Requetes]=AI$2))</f>
        <v>0</v>
      </c>
      <c r="AJ25" s="75">
        <f>SUMPRODUCT((Tableau6[[Code Réclamation  ]]="Direction Générale")*(Tableau6[[Typologie ]]=$A25)*(Tableau6[[Catégories ]]=AJ$2))</f>
        <v>0</v>
      </c>
      <c r="AK25" s="75">
        <f>SUMPRODUCT((Tableau6[Noms &amp; Prenoms]="Direction Générale")*(Tableau6[[Code Réclamation  ]]=$A25)*(Tableau6[Types]=AK$2))</f>
        <v>0</v>
      </c>
    </row>
    <row r="26" spans="1:37">
      <c r="A26" s="73">
        <v>43124</v>
      </c>
      <c r="B26" s="74">
        <f>SUMPRODUCT((Tableau6[[Typologie ]]='Don''t delete'!B32)*(Tableau6[Dates]=$A26)*(Tableau6[Requetes]=B$2))</f>
        <v>0</v>
      </c>
      <c r="C26" s="74">
        <f>SUMPRODUCT((Tableau6[[Typologie ]]="Showroom Akwa")*(Tableau6[Dates]=$A26)*(Tableau6[Requetes]=C$2))</f>
        <v>0</v>
      </c>
      <c r="D26" s="74">
        <f>SUMPRODUCT((Tableau6[Dates]=$A26)*(Tableau6[[Typologie ]]="Showroom Akwa")*(Tableau6[Requetes]=D$2))</f>
        <v>0</v>
      </c>
      <c r="E26" s="75">
        <f>SUMPRODUCT((Tableau6[[Typologie ]]="Showroom Bafoussam")*(Tableau6[Dates]=$A26)*(Tableau6[Requetes]=E$2))</f>
        <v>0</v>
      </c>
      <c r="F26" s="75">
        <f>SUMPRODUCT((Tableau6[[Typologie ]]="Showroom Bafoussam")*(Tableau6[Dates]=$A26)*(Tableau6[Requetes]=F$2))</f>
        <v>0</v>
      </c>
      <c r="G26" s="75">
        <f>SUMPRODUCT((Tableau6[[Typologie ]]="Showroom Bafoussam")*(Tableau6[Dates]=$A26)*(Tableau6[Requetes]=G$2))</f>
        <v>0</v>
      </c>
      <c r="H26" s="74">
        <f>SUMPRODUCT((Tableau6[[Typologie ]]="Showroom Yaounde")*(Tableau6[Dates]=$A26)*(Tableau6[Requetes]=H$2))</f>
        <v>0</v>
      </c>
      <c r="I26" s="74">
        <f>SUMPRODUCT((Tableau6[[Code Réclamation  ]]="Showroom Yaounde")*(Tableau6[[Typologie ]]=$A26)*(Tableau6[[Catégories ]]=I$2))</f>
        <v>0</v>
      </c>
      <c r="J26" s="74">
        <f>SUMPRODUCT((Tableau6[Noms &amp; Prenoms]="Showroom Yaounde")*(Tableau6[[Code Réclamation  ]]=$A26)*(Tableau6[Types]=J$2))</f>
        <v>0</v>
      </c>
      <c r="K26" s="75">
        <f>SUMPRODUCT((Tableau6[[Typologie ]]="Showroom Bonamoussadi")*(Tableau6[Dates]=$A26)*(Tableau6[Requetes]=K$2))</f>
        <v>0</v>
      </c>
      <c r="L26" s="75">
        <f>SUMPRODUCT((Tableau6[[Code Réclamation  ]]="Showroom Bonamoussadi")*(Tableau6[[Typologie ]]=$A26)*(Tableau6[[Catégories ]]=L$2))</f>
        <v>0</v>
      </c>
      <c r="M26" s="75">
        <f>SUMPRODUCT((Tableau6[Noms &amp; Prenoms]="Showroom Bonamoussadi")*(Tableau6[[Code Réclamation  ]]=$A26)*(Tableau6[Types]=M$2))</f>
        <v>0</v>
      </c>
      <c r="N26" s="74">
        <f>SUMPRODUCT((Tableau6[[Typologie ]]="Showroom Bonanjo")*(Tableau6[Dates]=$A26)*(Tableau6[Requetes]=N$2))</f>
        <v>0</v>
      </c>
      <c r="O26" s="74">
        <f>SUMPRODUCT((Tableau6[Dates]=$A26)*(Tableau6[[Typologie ]]="Showroom Bonanjo")*(Tableau6[Requetes]=O$2))</f>
        <v>0</v>
      </c>
      <c r="P26" s="74">
        <f>SUMPRODUCT((Tableau6[Noms &amp; Prenoms]="Showroom Bonanjo")*(Tableau6[[Code Réclamation  ]]=$A26)*(Tableau6[Types]=P$2))</f>
        <v>0</v>
      </c>
      <c r="Q26" s="75">
        <f>SUMPRODUCT((Tableau6[[Typologie ]]="Showroom Garoua")*(Tableau6[Dates]=$A26)*(Tableau6[Requetes]=Q$2))</f>
        <v>0</v>
      </c>
      <c r="R26" s="75">
        <f>SUMPRODUCT((Tableau6[[Code Réclamation  ]]="Showroom Garoua")*(Tableau6[[Typologie ]]=$A26)*(Tableau6[[Catégories ]]=R$2))</f>
        <v>0</v>
      </c>
      <c r="S26" s="75">
        <f>SUMPRODUCT((Tableau6[Noms &amp; Prenoms]="Showroom Garoua")*(Tableau6[[Code Réclamation  ]]=$A26)*(Tableau6[Types]=S$2))</f>
        <v>0</v>
      </c>
      <c r="T26" s="74">
        <f>SUMPRODUCT((Tableau6[[Typologie ]]="Shop Bastos")*(Tableau6[Dates]=$A26)*(Tableau6[Requetes]=T$2))</f>
        <v>0</v>
      </c>
      <c r="U26" s="74">
        <f>SUMPRODUCT((Tableau6[[Code Réclamation  ]]="Shop Bastos")*(Tableau6[[Typologie ]]=$A26)*(Tableau6[[Catégories ]]=U$2))</f>
        <v>0</v>
      </c>
      <c r="V26" s="74">
        <f>SUMPRODUCT((Tableau6[Noms &amp; Prenoms]="Shop Bastos")*(Tableau6[[Code Réclamation  ]]=$A26)*(Tableau6[Types]=V$2))</f>
        <v>0</v>
      </c>
      <c r="W26" s="75">
        <f>SUMPRODUCT((Tableau6[[Typologie ]]="Shop Essos")*(Tableau6[Dates]=$A26)*(Tableau6[Requetes]=W$2))</f>
        <v>0</v>
      </c>
      <c r="X26" s="75">
        <f>SUMPRODUCT((Tableau6[[Code Réclamation  ]]="Shop Essos")*(Tableau6[[Typologie ]]=$A26)*(Tableau6[[Catégories ]]=X$2))</f>
        <v>0</v>
      </c>
      <c r="Y26" s="75">
        <f>SUMPRODUCT((Tableau6[Noms &amp; Prenoms]="Shop Essos")*(Tableau6[[Code Réclamation  ]]=$A26)*(Tableau6[Types]=Y$2))</f>
        <v>0</v>
      </c>
      <c r="Z26" s="74">
        <f>SUMPRODUCT((Tableau6[[Typologie ]]="Shop Peyrissac")*(Tableau6[Dates]=$A26)*(Tableau6[Requetes]=Z$2))</f>
        <v>0</v>
      </c>
      <c r="AA26" s="74">
        <f>SUMPRODUCT((Tableau6[[Code Réclamation  ]]="Shop Peyrissac")*(Tableau6[[Typologie ]]=$A26)*(Tableau6[[Catégories ]]=AA$2))</f>
        <v>0</v>
      </c>
      <c r="AB26" s="74">
        <f>SUMPRODUCT((Tableau6[Noms &amp; Prenoms]="Shop Peyrissac")*(Tableau6[[Code Réclamation  ]]=$A26)*(Tableau6[Types]=AB$2))</f>
        <v>0</v>
      </c>
      <c r="AC26" s="75">
        <f>SUMPRODUCT((Tableau6[Dates]=$A26)*(Tableau6[Requetes]=AC$2))</f>
        <v>0</v>
      </c>
      <c r="AD26" s="75">
        <f>SUMPRODUCT((Tableau6[[Code Réclamation  ]]="Back Office")*(Tableau6[[Typologie ]]=$A26)*(Tableau6[[Catégories ]]=AD$2))</f>
        <v>0</v>
      </c>
      <c r="AE26" s="75">
        <f>SUMPRODUCT((Tableau6[Noms &amp; Prenoms]="Back Office")*(Tableau6[[Code Réclamation  ]]=$A26)*(Tableau6[Types]=AE$2))</f>
        <v>0</v>
      </c>
      <c r="AF26" s="74">
        <f>SUMPRODUCT((Tableau6[[Typologie ]]="Front Office")*(Tableau6[Dates]=$A26)*(Tableau6[Requetes]=AF$2))</f>
        <v>0</v>
      </c>
      <c r="AG26" s="74">
        <f>SUMPRODUCT((Tableau6[[Code Réclamation  ]]="Front Office")*(Tableau6[[Typologie ]]=$A26)*(Tableau6[[Catégories ]]=AG$2))</f>
        <v>0</v>
      </c>
      <c r="AH26" s="74">
        <f>SUMPRODUCT((Tableau6[Noms &amp; Prenoms]="Front Office")*(Tableau6[[Code Réclamation  ]]=$A26)*(Tableau6[Types]=AH$2))</f>
        <v>0</v>
      </c>
      <c r="AI26" s="75">
        <f>SUMPRODUCT((Tableau6[[Typologie ]]="Direction Générale")*(Tableau6[Dates]=$A26)*(Tableau6[Requetes]=AI$2))</f>
        <v>0</v>
      </c>
      <c r="AJ26" s="75">
        <f>SUMPRODUCT((Tableau6[[Code Réclamation  ]]="Direction Générale")*(Tableau6[[Typologie ]]=$A26)*(Tableau6[[Catégories ]]=AJ$2))</f>
        <v>0</v>
      </c>
      <c r="AK26" s="75">
        <f>SUMPRODUCT((Tableau6[Noms &amp; Prenoms]="Direction Générale")*(Tableau6[[Code Réclamation  ]]=$A26)*(Tableau6[Types]=AK$2))</f>
        <v>0</v>
      </c>
    </row>
    <row r="27" spans="1:37">
      <c r="A27" s="73">
        <v>43125</v>
      </c>
      <c r="B27" s="74">
        <f>SUMPRODUCT((Tableau6[[Typologie ]]='Don''t delete'!B33)*(Tableau6[Dates]=$A27)*(Tableau6[Requetes]=B$2))</f>
        <v>0</v>
      </c>
      <c r="C27" s="74">
        <f>SUMPRODUCT((Tableau6[[Typologie ]]="Showroom Akwa")*(Tableau6[Dates]=$A27)*(Tableau6[Requetes]=C$2))</f>
        <v>0</v>
      </c>
      <c r="D27" s="74">
        <f>SUMPRODUCT((Tableau6[Dates]=$A27)*(Tableau6[[Typologie ]]="Showroom Akwa")*(Tableau6[Requetes]=D$2))</f>
        <v>0</v>
      </c>
      <c r="E27" s="75">
        <f>SUMPRODUCT((Tableau6[[Typologie ]]="Showroom Bafoussam")*(Tableau6[Dates]=$A27)*(Tableau6[Requetes]=E$2))</f>
        <v>0</v>
      </c>
      <c r="F27" s="75">
        <f>SUMPRODUCT((Tableau6[[Typologie ]]="Showroom Bafoussam")*(Tableau6[Dates]=$A27)*(Tableau6[Requetes]=F$2))</f>
        <v>0</v>
      </c>
      <c r="G27" s="75">
        <f>SUMPRODUCT((Tableau6[[Typologie ]]="Showroom Bafoussam")*(Tableau6[Dates]=$A27)*(Tableau6[Requetes]=G$2))</f>
        <v>0</v>
      </c>
      <c r="H27" s="74">
        <f>SUMPRODUCT((Tableau6[[Typologie ]]="Showroom Yaounde")*(Tableau6[Dates]=$A27)*(Tableau6[Requetes]=H$2))</f>
        <v>0</v>
      </c>
      <c r="I27" s="74">
        <f>SUMPRODUCT((Tableau6[[Code Réclamation  ]]="Showroom Yaounde")*(Tableau6[[Typologie ]]=$A27)*(Tableau6[[Catégories ]]=I$2))</f>
        <v>0</v>
      </c>
      <c r="J27" s="74">
        <f>SUMPRODUCT((Tableau6[Noms &amp; Prenoms]="Showroom Yaounde")*(Tableau6[[Code Réclamation  ]]=$A27)*(Tableau6[Types]=J$2))</f>
        <v>0</v>
      </c>
      <c r="K27" s="75">
        <f>SUMPRODUCT((Tableau6[[Typologie ]]="Showroom Bonamoussadi")*(Tableau6[Dates]=$A27)*(Tableau6[Requetes]=K$2))</f>
        <v>0</v>
      </c>
      <c r="L27" s="75">
        <f>SUMPRODUCT((Tableau6[[Code Réclamation  ]]="Showroom Bonamoussadi")*(Tableau6[[Typologie ]]=$A27)*(Tableau6[[Catégories ]]=L$2))</f>
        <v>0</v>
      </c>
      <c r="M27" s="75">
        <f>SUMPRODUCT((Tableau6[Noms &amp; Prenoms]="Showroom Bonamoussadi")*(Tableau6[[Code Réclamation  ]]=$A27)*(Tableau6[Types]=M$2))</f>
        <v>0</v>
      </c>
      <c r="N27" s="74">
        <f>SUMPRODUCT((Tableau6[[Typologie ]]="Showroom Bonanjo")*(Tableau6[Dates]=$A27)*(Tableau6[Requetes]=N$2))</f>
        <v>0</v>
      </c>
      <c r="O27" s="74">
        <f>SUMPRODUCT((Tableau6[Dates]=$A27)*(Tableau6[[Typologie ]]="Showroom Bonanjo")*(Tableau6[Requetes]=O$2))</f>
        <v>0</v>
      </c>
      <c r="P27" s="74">
        <f>SUMPRODUCT((Tableau6[Noms &amp; Prenoms]="Showroom Bonanjo")*(Tableau6[[Code Réclamation  ]]=$A27)*(Tableau6[Types]=P$2))</f>
        <v>0</v>
      </c>
      <c r="Q27" s="75">
        <f>SUMPRODUCT((Tableau6[[Typologie ]]="Showroom Garoua")*(Tableau6[Dates]=$A27)*(Tableau6[Requetes]=Q$2))</f>
        <v>0</v>
      </c>
      <c r="R27" s="75">
        <f>SUMPRODUCT((Tableau6[[Code Réclamation  ]]="Showroom Garoua")*(Tableau6[[Typologie ]]=$A27)*(Tableau6[[Catégories ]]=R$2))</f>
        <v>0</v>
      </c>
      <c r="S27" s="75">
        <f>SUMPRODUCT((Tableau6[Noms &amp; Prenoms]="Showroom Garoua")*(Tableau6[[Code Réclamation  ]]=$A27)*(Tableau6[Types]=S$2))</f>
        <v>0</v>
      </c>
      <c r="T27" s="74">
        <f>SUMPRODUCT((Tableau6[[Typologie ]]="Shop Bastos")*(Tableau6[Dates]=$A27)*(Tableau6[Requetes]=T$2))</f>
        <v>0</v>
      </c>
      <c r="U27" s="74">
        <f>SUMPRODUCT((Tableau6[[Code Réclamation  ]]="Shop Bastos")*(Tableau6[[Typologie ]]=$A27)*(Tableau6[[Catégories ]]=U$2))</f>
        <v>0</v>
      </c>
      <c r="V27" s="74">
        <f>SUMPRODUCT((Tableau6[Noms &amp; Prenoms]="Shop Bastos")*(Tableau6[[Code Réclamation  ]]=$A27)*(Tableau6[Types]=V$2))</f>
        <v>0</v>
      </c>
      <c r="W27" s="75">
        <f>SUMPRODUCT((Tableau6[[Typologie ]]="Shop Essos")*(Tableau6[Dates]=$A27)*(Tableau6[Requetes]=W$2))</f>
        <v>0</v>
      </c>
      <c r="X27" s="75">
        <f>SUMPRODUCT((Tableau6[[Code Réclamation  ]]="Shop Essos")*(Tableau6[[Typologie ]]=$A27)*(Tableau6[[Catégories ]]=X$2))</f>
        <v>0</v>
      </c>
      <c r="Y27" s="75">
        <f>SUMPRODUCT((Tableau6[Noms &amp; Prenoms]="Shop Essos")*(Tableau6[[Code Réclamation  ]]=$A27)*(Tableau6[Types]=Y$2))</f>
        <v>0</v>
      </c>
      <c r="Z27" s="74">
        <f>SUMPRODUCT((Tableau6[[Typologie ]]="Shop Peyrissac")*(Tableau6[Dates]=$A27)*(Tableau6[Requetes]=Z$2))</f>
        <v>0</v>
      </c>
      <c r="AA27" s="74">
        <f>SUMPRODUCT((Tableau6[[Code Réclamation  ]]="Shop Peyrissac")*(Tableau6[[Typologie ]]=$A27)*(Tableau6[[Catégories ]]=AA$2))</f>
        <v>0</v>
      </c>
      <c r="AB27" s="74">
        <f>SUMPRODUCT((Tableau6[Noms &amp; Prenoms]="Shop Peyrissac")*(Tableau6[[Code Réclamation  ]]=$A27)*(Tableau6[Types]=AB$2))</f>
        <v>0</v>
      </c>
      <c r="AC27" s="75">
        <f>SUMPRODUCT((Tableau6[Dates]=$A27)*(Tableau6[Requetes]=AC$2))</f>
        <v>0</v>
      </c>
      <c r="AD27" s="75">
        <f>SUMPRODUCT((Tableau6[[Code Réclamation  ]]="Back Office")*(Tableau6[[Typologie ]]=$A27)*(Tableau6[[Catégories ]]=AD$2))</f>
        <v>0</v>
      </c>
      <c r="AE27" s="75">
        <f>SUMPRODUCT((Tableau6[Noms &amp; Prenoms]="Back Office")*(Tableau6[[Code Réclamation  ]]=$A27)*(Tableau6[Types]=AE$2))</f>
        <v>0</v>
      </c>
      <c r="AF27" s="74">
        <f>SUMPRODUCT((Tableau6[[Typologie ]]="Front Office")*(Tableau6[Dates]=$A27)*(Tableau6[Requetes]=AF$2))</f>
        <v>0</v>
      </c>
      <c r="AG27" s="74">
        <f>SUMPRODUCT((Tableau6[[Code Réclamation  ]]="Front Office")*(Tableau6[[Typologie ]]=$A27)*(Tableau6[[Catégories ]]=AG$2))</f>
        <v>0</v>
      </c>
      <c r="AH27" s="74">
        <f>SUMPRODUCT((Tableau6[Noms &amp; Prenoms]="Front Office")*(Tableau6[[Code Réclamation  ]]=$A27)*(Tableau6[Types]=AH$2))</f>
        <v>0</v>
      </c>
      <c r="AI27" s="75">
        <f>SUMPRODUCT((Tableau6[[Typologie ]]="Direction Générale")*(Tableau6[Dates]=$A27)*(Tableau6[Requetes]=AI$2))</f>
        <v>0</v>
      </c>
      <c r="AJ27" s="75">
        <f>SUMPRODUCT((Tableau6[[Code Réclamation  ]]="Direction Générale")*(Tableau6[[Typologie ]]=$A27)*(Tableau6[[Catégories ]]=AJ$2))</f>
        <v>0</v>
      </c>
      <c r="AK27" s="75">
        <f>SUMPRODUCT((Tableau6[Noms &amp; Prenoms]="Direction Générale")*(Tableau6[[Code Réclamation  ]]=$A27)*(Tableau6[Types]=AK$2))</f>
        <v>0</v>
      </c>
    </row>
    <row r="28" spans="1:37">
      <c r="A28" s="73">
        <v>43126</v>
      </c>
      <c r="B28" s="74">
        <f>SUMPRODUCT((Tableau6[[Typologie ]]='Don''t delete'!B34)*(Tableau6[Dates]=$A28)*(Tableau6[Requetes]=B$2))</f>
        <v>0</v>
      </c>
      <c r="C28" s="74">
        <f>SUMPRODUCT((Tableau6[[Typologie ]]="Showroom Akwa")*(Tableau6[Dates]=$A28)*(Tableau6[Requetes]=C$2))</f>
        <v>0</v>
      </c>
      <c r="D28" s="74">
        <f>SUMPRODUCT((Tableau6[Dates]=$A28)*(Tableau6[[Typologie ]]="Showroom Akwa")*(Tableau6[Requetes]=D$2))</f>
        <v>0</v>
      </c>
      <c r="E28" s="75">
        <f>SUMPRODUCT((Tableau6[[Typologie ]]="Showroom Bafoussam")*(Tableau6[Dates]=$A28)*(Tableau6[Requetes]=E$2))</f>
        <v>0</v>
      </c>
      <c r="F28" s="75">
        <f>SUMPRODUCT((Tableau6[[Typologie ]]="Showroom Bafoussam")*(Tableau6[Dates]=$A28)*(Tableau6[Requetes]=F$2))</f>
        <v>0</v>
      </c>
      <c r="G28" s="75">
        <f>SUMPRODUCT((Tableau6[[Typologie ]]="Showroom Bafoussam")*(Tableau6[Dates]=$A28)*(Tableau6[Requetes]=G$2))</f>
        <v>0</v>
      </c>
      <c r="H28" s="74">
        <f>SUMPRODUCT((Tableau6[[Typologie ]]="Showroom Yaounde")*(Tableau6[Dates]=$A28)*(Tableau6[Requetes]=H$2))</f>
        <v>0</v>
      </c>
      <c r="I28" s="74">
        <f>SUMPRODUCT((Tableau6[[Code Réclamation  ]]="Showroom Yaounde")*(Tableau6[[Typologie ]]=$A28)*(Tableau6[[Catégories ]]=I$2))</f>
        <v>0</v>
      </c>
      <c r="J28" s="74">
        <f>SUMPRODUCT((Tableau6[Noms &amp; Prenoms]="Showroom Yaounde")*(Tableau6[[Code Réclamation  ]]=$A28)*(Tableau6[Types]=J$2))</f>
        <v>0</v>
      </c>
      <c r="K28" s="75">
        <f>SUMPRODUCT((Tableau6[[Typologie ]]="Showroom Bonamoussadi")*(Tableau6[Dates]=$A28)*(Tableau6[Requetes]=K$2))</f>
        <v>0</v>
      </c>
      <c r="L28" s="75">
        <f>SUMPRODUCT((Tableau6[[Code Réclamation  ]]="Showroom Bonamoussadi")*(Tableau6[[Typologie ]]=$A28)*(Tableau6[[Catégories ]]=L$2))</f>
        <v>0</v>
      </c>
      <c r="M28" s="75">
        <f>SUMPRODUCT((Tableau6[Noms &amp; Prenoms]="Showroom Bonamoussadi")*(Tableau6[[Code Réclamation  ]]=$A28)*(Tableau6[Types]=M$2))</f>
        <v>0</v>
      </c>
      <c r="N28" s="74">
        <f>SUMPRODUCT((Tableau6[[Typologie ]]="Showroom Bonanjo")*(Tableau6[Dates]=$A28)*(Tableau6[Requetes]=N$2))</f>
        <v>0</v>
      </c>
      <c r="O28" s="74">
        <f>SUMPRODUCT((Tableau6[Dates]=$A28)*(Tableau6[[Typologie ]]="Showroom Bonanjo")*(Tableau6[Requetes]=O$2))</f>
        <v>0</v>
      </c>
      <c r="P28" s="74">
        <f>SUMPRODUCT((Tableau6[Noms &amp; Prenoms]="Showroom Bonanjo")*(Tableau6[[Code Réclamation  ]]=$A28)*(Tableau6[Types]=P$2))</f>
        <v>0</v>
      </c>
      <c r="Q28" s="75">
        <f>SUMPRODUCT((Tableau6[[Typologie ]]="Showroom Garoua")*(Tableau6[Dates]=$A28)*(Tableau6[Requetes]=Q$2))</f>
        <v>0</v>
      </c>
      <c r="R28" s="75">
        <f>SUMPRODUCT((Tableau6[[Code Réclamation  ]]="Showroom Garoua")*(Tableau6[[Typologie ]]=$A28)*(Tableau6[[Catégories ]]=R$2))</f>
        <v>0</v>
      </c>
      <c r="S28" s="75">
        <f>SUMPRODUCT((Tableau6[Noms &amp; Prenoms]="Showroom Garoua")*(Tableau6[[Code Réclamation  ]]=$A28)*(Tableau6[Types]=S$2))</f>
        <v>0</v>
      </c>
      <c r="T28" s="74">
        <f>SUMPRODUCT((Tableau6[[Typologie ]]="Shop Bastos")*(Tableau6[Dates]=$A28)*(Tableau6[Requetes]=T$2))</f>
        <v>0</v>
      </c>
      <c r="U28" s="74">
        <f>SUMPRODUCT((Tableau6[[Code Réclamation  ]]="Shop Bastos")*(Tableau6[[Typologie ]]=$A28)*(Tableau6[[Catégories ]]=U$2))</f>
        <v>0</v>
      </c>
      <c r="V28" s="74">
        <f>SUMPRODUCT((Tableau6[Noms &amp; Prenoms]="Shop Bastos")*(Tableau6[[Code Réclamation  ]]=$A28)*(Tableau6[Types]=V$2))</f>
        <v>0</v>
      </c>
      <c r="W28" s="75">
        <f>SUMPRODUCT((Tableau6[[Typologie ]]="Shop Essos")*(Tableau6[Dates]=$A28)*(Tableau6[Requetes]=W$2))</f>
        <v>0</v>
      </c>
      <c r="X28" s="75">
        <f>SUMPRODUCT((Tableau6[[Code Réclamation  ]]="Shop Essos")*(Tableau6[[Typologie ]]=$A28)*(Tableau6[[Catégories ]]=X$2))</f>
        <v>0</v>
      </c>
      <c r="Y28" s="75">
        <f>SUMPRODUCT((Tableau6[Noms &amp; Prenoms]="Shop Essos")*(Tableau6[[Code Réclamation  ]]=$A28)*(Tableau6[Types]=Y$2))</f>
        <v>0</v>
      </c>
      <c r="Z28" s="74">
        <f>SUMPRODUCT((Tableau6[[Typologie ]]="Shop Peyrissac")*(Tableau6[Dates]=$A28)*(Tableau6[Requetes]=Z$2))</f>
        <v>0</v>
      </c>
      <c r="AA28" s="74">
        <f>SUMPRODUCT((Tableau6[[Code Réclamation  ]]="Shop Peyrissac")*(Tableau6[[Typologie ]]=$A28)*(Tableau6[[Catégories ]]=AA$2))</f>
        <v>0</v>
      </c>
      <c r="AB28" s="74">
        <f>SUMPRODUCT((Tableau6[Noms &amp; Prenoms]="Shop Peyrissac")*(Tableau6[[Code Réclamation  ]]=$A28)*(Tableau6[Types]=AB$2))</f>
        <v>0</v>
      </c>
      <c r="AC28" s="75">
        <f>SUMPRODUCT((Tableau6[Dates]=$A28)*(Tableau6[Requetes]=AC$2))</f>
        <v>0</v>
      </c>
      <c r="AD28" s="75">
        <f>SUMPRODUCT((Tableau6[[Code Réclamation  ]]="Back Office")*(Tableau6[[Typologie ]]=$A28)*(Tableau6[[Catégories ]]=AD$2))</f>
        <v>0</v>
      </c>
      <c r="AE28" s="75">
        <f>SUMPRODUCT((Tableau6[Noms &amp; Prenoms]="Back Office")*(Tableau6[[Code Réclamation  ]]=$A28)*(Tableau6[Types]=AE$2))</f>
        <v>0</v>
      </c>
      <c r="AF28" s="74">
        <f>SUMPRODUCT((Tableau6[[Typologie ]]="Front Office")*(Tableau6[Dates]=$A28)*(Tableau6[Requetes]=AF$2))</f>
        <v>0</v>
      </c>
      <c r="AG28" s="74">
        <f>SUMPRODUCT((Tableau6[[Code Réclamation  ]]="Front Office")*(Tableau6[[Typologie ]]=$A28)*(Tableau6[[Catégories ]]=AG$2))</f>
        <v>0</v>
      </c>
      <c r="AH28" s="74">
        <f>SUMPRODUCT((Tableau6[Noms &amp; Prenoms]="Front Office")*(Tableau6[[Code Réclamation  ]]=$A28)*(Tableau6[Types]=AH$2))</f>
        <v>0</v>
      </c>
      <c r="AI28" s="75">
        <f>SUMPRODUCT((Tableau6[[Typologie ]]="Direction Générale")*(Tableau6[Dates]=$A28)*(Tableau6[Requetes]=AI$2))</f>
        <v>0</v>
      </c>
      <c r="AJ28" s="75">
        <f>SUMPRODUCT((Tableau6[[Code Réclamation  ]]="Direction Générale")*(Tableau6[[Typologie ]]=$A28)*(Tableau6[[Catégories ]]=AJ$2))</f>
        <v>0</v>
      </c>
      <c r="AK28" s="75">
        <f>SUMPRODUCT((Tableau6[Noms &amp; Prenoms]="Direction Générale")*(Tableau6[[Code Réclamation  ]]=$A28)*(Tableau6[Types]=AK$2))</f>
        <v>0</v>
      </c>
    </row>
    <row r="29" spans="1:37">
      <c r="A29" s="73">
        <v>43127</v>
      </c>
      <c r="B29" s="74">
        <f>SUMPRODUCT((Tableau6[[Typologie ]]='Don''t delete'!B35)*(Tableau6[Dates]=$A29)*(Tableau6[Requetes]=B$2))</f>
        <v>0</v>
      </c>
      <c r="C29" s="74">
        <f>SUMPRODUCT((Tableau6[[Typologie ]]="Showroom Akwa")*(Tableau6[Dates]=$A29)*(Tableau6[Requetes]=C$2))</f>
        <v>0</v>
      </c>
      <c r="D29" s="74">
        <f>SUMPRODUCT((Tableau6[Dates]=$A29)*(Tableau6[[Typologie ]]="Showroom Akwa")*(Tableau6[Requetes]=D$2))</f>
        <v>0</v>
      </c>
      <c r="E29" s="75">
        <f>SUMPRODUCT((Tableau6[[Typologie ]]="Showroom Bafoussam")*(Tableau6[Dates]=$A29)*(Tableau6[Requetes]=E$2))</f>
        <v>0</v>
      </c>
      <c r="F29" s="75">
        <f>SUMPRODUCT((Tableau6[[Typologie ]]="Showroom Bafoussam")*(Tableau6[Dates]=$A29)*(Tableau6[Requetes]=F$2))</f>
        <v>0</v>
      </c>
      <c r="G29" s="75">
        <f>SUMPRODUCT((Tableau6[[Typologie ]]="Showroom Bafoussam")*(Tableau6[Dates]=$A29)*(Tableau6[Requetes]=G$2))</f>
        <v>0</v>
      </c>
      <c r="H29" s="74">
        <f>SUMPRODUCT((Tableau6[[Typologie ]]="Showroom Yaounde")*(Tableau6[Dates]=$A29)*(Tableau6[Requetes]=H$2))</f>
        <v>0</v>
      </c>
      <c r="I29" s="74">
        <f>SUMPRODUCT((Tableau6[[Code Réclamation  ]]="Showroom Yaounde")*(Tableau6[[Typologie ]]=$A29)*(Tableau6[[Catégories ]]=I$2))</f>
        <v>0</v>
      </c>
      <c r="J29" s="74">
        <f>SUMPRODUCT((Tableau6[Noms &amp; Prenoms]="Showroom Yaounde")*(Tableau6[[Code Réclamation  ]]=$A29)*(Tableau6[Types]=J$2))</f>
        <v>0</v>
      </c>
      <c r="K29" s="75">
        <f>SUMPRODUCT((Tableau6[[Typologie ]]="Showroom Bonamoussadi")*(Tableau6[Dates]=$A29)*(Tableau6[Requetes]=K$2))</f>
        <v>0</v>
      </c>
      <c r="L29" s="75">
        <f>SUMPRODUCT((Tableau6[[Code Réclamation  ]]="Showroom Bonamoussadi")*(Tableau6[[Typologie ]]=$A29)*(Tableau6[[Catégories ]]=L$2))</f>
        <v>0</v>
      </c>
      <c r="M29" s="75">
        <f>SUMPRODUCT((Tableau6[Noms &amp; Prenoms]="Showroom Bonamoussadi")*(Tableau6[[Code Réclamation  ]]=$A29)*(Tableau6[Types]=M$2))</f>
        <v>0</v>
      </c>
      <c r="N29" s="74">
        <f>SUMPRODUCT((Tableau6[[Typologie ]]="Showroom Bonanjo")*(Tableau6[Dates]=$A29)*(Tableau6[Requetes]=N$2))</f>
        <v>0</v>
      </c>
      <c r="O29" s="74">
        <f>SUMPRODUCT((Tableau6[Dates]=$A29)*(Tableau6[[Typologie ]]="Showroom Bonanjo")*(Tableau6[Requetes]=O$2))</f>
        <v>0</v>
      </c>
      <c r="P29" s="74">
        <f>SUMPRODUCT((Tableau6[Noms &amp; Prenoms]="Showroom Bonanjo")*(Tableau6[[Code Réclamation  ]]=$A29)*(Tableau6[Types]=P$2))</f>
        <v>0</v>
      </c>
      <c r="Q29" s="75">
        <f>SUMPRODUCT((Tableau6[[Typologie ]]="Showroom Garoua")*(Tableau6[Dates]=$A29)*(Tableau6[Requetes]=Q$2))</f>
        <v>0</v>
      </c>
      <c r="R29" s="75">
        <f>SUMPRODUCT((Tableau6[[Code Réclamation  ]]="Showroom Garoua")*(Tableau6[[Typologie ]]=$A29)*(Tableau6[[Catégories ]]=R$2))</f>
        <v>0</v>
      </c>
      <c r="S29" s="75">
        <f>SUMPRODUCT((Tableau6[Noms &amp; Prenoms]="Showroom Garoua")*(Tableau6[[Code Réclamation  ]]=$A29)*(Tableau6[Types]=S$2))</f>
        <v>0</v>
      </c>
      <c r="T29" s="74">
        <f>SUMPRODUCT((Tableau6[[Typologie ]]="Shop Bastos")*(Tableau6[Dates]=$A29)*(Tableau6[Requetes]=T$2))</f>
        <v>0</v>
      </c>
      <c r="U29" s="74">
        <f>SUMPRODUCT((Tableau6[[Code Réclamation  ]]="Shop Bastos")*(Tableau6[[Typologie ]]=$A29)*(Tableau6[[Catégories ]]=U$2))</f>
        <v>0</v>
      </c>
      <c r="V29" s="74">
        <f>SUMPRODUCT((Tableau6[Noms &amp; Prenoms]="Shop Bastos")*(Tableau6[[Code Réclamation  ]]=$A29)*(Tableau6[Types]=V$2))</f>
        <v>0</v>
      </c>
      <c r="W29" s="75">
        <f>SUMPRODUCT((Tableau6[[Typologie ]]="Shop Essos")*(Tableau6[Dates]=$A29)*(Tableau6[Requetes]=W$2))</f>
        <v>0</v>
      </c>
      <c r="X29" s="75">
        <f>SUMPRODUCT((Tableau6[[Code Réclamation  ]]="Shop Essos")*(Tableau6[[Typologie ]]=$A29)*(Tableau6[[Catégories ]]=X$2))</f>
        <v>0</v>
      </c>
      <c r="Y29" s="75">
        <f>SUMPRODUCT((Tableau6[Noms &amp; Prenoms]="Shop Essos")*(Tableau6[[Code Réclamation  ]]=$A29)*(Tableau6[Types]=Y$2))</f>
        <v>0</v>
      </c>
      <c r="Z29" s="74">
        <f>SUMPRODUCT((Tableau6[[Typologie ]]="Shop Peyrissac")*(Tableau6[Dates]=$A29)*(Tableau6[Requetes]=Z$2))</f>
        <v>0</v>
      </c>
      <c r="AA29" s="74">
        <f>SUMPRODUCT((Tableau6[[Code Réclamation  ]]="Shop Peyrissac")*(Tableau6[[Typologie ]]=$A29)*(Tableau6[[Catégories ]]=AA$2))</f>
        <v>0</v>
      </c>
      <c r="AB29" s="74">
        <f>SUMPRODUCT((Tableau6[Noms &amp; Prenoms]="Shop Peyrissac")*(Tableau6[[Code Réclamation  ]]=$A29)*(Tableau6[Types]=AB$2))</f>
        <v>0</v>
      </c>
      <c r="AC29" s="75">
        <f>SUMPRODUCT((Tableau6[Dates]=$A29)*(Tableau6[Requetes]=AC$2))</f>
        <v>0</v>
      </c>
      <c r="AD29" s="75">
        <f>SUMPRODUCT((Tableau6[[Code Réclamation  ]]="Back Office")*(Tableau6[[Typologie ]]=$A29)*(Tableau6[[Catégories ]]=AD$2))</f>
        <v>0</v>
      </c>
      <c r="AE29" s="75">
        <f>SUMPRODUCT((Tableau6[Noms &amp; Prenoms]="Back Office")*(Tableau6[[Code Réclamation  ]]=$A29)*(Tableau6[Types]=AE$2))</f>
        <v>0</v>
      </c>
      <c r="AF29" s="74">
        <f>SUMPRODUCT((Tableau6[[Typologie ]]="Front Office")*(Tableau6[Dates]=$A29)*(Tableau6[Requetes]=AF$2))</f>
        <v>0</v>
      </c>
      <c r="AG29" s="74">
        <f>SUMPRODUCT((Tableau6[[Code Réclamation  ]]="Front Office")*(Tableau6[[Typologie ]]=$A29)*(Tableau6[[Catégories ]]=AG$2))</f>
        <v>0</v>
      </c>
      <c r="AH29" s="74">
        <f>SUMPRODUCT((Tableau6[Noms &amp; Prenoms]="Front Office")*(Tableau6[[Code Réclamation  ]]=$A29)*(Tableau6[Types]=AH$2))</f>
        <v>0</v>
      </c>
      <c r="AI29" s="75">
        <f>SUMPRODUCT((Tableau6[[Typologie ]]="Direction Générale")*(Tableau6[Dates]=$A29)*(Tableau6[Requetes]=AI$2))</f>
        <v>0</v>
      </c>
      <c r="AJ29" s="75">
        <f>SUMPRODUCT((Tableau6[[Code Réclamation  ]]="Direction Générale")*(Tableau6[[Typologie ]]=$A29)*(Tableau6[[Catégories ]]=AJ$2))</f>
        <v>0</v>
      </c>
      <c r="AK29" s="75">
        <f>SUMPRODUCT((Tableau6[Noms &amp; Prenoms]="Direction Générale")*(Tableau6[[Code Réclamation  ]]=$A29)*(Tableau6[Types]=AK$2))</f>
        <v>0</v>
      </c>
    </row>
    <row r="30" spans="1:37">
      <c r="A30" s="73">
        <v>43128</v>
      </c>
      <c r="B30" s="74">
        <f>SUMPRODUCT((Tableau6[[Typologie ]]='Don''t delete'!B36)*(Tableau6[Dates]=$A30)*(Tableau6[Requetes]=B$2))</f>
        <v>0</v>
      </c>
      <c r="C30" s="74">
        <f>SUMPRODUCT((Tableau6[[Typologie ]]="Showroom Akwa")*(Tableau6[Dates]=$A30)*(Tableau6[Requetes]=C$2))</f>
        <v>0</v>
      </c>
      <c r="D30" s="74">
        <f>SUMPRODUCT((Tableau6[Dates]=$A30)*(Tableau6[[Typologie ]]="Showroom Akwa")*(Tableau6[Requetes]=D$2))</f>
        <v>0</v>
      </c>
      <c r="E30" s="75">
        <f>SUMPRODUCT((Tableau6[[Typologie ]]="Showroom Bafoussam")*(Tableau6[Dates]=$A30)*(Tableau6[Requetes]=E$2))</f>
        <v>0</v>
      </c>
      <c r="F30" s="75">
        <f>SUMPRODUCT((Tableau6[[Typologie ]]="Showroom Bafoussam")*(Tableau6[Dates]=$A30)*(Tableau6[Requetes]=F$2))</f>
        <v>0</v>
      </c>
      <c r="G30" s="75">
        <f>SUMPRODUCT((Tableau6[[Typologie ]]="Showroom Bafoussam")*(Tableau6[Dates]=$A30)*(Tableau6[Requetes]=G$2))</f>
        <v>0</v>
      </c>
      <c r="H30" s="74">
        <f>SUMPRODUCT((Tableau6[[Typologie ]]="Showroom Yaounde")*(Tableau6[Dates]=$A30)*(Tableau6[Requetes]=H$2))</f>
        <v>0</v>
      </c>
      <c r="I30" s="74">
        <f>SUMPRODUCT((Tableau6[[Code Réclamation  ]]="Showroom Yaounde")*(Tableau6[[Typologie ]]=$A30)*(Tableau6[[Catégories ]]=I$2))</f>
        <v>0</v>
      </c>
      <c r="J30" s="74">
        <f>SUMPRODUCT((Tableau6[Noms &amp; Prenoms]="Showroom Yaounde")*(Tableau6[[Code Réclamation  ]]=$A30)*(Tableau6[Types]=J$2))</f>
        <v>0</v>
      </c>
      <c r="K30" s="75">
        <f>SUMPRODUCT((Tableau6[[Typologie ]]="Showroom Bonamoussadi")*(Tableau6[Dates]=$A30)*(Tableau6[Requetes]=K$2))</f>
        <v>0</v>
      </c>
      <c r="L30" s="75">
        <f>SUMPRODUCT((Tableau6[[Code Réclamation  ]]="Showroom Bonamoussadi")*(Tableau6[[Typologie ]]=$A30)*(Tableau6[[Catégories ]]=L$2))</f>
        <v>0</v>
      </c>
      <c r="M30" s="75">
        <f>SUMPRODUCT((Tableau6[Noms &amp; Prenoms]="Showroom Bonamoussadi")*(Tableau6[[Code Réclamation  ]]=$A30)*(Tableau6[Types]=M$2))</f>
        <v>0</v>
      </c>
      <c r="N30" s="74">
        <f>SUMPRODUCT((Tableau6[[Typologie ]]="Showroom Bonanjo")*(Tableau6[Dates]=$A30)*(Tableau6[Requetes]=N$2))</f>
        <v>0</v>
      </c>
      <c r="O30" s="74">
        <f>SUMPRODUCT((Tableau6[Dates]=$A30)*(Tableau6[[Typologie ]]="Showroom Bonanjo")*(Tableau6[Requetes]=O$2))</f>
        <v>0</v>
      </c>
      <c r="P30" s="74">
        <f>SUMPRODUCT((Tableau6[Noms &amp; Prenoms]="Showroom Bonanjo")*(Tableau6[[Code Réclamation  ]]=$A30)*(Tableau6[Types]=P$2))</f>
        <v>0</v>
      </c>
      <c r="Q30" s="75">
        <f>SUMPRODUCT((Tableau6[[Typologie ]]="Showroom Garoua")*(Tableau6[Dates]=$A30)*(Tableau6[Requetes]=Q$2))</f>
        <v>0</v>
      </c>
      <c r="R30" s="75">
        <f>SUMPRODUCT((Tableau6[[Code Réclamation  ]]="Showroom Garoua")*(Tableau6[[Typologie ]]=$A30)*(Tableau6[[Catégories ]]=R$2))</f>
        <v>0</v>
      </c>
      <c r="S30" s="75">
        <f>SUMPRODUCT((Tableau6[Noms &amp; Prenoms]="Showroom Garoua")*(Tableau6[[Code Réclamation  ]]=$A30)*(Tableau6[Types]=S$2))</f>
        <v>0</v>
      </c>
      <c r="T30" s="74">
        <f>SUMPRODUCT((Tableau6[[Typologie ]]="Shop Bastos")*(Tableau6[Dates]=$A30)*(Tableau6[Requetes]=T$2))</f>
        <v>0</v>
      </c>
      <c r="U30" s="74">
        <f>SUMPRODUCT((Tableau6[[Code Réclamation  ]]="Shop Bastos")*(Tableau6[[Typologie ]]=$A30)*(Tableau6[[Catégories ]]=U$2))</f>
        <v>0</v>
      </c>
      <c r="V30" s="74">
        <f>SUMPRODUCT((Tableau6[Noms &amp; Prenoms]="Shop Bastos")*(Tableau6[[Code Réclamation  ]]=$A30)*(Tableau6[Types]=V$2))</f>
        <v>0</v>
      </c>
      <c r="W30" s="75">
        <f>SUMPRODUCT((Tableau6[[Typologie ]]="Shop Essos")*(Tableau6[Dates]=$A30)*(Tableau6[Requetes]=W$2))</f>
        <v>0</v>
      </c>
      <c r="X30" s="75">
        <f>SUMPRODUCT((Tableau6[[Code Réclamation  ]]="Shop Essos")*(Tableau6[[Typologie ]]=$A30)*(Tableau6[[Catégories ]]=X$2))</f>
        <v>0</v>
      </c>
      <c r="Y30" s="75">
        <f>SUMPRODUCT((Tableau6[Noms &amp; Prenoms]="Shop Essos")*(Tableau6[[Code Réclamation  ]]=$A30)*(Tableau6[Types]=Y$2))</f>
        <v>0</v>
      </c>
      <c r="Z30" s="74">
        <f>SUMPRODUCT((Tableau6[[Typologie ]]="Shop Peyrissac")*(Tableau6[Dates]=$A30)*(Tableau6[Requetes]=Z$2))</f>
        <v>0</v>
      </c>
      <c r="AA30" s="74">
        <f>SUMPRODUCT((Tableau6[[Code Réclamation  ]]="Shop Peyrissac")*(Tableau6[[Typologie ]]=$A30)*(Tableau6[[Catégories ]]=AA$2))</f>
        <v>0</v>
      </c>
      <c r="AB30" s="74">
        <f>SUMPRODUCT((Tableau6[Noms &amp; Prenoms]="Shop Peyrissac")*(Tableau6[[Code Réclamation  ]]=$A30)*(Tableau6[Types]=AB$2))</f>
        <v>0</v>
      </c>
      <c r="AC30" s="75">
        <f>SUMPRODUCT((Tableau6[Dates]=$A30)*(Tableau6[Requetes]=AC$2))</f>
        <v>0</v>
      </c>
      <c r="AD30" s="75">
        <f>SUMPRODUCT((Tableau6[[Code Réclamation  ]]="Back Office")*(Tableau6[[Typologie ]]=$A30)*(Tableau6[[Catégories ]]=AD$2))</f>
        <v>0</v>
      </c>
      <c r="AE30" s="75">
        <f>SUMPRODUCT((Tableau6[Noms &amp; Prenoms]="Back Office")*(Tableau6[[Code Réclamation  ]]=$A30)*(Tableau6[Types]=AE$2))</f>
        <v>0</v>
      </c>
      <c r="AF30" s="74">
        <f>SUMPRODUCT((Tableau6[[Typologie ]]="Front Office")*(Tableau6[Dates]=$A30)*(Tableau6[Requetes]=AF$2))</f>
        <v>0</v>
      </c>
      <c r="AG30" s="74">
        <f>SUMPRODUCT((Tableau6[[Code Réclamation  ]]="Front Office")*(Tableau6[[Typologie ]]=$A30)*(Tableau6[[Catégories ]]=AG$2))</f>
        <v>0</v>
      </c>
      <c r="AH30" s="74">
        <f>SUMPRODUCT((Tableau6[Noms &amp; Prenoms]="Front Office")*(Tableau6[[Code Réclamation  ]]=$A30)*(Tableau6[Types]=AH$2))</f>
        <v>0</v>
      </c>
      <c r="AI30" s="75">
        <f>SUMPRODUCT((Tableau6[[Typologie ]]="Direction Générale")*(Tableau6[Dates]=$A30)*(Tableau6[Requetes]=AI$2))</f>
        <v>0</v>
      </c>
      <c r="AJ30" s="75">
        <f>SUMPRODUCT((Tableau6[[Code Réclamation  ]]="Direction Générale")*(Tableau6[[Typologie ]]=$A30)*(Tableau6[[Catégories ]]=AJ$2))</f>
        <v>0</v>
      </c>
      <c r="AK30" s="75">
        <f>SUMPRODUCT((Tableau6[Noms &amp; Prenoms]="Direction Générale")*(Tableau6[[Code Réclamation  ]]=$A30)*(Tableau6[Types]=AK$2))</f>
        <v>0</v>
      </c>
    </row>
    <row r="31" spans="1:37">
      <c r="A31" s="73">
        <v>43129</v>
      </c>
      <c r="B31" s="74">
        <f>SUMPRODUCT((Tableau6[[Typologie ]]='Don''t delete'!B37)*(Tableau6[Dates]=$A31)*(Tableau6[Requetes]=B$2))</f>
        <v>0</v>
      </c>
      <c r="C31" s="74">
        <f>SUMPRODUCT((Tableau6[[Typologie ]]="Showroom Akwa")*(Tableau6[Dates]=$A31)*(Tableau6[Requetes]=C$2))</f>
        <v>0</v>
      </c>
      <c r="D31" s="74">
        <f>SUMPRODUCT((Tableau6[Dates]=$A31)*(Tableau6[[Typologie ]]="Showroom Akwa")*(Tableau6[Requetes]=D$2))</f>
        <v>0</v>
      </c>
      <c r="E31" s="75">
        <f>SUMPRODUCT((Tableau6[[Typologie ]]="Showroom Bafoussam")*(Tableau6[Dates]=$A31)*(Tableau6[Requetes]=E$2))</f>
        <v>0</v>
      </c>
      <c r="F31" s="75">
        <f>SUMPRODUCT((Tableau6[[Typologie ]]="Showroom Bafoussam")*(Tableau6[Dates]=$A31)*(Tableau6[Requetes]=F$2))</f>
        <v>0</v>
      </c>
      <c r="G31" s="75">
        <f>SUMPRODUCT((Tableau6[[Typologie ]]="Showroom Bafoussam")*(Tableau6[Dates]=$A31)*(Tableau6[Requetes]=G$2))</f>
        <v>0</v>
      </c>
      <c r="H31" s="74">
        <f>SUMPRODUCT((Tableau6[[Typologie ]]="Showroom Yaounde")*(Tableau6[Dates]=$A31)*(Tableau6[Requetes]=H$2))</f>
        <v>0</v>
      </c>
      <c r="I31" s="74">
        <f>SUMPRODUCT((Tableau6[[Code Réclamation  ]]="Showroom Yaounde")*(Tableau6[[Typologie ]]=$A31)*(Tableau6[[Catégories ]]=I$2))</f>
        <v>0</v>
      </c>
      <c r="J31" s="74">
        <f>SUMPRODUCT((Tableau6[Noms &amp; Prenoms]="Showroom Yaounde")*(Tableau6[[Code Réclamation  ]]=$A31)*(Tableau6[Types]=J$2))</f>
        <v>0</v>
      </c>
      <c r="K31" s="75">
        <f>SUMPRODUCT((Tableau6[[Typologie ]]="Showroom Bonamoussadi")*(Tableau6[Dates]=$A31)*(Tableau6[Requetes]=K$2))</f>
        <v>0</v>
      </c>
      <c r="L31" s="75">
        <f>SUMPRODUCT((Tableau6[[Code Réclamation  ]]="Showroom Bonamoussadi")*(Tableau6[[Typologie ]]=$A31)*(Tableau6[[Catégories ]]=L$2))</f>
        <v>0</v>
      </c>
      <c r="M31" s="75">
        <f>SUMPRODUCT((Tableau6[Noms &amp; Prenoms]="Showroom Bonamoussadi")*(Tableau6[[Code Réclamation  ]]=$A31)*(Tableau6[Types]=M$2))</f>
        <v>0</v>
      </c>
      <c r="N31" s="74">
        <f>SUMPRODUCT((Tableau6[[Typologie ]]="Showroom Bonanjo")*(Tableau6[Dates]=$A31)*(Tableau6[Requetes]=N$2))</f>
        <v>0</v>
      </c>
      <c r="O31" s="74">
        <f>SUMPRODUCT((Tableau6[Dates]=$A31)*(Tableau6[[Typologie ]]="Showroom Bonanjo")*(Tableau6[Requetes]=O$2))</f>
        <v>0</v>
      </c>
      <c r="P31" s="74">
        <f>SUMPRODUCT((Tableau6[Noms &amp; Prenoms]="Showroom Bonanjo")*(Tableau6[[Code Réclamation  ]]=$A31)*(Tableau6[Types]=P$2))</f>
        <v>0</v>
      </c>
      <c r="Q31" s="75">
        <f>SUMPRODUCT((Tableau6[[Typologie ]]="Showroom Garoua")*(Tableau6[Dates]=$A31)*(Tableau6[Requetes]=Q$2))</f>
        <v>0</v>
      </c>
      <c r="R31" s="75">
        <f>SUMPRODUCT((Tableau6[[Code Réclamation  ]]="Showroom Garoua")*(Tableau6[[Typologie ]]=$A31)*(Tableau6[[Catégories ]]=R$2))</f>
        <v>0</v>
      </c>
      <c r="S31" s="75">
        <f>SUMPRODUCT((Tableau6[Noms &amp; Prenoms]="Showroom Garoua")*(Tableau6[[Code Réclamation  ]]=$A31)*(Tableau6[Types]=S$2))</f>
        <v>0</v>
      </c>
      <c r="T31" s="74">
        <f>SUMPRODUCT((Tableau6[[Typologie ]]="Shop Bastos")*(Tableau6[Dates]=$A31)*(Tableau6[Requetes]=T$2))</f>
        <v>0</v>
      </c>
      <c r="U31" s="74">
        <f>SUMPRODUCT((Tableau6[[Code Réclamation  ]]="Shop Bastos")*(Tableau6[[Typologie ]]=$A31)*(Tableau6[[Catégories ]]=U$2))</f>
        <v>0</v>
      </c>
      <c r="V31" s="74">
        <f>SUMPRODUCT((Tableau6[Noms &amp; Prenoms]="Shop Bastos")*(Tableau6[[Code Réclamation  ]]=$A31)*(Tableau6[Types]=V$2))</f>
        <v>0</v>
      </c>
      <c r="W31" s="75">
        <f>SUMPRODUCT((Tableau6[[Typologie ]]="Shop Essos")*(Tableau6[Dates]=$A31)*(Tableau6[Requetes]=W$2))</f>
        <v>0</v>
      </c>
      <c r="X31" s="75">
        <f>SUMPRODUCT((Tableau6[[Code Réclamation  ]]="Shop Essos")*(Tableau6[[Typologie ]]=$A31)*(Tableau6[[Catégories ]]=X$2))</f>
        <v>0</v>
      </c>
      <c r="Y31" s="75">
        <f>SUMPRODUCT((Tableau6[Noms &amp; Prenoms]="Shop Essos")*(Tableau6[[Code Réclamation  ]]=$A31)*(Tableau6[Types]=Y$2))</f>
        <v>0</v>
      </c>
      <c r="Z31" s="74">
        <f>SUMPRODUCT((Tableau6[[Typologie ]]="Shop Peyrissac")*(Tableau6[Dates]=$A31)*(Tableau6[Requetes]=Z$2))</f>
        <v>0</v>
      </c>
      <c r="AA31" s="74">
        <f>SUMPRODUCT((Tableau6[[Code Réclamation  ]]="Shop Peyrissac")*(Tableau6[[Typologie ]]=$A31)*(Tableau6[[Catégories ]]=AA$2))</f>
        <v>0</v>
      </c>
      <c r="AB31" s="74">
        <f>SUMPRODUCT((Tableau6[Noms &amp; Prenoms]="Shop Peyrissac")*(Tableau6[[Code Réclamation  ]]=$A31)*(Tableau6[Types]=AB$2))</f>
        <v>0</v>
      </c>
      <c r="AC31" s="75">
        <f>SUMPRODUCT((Tableau6[Dates]=$A31)*(Tableau6[Requetes]=AC$2))</f>
        <v>0</v>
      </c>
      <c r="AD31" s="75">
        <f>SUMPRODUCT((Tableau6[[Code Réclamation  ]]="Back Office")*(Tableau6[[Typologie ]]=$A31)*(Tableau6[[Catégories ]]=AD$2))</f>
        <v>0</v>
      </c>
      <c r="AE31" s="75">
        <f>SUMPRODUCT((Tableau6[Noms &amp; Prenoms]="Back Office")*(Tableau6[[Code Réclamation  ]]=$A31)*(Tableau6[Types]=AE$2))</f>
        <v>0</v>
      </c>
      <c r="AF31" s="74">
        <f>SUMPRODUCT((Tableau6[[Typologie ]]="Front Office")*(Tableau6[Dates]=$A31)*(Tableau6[Requetes]=AF$2))</f>
        <v>0</v>
      </c>
      <c r="AG31" s="74">
        <f>SUMPRODUCT((Tableau6[[Code Réclamation  ]]="Front Office")*(Tableau6[[Typologie ]]=$A31)*(Tableau6[[Catégories ]]=AG$2))</f>
        <v>0</v>
      </c>
      <c r="AH31" s="74">
        <f>SUMPRODUCT((Tableau6[Noms &amp; Prenoms]="Front Office")*(Tableau6[[Code Réclamation  ]]=$A31)*(Tableau6[Types]=AH$2))</f>
        <v>0</v>
      </c>
      <c r="AI31" s="75">
        <f>SUMPRODUCT((Tableau6[[Typologie ]]="Direction Générale")*(Tableau6[Dates]=$A31)*(Tableau6[Requetes]=AI$2))</f>
        <v>0</v>
      </c>
      <c r="AJ31" s="75">
        <f>SUMPRODUCT((Tableau6[[Code Réclamation  ]]="Direction Générale")*(Tableau6[[Typologie ]]=$A31)*(Tableau6[[Catégories ]]=AJ$2))</f>
        <v>0</v>
      </c>
      <c r="AK31" s="75">
        <f>SUMPRODUCT((Tableau6[Noms &amp; Prenoms]="Direction Générale")*(Tableau6[[Code Réclamation  ]]=$A31)*(Tableau6[Types]=AK$2))</f>
        <v>0</v>
      </c>
    </row>
    <row r="32" spans="1:37">
      <c r="A32" s="73">
        <v>43130</v>
      </c>
      <c r="B32" s="74">
        <f>SUMPRODUCT((Tableau6[[Typologie ]]='Don''t delete'!B38)*(Tableau6[Dates]=$A32)*(Tableau6[Requetes]=B$2))</f>
        <v>0</v>
      </c>
      <c r="C32" s="74">
        <f>SUMPRODUCT((Tableau6[[Typologie ]]="Showroom Akwa")*(Tableau6[Dates]=$A32)*(Tableau6[Requetes]=C$2))</f>
        <v>0</v>
      </c>
      <c r="D32" s="74">
        <f>SUMPRODUCT((Tableau6[Dates]=$A32)*(Tableau6[[Typologie ]]="Showroom Akwa")*(Tableau6[Requetes]=D$2))</f>
        <v>0</v>
      </c>
      <c r="E32" s="75">
        <f>SUMPRODUCT((Tableau6[[Typologie ]]="Showroom Bafoussam")*(Tableau6[Dates]=$A32)*(Tableau6[Requetes]=E$2))</f>
        <v>0</v>
      </c>
      <c r="F32" s="75">
        <f>SUMPRODUCT((Tableau6[[Typologie ]]="Showroom Bafoussam")*(Tableau6[Dates]=$A32)*(Tableau6[Requetes]=F$2))</f>
        <v>0</v>
      </c>
      <c r="G32" s="75">
        <f>SUMPRODUCT((Tableau6[[Typologie ]]="Showroom Bafoussam")*(Tableau6[Dates]=$A32)*(Tableau6[Requetes]=G$2))</f>
        <v>0</v>
      </c>
      <c r="H32" s="74">
        <f>SUMPRODUCT((Tableau6[[Typologie ]]="Showroom Yaounde")*(Tableau6[Dates]=$A32)*(Tableau6[Requetes]=H$2))</f>
        <v>0</v>
      </c>
      <c r="I32" s="74">
        <f>SUMPRODUCT((Tableau6[[Code Réclamation  ]]="Showroom Yaounde")*(Tableau6[[Typologie ]]=$A32)*(Tableau6[[Catégories ]]=I$2))</f>
        <v>0</v>
      </c>
      <c r="J32" s="74">
        <f>SUMPRODUCT((Tableau6[Noms &amp; Prenoms]="Showroom Yaounde")*(Tableau6[[Code Réclamation  ]]=$A32)*(Tableau6[Types]=J$2))</f>
        <v>0</v>
      </c>
      <c r="K32" s="75">
        <f>SUMPRODUCT((Tableau6[[Typologie ]]="Showroom Bonamoussadi")*(Tableau6[Dates]=$A32)*(Tableau6[Requetes]=K$2))</f>
        <v>0</v>
      </c>
      <c r="L32" s="75">
        <f>SUMPRODUCT((Tableau6[[Code Réclamation  ]]="Showroom Bonamoussadi")*(Tableau6[[Typologie ]]=$A32)*(Tableau6[[Catégories ]]=L$2))</f>
        <v>0</v>
      </c>
      <c r="M32" s="75">
        <f>SUMPRODUCT((Tableau6[Noms &amp; Prenoms]="Showroom Bonamoussadi")*(Tableau6[[Code Réclamation  ]]=$A32)*(Tableau6[Types]=M$2))</f>
        <v>0</v>
      </c>
      <c r="N32" s="74">
        <f>SUMPRODUCT((Tableau6[[Typologie ]]="Showroom Bonanjo")*(Tableau6[Dates]=$A32)*(Tableau6[Requetes]=N$2))</f>
        <v>0</v>
      </c>
      <c r="O32" s="74">
        <f>SUMPRODUCT((Tableau6[Dates]=$A32)*(Tableau6[[Typologie ]]="Showroom Bonanjo")*(Tableau6[Requetes]=O$2))</f>
        <v>0</v>
      </c>
      <c r="P32" s="74">
        <f>SUMPRODUCT((Tableau6[Noms &amp; Prenoms]="Showroom Bonanjo")*(Tableau6[[Code Réclamation  ]]=$A32)*(Tableau6[Types]=P$2))</f>
        <v>0</v>
      </c>
      <c r="Q32" s="75">
        <f>SUMPRODUCT((Tableau6[[Typologie ]]="Showroom Garoua")*(Tableau6[Dates]=$A32)*(Tableau6[Requetes]=Q$2))</f>
        <v>0</v>
      </c>
      <c r="R32" s="75">
        <f>SUMPRODUCT((Tableau6[[Code Réclamation  ]]="Showroom Garoua")*(Tableau6[[Typologie ]]=$A32)*(Tableau6[[Catégories ]]=R$2))</f>
        <v>0</v>
      </c>
      <c r="S32" s="75">
        <f>SUMPRODUCT((Tableau6[Noms &amp; Prenoms]="Showroom Garoua")*(Tableau6[[Code Réclamation  ]]=$A32)*(Tableau6[Types]=S$2))</f>
        <v>0</v>
      </c>
      <c r="T32" s="74">
        <f>SUMPRODUCT((Tableau6[[Typologie ]]="Shop Bastos")*(Tableau6[Dates]=$A32)*(Tableau6[Requetes]=T$2))</f>
        <v>0</v>
      </c>
      <c r="U32" s="74">
        <f>SUMPRODUCT((Tableau6[[Code Réclamation  ]]="Shop Bastos")*(Tableau6[[Typologie ]]=$A32)*(Tableau6[[Catégories ]]=U$2))</f>
        <v>0</v>
      </c>
      <c r="V32" s="74">
        <f>SUMPRODUCT((Tableau6[Noms &amp; Prenoms]="Shop Bastos")*(Tableau6[[Code Réclamation  ]]=$A32)*(Tableau6[Types]=V$2))</f>
        <v>0</v>
      </c>
      <c r="W32" s="75">
        <f>SUMPRODUCT((Tableau6[[Typologie ]]="Shop Essos")*(Tableau6[Dates]=$A32)*(Tableau6[Requetes]=W$2))</f>
        <v>0</v>
      </c>
      <c r="X32" s="75">
        <f>SUMPRODUCT((Tableau6[[Code Réclamation  ]]="Shop Essos")*(Tableau6[[Typologie ]]=$A32)*(Tableau6[[Catégories ]]=X$2))</f>
        <v>0</v>
      </c>
      <c r="Y32" s="75">
        <f>SUMPRODUCT((Tableau6[Noms &amp; Prenoms]="Shop Essos")*(Tableau6[[Code Réclamation  ]]=$A32)*(Tableau6[Types]=Y$2))</f>
        <v>0</v>
      </c>
      <c r="Z32" s="74">
        <f>SUMPRODUCT((Tableau6[[Typologie ]]="Shop Peyrissac")*(Tableau6[Dates]=$A32)*(Tableau6[Requetes]=Z$2))</f>
        <v>0</v>
      </c>
      <c r="AA32" s="74">
        <f>SUMPRODUCT((Tableau6[[Code Réclamation  ]]="Shop Peyrissac")*(Tableau6[[Typologie ]]=$A32)*(Tableau6[[Catégories ]]=AA$2))</f>
        <v>0</v>
      </c>
      <c r="AB32" s="74">
        <f>SUMPRODUCT((Tableau6[Noms &amp; Prenoms]="Shop Peyrissac")*(Tableau6[[Code Réclamation  ]]=$A32)*(Tableau6[Types]=AB$2))</f>
        <v>0</v>
      </c>
      <c r="AC32" s="75">
        <f>SUMPRODUCT((Tableau6[Dates]=$A32)*(Tableau6[Requetes]=AC$2))</f>
        <v>0</v>
      </c>
      <c r="AD32" s="75">
        <f>SUMPRODUCT((Tableau6[[Code Réclamation  ]]="Back Office")*(Tableau6[[Typologie ]]=$A32)*(Tableau6[[Catégories ]]=AD$2))</f>
        <v>0</v>
      </c>
      <c r="AE32" s="75">
        <f>SUMPRODUCT((Tableau6[Noms &amp; Prenoms]="Back Office")*(Tableau6[[Code Réclamation  ]]=$A32)*(Tableau6[Types]=AE$2))</f>
        <v>0</v>
      </c>
      <c r="AF32" s="74">
        <f>SUMPRODUCT((Tableau6[[Typologie ]]="Front Office")*(Tableau6[Dates]=$A32)*(Tableau6[Requetes]=AF$2))</f>
        <v>0</v>
      </c>
      <c r="AG32" s="74">
        <f>SUMPRODUCT((Tableau6[[Code Réclamation  ]]="Front Office")*(Tableau6[[Typologie ]]=$A32)*(Tableau6[[Catégories ]]=AG$2))</f>
        <v>0</v>
      </c>
      <c r="AH32" s="74">
        <f>SUMPRODUCT((Tableau6[Noms &amp; Prenoms]="Front Office")*(Tableau6[[Code Réclamation  ]]=$A32)*(Tableau6[Types]=AH$2))</f>
        <v>0</v>
      </c>
      <c r="AI32" s="75">
        <f>SUMPRODUCT((Tableau6[[Typologie ]]="Direction Générale")*(Tableau6[Dates]=$A32)*(Tableau6[Requetes]=AI$2))</f>
        <v>0</v>
      </c>
      <c r="AJ32" s="75">
        <f>SUMPRODUCT((Tableau6[[Code Réclamation  ]]="Direction Générale")*(Tableau6[[Typologie ]]=$A32)*(Tableau6[[Catégories ]]=AJ$2))</f>
        <v>0</v>
      </c>
      <c r="AK32" s="75">
        <f>SUMPRODUCT((Tableau6[Noms &amp; Prenoms]="Direction Générale")*(Tableau6[[Code Réclamation  ]]=$A32)*(Tableau6[Types]=AK$2))</f>
        <v>0</v>
      </c>
    </row>
    <row r="33" spans="1:37">
      <c r="A33" s="73">
        <v>43131</v>
      </c>
      <c r="B33" s="74">
        <f>SUMPRODUCT((Tableau6[[Typologie ]]='Don''t delete'!B39)*(Tableau6[Dates]=$A33)*(Tableau6[Requetes]=B$2))</f>
        <v>0</v>
      </c>
      <c r="C33" s="74">
        <f>SUMPRODUCT((Tableau6[[Typologie ]]="Showroom Akwa")*(Tableau6[Dates]=$A33)*(Tableau6[Requetes]=C$2))</f>
        <v>0</v>
      </c>
      <c r="D33" s="74">
        <f>SUMPRODUCT((Tableau6[Dates]=$A33)*(Tableau6[[Typologie ]]="Showroom Akwa")*(Tableau6[Requetes]=D$2))</f>
        <v>0</v>
      </c>
      <c r="E33" s="75">
        <f>SUMPRODUCT((Tableau6[[Typologie ]]="Showroom Bafoussam")*(Tableau6[Dates]=$A33)*(Tableau6[Requetes]=E$2))</f>
        <v>0</v>
      </c>
      <c r="F33" s="75">
        <f>SUMPRODUCT((Tableau6[[Typologie ]]="Showroom Bafoussam")*(Tableau6[Dates]=$A33)*(Tableau6[Requetes]=F$2))</f>
        <v>0</v>
      </c>
      <c r="G33" s="75">
        <f>SUMPRODUCT((Tableau6[[Typologie ]]="Showroom Bafoussam")*(Tableau6[Dates]=$A33)*(Tableau6[Requetes]=G$2))</f>
        <v>0</v>
      </c>
      <c r="H33" s="74">
        <f>SUMPRODUCT((Tableau6[[Typologie ]]="Showroom Yaounde")*(Tableau6[Dates]=$A33)*(Tableau6[Requetes]=H$2))</f>
        <v>0</v>
      </c>
      <c r="I33" s="74">
        <f>SUMPRODUCT((Tableau6[[Code Réclamation  ]]="Showroom Yaounde")*(Tableau6[[Typologie ]]=$A33)*(Tableau6[[Catégories ]]=I$2))</f>
        <v>0</v>
      </c>
      <c r="J33" s="74">
        <f>SUMPRODUCT((Tableau6[Noms &amp; Prenoms]="Showroom Yaounde")*(Tableau6[[Code Réclamation  ]]=$A33)*(Tableau6[Types]=J$2))</f>
        <v>0</v>
      </c>
      <c r="K33" s="75">
        <f>SUMPRODUCT((Tableau6[[Typologie ]]="Showroom Bonamoussadi")*(Tableau6[Dates]=$A33)*(Tableau6[Requetes]=K$2))</f>
        <v>0</v>
      </c>
      <c r="L33" s="75">
        <f>SUMPRODUCT((Tableau6[[Code Réclamation  ]]="Showroom Bonamoussadi")*(Tableau6[[Typologie ]]=$A33)*(Tableau6[[Catégories ]]=L$2))</f>
        <v>0</v>
      </c>
      <c r="M33" s="75">
        <f>SUMPRODUCT((Tableau6[Noms &amp; Prenoms]="Showroom Bonamoussadi")*(Tableau6[[Code Réclamation  ]]=$A33)*(Tableau6[Types]=M$2))</f>
        <v>0</v>
      </c>
      <c r="N33" s="74">
        <f>SUMPRODUCT((Tableau6[[Typologie ]]="Showroom Bonanjo")*(Tableau6[Dates]=$A33)*(Tableau6[Requetes]=N$2))</f>
        <v>0</v>
      </c>
      <c r="O33" s="74">
        <f>SUMPRODUCT((Tableau6[Dates]=$A33)*(Tableau6[[Typologie ]]="Showroom Bonanjo")*(Tableau6[Requetes]=O$2))</f>
        <v>0</v>
      </c>
      <c r="P33" s="74">
        <f>SUMPRODUCT((Tableau6[Noms &amp; Prenoms]="Showroom Bonanjo")*(Tableau6[[Code Réclamation  ]]=$A33)*(Tableau6[Types]=P$2))</f>
        <v>0</v>
      </c>
      <c r="Q33" s="75">
        <f>SUMPRODUCT((Tableau6[[Typologie ]]="Showroom Garoua")*(Tableau6[Dates]=$A33)*(Tableau6[Requetes]=Q$2))</f>
        <v>0</v>
      </c>
      <c r="R33" s="75">
        <f>SUMPRODUCT((Tableau6[[Code Réclamation  ]]="Showroom Garoua")*(Tableau6[[Typologie ]]=$A33)*(Tableau6[[Catégories ]]=R$2))</f>
        <v>0</v>
      </c>
      <c r="S33" s="75">
        <f>SUMPRODUCT((Tableau6[Noms &amp; Prenoms]="Showroom Garoua")*(Tableau6[[Code Réclamation  ]]=$A33)*(Tableau6[Types]=S$2))</f>
        <v>0</v>
      </c>
      <c r="T33" s="74">
        <f>SUMPRODUCT((Tableau6[[Typologie ]]="Shop Bastos")*(Tableau6[Dates]=$A33)*(Tableau6[Requetes]=T$2))</f>
        <v>0</v>
      </c>
      <c r="U33" s="74">
        <f>SUMPRODUCT((Tableau6[[Code Réclamation  ]]="Shop Bastos")*(Tableau6[[Typologie ]]=$A33)*(Tableau6[[Catégories ]]=U$2))</f>
        <v>0</v>
      </c>
      <c r="V33" s="74">
        <f>SUMPRODUCT((Tableau6[Noms &amp; Prenoms]="Shop Bastos")*(Tableau6[[Code Réclamation  ]]=$A33)*(Tableau6[Types]=V$2))</f>
        <v>0</v>
      </c>
      <c r="W33" s="75">
        <f>SUMPRODUCT((Tableau6[[Typologie ]]="Shop Essos")*(Tableau6[Dates]=$A33)*(Tableau6[Requetes]=W$2))</f>
        <v>0</v>
      </c>
      <c r="X33" s="75">
        <f>SUMPRODUCT((Tableau6[[Code Réclamation  ]]="Shop Essos")*(Tableau6[[Typologie ]]=$A33)*(Tableau6[[Catégories ]]=X$2))</f>
        <v>0</v>
      </c>
      <c r="Y33" s="75">
        <f>SUMPRODUCT((Tableau6[Noms &amp; Prenoms]="Shop Essos")*(Tableau6[[Code Réclamation  ]]=$A33)*(Tableau6[Types]=Y$2))</f>
        <v>0</v>
      </c>
      <c r="Z33" s="74">
        <f>SUMPRODUCT((Tableau6[[Typologie ]]="Shop Peyrissac")*(Tableau6[Dates]=$A33)*(Tableau6[Requetes]=Z$2))</f>
        <v>0</v>
      </c>
      <c r="AA33" s="74">
        <f>SUMPRODUCT((Tableau6[[Code Réclamation  ]]="Shop Peyrissac")*(Tableau6[[Typologie ]]=$A33)*(Tableau6[[Catégories ]]=AA$2))</f>
        <v>0</v>
      </c>
      <c r="AB33" s="74">
        <f>SUMPRODUCT((Tableau6[Noms &amp; Prenoms]="Shop Peyrissac")*(Tableau6[[Code Réclamation  ]]=$A33)*(Tableau6[Types]=AB$2))</f>
        <v>0</v>
      </c>
      <c r="AC33" s="75">
        <f>SUMPRODUCT((Tableau6[Dates]=$A33)*(Tableau6[Requetes]=AC$2))</f>
        <v>0</v>
      </c>
      <c r="AD33" s="75">
        <f>SUMPRODUCT((Tableau6[[Code Réclamation  ]]="Back Office")*(Tableau6[[Typologie ]]=$A33)*(Tableau6[[Catégories ]]=AD$2))</f>
        <v>0</v>
      </c>
      <c r="AE33" s="75">
        <f>SUMPRODUCT((Tableau6[Noms &amp; Prenoms]="Back Office")*(Tableau6[[Code Réclamation  ]]=$A33)*(Tableau6[Types]=AE$2))</f>
        <v>0</v>
      </c>
      <c r="AF33" s="74">
        <f>SUMPRODUCT((Tableau6[[Typologie ]]="Front Office")*(Tableau6[Dates]=$A33)*(Tableau6[Requetes]=AF$2))</f>
        <v>0</v>
      </c>
      <c r="AG33" s="74">
        <f>SUMPRODUCT((Tableau6[[Code Réclamation  ]]="Front Office")*(Tableau6[[Typologie ]]=$A33)*(Tableau6[[Catégories ]]=AG$2))</f>
        <v>0</v>
      </c>
      <c r="AH33" s="74">
        <f>SUMPRODUCT((Tableau6[Noms &amp; Prenoms]="Front Office")*(Tableau6[[Code Réclamation  ]]=$A33)*(Tableau6[Types]=AH$2))</f>
        <v>0</v>
      </c>
      <c r="AI33" s="75">
        <f>SUMPRODUCT((Tableau6[[Typologie ]]="Direction Générale")*(Tableau6[Dates]=$A33)*(Tableau6[Requetes]=AI$2))</f>
        <v>0</v>
      </c>
      <c r="AJ33" s="75">
        <f>SUMPRODUCT((Tableau6[[Code Réclamation  ]]="Direction Générale")*(Tableau6[[Typologie ]]=$A33)*(Tableau6[[Catégories ]]=AJ$2))</f>
        <v>0</v>
      </c>
      <c r="AK33" s="75">
        <f>SUMPRODUCT((Tableau6[Noms &amp; Prenoms]="Direction Générale")*(Tableau6[[Code Réclamation  ]]=$A33)*(Tableau6[Types]=AK$2))</f>
        <v>0</v>
      </c>
    </row>
    <row r="34" spans="1:37">
      <c r="A34" s="73" t="s">
        <v>179</v>
      </c>
      <c r="B34" s="74"/>
      <c r="C34" s="74"/>
      <c r="D34" s="74"/>
      <c r="E34" s="75"/>
      <c r="F34" s="75"/>
      <c r="G34" s="75"/>
      <c r="H34" s="74"/>
      <c r="I34" s="74"/>
      <c r="J34" s="74"/>
      <c r="K34" s="75"/>
      <c r="L34" s="75"/>
      <c r="M34" s="75"/>
      <c r="N34" s="74"/>
      <c r="O34" s="74"/>
      <c r="P34" s="74"/>
      <c r="Q34" s="75"/>
      <c r="R34" s="75"/>
      <c r="S34" s="75"/>
      <c r="T34" s="74"/>
      <c r="U34" s="74"/>
      <c r="V34" s="74"/>
      <c r="W34" s="75"/>
      <c r="X34" s="75"/>
      <c r="Y34" s="75"/>
      <c r="Z34" s="74"/>
      <c r="AA34" s="74"/>
      <c r="AB34" s="74"/>
      <c r="AC34" s="75"/>
      <c r="AD34" s="75"/>
      <c r="AE34" s="75"/>
      <c r="AF34" s="74"/>
      <c r="AG34" s="74"/>
      <c r="AH34" s="74"/>
      <c r="AI34" s="75"/>
      <c r="AJ34" s="75"/>
      <c r="AK34" s="75"/>
    </row>
    <row r="35" spans="1:37">
      <c r="A35" s="73" t="s">
        <v>180</v>
      </c>
      <c r="B35" s="74"/>
      <c r="C35" s="74"/>
      <c r="D35" s="74"/>
      <c r="E35" s="75"/>
      <c r="F35" s="75"/>
      <c r="G35" s="75"/>
      <c r="H35" s="74"/>
      <c r="I35" s="74"/>
      <c r="J35" s="74"/>
      <c r="K35" s="75"/>
      <c r="L35" s="75"/>
      <c r="M35" s="75"/>
      <c r="N35" s="74"/>
      <c r="O35" s="74"/>
      <c r="P35" s="74"/>
      <c r="Q35" s="75"/>
      <c r="R35" s="75"/>
      <c r="S35" s="75"/>
      <c r="T35" s="74"/>
      <c r="U35" s="74"/>
      <c r="V35" s="74"/>
      <c r="W35" s="75"/>
      <c r="X35" s="75"/>
      <c r="Y35" s="75"/>
      <c r="Z35" s="74"/>
      <c r="AA35" s="74"/>
      <c r="AB35" s="74"/>
      <c r="AC35" s="75"/>
      <c r="AD35" s="75"/>
      <c r="AE35" s="75"/>
      <c r="AF35" s="74"/>
      <c r="AG35" s="74"/>
      <c r="AH35" s="74"/>
      <c r="AI35" s="75"/>
      <c r="AJ35" s="75"/>
      <c r="AK35" s="75"/>
    </row>
    <row r="36" spans="1:37">
      <c r="A36" s="71"/>
      <c r="B36" s="74"/>
      <c r="C36" s="74"/>
      <c r="D36" s="74"/>
      <c r="E36" s="75"/>
      <c r="F36" s="75"/>
      <c r="G36" s="75"/>
      <c r="H36" s="74"/>
      <c r="I36" s="74"/>
      <c r="J36" s="74"/>
      <c r="K36" s="75"/>
      <c r="L36" s="75"/>
      <c r="M36" s="75"/>
      <c r="N36" s="74"/>
      <c r="O36" s="74"/>
      <c r="P36" s="74"/>
      <c r="Q36" s="75"/>
      <c r="R36" s="75"/>
      <c r="S36" s="75"/>
      <c r="T36" s="74"/>
      <c r="U36" s="74"/>
      <c r="V36" s="74"/>
      <c r="W36" s="75"/>
      <c r="X36" s="75"/>
      <c r="Y36" s="75"/>
      <c r="Z36" s="74"/>
      <c r="AA36" s="74"/>
      <c r="AB36" s="74"/>
      <c r="AC36" s="75"/>
      <c r="AD36" s="75"/>
      <c r="AE36" s="75"/>
      <c r="AF36" s="74"/>
      <c r="AG36" s="74"/>
      <c r="AH36" s="74"/>
      <c r="AI36" s="75"/>
      <c r="AJ36" s="75"/>
      <c r="AK36" s="75"/>
    </row>
    <row r="37" spans="1:37">
      <c r="A37" s="71" t="s">
        <v>181</v>
      </c>
      <c r="B37" s="74"/>
      <c r="C37" s="74"/>
      <c r="D37" s="74"/>
      <c r="E37" s="75"/>
      <c r="F37" s="75"/>
      <c r="G37" s="75"/>
      <c r="H37" s="74"/>
      <c r="I37" s="74"/>
      <c r="J37" s="74"/>
      <c r="K37" s="75"/>
      <c r="L37" s="75"/>
      <c r="M37" s="75"/>
      <c r="N37" s="74"/>
      <c r="O37" s="74"/>
      <c r="P37" s="74"/>
      <c r="Q37" s="75"/>
      <c r="R37" s="75"/>
      <c r="S37" s="75"/>
      <c r="T37" s="74"/>
      <c r="U37" s="74"/>
      <c r="V37" s="74"/>
      <c r="W37" s="75"/>
      <c r="X37" s="75"/>
      <c r="Y37" s="75"/>
      <c r="Z37" s="74"/>
      <c r="AA37" s="74"/>
      <c r="AB37" s="74"/>
      <c r="AC37" s="75"/>
      <c r="AD37" s="75"/>
      <c r="AE37" s="75"/>
      <c r="AF37" s="74"/>
      <c r="AG37" s="74"/>
      <c r="AH37" s="74"/>
      <c r="AI37" s="75"/>
      <c r="AJ37" s="75"/>
      <c r="AK37" s="75"/>
    </row>
  </sheetData>
  <mergeCells count="12">
    <mergeCell ref="AI1:AK1"/>
    <mergeCell ref="T1:V1"/>
    <mergeCell ref="W1:Y1"/>
    <mergeCell ref="Z1:AB1"/>
    <mergeCell ref="AC1:AE1"/>
    <mergeCell ref="AF1:AH1"/>
    <mergeCell ref="Q1:S1"/>
    <mergeCell ref="B1:D1"/>
    <mergeCell ref="E1:G1"/>
    <mergeCell ref="H1:J1"/>
    <mergeCell ref="K1:M1"/>
    <mergeCell ref="N1:P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R170"/>
  <sheetViews>
    <sheetView tabSelected="1" zoomScale="80" zoomScaleNormal="80" workbookViewId="0">
      <selection activeCell="N14" sqref="N14"/>
    </sheetView>
  </sheetViews>
  <sheetFormatPr baseColWidth="10" defaultColWidth="11.375" defaultRowHeight="15"/>
  <cols>
    <col min="1" max="1" width="7.125" style="4" customWidth="1"/>
    <col min="2" max="2" width="11.625" style="4" bestFit="1" customWidth="1"/>
    <col min="3" max="3" width="24.75" style="4" customWidth="1"/>
    <col min="4" max="4" width="18" style="4" customWidth="1"/>
    <col min="5" max="5" width="27.625" style="4" bestFit="1" customWidth="1"/>
    <col min="6" max="6" width="22" style="4" bestFit="1" customWidth="1"/>
    <col min="7" max="8" width="18.875" style="4" customWidth="1"/>
    <col min="9" max="9" width="14.25" style="4" customWidth="1"/>
    <col min="10" max="10" width="17.375" style="4" bestFit="1" customWidth="1"/>
    <col min="11" max="11" width="20.125" style="82" bestFit="1" customWidth="1"/>
    <col min="12" max="12" width="22" style="4" bestFit="1" customWidth="1"/>
    <col min="13" max="13" width="14.125" style="4" customWidth="1"/>
    <col min="14" max="14" width="26.625" style="4" customWidth="1"/>
    <col min="15" max="15" width="36.125" style="4" customWidth="1"/>
    <col min="16" max="17" width="22.75" style="4" bestFit="1" customWidth="1"/>
    <col min="18" max="18" width="20.125" style="4" customWidth="1"/>
    <col min="19" max="16384" width="11.375" style="4"/>
  </cols>
  <sheetData>
    <row r="2" spans="1:18">
      <c r="A2" s="103"/>
      <c r="B2" s="103"/>
      <c r="C2" s="103"/>
      <c r="D2" s="103"/>
      <c r="E2" s="103"/>
      <c r="F2" s="5"/>
      <c r="G2" s="5"/>
      <c r="H2" s="5"/>
      <c r="I2" s="3"/>
      <c r="J2" s="3"/>
      <c r="K2" s="3"/>
      <c r="L2" s="3"/>
      <c r="M2" s="3"/>
      <c r="N2" s="68"/>
      <c r="O2" s="68"/>
      <c r="P2" s="68"/>
      <c r="Q2" s="68"/>
      <c r="R2" s="68"/>
    </row>
    <row r="3" spans="1:18">
      <c r="A3" s="103"/>
      <c r="B3" s="103"/>
      <c r="C3" s="103"/>
      <c r="D3" s="103"/>
      <c r="E3" s="103"/>
      <c r="F3" s="5"/>
      <c r="G3" s="5"/>
      <c r="H3" s="5"/>
      <c r="I3" s="3"/>
      <c r="J3" s="3"/>
      <c r="K3" s="3"/>
      <c r="L3" s="3"/>
      <c r="M3" s="3"/>
      <c r="N3" s="68"/>
      <c r="O3" s="68"/>
      <c r="P3" s="68"/>
      <c r="Q3" s="68"/>
      <c r="R3" s="68"/>
    </row>
    <row r="4" spans="1:18">
      <c r="A4" s="103"/>
      <c r="B4" s="103"/>
      <c r="C4" s="103"/>
      <c r="D4" s="103"/>
      <c r="E4" s="103"/>
      <c r="F4" s="5"/>
      <c r="G4" s="5"/>
      <c r="H4" s="5"/>
      <c r="I4" s="3"/>
      <c r="J4" s="3"/>
      <c r="K4" s="3"/>
      <c r="L4" s="3"/>
      <c r="M4" s="3"/>
      <c r="N4" s="68"/>
      <c r="O4" s="68"/>
      <c r="P4" s="68"/>
      <c r="Q4" s="68"/>
      <c r="R4" s="68"/>
    </row>
    <row r="5" spans="1:18">
      <c r="A5" s="104"/>
      <c r="B5" s="104"/>
      <c r="C5" s="104"/>
      <c r="D5" s="104"/>
      <c r="E5" s="104"/>
      <c r="F5" s="68"/>
      <c r="G5" s="68"/>
      <c r="H5" s="68"/>
      <c r="I5" s="68"/>
      <c r="J5" s="68"/>
      <c r="L5" s="68"/>
      <c r="M5" s="68"/>
      <c r="N5" s="68"/>
      <c r="O5" s="68"/>
      <c r="P5" s="68"/>
      <c r="Q5" s="68"/>
      <c r="R5" s="68"/>
    </row>
    <row r="6" spans="1:18" ht="15" customHeight="1">
      <c r="A6" s="107"/>
      <c r="B6" s="107"/>
      <c r="C6" s="107"/>
      <c r="D6" s="107"/>
      <c r="E6" s="107"/>
      <c r="F6" s="69"/>
      <c r="G6" s="69"/>
      <c r="H6" s="69"/>
      <c r="I6" s="68"/>
      <c r="J6" s="68"/>
      <c r="L6" s="68"/>
      <c r="M6" s="68"/>
      <c r="N6" s="68"/>
      <c r="O6" s="68"/>
      <c r="P6" s="68"/>
      <c r="Q6" s="68"/>
      <c r="R6" s="68"/>
    </row>
    <row r="7" spans="1:18">
      <c r="A7" s="108"/>
      <c r="B7" s="108"/>
      <c r="C7" s="108"/>
      <c r="D7" s="108"/>
      <c r="E7" s="108"/>
      <c r="F7" s="69"/>
      <c r="G7" s="69"/>
      <c r="H7" s="69"/>
      <c r="I7" s="68"/>
      <c r="J7" s="68"/>
      <c r="L7" s="68"/>
      <c r="M7" s="68"/>
      <c r="N7" s="68"/>
      <c r="O7" s="68"/>
      <c r="P7" s="68"/>
      <c r="Q7" s="68"/>
      <c r="R7" s="68"/>
    </row>
    <row r="8" spans="1:18" ht="29.25" customHeight="1">
      <c r="A8" s="105"/>
      <c r="B8" s="106"/>
      <c r="C8" s="106"/>
      <c r="D8" s="106"/>
      <c r="E8" s="106"/>
      <c r="F8" s="106"/>
      <c r="G8" s="106"/>
      <c r="H8" s="106"/>
      <c r="I8" s="106"/>
      <c r="J8" s="106"/>
      <c r="K8" s="106"/>
      <c r="L8" s="106"/>
      <c r="M8" s="106"/>
      <c r="N8" s="106"/>
      <c r="O8" s="106"/>
      <c r="P8" s="106"/>
      <c r="Q8" s="68"/>
      <c r="R8" s="68"/>
    </row>
    <row r="10" spans="1:18" s="6" customFormat="1" ht="36.75" customHeight="1">
      <c r="A10" s="9" t="s">
        <v>0</v>
      </c>
      <c r="B10" s="10" t="s">
        <v>194</v>
      </c>
      <c r="C10" s="10" t="s">
        <v>1</v>
      </c>
      <c r="D10" s="10" t="s">
        <v>2</v>
      </c>
      <c r="E10" s="10" t="s">
        <v>3</v>
      </c>
      <c r="F10" s="10" t="s">
        <v>4</v>
      </c>
      <c r="G10" s="10" t="s">
        <v>5</v>
      </c>
      <c r="H10" s="10" t="s">
        <v>6</v>
      </c>
      <c r="I10" s="10" t="s">
        <v>7</v>
      </c>
      <c r="J10" s="10" t="s">
        <v>8</v>
      </c>
      <c r="K10" s="10" t="s">
        <v>9</v>
      </c>
      <c r="L10" s="10" t="s">
        <v>10</v>
      </c>
      <c r="M10" s="10" t="s">
        <v>11</v>
      </c>
      <c r="N10" s="10" t="s">
        <v>12</v>
      </c>
      <c r="O10" s="10" t="s">
        <v>13</v>
      </c>
      <c r="P10" s="10" t="s">
        <v>14</v>
      </c>
      <c r="Q10" s="10" t="s">
        <v>15</v>
      </c>
      <c r="R10" s="11" t="s">
        <v>16</v>
      </c>
    </row>
    <row r="11" spans="1:18" ht="33.75" customHeight="1">
      <c r="A11" s="83">
        <v>1</v>
      </c>
      <c r="B11" s="7">
        <v>43074</v>
      </c>
      <c r="C11" s="84" t="s">
        <v>17</v>
      </c>
      <c r="D11" s="1" t="str">
        <f>IFERROR(VLOOKUP([1]!Tableau6[[#This Row],[Typologie ]],[1]!Tableau1[#Data],2,0),"")</f>
        <v>SRDHL</v>
      </c>
      <c r="E11" s="1"/>
      <c r="F11" s="8"/>
      <c r="G11" s="8" t="s">
        <v>18</v>
      </c>
      <c r="H11" s="8" t="s">
        <v>19</v>
      </c>
      <c r="I11" s="1"/>
      <c r="J11" s="1"/>
      <c r="K11" s="1" t="s">
        <v>20</v>
      </c>
      <c r="L11" s="1" t="s">
        <v>21</v>
      </c>
      <c r="M11" s="1" t="s">
        <v>22</v>
      </c>
      <c r="N11" s="1"/>
      <c r="O11" s="1"/>
      <c r="P11" s="7">
        <v>43074</v>
      </c>
      <c r="Q11" s="1" t="str">
        <f>IF([1]!Tableau6[[#This Row],[Date_ Resolution]]="","",NETWORKDAYS.INTL([1]!Tableau6[[#This Row],[Date ]],[1]!Tableau6[[#This Row],[Date_ Resolution]],11,11)&amp;" Jr")</f>
        <v>1 Jr</v>
      </c>
      <c r="R11" s="14" t="s">
        <v>23</v>
      </c>
    </row>
    <row r="12" spans="1:18" ht="42" customHeight="1">
      <c r="A12" s="83">
        <v>2</v>
      </c>
      <c r="B12" s="7">
        <v>43070</v>
      </c>
      <c r="C12" s="84" t="s">
        <v>24</v>
      </c>
      <c r="D12" s="1" t="str">
        <f>IFERROR(VLOOKUP([1]!Tableau6[[#This Row],[Typologie ]],[1]!Tableau1[#Data],2,0),"")</f>
        <v>SRCSP</v>
      </c>
      <c r="E12" s="1"/>
      <c r="F12" s="8"/>
      <c r="G12" s="8" t="s">
        <v>25</v>
      </c>
      <c r="H12" s="8" t="s">
        <v>26</v>
      </c>
      <c r="I12" s="1"/>
      <c r="J12" s="1"/>
      <c r="K12" s="1" t="s">
        <v>20</v>
      </c>
      <c r="L12" s="1" t="s">
        <v>27</v>
      </c>
      <c r="M12" s="1" t="s">
        <v>28</v>
      </c>
      <c r="N12" s="1"/>
      <c r="O12" s="1"/>
      <c r="P12" s="7">
        <v>43075</v>
      </c>
      <c r="Q12" s="1" t="str">
        <f>IF([1]!Tableau6[[#This Row],[Date_ Resolution]]="","",NETWORKDAYS.INTL([1]!Tableau6[[#This Row],[Date ]],[1]!Tableau6[[#This Row],[Date_ Resolution]],11,11)&amp;" Jr")</f>
        <v>1 Jr</v>
      </c>
      <c r="R12" s="14" t="s">
        <v>23</v>
      </c>
    </row>
    <row r="13" spans="1:18">
      <c r="A13" s="83">
        <v>3</v>
      </c>
      <c r="B13" s="7">
        <v>43075</v>
      </c>
      <c r="C13" s="84" t="s">
        <v>24</v>
      </c>
      <c r="D13" s="1" t="str">
        <f>IFERROR(VLOOKUP([1]!Tableau6[[#This Row],[Typologie ]],[1]!Tableau1[#Data],2,0),"")</f>
        <v>SRCSP</v>
      </c>
      <c r="E13" s="1"/>
      <c r="F13" s="8"/>
      <c r="G13" s="8" t="s">
        <v>29</v>
      </c>
      <c r="H13" s="8" t="s">
        <v>30</v>
      </c>
      <c r="I13" s="1"/>
      <c r="J13" s="1"/>
      <c r="K13" s="1" t="s">
        <v>20</v>
      </c>
      <c r="L13" s="1" t="s">
        <v>31</v>
      </c>
      <c r="M13" s="1" t="s">
        <v>32</v>
      </c>
      <c r="N13" s="1"/>
      <c r="O13" s="1"/>
      <c r="P13" s="7">
        <v>43075</v>
      </c>
      <c r="Q13" s="1" t="str">
        <f>IF([1]!Tableau6[[#This Row],[Date_ Resolution]]="","",NETWORKDAYS.INTL([1]!Tableau6[[#This Row],[Date ]],[1]!Tableau6[[#This Row],[Date_ Resolution]],11,11)&amp;" Jr")</f>
        <v>1 Jr</v>
      </c>
      <c r="R13" s="14" t="s">
        <v>23</v>
      </c>
    </row>
    <row r="14" spans="1:18" ht="30">
      <c r="A14" s="83">
        <v>4</v>
      </c>
      <c r="B14" s="7">
        <v>43075</v>
      </c>
      <c r="C14" s="84" t="s">
        <v>24</v>
      </c>
      <c r="D14" s="1" t="str">
        <f>IFERROR(VLOOKUP([1]!Tableau6[[#This Row],[Typologie ]],[1]!Tableau1[#Data],2,0),"")</f>
        <v>SRCSP</v>
      </c>
      <c r="E14" s="1"/>
      <c r="F14" s="8"/>
      <c r="G14" s="8" t="s">
        <v>25</v>
      </c>
      <c r="H14" s="8" t="s">
        <v>26</v>
      </c>
      <c r="I14" s="1"/>
      <c r="J14" s="1"/>
      <c r="K14" s="1" t="s">
        <v>33</v>
      </c>
      <c r="L14" s="1" t="s">
        <v>34</v>
      </c>
      <c r="M14" s="1" t="s">
        <v>35</v>
      </c>
      <c r="N14" s="1"/>
      <c r="O14" s="1"/>
      <c r="P14" s="7">
        <v>43075</v>
      </c>
      <c r="Q14" s="1" t="str">
        <f>IF([1]!Tableau6[[#This Row],[Date_ Resolution]]="","",NETWORKDAYS.INTL([1]!Tableau6[[#This Row],[Date ]],[1]!Tableau6[[#This Row],[Date_ Resolution]],11,11)&amp;" Jr")</f>
        <v>1 Jr</v>
      </c>
      <c r="R14" s="14" t="s">
        <v>23</v>
      </c>
    </row>
    <row r="15" spans="1:18" ht="30">
      <c r="A15" s="83">
        <v>5</v>
      </c>
      <c r="B15" s="7">
        <v>43075</v>
      </c>
      <c r="C15" s="84" t="s">
        <v>24</v>
      </c>
      <c r="D15" s="1" t="str">
        <f>IFERROR(VLOOKUP([1]!Tableau6[[#This Row],[Typologie ]],[1]!Tableau1[#Data],2,0),"")</f>
        <v>SRCSP</v>
      </c>
      <c r="E15" s="1"/>
      <c r="F15" s="8"/>
      <c r="G15" s="8" t="s">
        <v>29</v>
      </c>
      <c r="H15" s="8" t="s">
        <v>36</v>
      </c>
      <c r="I15" s="1"/>
      <c r="J15" s="1"/>
      <c r="K15" s="1" t="s">
        <v>33</v>
      </c>
      <c r="L15" s="1" t="s">
        <v>34</v>
      </c>
      <c r="M15" s="1" t="s">
        <v>35</v>
      </c>
      <c r="N15" s="1"/>
      <c r="O15" s="1"/>
      <c r="P15" s="7">
        <v>43075</v>
      </c>
      <c r="Q15" s="1" t="str">
        <f>IF([1]!Tableau6[[#This Row],[Date_ Resolution]]="","",NETWORKDAYS.INTL([1]!Tableau6[[#This Row],[Date ]],[1]!Tableau6[[#This Row],[Date_ Resolution]],11,11)&amp;" Jr")</f>
        <v>1 Jr</v>
      </c>
      <c r="R15" s="14" t="s">
        <v>23</v>
      </c>
    </row>
    <row r="16" spans="1:18" ht="30">
      <c r="A16" s="83">
        <v>6</v>
      </c>
      <c r="B16" s="7">
        <v>43075</v>
      </c>
      <c r="C16" s="84" t="s">
        <v>24</v>
      </c>
      <c r="D16" s="1" t="str">
        <f>IFERROR(VLOOKUP([1]!Tableau6[[#This Row],[Typologie ]],[1]!Tableau1[#Data],2,0),"")</f>
        <v>SRCSP</v>
      </c>
      <c r="E16" s="1"/>
      <c r="F16" s="8"/>
      <c r="G16" s="8" t="s">
        <v>25</v>
      </c>
      <c r="H16" s="8" t="s">
        <v>26</v>
      </c>
      <c r="I16" s="1"/>
      <c r="J16" s="1"/>
      <c r="K16" s="1" t="s">
        <v>33</v>
      </c>
      <c r="L16" s="1" t="s">
        <v>34</v>
      </c>
      <c r="M16" s="1" t="s">
        <v>35</v>
      </c>
      <c r="N16" s="1"/>
      <c r="O16" s="1"/>
      <c r="P16" s="7">
        <v>43075</v>
      </c>
      <c r="Q16" s="1" t="str">
        <f>IF([1]!Tableau6[[#This Row],[Date_ Resolution]]="","",NETWORKDAYS.INTL([1]!Tableau6[[#This Row],[Date ]],[1]!Tableau6[[#This Row],[Date_ Resolution]],11,11)&amp;" Jr")</f>
        <v>1 Jr</v>
      </c>
      <c r="R16" s="14" t="s">
        <v>23</v>
      </c>
    </row>
    <row r="17" spans="1:18" ht="30">
      <c r="A17" s="83">
        <v>7</v>
      </c>
      <c r="B17" s="7">
        <v>43077</v>
      </c>
      <c r="C17" s="84" t="s">
        <v>24</v>
      </c>
      <c r="D17" s="1" t="str">
        <f>IFERROR(VLOOKUP([1]!Tableau6[[#This Row],[Typologie ]],[1]!Tableau1[#Data],2,0),"")</f>
        <v>SRCSP</v>
      </c>
      <c r="E17" s="1"/>
      <c r="F17" s="8"/>
      <c r="G17" s="8" t="s">
        <v>29</v>
      </c>
      <c r="H17" s="8" t="s">
        <v>36</v>
      </c>
      <c r="I17" s="1"/>
      <c r="J17" s="1"/>
      <c r="K17" s="1" t="s">
        <v>33</v>
      </c>
      <c r="L17" s="1" t="s">
        <v>37</v>
      </c>
      <c r="M17" s="1" t="s">
        <v>38</v>
      </c>
      <c r="N17" s="1"/>
      <c r="O17" s="1"/>
      <c r="P17" s="7">
        <v>43077</v>
      </c>
      <c r="Q17" s="1" t="str">
        <f>IF([1]!Tableau6[[#This Row],[Date_ Resolution]]="","",NETWORKDAYS.INTL([1]!Tableau6[[#This Row],[Date ]],[1]!Tableau6[[#This Row],[Date_ Resolution]],11,11)&amp;" Jr")</f>
        <v>1 Jr</v>
      </c>
      <c r="R17" s="14" t="s">
        <v>23</v>
      </c>
    </row>
    <row r="18" spans="1:18" ht="30">
      <c r="A18" s="83">
        <v>8</v>
      </c>
      <c r="B18" s="7">
        <v>43077</v>
      </c>
      <c r="C18" s="84" t="s">
        <v>24</v>
      </c>
      <c r="D18" s="1" t="str">
        <f>IFERROR(VLOOKUP([1]!Tableau6[[#This Row],[Typologie ]],[1]!Tableau1[#Data],2,0),"")</f>
        <v>SRCSP</v>
      </c>
      <c r="E18" s="1"/>
      <c r="F18" s="8"/>
      <c r="G18" s="8" t="s">
        <v>29</v>
      </c>
      <c r="H18" s="8" t="s">
        <v>36</v>
      </c>
      <c r="I18" s="1"/>
      <c r="J18" s="1"/>
      <c r="K18" s="1" t="s">
        <v>33</v>
      </c>
      <c r="L18" s="1" t="s">
        <v>34</v>
      </c>
      <c r="M18" s="1" t="s">
        <v>35</v>
      </c>
      <c r="N18" s="1"/>
      <c r="O18" s="1"/>
      <c r="P18" s="7">
        <v>43077</v>
      </c>
      <c r="Q18" s="1" t="str">
        <f>IF([1]!Tableau6[[#This Row],[Date_ Resolution]]="","",NETWORKDAYS.INTL([1]!Tableau6[[#This Row],[Date ]],[1]!Tableau6[[#This Row],[Date_ Resolution]],11,11)&amp;" Jr")</f>
        <v>1 Jr</v>
      </c>
      <c r="R18" s="14" t="s">
        <v>23</v>
      </c>
    </row>
    <row r="19" spans="1:18" ht="30">
      <c r="A19" s="83">
        <v>9</v>
      </c>
      <c r="B19" s="7">
        <v>43077</v>
      </c>
      <c r="C19" s="84" t="s">
        <v>24</v>
      </c>
      <c r="D19" s="1" t="str">
        <f>IFERROR(VLOOKUP([1]!Tableau6[[#This Row],[Typologie ]],[1]!Tableau1[#Data],2,0),"")</f>
        <v>SRCSP</v>
      </c>
      <c r="E19" s="1"/>
      <c r="F19" s="8"/>
      <c r="G19" s="8" t="s">
        <v>29</v>
      </c>
      <c r="H19" s="8" t="s">
        <v>36</v>
      </c>
      <c r="I19" s="1"/>
      <c r="J19" s="1"/>
      <c r="K19" s="1" t="s">
        <v>20</v>
      </c>
      <c r="L19" s="1" t="s">
        <v>27</v>
      </c>
      <c r="M19" s="1" t="s">
        <v>39</v>
      </c>
      <c r="N19" s="1"/>
      <c r="O19" s="1"/>
      <c r="P19" s="7">
        <v>43077</v>
      </c>
      <c r="Q19" s="1" t="str">
        <f>IF([1]!Tableau6[[#This Row],[Date_ Resolution]]="","",NETWORKDAYS.INTL([1]!Tableau6[[#This Row],[Date ]],[1]!Tableau6[[#This Row],[Date_ Resolution]],11,11)&amp;" Jr")</f>
        <v>1 Jr</v>
      </c>
      <c r="R19" s="14" t="s">
        <v>23</v>
      </c>
    </row>
    <row r="20" spans="1:18" ht="30">
      <c r="A20" s="83">
        <v>10</v>
      </c>
      <c r="B20" s="7">
        <v>43077</v>
      </c>
      <c r="C20" s="84" t="s">
        <v>24</v>
      </c>
      <c r="D20" s="1" t="str">
        <f>IFERROR(VLOOKUP([1]!Tableau6[[#This Row],[Typologie ]],[1]!Tableau1[#Data],2,0),"")</f>
        <v>SRCSP</v>
      </c>
      <c r="E20" s="1"/>
      <c r="F20" s="8"/>
      <c r="G20" s="8" t="s">
        <v>29</v>
      </c>
      <c r="H20" s="8" t="s">
        <v>36</v>
      </c>
      <c r="I20" s="1"/>
      <c r="J20" s="1"/>
      <c r="K20" s="1" t="s">
        <v>33</v>
      </c>
      <c r="L20" s="1" t="s">
        <v>37</v>
      </c>
      <c r="M20" s="1" t="s">
        <v>38</v>
      </c>
      <c r="N20" s="1"/>
      <c r="O20" s="1"/>
      <c r="P20" s="7">
        <v>43077</v>
      </c>
      <c r="Q20" s="1" t="str">
        <f>IF([1]!Tableau6[[#This Row],[Date_ Resolution]]="","",NETWORKDAYS.INTL([1]!Tableau6[[#This Row],[Date ]],[1]!Tableau6[[#This Row],[Date_ Resolution]],11,11)&amp;" Jr")</f>
        <v>1 Jr</v>
      </c>
      <c r="R20" s="14" t="s">
        <v>23</v>
      </c>
    </row>
    <row r="21" spans="1:18">
      <c r="A21" s="83">
        <v>11</v>
      </c>
      <c r="B21" s="7">
        <v>43083</v>
      </c>
      <c r="C21" s="84" t="s">
        <v>187</v>
      </c>
      <c r="D21" s="1" t="str">
        <f>IFERROR(VLOOKUP([1]!Tableau6[[#This Row],[Typologie ]],[1]!Tableau1[#Data],2,0),"")</f>
        <v>SRAVK</v>
      </c>
      <c r="E21" s="1"/>
      <c r="F21" s="8"/>
      <c r="G21" s="8" t="s">
        <v>29</v>
      </c>
      <c r="H21" s="8" t="s">
        <v>30</v>
      </c>
      <c r="I21" s="1"/>
      <c r="J21" s="1"/>
      <c r="K21" s="1" t="s">
        <v>33</v>
      </c>
      <c r="L21" s="1" t="s">
        <v>40</v>
      </c>
      <c r="M21" s="1" t="s">
        <v>41</v>
      </c>
      <c r="N21" s="1"/>
      <c r="O21" s="1"/>
      <c r="P21" s="7">
        <v>43087</v>
      </c>
      <c r="Q21" s="1" t="str">
        <f>IF([1]!Tableau6[[#This Row],[Date_ Resolution]]="","",NETWORKDAYS.INTL([1]!Tableau6[[#This Row],[Date ]],[1]!Tableau6[[#This Row],[Date_ Resolution]],11,11)&amp;" Jr")</f>
        <v>4 Jr</v>
      </c>
      <c r="R21" s="14" t="s">
        <v>23</v>
      </c>
    </row>
    <row r="22" spans="1:18" ht="30">
      <c r="A22" s="83">
        <v>12</v>
      </c>
      <c r="B22" s="7">
        <v>43088</v>
      </c>
      <c r="C22" s="84" t="s">
        <v>187</v>
      </c>
      <c r="D22" s="1" t="str">
        <f>IFERROR(VLOOKUP([1]!Tableau6[[#This Row],[Typologie ]],[1]!Tableau1[#Data],2,0),"")</f>
        <v>SRAVK</v>
      </c>
      <c r="E22" s="1"/>
      <c r="F22" s="8"/>
      <c r="G22" s="8" t="s">
        <v>29</v>
      </c>
      <c r="H22" s="8" t="s">
        <v>36</v>
      </c>
      <c r="I22" s="1"/>
      <c r="J22" s="1"/>
      <c r="K22" s="1" t="s">
        <v>20</v>
      </c>
      <c r="L22" s="1" t="s">
        <v>27</v>
      </c>
      <c r="M22" s="8" t="s">
        <v>42</v>
      </c>
      <c r="N22" s="1"/>
      <c r="O22" s="1"/>
      <c r="P22" s="7">
        <v>43090</v>
      </c>
      <c r="Q22" s="1" t="str">
        <f>IF([1]!Tableau6[[#This Row],[Date_ Resolution]]="","",NETWORKDAYS.INTL([1]!Tableau6[[#This Row],[Date ]],[1]!Tableau6[[#This Row],[Date_ Resolution]],11,11)&amp;" Jr")</f>
        <v>3 Jr</v>
      </c>
      <c r="R22" s="14" t="s">
        <v>23</v>
      </c>
    </row>
    <row r="23" spans="1:18" ht="30">
      <c r="A23" s="83">
        <v>13</v>
      </c>
      <c r="B23" s="7">
        <v>43088</v>
      </c>
      <c r="C23" s="84" t="s">
        <v>187</v>
      </c>
      <c r="D23" s="1" t="str">
        <f>IFERROR(VLOOKUP([1]!Tableau6[[#This Row],[Typologie ]],[1]!Tableau1[#Data],2,0),"")</f>
        <v>SRAVK</v>
      </c>
      <c r="E23" s="1"/>
      <c r="F23" s="8"/>
      <c r="G23" s="8" t="s">
        <v>29</v>
      </c>
      <c r="H23" s="8" t="s">
        <v>36</v>
      </c>
      <c r="I23" s="1"/>
      <c r="J23" s="1"/>
      <c r="K23" s="1" t="s">
        <v>20</v>
      </c>
      <c r="L23" s="1" t="s">
        <v>27</v>
      </c>
      <c r="M23" s="8" t="s">
        <v>42</v>
      </c>
      <c r="N23" s="1"/>
      <c r="O23" s="1"/>
      <c r="P23" s="7">
        <v>43090</v>
      </c>
      <c r="Q23" s="1" t="str">
        <f>IF([1]!Tableau6[[#This Row],[Date_ Resolution]]="","",NETWORKDAYS.INTL([1]!Tableau6[[#This Row],[Date ]],[1]!Tableau6[[#This Row],[Date_ Resolution]],11,11)&amp;" Jr")</f>
        <v>3 Jr</v>
      </c>
      <c r="R23" s="14" t="s">
        <v>23</v>
      </c>
    </row>
    <row r="24" spans="1:18" ht="30">
      <c r="A24" s="83">
        <v>14</v>
      </c>
      <c r="B24" s="7">
        <v>43088</v>
      </c>
      <c r="C24" s="84" t="s">
        <v>187</v>
      </c>
      <c r="D24" s="1" t="str">
        <f>IFERROR(VLOOKUP([1]!Tableau6[[#This Row],[Typologie ]],[1]!Tableau1[#Data],2,0),"")</f>
        <v>SRAVK</v>
      </c>
      <c r="E24" s="1"/>
      <c r="F24" s="8"/>
      <c r="G24" s="8" t="s">
        <v>29</v>
      </c>
      <c r="H24" s="8" t="s">
        <v>36</v>
      </c>
      <c r="I24" s="1"/>
      <c r="J24" s="1"/>
      <c r="K24" s="1" t="s">
        <v>20</v>
      </c>
      <c r="L24" s="1" t="s">
        <v>27</v>
      </c>
      <c r="M24" s="8" t="s">
        <v>42</v>
      </c>
      <c r="N24" s="1"/>
      <c r="O24" s="1"/>
      <c r="P24" s="7">
        <v>43090</v>
      </c>
      <c r="Q24" s="1" t="str">
        <f>IF([1]!Tableau6[[#This Row],[Date_ Resolution]]="","",NETWORKDAYS.INTL([1]!Tableau6[[#This Row],[Date ]],[1]!Tableau6[[#This Row],[Date_ Resolution]],11,11)&amp;" Jr")</f>
        <v>3 Jr</v>
      </c>
      <c r="R24" s="14" t="s">
        <v>23</v>
      </c>
    </row>
    <row r="25" spans="1:18" ht="30">
      <c r="A25" s="83">
        <v>15</v>
      </c>
      <c r="B25" s="7">
        <v>43088</v>
      </c>
      <c r="C25" s="84" t="s">
        <v>187</v>
      </c>
      <c r="D25" s="1" t="str">
        <f>IFERROR(VLOOKUP([1]!Tableau6[[#This Row],[Typologie ]],[1]!Tableau1[#Data],2,0),"")</f>
        <v>SRAVK</v>
      </c>
      <c r="E25" s="1"/>
      <c r="F25" s="8"/>
      <c r="G25" s="8" t="s">
        <v>29</v>
      </c>
      <c r="H25" s="8" t="s">
        <v>36</v>
      </c>
      <c r="I25" s="1"/>
      <c r="J25" s="1"/>
      <c r="K25" s="1" t="s">
        <v>20</v>
      </c>
      <c r="L25" s="1" t="s">
        <v>27</v>
      </c>
      <c r="M25" s="8" t="s">
        <v>42</v>
      </c>
      <c r="N25" s="1"/>
      <c r="O25" s="1"/>
      <c r="P25" s="7">
        <v>43090</v>
      </c>
      <c r="Q25" s="1" t="str">
        <f>IF([1]!Tableau6[[#This Row],[Date_ Resolution]]="","",NETWORKDAYS.INTL([1]!Tableau6[[#This Row],[Date ]],[1]!Tableau6[[#This Row],[Date_ Resolution]],11,11)&amp;" Jr")</f>
        <v>3 Jr</v>
      </c>
      <c r="R25" s="14" t="s">
        <v>23</v>
      </c>
    </row>
    <row r="26" spans="1:18" ht="30">
      <c r="A26" s="83">
        <v>16</v>
      </c>
      <c r="B26" s="7">
        <v>43088</v>
      </c>
      <c r="C26" s="84" t="s">
        <v>187</v>
      </c>
      <c r="D26" s="1" t="str">
        <f>IFERROR(VLOOKUP([1]!Tableau6[[#This Row],[Typologie ]],[1]!Tableau1[#Data],2,0),"")</f>
        <v>SRAVK</v>
      </c>
      <c r="E26" s="1"/>
      <c r="F26" s="8"/>
      <c r="G26" s="8" t="s">
        <v>29</v>
      </c>
      <c r="H26" s="8" t="s">
        <v>36</v>
      </c>
      <c r="I26" s="1"/>
      <c r="J26" s="1"/>
      <c r="K26" s="1" t="s">
        <v>20</v>
      </c>
      <c r="L26" s="1" t="s">
        <v>27</v>
      </c>
      <c r="M26" s="8" t="s">
        <v>42</v>
      </c>
      <c r="N26" s="1"/>
      <c r="O26" s="1"/>
      <c r="P26" s="7">
        <v>43090</v>
      </c>
      <c r="Q26" s="1" t="str">
        <f>IF([1]!Tableau6[[#This Row],[Date_ Resolution]]="","",NETWORKDAYS.INTL([1]!Tableau6[[#This Row],[Date ]],[1]!Tableau6[[#This Row],[Date_ Resolution]],11,11)&amp;" Jr")</f>
        <v>3 Jr</v>
      </c>
      <c r="R26" s="14" t="s">
        <v>23</v>
      </c>
    </row>
    <row r="27" spans="1:18" ht="30">
      <c r="A27" s="83">
        <v>17</v>
      </c>
      <c r="B27" s="7">
        <v>43088</v>
      </c>
      <c r="C27" s="84" t="s">
        <v>187</v>
      </c>
      <c r="D27" s="1" t="str">
        <f>IFERROR(VLOOKUP([1]!Tableau6[[#This Row],[Typologie ]],[1]!Tableau1[#Data],2,0),"")</f>
        <v>SRAVK</v>
      </c>
      <c r="E27" s="1"/>
      <c r="F27" s="8"/>
      <c r="G27" s="8" t="s">
        <v>29</v>
      </c>
      <c r="H27" s="8" t="s">
        <v>36</v>
      </c>
      <c r="I27" s="1"/>
      <c r="J27" s="1"/>
      <c r="K27" s="1" t="s">
        <v>20</v>
      </c>
      <c r="L27" s="1" t="s">
        <v>27</v>
      </c>
      <c r="M27" s="8" t="s">
        <v>42</v>
      </c>
      <c r="N27" s="1"/>
      <c r="O27" s="1"/>
      <c r="P27" s="7">
        <v>43090</v>
      </c>
      <c r="Q27" s="1" t="str">
        <f>IF([1]!Tableau6[[#This Row],[Date_ Resolution]]="","",NETWORKDAYS.INTL([1]!Tableau6[[#This Row],[Date ]],[1]!Tableau6[[#This Row],[Date_ Resolution]],11,11)&amp;" Jr")</f>
        <v>3 Jr</v>
      </c>
      <c r="R27" s="14" t="s">
        <v>23</v>
      </c>
    </row>
    <row r="28" spans="1:18" ht="30">
      <c r="A28" s="83">
        <v>18</v>
      </c>
      <c r="B28" s="7">
        <v>43088</v>
      </c>
      <c r="C28" s="84" t="s">
        <v>187</v>
      </c>
      <c r="D28" s="1" t="str">
        <f>IFERROR(VLOOKUP([1]!Tableau6[[#This Row],[Typologie ]],[1]!Tableau1[#Data],2,0),"")</f>
        <v>SRAVK</v>
      </c>
      <c r="E28" s="1"/>
      <c r="F28" s="8"/>
      <c r="G28" s="8" t="s">
        <v>29</v>
      </c>
      <c r="H28" s="8" t="s">
        <v>36</v>
      </c>
      <c r="I28" s="1"/>
      <c r="J28" s="1"/>
      <c r="K28" s="1" t="s">
        <v>20</v>
      </c>
      <c r="L28" s="1" t="s">
        <v>27</v>
      </c>
      <c r="M28" s="8" t="s">
        <v>42</v>
      </c>
      <c r="N28" s="1"/>
      <c r="O28" s="1"/>
      <c r="P28" s="7">
        <v>43090</v>
      </c>
      <c r="Q28" s="1" t="str">
        <f>IF([1]!Tableau6[[#This Row],[Date_ Resolution]]="","",NETWORKDAYS.INTL([1]!Tableau6[[#This Row],[Date ]],[1]!Tableau6[[#This Row],[Date_ Resolution]],11,11)&amp;" Jr")</f>
        <v>3 Jr</v>
      </c>
      <c r="R28" s="14" t="s">
        <v>23</v>
      </c>
    </row>
    <row r="29" spans="1:18">
      <c r="A29" s="83">
        <v>19</v>
      </c>
      <c r="B29" s="7">
        <v>43090</v>
      </c>
      <c r="C29" s="84" t="s">
        <v>24</v>
      </c>
      <c r="D29" s="1" t="str">
        <f>IFERROR(VLOOKUP([1]!Tableau6[[#This Row],[Typologie ]],[1]!Tableau1[#Data],2,0),"")</f>
        <v>SRCSP</v>
      </c>
      <c r="E29" s="1"/>
      <c r="F29" s="8"/>
      <c r="G29" s="8" t="s">
        <v>29</v>
      </c>
      <c r="H29" s="8" t="s">
        <v>36</v>
      </c>
      <c r="I29" s="1"/>
      <c r="J29" s="1"/>
      <c r="K29" s="1" t="s">
        <v>33</v>
      </c>
      <c r="L29" s="1" t="s">
        <v>34</v>
      </c>
      <c r="M29" s="8" t="s">
        <v>43</v>
      </c>
      <c r="N29" s="1"/>
      <c r="O29" s="1"/>
      <c r="P29" s="7">
        <v>43090</v>
      </c>
      <c r="Q29" s="1" t="str">
        <f>IF([1]!Tableau6[[#This Row],[Date_ Resolution]]="","",NETWORKDAYS.INTL([1]!Tableau6[[#This Row],[Date ]],[1]!Tableau6[[#This Row],[Date_ Resolution]],11,11)&amp;" Jr")</f>
        <v>1 Jr</v>
      </c>
      <c r="R29" s="14" t="s">
        <v>23</v>
      </c>
    </row>
    <row r="30" spans="1:18">
      <c r="A30" s="83">
        <v>20</v>
      </c>
      <c r="B30" s="7">
        <v>43090</v>
      </c>
      <c r="C30" s="84" t="s">
        <v>24</v>
      </c>
      <c r="D30" s="1" t="str">
        <f>IFERROR(VLOOKUP([1]!Tableau6[[#This Row],[Typologie ]],[1]!Tableau1[#Data],2,0),"")</f>
        <v>SRCSP</v>
      </c>
      <c r="E30" s="1"/>
      <c r="F30" s="8"/>
      <c r="G30" s="8" t="s">
        <v>29</v>
      </c>
      <c r="H30" s="8" t="s">
        <v>36</v>
      </c>
      <c r="I30" s="1"/>
      <c r="J30" s="1"/>
      <c r="K30" s="1" t="s">
        <v>33</v>
      </c>
      <c r="L30" s="1" t="s">
        <v>34</v>
      </c>
      <c r="M30" s="8" t="s">
        <v>44</v>
      </c>
      <c r="N30" s="1"/>
      <c r="O30" s="1"/>
      <c r="P30" s="7">
        <v>43090</v>
      </c>
      <c r="Q30" s="1" t="str">
        <f>IF([1]!Tableau6[[#This Row],[Date_ Resolution]]="","",NETWORKDAYS.INTL([1]!Tableau6[[#This Row],[Date ]],[1]!Tableau6[[#This Row],[Date_ Resolution]],11,11)&amp;" Jr")</f>
        <v>1 Jr</v>
      </c>
      <c r="R30" s="14" t="s">
        <v>23</v>
      </c>
    </row>
    <row r="31" spans="1:18" ht="30">
      <c r="A31" s="83">
        <v>21</v>
      </c>
      <c r="B31" s="7">
        <v>43090</v>
      </c>
      <c r="C31" s="84" t="s">
        <v>24</v>
      </c>
      <c r="D31" s="1" t="str">
        <f>IFERROR(VLOOKUP([1]!Tableau6[[#This Row],[Typologie ]],[1]!Tableau1[#Data],2,0),"")</f>
        <v>SRCSP</v>
      </c>
      <c r="E31" s="1"/>
      <c r="F31" s="8"/>
      <c r="G31" s="8" t="s">
        <v>18</v>
      </c>
      <c r="H31" s="8" t="s">
        <v>45</v>
      </c>
      <c r="I31" s="1"/>
      <c r="J31" s="1"/>
      <c r="K31" s="1" t="s">
        <v>20</v>
      </c>
      <c r="L31" s="1" t="s">
        <v>27</v>
      </c>
      <c r="M31" s="1" t="s">
        <v>39</v>
      </c>
      <c r="N31" s="1"/>
      <c r="O31" s="1"/>
      <c r="P31" s="7">
        <v>43090</v>
      </c>
      <c r="Q31" s="1" t="str">
        <f>IF([1]!Tableau6[[#This Row],[Date_ Resolution]]="","",NETWORKDAYS.INTL([1]!Tableau6[[#This Row],[Date ]],[1]!Tableau6[[#This Row],[Date_ Resolution]],11,11)&amp;" Jr")</f>
        <v>1 Jr</v>
      </c>
      <c r="R31" s="14" t="s">
        <v>23</v>
      </c>
    </row>
    <row r="32" spans="1:18">
      <c r="A32" s="85">
        <v>22</v>
      </c>
      <c r="B32" s="86">
        <v>43090</v>
      </c>
      <c r="C32" s="87" t="s">
        <v>24</v>
      </c>
      <c r="D32" s="88" t="str">
        <f>IFERROR(VLOOKUP([1]!Tableau6[[#This Row],[Typologie ]],[1]!Tableau1[#Data],2,0),"")</f>
        <v>SRCSP</v>
      </c>
      <c r="E32" s="88"/>
      <c r="F32" s="89"/>
      <c r="G32" s="89" t="s">
        <v>29</v>
      </c>
      <c r="H32" s="89" t="s">
        <v>36</v>
      </c>
      <c r="I32" s="88"/>
      <c r="J32" s="88"/>
      <c r="K32" s="88" t="s">
        <v>33</v>
      </c>
      <c r="L32" s="88" t="s">
        <v>34</v>
      </c>
      <c r="M32" s="88" t="s">
        <v>43</v>
      </c>
      <c r="N32" s="88"/>
      <c r="O32" s="88"/>
      <c r="P32" s="86">
        <v>43090</v>
      </c>
      <c r="Q32" s="88" t="str">
        <f>IF([1]!Tableau6[[#This Row],[Date_ Resolution]]="","",NETWORKDAYS.INTL([1]!Tableau6[[#This Row],[Date ]],[1]!Tableau6[[#This Row],[Date_ Resolution]],11,11)&amp;" Jr")</f>
        <v>1 Jr</v>
      </c>
      <c r="R32" s="14" t="s">
        <v>23</v>
      </c>
    </row>
    <row r="33" spans="1:18">
      <c r="A33" s="13">
        <v>23</v>
      </c>
      <c r="B33" s="86">
        <v>43091</v>
      </c>
      <c r="C33" s="84" t="s">
        <v>187</v>
      </c>
      <c r="D33" s="1" t="str">
        <f>IFERROR(VLOOKUP([1]!Tableau6[[#This Row],[Typologie ]],[1]!Tableau1[#Data],2,0),"")</f>
        <v>SRAVK</v>
      </c>
      <c r="E33" s="8"/>
      <c r="F33" s="8"/>
      <c r="G33" s="8" t="s">
        <v>29</v>
      </c>
      <c r="H33" s="8" t="s">
        <v>36</v>
      </c>
      <c r="I33" s="8"/>
      <c r="J33" s="8"/>
      <c r="K33" s="8" t="s">
        <v>33</v>
      </c>
      <c r="L33" s="8" t="s">
        <v>34</v>
      </c>
      <c r="M33" s="8" t="s">
        <v>43</v>
      </c>
      <c r="N33" s="8"/>
      <c r="O33" s="88"/>
      <c r="P33" s="86">
        <v>43091</v>
      </c>
      <c r="Q33" s="8" t="str">
        <f>IF([1]!Tableau6[[#This Row],[Date_ Resolution]]="","",NETWORKDAYS.INTL([1]!Tableau6[[#This Row],[Date ]],[1]!Tableau6[[#This Row],[Date_ Resolution]],11,11)&amp;" Jr")</f>
        <v>1 Jr</v>
      </c>
      <c r="R33" s="14" t="s">
        <v>23</v>
      </c>
    </row>
    <row r="34" spans="1:18">
      <c r="A34" s="13">
        <v>24</v>
      </c>
      <c r="B34" s="86">
        <v>43091</v>
      </c>
      <c r="C34" s="84" t="s">
        <v>187</v>
      </c>
      <c r="D34" s="1" t="str">
        <f>IFERROR(VLOOKUP([1]!Tableau6[[#This Row],[Typologie ]],[1]!Tableau1[#Data],2,0),"")</f>
        <v>SRAVK</v>
      </c>
      <c r="E34" s="8"/>
      <c r="F34" s="8"/>
      <c r="G34" s="8" t="s">
        <v>29</v>
      </c>
      <c r="H34" s="8" t="s">
        <v>36</v>
      </c>
      <c r="I34" s="8"/>
      <c r="J34" s="8"/>
      <c r="K34" s="8" t="s">
        <v>33</v>
      </c>
      <c r="L34" s="8" t="s">
        <v>34</v>
      </c>
      <c r="M34" s="8" t="s">
        <v>43</v>
      </c>
      <c r="N34" s="8"/>
      <c r="O34" s="88"/>
      <c r="P34" s="86">
        <v>43091</v>
      </c>
      <c r="Q34" s="8" t="str">
        <f>IF([1]!Tableau6[[#This Row],[Date_ Resolution]]="","",NETWORKDAYS.INTL([1]!Tableau6[[#This Row],[Date ]],[1]!Tableau6[[#This Row],[Date_ Resolution]],11,11)&amp;" Jr")</f>
        <v>1 Jr</v>
      </c>
      <c r="R34" s="14" t="s">
        <v>23</v>
      </c>
    </row>
    <row r="35" spans="1:18">
      <c r="A35" s="13">
        <v>25</v>
      </c>
      <c r="B35" s="86">
        <v>43091</v>
      </c>
      <c r="C35" s="84" t="s">
        <v>187</v>
      </c>
      <c r="D35" s="1" t="str">
        <f>IFERROR(VLOOKUP([1]!Tableau6[[#This Row],[Typologie ]],[1]!Tableau1[#Data],2,0),"")</f>
        <v>SRAVK</v>
      </c>
      <c r="E35" s="8"/>
      <c r="F35" s="8"/>
      <c r="G35" s="8" t="s">
        <v>29</v>
      </c>
      <c r="H35" s="8" t="s">
        <v>36</v>
      </c>
      <c r="I35" s="8"/>
      <c r="J35" s="8"/>
      <c r="K35" s="8" t="s">
        <v>33</v>
      </c>
      <c r="L35" s="8" t="s">
        <v>34</v>
      </c>
      <c r="M35" s="8" t="s">
        <v>43</v>
      </c>
      <c r="N35" s="8"/>
      <c r="O35" s="88"/>
      <c r="P35" s="86">
        <v>43091</v>
      </c>
      <c r="Q35" s="8" t="str">
        <f>IF([1]!Tableau6[[#This Row],[Date_ Resolution]]="","",NETWORKDAYS.INTL([1]!Tableau6[[#This Row],[Date ]],[1]!Tableau6[[#This Row],[Date_ Resolution]],11,11)&amp;" Jr")</f>
        <v>1 Jr</v>
      </c>
      <c r="R35" s="14" t="s">
        <v>23</v>
      </c>
    </row>
    <row r="36" spans="1:18">
      <c r="A36" s="13">
        <v>26</v>
      </c>
      <c r="B36" s="86">
        <v>43091</v>
      </c>
      <c r="C36" s="84" t="s">
        <v>187</v>
      </c>
      <c r="D36" s="1" t="str">
        <f>IFERROR(VLOOKUP([1]!Tableau6[[#This Row],[Typologie ]],[1]!Tableau1[#Data],2,0),"")</f>
        <v>SRAVK</v>
      </c>
      <c r="E36" s="8"/>
      <c r="F36" s="8"/>
      <c r="G36" s="8" t="s">
        <v>29</v>
      </c>
      <c r="H36" s="8" t="s">
        <v>36</v>
      </c>
      <c r="I36" s="8"/>
      <c r="J36" s="8"/>
      <c r="K36" s="8" t="s">
        <v>33</v>
      </c>
      <c r="L36" s="8" t="s">
        <v>34</v>
      </c>
      <c r="M36" s="8" t="s">
        <v>43</v>
      </c>
      <c r="N36" s="8"/>
      <c r="O36" s="88"/>
      <c r="P36" s="86">
        <v>43091</v>
      </c>
      <c r="Q36" s="8" t="str">
        <f>IF([1]!Tableau6[[#This Row],[Date_ Resolution]]="","",NETWORKDAYS.INTL([1]!Tableau6[[#This Row],[Date ]],[1]!Tableau6[[#This Row],[Date_ Resolution]],11,11)&amp;" Jr")</f>
        <v>1 Jr</v>
      </c>
      <c r="R36" s="14" t="s">
        <v>23</v>
      </c>
    </row>
    <row r="37" spans="1:18">
      <c r="A37" s="13">
        <v>27</v>
      </c>
      <c r="B37" s="86">
        <v>43091</v>
      </c>
      <c r="C37" s="84" t="s">
        <v>187</v>
      </c>
      <c r="D37" s="1" t="str">
        <f>IFERROR(VLOOKUP([1]!Tableau6[[#This Row],[Typologie ]],[1]!Tableau1[#Data],2,0),"")</f>
        <v>SRAVK</v>
      </c>
      <c r="E37" s="8"/>
      <c r="F37" s="8"/>
      <c r="G37" s="8" t="s">
        <v>29</v>
      </c>
      <c r="H37" s="8" t="s">
        <v>36</v>
      </c>
      <c r="I37" s="8"/>
      <c r="J37" s="8"/>
      <c r="K37" s="8" t="s">
        <v>33</v>
      </c>
      <c r="L37" s="8" t="s">
        <v>34</v>
      </c>
      <c r="M37" s="8" t="s">
        <v>43</v>
      </c>
      <c r="N37" s="8"/>
      <c r="O37" s="88"/>
      <c r="P37" s="86">
        <v>43091</v>
      </c>
      <c r="Q37" s="8" t="str">
        <f>IF([1]!Tableau6[[#This Row],[Date_ Resolution]]="","",NETWORKDAYS.INTL([1]!Tableau6[[#This Row],[Date ]],[1]!Tableau6[[#This Row],[Date_ Resolution]],11,11)&amp;" Jr")</f>
        <v>1 Jr</v>
      </c>
      <c r="R37" s="14" t="s">
        <v>23</v>
      </c>
    </row>
    <row r="38" spans="1:18">
      <c r="A38" s="13">
        <v>28</v>
      </c>
      <c r="B38" s="86">
        <v>43091</v>
      </c>
      <c r="C38" s="84" t="s">
        <v>187</v>
      </c>
      <c r="D38" s="1" t="str">
        <f>IFERROR(VLOOKUP([1]!Tableau6[[#This Row],[Typologie ]],[1]!Tableau1[#Data],2,0),"")</f>
        <v>SRAVK</v>
      </c>
      <c r="E38" s="8"/>
      <c r="F38" s="8"/>
      <c r="G38" s="8" t="s">
        <v>29</v>
      </c>
      <c r="H38" s="8" t="s">
        <v>36</v>
      </c>
      <c r="I38" s="8"/>
      <c r="J38" s="8"/>
      <c r="K38" s="8" t="s">
        <v>33</v>
      </c>
      <c r="L38" s="8" t="s">
        <v>34</v>
      </c>
      <c r="M38" s="8" t="s">
        <v>43</v>
      </c>
      <c r="N38" s="8"/>
      <c r="O38" s="88"/>
      <c r="P38" s="86">
        <v>43091</v>
      </c>
      <c r="Q38" s="8" t="str">
        <f>IF([1]!Tableau6[[#This Row],[Date_ Resolution]]="","",NETWORKDAYS.INTL([1]!Tableau6[[#This Row],[Date ]],[1]!Tableau6[[#This Row],[Date_ Resolution]],11,11)&amp;" Jr")</f>
        <v>1 Jr</v>
      </c>
      <c r="R38" s="14" t="s">
        <v>23</v>
      </c>
    </row>
    <row r="39" spans="1:18">
      <c r="A39" s="13">
        <v>29</v>
      </c>
      <c r="B39" s="86">
        <v>43091</v>
      </c>
      <c r="C39" s="84" t="s">
        <v>187</v>
      </c>
      <c r="D39" s="1" t="str">
        <f>IFERROR(VLOOKUP([1]!Tableau6[[#This Row],[Typologie ]],[1]!Tableau1[#Data],2,0),"")</f>
        <v>SRAVK</v>
      </c>
      <c r="E39" s="90"/>
      <c r="F39" s="8"/>
      <c r="G39" s="8" t="s">
        <v>29</v>
      </c>
      <c r="H39" s="8" t="s">
        <v>36</v>
      </c>
      <c r="I39" s="8"/>
      <c r="J39" s="8"/>
      <c r="K39" s="8" t="s">
        <v>33</v>
      </c>
      <c r="L39" s="8" t="s">
        <v>34</v>
      </c>
      <c r="M39" s="8" t="s">
        <v>43</v>
      </c>
      <c r="N39" s="8"/>
      <c r="O39" s="88"/>
      <c r="P39" s="86">
        <v>43091</v>
      </c>
      <c r="Q39" s="8" t="str">
        <f>IF([1]!Tableau6[[#This Row],[Date_ Resolution]]="","",NETWORKDAYS.INTL([1]!Tableau6[[#This Row],[Date ]],[1]!Tableau6[[#This Row],[Date_ Resolution]],11,11)&amp;" Jr")</f>
        <v>1 Jr</v>
      </c>
      <c r="R39" s="14" t="s">
        <v>23</v>
      </c>
    </row>
    <row r="40" spans="1:18">
      <c r="A40" s="91">
        <v>30</v>
      </c>
      <c r="B40" s="86">
        <v>43091</v>
      </c>
      <c r="C40" s="84" t="s">
        <v>187</v>
      </c>
      <c r="D40" s="88" t="str">
        <f>IFERROR(VLOOKUP([1]!Tableau6[[#This Row],[Typologie ]],[1]!Tableau1[#Data],2,0),"")</f>
        <v>SRAVK</v>
      </c>
      <c r="E40" s="89"/>
      <c r="F40" s="89"/>
      <c r="G40" s="89" t="s">
        <v>29</v>
      </c>
      <c r="H40" s="89" t="s">
        <v>36</v>
      </c>
      <c r="I40" s="8"/>
      <c r="J40" s="89"/>
      <c r="K40" s="89" t="s">
        <v>33</v>
      </c>
      <c r="L40" s="89" t="s">
        <v>34</v>
      </c>
      <c r="M40" s="89" t="s">
        <v>43</v>
      </c>
      <c r="N40" s="89"/>
      <c r="O40" s="88"/>
      <c r="P40" s="86">
        <v>43091</v>
      </c>
      <c r="Q40" s="8" t="str">
        <f>IF([1]!Tableau6[[#This Row],[Date_ Resolution]]="","",NETWORKDAYS.INTL([1]!Tableau6[[#This Row],[Date ]],[1]!Tableau6[[#This Row],[Date_ Resolution]],11,11)&amp;" Jr")</f>
        <v>1 Jr</v>
      </c>
      <c r="R40" s="14" t="s">
        <v>23</v>
      </c>
    </row>
    <row r="41" spans="1:18">
      <c r="A41" s="13">
        <v>31</v>
      </c>
      <c r="B41" s="7">
        <v>43092</v>
      </c>
      <c r="C41" s="8" t="s">
        <v>24</v>
      </c>
      <c r="D41" s="1" t="str">
        <f>IFERROR(VLOOKUP([1]!Tableau6[[#This Row],[Typologie ]],[1]!Tableau1[#Data],2,0),"")</f>
        <v>SRCSP</v>
      </c>
      <c r="E41" s="8"/>
      <c r="F41" s="8"/>
      <c r="G41" s="8" t="s">
        <v>25</v>
      </c>
      <c r="H41" s="8" t="s">
        <v>26</v>
      </c>
      <c r="I41" s="8"/>
      <c r="J41" s="8"/>
      <c r="K41" s="8" t="s">
        <v>33</v>
      </c>
      <c r="L41" s="8" t="s">
        <v>34</v>
      </c>
      <c r="M41" s="8" t="s">
        <v>43</v>
      </c>
      <c r="N41" s="8"/>
      <c r="O41" s="88"/>
      <c r="P41" s="86">
        <v>43092</v>
      </c>
      <c r="Q41" s="8" t="str">
        <f>IF([1]!Tableau6[[#This Row],[Date_ Resolution]]="","",NETWORKDAYS.INTL([1]!Tableau6[[#This Row],[Date ]],[1]!Tableau6[[#This Row],[Date_ Resolution]],11,11)&amp;" Jr")</f>
        <v>1 Jr</v>
      </c>
      <c r="R41" s="14" t="s">
        <v>23</v>
      </c>
    </row>
    <row r="42" spans="1:18">
      <c r="A42" s="91">
        <v>32</v>
      </c>
      <c r="B42" s="7">
        <v>43092</v>
      </c>
      <c r="C42" s="89" t="s">
        <v>24</v>
      </c>
      <c r="D42" s="88" t="str">
        <f>IFERROR(VLOOKUP([1]!Tableau6[[#This Row],[Typologie ]],[1]!Tableau1[#Data],2,0),"")</f>
        <v>SRCSP</v>
      </c>
      <c r="E42" s="89"/>
      <c r="F42" s="89"/>
      <c r="G42" s="89" t="s">
        <v>29</v>
      </c>
      <c r="H42" s="89" t="s">
        <v>36</v>
      </c>
      <c r="I42" s="89"/>
      <c r="J42" s="89"/>
      <c r="K42" s="89" t="s">
        <v>33</v>
      </c>
      <c r="L42" s="89" t="s">
        <v>34</v>
      </c>
      <c r="M42" s="8" t="s">
        <v>43</v>
      </c>
      <c r="N42" s="89"/>
      <c r="O42" s="88"/>
      <c r="P42" s="86">
        <v>43092</v>
      </c>
      <c r="Q42" s="8" t="str">
        <f>IF([1]!Tableau6[[#This Row],[Date_ Resolution]]="","",NETWORKDAYS.INTL([1]!Tableau6[[#This Row],[Date ]],[1]!Tableau6[[#This Row],[Date_ Resolution]],11,11)&amp;" Jr")</f>
        <v>1 Jr</v>
      </c>
      <c r="R42" s="14" t="s">
        <v>23</v>
      </c>
    </row>
    <row r="43" spans="1:18" ht="30">
      <c r="A43" s="13">
        <v>33</v>
      </c>
      <c r="B43" s="7">
        <v>43092</v>
      </c>
      <c r="C43" s="8" t="s">
        <v>24</v>
      </c>
      <c r="D43" s="1" t="str">
        <f>IFERROR(VLOOKUP([1]!Tableau6[[#This Row],[Typologie ]],[1]!Tableau1[#Data],2,0),"")</f>
        <v>SRCSP</v>
      </c>
      <c r="E43" s="8"/>
      <c r="F43" s="8"/>
      <c r="G43" s="8" t="s">
        <v>29</v>
      </c>
      <c r="H43" s="8" t="s">
        <v>36</v>
      </c>
      <c r="I43" s="8"/>
      <c r="J43" s="8"/>
      <c r="K43" s="8" t="s">
        <v>20</v>
      </c>
      <c r="L43" s="8" t="s">
        <v>27</v>
      </c>
      <c r="M43" s="8" t="s">
        <v>46</v>
      </c>
      <c r="N43" s="8"/>
      <c r="O43" s="8"/>
      <c r="P43" s="8"/>
      <c r="Q43" s="8" t="str">
        <f>IF([1]!Tableau6[[#This Row],[Date_ Resolution]]="","",NETWORKDAYS.INTL([1]!Tableau6[[#This Row],[Date ]],[1]!Tableau6[[#This Row],[Date_ Resolution]],11,11)&amp;" Jr")</f>
        <v/>
      </c>
      <c r="R43" s="14" t="s">
        <v>47</v>
      </c>
    </row>
    <row r="44" spans="1:18" ht="30">
      <c r="A44" s="13">
        <v>34</v>
      </c>
      <c r="B44" s="7">
        <v>43092</v>
      </c>
      <c r="C44" s="8" t="s">
        <v>24</v>
      </c>
      <c r="D44" s="1" t="str">
        <f>IFERROR(VLOOKUP([1]!Tableau6[[#This Row],[Typologie ]],[1]!Tableau1[#Data],2,0),"")</f>
        <v>SRCSP</v>
      </c>
      <c r="E44" s="8"/>
      <c r="F44" s="8"/>
      <c r="G44" s="8" t="s">
        <v>29</v>
      </c>
      <c r="H44" s="8" t="s">
        <v>36</v>
      </c>
      <c r="I44" s="8"/>
      <c r="J44" s="8"/>
      <c r="K44" s="8" t="s">
        <v>20</v>
      </c>
      <c r="L44" s="8" t="s">
        <v>27</v>
      </c>
      <c r="M44" s="8" t="s">
        <v>46</v>
      </c>
      <c r="N44" s="8"/>
      <c r="O44" s="8"/>
      <c r="P44" s="8"/>
      <c r="Q44" s="8" t="str">
        <f>IF([1]!Tableau6[[#This Row],[Date_ Resolution]]="","",NETWORKDAYS.INTL([1]!Tableau6[[#This Row],[Date ]],[1]!Tableau6[[#This Row],[Date_ Resolution]],11,11)&amp;" Jr")</f>
        <v/>
      </c>
      <c r="R44" s="14" t="s">
        <v>47</v>
      </c>
    </row>
    <row r="45" spans="1:18" ht="30">
      <c r="A45" s="13">
        <v>35</v>
      </c>
      <c r="B45" s="7">
        <v>43095</v>
      </c>
      <c r="C45" s="84" t="s">
        <v>187</v>
      </c>
      <c r="D45" s="1" t="str">
        <f>IFERROR(VLOOKUP([1]!Tableau6[[#This Row],[Typologie ]],[1]!Tableau1[#Data],2,0),"")</f>
        <v>SRAVK</v>
      </c>
      <c r="E45" s="8"/>
      <c r="F45" s="8"/>
      <c r="G45" s="8" t="s">
        <v>29</v>
      </c>
      <c r="H45" s="8" t="s">
        <v>36</v>
      </c>
      <c r="I45" s="8"/>
      <c r="J45" s="8"/>
      <c r="K45" s="8" t="s">
        <v>20</v>
      </c>
      <c r="L45" s="8" t="s">
        <v>27</v>
      </c>
      <c r="M45" s="8" t="s">
        <v>42</v>
      </c>
      <c r="N45" s="12"/>
      <c r="O45" s="8"/>
      <c r="P45" s="7">
        <v>43095</v>
      </c>
      <c r="Q45" s="8" t="str">
        <f>IF([1]!Tableau6[[#This Row],[Date_ Resolution]]="","",NETWORKDAYS.INTL([1]!Tableau6[[#This Row],[Date ]],[1]!Tableau6[[#This Row],[Date_ Resolution]],11,11)&amp;" Jr")</f>
        <v>1 Jr</v>
      </c>
      <c r="R45" s="14" t="s">
        <v>23</v>
      </c>
    </row>
    <row r="46" spans="1:18">
      <c r="A46" s="13">
        <v>36</v>
      </c>
      <c r="B46" s="7">
        <v>43095</v>
      </c>
      <c r="C46" s="8" t="s">
        <v>17</v>
      </c>
      <c r="D46" s="1" t="str">
        <f>IFERROR(VLOOKUP([1]!Tableau6[[#This Row],[Typologie ]],[1]!Tableau1[#Data],2,0),"")</f>
        <v>SRDHL</v>
      </c>
      <c r="E46" s="8"/>
      <c r="F46" s="8"/>
      <c r="G46" s="8" t="s">
        <v>29</v>
      </c>
      <c r="H46" s="8" t="s">
        <v>36</v>
      </c>
      <c r="I46" s="8"/>
      <c r="J46" s="8"/>
      <c r="K46" s="8" t="s">
        <v>33</v>
      </c>
      <c r="L46" s="8" t="s">
        <v>34</v>
      </c>
      <c r="M46" s="8" t="s">
        <v>43</v>
      </c>
      <c r="N46" s="8"/>
      <c r="O46" s="88"/>
      <c r="P46" s="7">
        <v>43095</v>
      </c>
      <c r="Q46" s="8" t="str">
        <f>IF([1]!Tableau6[[#This Row],[Date_ Resolution]]="","",NETWORKDAYS.INTL([1]!Tableau6[[#This Row],[Date ]],[1]!Tableau6[[#This Row],[Date_ Resolution]],11,11)&amp;" Jr")</f>
        <v>1 Jr</v>
      </c>
      <c r="R46" s="14" t="s">
        <v>23</v>
      </c>
    </row>
    <row r="47" spans="1:18" ht="30">
      <c r="A47" s="13">
        <v>37</v>
      </c>
      <c r="B47" s="8" t="s">
        <v>188</v>
      </c>
      <c r="C47" s="8" t="s">
        <v>24</v>
      </c>
      <c r="D47" s="1" t="str">
        <f>IFERROR(VLOOKUP([1]!Tableau6[[#This Row],[Typologie ]],[1]!Tableau1[#Data],2,0),"")</f>
        <v>SRCSP</v>
      </c>
      <c r="E47" s="8"/>
      <c r="F47" s="8"/>
      <c r="G47" s="8" t="s">
        <v>29</v>
      </c>
      <c r="H47" s="8" t="s">
        <v>30</v>
      </c>
      <c r="I47" s="8"/>
      <c r="J47" s="8"/>
      <c r="K47" s="8" t="s">
        <v>33</v>
      </c>
      <c r="L47" s="8" t="s">
        <v>34</v>
      </c>
      <c r="M47" s="8" t="s">
        <v>35</v>
      </c>
      <c r="N47" s="8"/>
      <c r="O47" s="8"/>
      <c r="P47" s="8" t="s">
        <v>189</v>
      </c>
      <c r="Q47" s="8" t="str">
        <f>IF([1]!Tableau6[[#This Row],[Date_ Resolution]]="","",NETWORKDAYS.INTL([1]!Tableau6[[#This Row],[Date ]],[1]!Tableau6[[#This Row],[Date_ Resolution]],11,11)&amp;" Jr")</f>
        <v>2 Jr</v>
      </c>
      <c r="R47" s="14" t="s">
        <v>23</v>
      </c>
    </row>
    <row r="48" spans="1:18">
      <c r="A48" s="13">
        <v>38</v>
      </c>
      <c r="B48" s="8" t="s">
        <v>188</v>
      </c>
      <c r="C48" s="8" t="s">
        <v>24</v>
      </c>
      <c r="D48" s="1" t="str">
        <f>IFERROR(VLOOKUP([1]!Tableau6[[#This Row],[Typologie ]],[1]!Tableau1[#Data],2,0),"")</f>
        <v>SRCSP</v>
      </c>
      <c r="E48" s="8"/>
      <c r="F48" s="8"/>
      <c r="G48" s="8" t="s">
        <v>29</v>
      </c>
      <c r="H48" s="8" t="s">
        <v>36</v>
      </c>
      <c r="I48" s="8"/>
      <c r="J48" s="8"/>
      <c r="K48" s="8" t="s">
        <v>20</v>
      </c>
      <c r="L48" s="8" t="s">
        <v>31</v>
      </c>
      <c r="M48" s="8" t="s">
        <v>32</v>
      </c>
      <c r="N48" s="8"/>
      <c r="O48" s="8"/>
      <c r="P48" s="8" t="s">
        <v>189</v>
      </c>
      <c r="Q48" s="8" t="str">
        <f>IF([1]!Tableau6[[#This Row],[Date_ Resolution]]="","",NETWORKDAYS.INTL([1]!Tableau6[[#This Row],[Date ]],[1]!Tableau6[[#This Row],[Date_ Resolution]],11,11)&amp;" Jr")</f>
        <v>2 Jr</v>
      </c>
      <c r="R48" s="14" t="s">
        <v>23</v>
      </c>
    </row>
    <row r="49" spans="1:18">
      <c r="A49" s="13">
        <v>39</v>
      </c>
      <c r="B49" s="8" t="s">
        <v>188</v>
      </c>
      <c r="C49" s="8" t="s">
        <v>24</v>
      </c>
      <c r="D49" s="1" t="str">
        <f>IFERROR(VLOOKUP([1]!Tableau6[[#This Row],[Typologie ]],[1]!Tableau1[#Data],2,0),"")</f>
        <v>SRCSP</v>
      </c>
      <c r="E49" s="8"/>
      <c r="F49" s="8"/>
      <c r="G49" s="8" t="s">
        <v>29</v>
      </c>
      <c r="H49" s="8" t="s">
        <v>36</v>
      </c>
      <c r="I49" s="8"/>
      <c r="J49" s="8"/>
      <c r="K49" s="8" t="s">
        <v>33</v>
      </c>
      <c r="L49" s="8" t="s">
        <v>34</v>
      </c>
      <c r="M49" s="8" t="s">
        <v>44</v>
      </c>
      <c r="N49" s="8"/>
      <c r="O49" s="8"/>
      <c r="P49" s="8" t="s">
        <v>189</v>
      </c>
      <c r="Q49" s="8" t="str">
        <f>IF([1]!Tableau6[[#This Row],[Date_ Resolution]]="","",NETWORKDAYS.INTL([1]!Tableau6[[#This Row],[Date ]],[1]!Tableau6[[#This Row],[Date_ Resolution]],11,11)&amp;" Jr")</f>
        <v>2 Jr</v>
      </c>
      <c r="R49" s="14" t="s">
        <v>23</v>
      </c>
    </row>
    <row r="50" spans="1:18" ht="30">
      <c r="A50" s="13">
        <v>40</v>
      </c>
      <c r="B50" s="7">
        <v>43098</v>
      </c>
      <c r="C50" s="8" t="s">
        <v>24</v>
      </c>
      <c r="D50" s="1" t="str">
        <f>IFERROR(VLOOKUP([1]!Tableau6[[#This Row],[Typologie ]],[1]!Tableau1[#Data],2,0),"")</f>
        <v>SRCSP</v>
      </c>
      <c r="E50" s="8"/>
      <c r="F50" s="8"/>
      <c r="G50" s="8" t="s">
        <v>29</v>
      </c>
      <c r="H50" s="8" t="s">
        <v>36</v>
      </c>
      <c r="I50" s="8"/>
      <c r="J50" s="8"/>
      <c r="K50" s="8" t="s">
        <v>20</v>
      </c>
      <c r="L50" s="8" t="s">
        <v>27</v>
      </c>
      <c r="M50" s="8" t="s">
        <v>42</v>
      </c>
      <c r="N50" s="8"/>
      <c r="O50" s="8"/>
      <c r="P50" s="7">
        <v>43098</v>
      </c>
      <c r="Q50" s="8" t="str">
        <f>IF([1]!Tableau6[[#This Row],[Date_ Resolution]]="","",NETWORKDAYS.INTL([1]!Tableau6[[#This Row],[Date ]],[1]!Tableau6[[#This Row],[Date_ Resolution]],11,11)&amp;" Jr")</f>
        <v>1 Jr</v>
      </c>
      <c r="R50" s="14" t="s">
        <v>23</v>
      </c>
    </row>
    <row r="51" spans="1:18">
      <c r="A51" s="13">
        <v>41</v>
      </c>
      <c r="B51" s="7">
        <v>43098</v>
      </c>
      <c r="C51" s="8" t="s">
        <v>24</v>
      </c>
      <c r="D51" s="1" t="str">
        <f>IFERROR(VLOOKUP([1]!Tableau6[[#This Row],[Typologie ]],[1]!Tableau1[#Data],2,0),"")</f>
        <v>SRCSP</v>
      </c>
      <c r="E51" s="8"/>
      <c r="F51" s="8"/>
      <c r="G51" s="8" t="s">
        <v>29</v>
      </c>
      <c r="H51" s="8" t="s">
        <v>36</v>
      </c>
      <c r="I51" s="8"/>
      <c r="J51" s="8"/>
      <c r="K51" s="8" t="s">
        <v>33</v>
      </c>
      <c r="L51" s="8" t="s">
        <v>34</v>
      </c>
      <c r="M51" s="8" t="s">
        <v>43</v>
      </c>
      <c r="N51" s="8"/>
      <c r="O51" s="8"/>
      <c r="P51" s="7">
        <v>43098</v>
      </c>
      <c r="Q51" s="8" t="str">
        <f>IF([1]!Tableau6[[#This Row],[Date_ Resolution]]="","",NETWORKDAYS.INTL([1]!Tableau6[[#This Row],[Date ]],[1]!Tableau6[[#This Row],[Date_ Resolution]],11,11)&amp;" Jr")</f>
        <v>1 Jr</v>
      </c>
      <c r="R51" s="14" t="s">
        <v>23</v>
      </c>
    </row>
    <row r="52" spans="1:18">
      <c r="A52" s="13">
        <v>42</v>
      </c>
      <c r="B52" s="7">
        <v>43098</v>
      </c>
      <c r="C52" s="8" t="s">
        <v>24</v>
      </c>
      <c r="D52" s="1" t="str">
        <f>IFERROR(VLOOKUP([1]!Tableau6[[#This Row],[Typologie ]],[1]!Tableau1[#Data],2,0),"")</f>
        <v>SRCSP</v>
      </c>
      <c r="E52" s="8"/>
      <c r="F52" s="8"/>
      <c r="G52" s="8" t="s">
        <v>29</v>
      </c>
      <c r="H52" s="8" t="s">
        <v>36</v>
      </c>
      <c r="I52" s="8"/>
      <c r="J52" s="8"/>
      <c r="K52" s="8" t="s">
        <v>20</v>
      </c>
      <c r="L52" s="8" t="s">
        <v>176</v>
      </c>
      <c r="M52" s="8" t="s">
        <v>114</v>
      </c>
      <c r="N52" s="8"/>
      <c r="O52" s="8"/>
      <c r="P52" s="7">
        <v>43098</v>
      </c>
      <c r="Q52" s="8" t="str">
        <f>IF([1]!Tableau6[[#This Row],[Date_ Resolution]]="","",NETWORKDAYS.INTL([1]!Tableau6[[#This Row],[Date ]],[1]!Tableau6[[#This Row],[Date_ Resolution]],11,11)&amp;" Jr")</f>
        <v>1 Jr</v>
      </c>
      <c r="R52" s="14" t="s">
        <v>23</v>
      </c>
    </row>
    <row r="53" spans="1:18">
      <c r="A53" s="13">
        <v>43</v>
      </c>
      <c r="B53" s="7">
        <v>43098</v>
      </c>
      <c r="C53" s="8" t="s">
        <v>24</v>
      </c>
      <c r="D53" s="1" t="str">
        <f>IFERROR(VLOOKUP([1]!Tableau6[[#This Row],[Typologie ]],[1]!Tableau1[#Data],2,0),"")</f>
        <v>SRCSP</v>
      </c>
      <c r="E53" s="8"/>
      <c r="F53" s="8"/>
      <c r="G53" s="8" t="s">
        <v>18</v>
      </c>
      <c r="H53" s="8" t="s">
        <v>19</v>
      </c>
      <c r="I53" s="8"/>
      <c r="J53" s="8"/>
      <c r="K53" s="8" t="s">
        <v>20</v>
      </c>
      <c r="L53" s="8" t="s">
        <v>176</v>
      </c>
      <c r="M53" s="8" t="s">
        <v>114</v>
      </c>
      <c r="N53" s="8"/>
      <c r="O53" s="8"/>
      <c r="P53" s="7">
        <v>43098</v>
      </c>
      <c r="Q53" s="8" t="str">
        <f>IF([1]!Tableau6[[#This Row],[Date_ Resolution]]="","",NETWORKDAYS.INTL([1]!Tableau6[[#This Row],[Date ]],[1]!Tableau6[[#This Row],[Date_ Resolution]],11,11)&amp;" Jr")</f>
        <v>1 Jr</v>
      </c>
      <c r="R53" s="14" t="s">
        <v>23</v>
      </c>
    </row>
    <row r="54" spans="1:18" ht="30">
      <c r="A54" s="13">
        <v>44</v>
      </c>
      <c r="B54" s="7">
        <v>43102</v>
      </c>
      <c r="C54" s="8" t="s">
        <v>24</v>
      </c>
      <c r="D54" s="1" t="str">
        <f>IFERROR(VLOOKUP([1]!Tableau6[[#This Row],[Typologie ]],[1]!Tableau1[#Data],2,0),"")</f>
        <v>SRCSP</v>
      </c>
      <c r="E54" s="8"/>
      <c r="F54" s="8"/>
      <c r="G54" s="8" t="s">
        <v>29</v>
      </c>
      <c r="H54" s="8" t="s">
        <v>36</v>
      </c>
      <c r="I54" s="8"/>
      <c r="J54" s="8"/>
      <c r="K54" s="8" t="s">
        <v>20</v>
      </c>
      <c r="L54" s="8" t="s">
        <v>27</v>
      </c>
      <c r="M54" s="8" t="s">
        <v>42</v>
      </c>
      <c r="N54" s="8"/>
      <c r="O54" s="8"/>
      <c r="P54" s="7">
        <v>43103</v>
      </c>
      <c r="Q54" s="8" t="str">
        <f>IF([1]!Tableau6[[#This Row],[Date_ Resolution]]="","",NETWORKDAYS.INTL([1]!Tableau6[[#This Row],[Date ]],[1]!Tableau6[[#This Row],[Date_ Resolution]],11,11)&amp;" Jr")</f>
        <v>2 Jr</v>
      </c>
      <c r="R54" s="14" t="s">
        <v>23</v>
      </c>
    </row>
    <row r="55" spans="1:18">
      <c r="A55" s="13">
        <v>45</v>
      </c>
      <c r="B55" s="7">
        <v>43102</v>
      </c>
      <c r="C55" s="8" t="s">
        <v>24</v>
      </c>
      <c r="D55" s="1" t="str">
        <f>IFERROR(VLOOKUP([1]!Tableau6[[#This Row],[Typologie ]],[1]!Tableau1[#Data],2,0),"")</f>
        <v>SRCSP</v>
      </c>
      <c r="E55" s="8"/>
      <c r="F55" s="8"/>
      <c r="G55" s="8" t="s">
        <v>29</v>
      </c>
      <c r="H55" s="8" t="s">
        <v>36</v>
      </c>
      <c r="I55" s="8"/>
      <c r="J55" s="8"/>
      <c r="K55" s="8" t="s">
        <v>33</v>
      </c>
      <c r="L55" s="8" t="s">
        <v>34</v>
      </c>
      <c r="M55" s="8" t="s">
        <v>43</v>
      </c>
      <c r="N55" s="8"/>
      <c r="O55" s="8"/>
      <c r="P55" s="7">
        <v>43103</v>
      </c>
      <c r="Q55" s="8" t="str">
        <f>IF([1]!Tableau6[[#This Row],[Date_ Resolution]]="","",NETWORKDAYS.INTL([1]!Tableau6[[#This Row],[Date ]],[1]!Tableau6[[#This Row],[Date_ Resolution]],11,11)&amp;" Jr")</f>
        <v>2 Jr</v>
      </c>
      <c r="R55" s="14" t="s">
        <v>23</v>
      </c>
    </row>
    <row r="56" spans="1:18">
      <c r="A56" s="13">
        <v>46</v>
      </c>
      <c r="B56" s="7">
        <v>43110</v>
      </c>
      <c r="C56" s="8" t="s">
        <v>24</v>
      </c>
      <c r="D56" s="1" t="str">
        <f>IFERROR(VLOOKUP([1]!Tableau6[[#This Row],[Typologie ]],[1]!Tableau1[#Data],2,0),"")</f>
        <v>SRCSP</v>
      </c>
      <c r="E56" s="8"/>
      <c r="F56" s="8"/>
      <c r="G56" s="8" t="s">
        <v>29</v>
      </c>
      <c r="H56" s="8" t="s">
        <v>30</v>
      </c>
      <c r="I56" s="8"/>
      <c r="J56" s="8"/>
      <c r="K56" s="8" t="s">
        <v>33</v>
      </c>
      <c r="L56" s="8" t="s">
        <v>34</v>
      </c>
      <c r="M56" s="8" t="s">
        <v>43</v>
      </c>
      <c r="N56" s="8"/>
      <c r="O56" s="8"/>
      <c r="P56" s="7">
        <v>43110</v>
      </c>
      <c r="Q56" s="8" t="str">
        <f>IF([1]!Tableau6[[#This Row],[Date_ Resolution]]="","",NETWORKDAYS.INTL([1]!Tableau6[[#This Row],[Date ]],[1]!Tableau6[[#This Row],[Date_ Resolution]],11,11)&amp;" Jr")</f>
        <v>1 Jr</v>
      </c>
      <c r="R56" s="8" t="s">
        <v>23</v>
      </c>
    </row>
    <row r="57" spans="1:18">
      <c r="A57" s="13">
        <v>47</v>
      </c>
      <c r="B57" s="7">
        <v>43110</v>
      </c>
      <c r="C57" s="8" t="s">
        <v>24</v>
      </c>
      <c r="D57" s="1" t="str">
        <f>IFERROR(VLOOKUP([1]!Tableau6[[#This Row],[Typologie ]],[1]!Tableau1[#Data],2,0),"")</f>
        <v>SRCSP</v>
      </c>
      <c r="E57" s="8"/>
      <c r="F57" s="8"/>
      <c r="G57" s="8" t="s">
        <v>25</v>
      </c>
      <c r="H57" s="8" t="s">
        <v>26</v>
      </c>
      <c r="I57" s="8"/>
      <c r="J57" s="8"/>
      <c r="K57" s="8" t="s">
        <v>33</v>
      </c>
      <c r="L57" s="8" t="s">
        <v>34</v>
      </c>
      <c r="M57" s="8" t="s">
        <v>43</v>
      </c>
      <c r="N57" s="8"/>
      <c r="O57" s="8"/>
      <c r="P57" s="7">
        <v>43110</v>
      </c>
      <c r="Q57" s="8" t="str">
        <f>IF([1]!Tableau6[[#This Row],[Date_ Resolution]]="","",NETWORKDAYS.INTL([1]!Tableau6[[#This Row],[Date ]],[1]!Tableau6[[#This Row],[Date_ Resolution]],11,11)&amp;" Jr")</f>
        <v>1 Jr</v>
      </c>
      <c r="R57" s="8" t="s">
        <v>23</v>
      </c>
    </row>
    <row r="58" spans="1:18">
      <c r="A58" s="13">
        <v>48</v>
      </c>
      <c r="B58" s="7">
        <v>43110</v>
      </c>
      <c r="C58" s="8" t="s">
        <v>24</v>
      </c>
      <c r="D58" s="1" t="str">
        <f>IFERROR(VLOOKUP([1]!Tableau6[[#This Row],[Typologie ]],[1]!Tableau1[#Data],2,0),"")</f>
        <v>SRCSP</v>
      </c>
      <c r="E58" s="8"/>
      <c r="F58" s="8"/>
      <c r="G58" s="8" t="s">
        <v>29</v>
      </c>
      <c r="H58" s="8" t="s">
        <v>30</v>
      </c>
      <c r="I58" s="8"/>
      <c r="J58" s="8"/>
      <c r="K58" s="8" t="s">
        <v>33</v>
      </c>
      <c r="L58" s="8" t="s">
        <v>34</v>
      </c>
      <c r="M58" s="8" t="s">
        <v>43</v>
      </c>
      <c r="N58" s="8"/>
      <c r="O58" s="8"/>
      <c r="P58" s="7">
        <v>43110</v>
      </c>
      <c r="Q58" s="8" t="str">
        <f>IF([1]!Tableau6[[#This Row],[Date_ Resolution]]="","",NETWORKDAYS.INTL([1]!Tableau6[[#This Row],[Date ]],[1]!Tableau6[[#This Row],[Date_ Resolution]],11,11)&amp;" Jr")</f>
        <v>1 Jr</v>
      </c>
      <c r="R58" s="8" t="s">
        <v>23</v>
      </c>
    </row>
    <row r="59" spans="1:18">
      <c r="A59" s="13">
        <v>49</v>
      </c>
      <c r="B59" s="7">
        <v>43110</v>
      </c>
      <c r="C59" s="8" t="s">
        <v>24</v>
      </c>
      <c r="D59" s="1" t="str">
        <f>IFERROR(VLOOKUP([1]!Tableau6[[#This Row],[Typologie ]],[1]!Tableau1[#Data],2,0),"")</f>
        <v>SRCSP</v>
      </c>
      <c r="E59" s="8"/>
      <c r="F59" s="8"/>
      <c r="G59" s="8" t="s">
        <v>29</v>
      </c>
      <c r="H59" s="8" t="s">
        <v>54</v>
      </c>
      <c r="I59" s="8"/>
      <c r="J59" s="8"/>
      <c r="K59" s="8" t="s">
        <v>33</v>
      </c>
      <c r="L59" s="8" t="s">
        <v>34</v>
      </c>
      <c r="M59" s="8" t="s">
        <v>43</v>
      </c>
      <c r="N59" s="8"/>
      <c r="O59" s="8"/>
      <c r="P59" s="7">
        <v>43110</v>
      </c>
      <c r="Q59" s="8" t="str">
        <f>IF([1]!Tableau6[[#This Row],[Date_ Resolution]]="","",NETWORKDAYS.INTL([1]!Tableau6[[#This Row],[Date ]],[1]!Tableau6[[#This Row],[Date_ Resolution]],11,11)&amp;" Jr")</f>
        <v>1 Jr</v>
      </c>
      <c r="R59" s="8" t="s">
        <v>23</v>
      </c>
    </row>
    <row r="60" spans="1:18">
      <c r="A60" s="13">
        <v>50</v>
      </c>
      <c r="B60" s="7">
        <v>43110</v>
      </c>
      <c r="C60" s="8" t="s">
        <v>24</v>
      </c>
      <c r="D60" s="1" t="str">
        <f>IFERROR(VLOOKUP([1]!Tableau6[[#This Row],[Typologie ]],[1]!Tableau1[#Data],2,0),"")</f>
        <v>SRCSP</v>
      </c>
      <c r="E60" s="8"/>
      <c r="F60" s="8"/>
      <c r="G60" s="8" t="s">
        <v>29</v>
      </c>
      <c r="H60" s="8" t="s">
        <v>54</v>
      </c>
      <c r="I60" s="8"/>
      <c r="J60" s="8"/>
      <c r="K60" s="8" t="s">
        <v>33</v>
      </c>
      <c r="L60" s="8" t="s">
        <v>34</v>
      </c>
      <c r="M60" s="8" t="s">
        <v>43</v>
      </c>
      <c r="N60" s="8"/>
      <c r="O60" s="8"/>
      <c r="P60" s="7">
        <v>43110</v>
      </c>
      <c r="Q60" s="8" t="str">
        <f>IF([1]!Tableau6[[#This Row],[Date_ Resolution]]="","",NETWORKDAYS.INTL([1]!Tableau6[[#This Row],[Date ]],[1]!Tableau6[[#This Row],[Date_ Resolution]],11,11)&amp;" Jr")</f>
        <v>1 Jr</v>
      </c>
      <c r="R60" s="8" t="s">
        <v>23</v>
      </c>
    </row>
    <row r="61" spans="1:18" ht="30">
      <c r="A61" s="13">
        <v>51</v>
      </c>
      <c r="B61" s="7">
        <v>43110</v>
      </c>
      <c r="C61" s="8" t="s">
        <v>78</v>
      </c>
      <c r="D61" s="1" t="str">
        <f>IFERROR(VLOOKUP([1]!Tableau6[[#This Row],[Typologie ]],[1]!Tableau1[#Data],2,0),"")</f>
        <v>SRBAF</v>
      </c>
      <c r="E61" s="8"/>
      <c r="F61" s="8"/>
      <c r="G61" s="8" t="s">
        <v>29</v>
      </c>
      <c r="H61" s="8" t="s">
        <v>67</v>
      </c>
      <c r="I61" s="8"/>
      <c r="J61" s="12"/>
      <c r="K61" s="12" t="s">
        <v>33</v>
      </c>
      <c r="L61" s="12" t="s">
        <v>34</v>
      </c>
      <c r="M61" s="8" t="s">
        <v>125</v>
      </c>
      <c r="N61" s="12"/>
      <c r="O61" s="12"/>
      <c r="P61" s="7">
        <v>43110</v>
      </c>
      <c r="Q61" s="8" t="str">
        <f>IF([1]!Tableau6[[#This Row],[Date_ Resolution]]="","",NETWORKDAYS.INTL([1]!Tableau6[[#This Row],[Date ]],[1]!Tableau6[[#This Row],[Date_ Resolution]],11,11)&amp;" Jr")</f>
        <v>1 Jr</v>
      </c>
      <c r="R61" s="8" t="s">
        <v>23</v>
      </c>
    </row>
    <row r="62" spans="1:18">
      <c r="A62" s="13">
        <v>52</v>
      </c>
      <c r="B62" s="7">
        <v>43110</v>
      </c>
      <c r="C62" s="8" t="s">
        <v>61</v>
      </c>
      <c r="D62" s="1" t="str">
        <f>IFERROR(VLOOKUP([1]!Tableau6[[#This Row],[Typologie ]],[1]!Tableau1[#Data],2,0),"")</f>
        <v>RCFRO</v>
      </c>
      <c r="E62" s="8"/>
      <c r="F62" s="8"/>
      <c r="G62" s="8" t="s">
        <v>18</v>
      </c>
      <c r="H62" s="8" t="s">
        <v>86</v>
      </c>
      <c r="I62" s="8"/>
      <c r="J62" s="8"/>
      <c r="K62" s="8" t="s">
        <v>20</v>
      </c>
      <c r="L62" s="12" t="s">
        <v>176</v>
      </c>
      <c r="M62" s="8"/>
      <c r="N62" s="8"/>
      <c r="O62" s="8"/>
      <c r="P62" s="7">
        <v>43110</v>
      </c>
      <c r="Q62" s="8" t="str">
        <f>IF([1]!Tableau6[[#This Row],[Date_ Resolution]]="","",NETWORKDAYS.INTL([1]!Tableau6[[#This Row],[Date ]],[1]!Tableau6[[#This Row],[Date_ Resolution]],11,11)&amp;" Jr")</f>
        <v>1 Jr</v>
      </c>
      <c r="R62" s="8" t="s">
        <v>23</v>
      </c>
    </row>
    <row r="63" spans="1:18">
      <c r="A63" s="13">
        <v>53</v>
      </c>
      <c r="B63" s="7">
        <v>43110</v>
      </c>
      <c r="C63" s="8" t="s">
        <v>61</v>
      </c>
      <c r="D63" s="1" t="str">
        <f>IFERROR(VLOOKUP([1]!Tableau6[[#This Row],[Typologie ]],[1]!Tableau1[#Data],2,0),"")</f>
        <v>RCFRO</v>
      </c>
      <c r="E63" s="8"/>
      <c r="F63" s="8"/>
      <c r="G63" s="8" t="s">
        <v>18</v>
      </c>
      <c r="H63" s="8" t="s">
        <v>45</v>
      </c>
      <c r="I63" s="8"/>
      <c r="J63" s="8"/>
      <c r="K63" s="8" t="s">
        <v>20</v>
      </c>
      <c r="L63" s="8" t="s">
        <v>176</v>
      </c>
      <c r="M63" s="8" t="s">
        <v>114</v>
      </c>
      <c r="N63" s="8"/>
      <c r="O63" s="12"/>
      <c r="P63" s="7">
        <v>43110</v>
      </c>
      <c r="Q63" s="8" t="str">
        <f>IF([1]!Tableau6[[#This Row],[Date_ Resolution]]="","",NETWORKDAYS.INTL([1]!Tableau6[[#This Row],[Date ]],[1]!Tableau6[[#This Row],[Date_ Resolution]],11,11)&amp;" Jr")</f>
        <v>1 Jr</v>
      </c>
      <c r="R63" s="8" t="s">
        <v>23</v>
      </c>
    </row>
    <row r="64" spans="1:18" ht="30">
      <c r="A64" s="13">
        <v>54</v>
      </c>
      <c r="B64" s="7">
        <v>43110</v>
      </c>
      <c r="C64" s="8" t="s">
        <v>61</v>
      </c>
      <c r="D64" s="1" t="str">
        <f>IFERROR(VLOOKUP([1]!Tableau6[[#This Row],[Typologie ]],[1]!Tableau1[#Data],2,0),"")</f>
        <v>RCFRO</v>
      </c>
      <c r="E64" s="8"/>
      <c r="F64" s="8"/>
      <c r="G64" s="8" t="s">
        <v>18</v>
      </c>
      <c r="H64" s="8" t="s">
        <v>45</v>
      </c>
      <c r="I64" s="8"/>
      <c r="J64" s="8"/>
      <c r="K64" s="8" t="s">
        <v>20</v>
      </c>
      <c r="L64" s="8" t="s">
        <v>27</v>
      </c>
      <c r="M64" s="8" t="s">
        <v>46</v>
      </c>
      <c r="N64" s="12"/>
      <c r="O64" s="8"/>
      <c r="P64" s="7">
        <v>43110</v>
      </c>
      <c r="Q64" s="8" t="str">
        <f>IF([1]!Tableau6[[#This Row],[Date_ Resolution]]="","",NETWORKDAYS.INTL([1]!Tableau6[[#This Row],[Date ]],[1]!Tableau6[[#This Row],[Date_ Resolution]],11,11)&amp;" Jr")</f>
        <v>1 Jr</v>
      </c>
      <c r="R64" s="8" t="s">
        <v>23</v>
      </c>
    </row>
    <row r="65" spans="1:18">
      <c r="A65" s="13">
        <v>55</v>
      </c>
      <c r="B65" s="7">
        <v>43112</v>
      </c>
      <c r="C65" s="8" t="s">
        <v>61</v>
      </c>
      <c r="D65" s="1" t="str">
        <f>IFERROR(VLOOKUP([1]!Tableau6[[#This Row],[Typologie ]],[1]!Tableau1[#Data],2,0),"")</f>
        <v>RCFRO</v>
      </c>
      <c r="E65" s="8"/>
      <c r="F65" s="8"/>
      <c r="G65" s="8" t="s">
        <v>18</v>
      </c>
      <c r="H65" s="8" t="s">
        <v>45</v>
      </c>
      <c r="I65" s="8"/>
      <c r="J65" s="8"/>
      <c r="K65" s="8" t="s">
        <v>20</v>
      </c>
      <c r="L65" s="8" t="s">
        <v>27</v>
      </c>
      <c r="M65" s="8" t="s">
        <v>141</v>
      </c>
      <c r="N65" s="12"/>
      <c r="O65" s="12"/>
      <c r="P65" s="7">
        <v>43112</v>
      </c>
      <c r="Q65" s="8" t="str">
        <f>IF([1]!Tableau6[[#This Row],[Date_ Resolution]]="","",NETWORKDAYS.INTL([1]!Tableau6[[#This Row],[Date ]],[1]!Tableau6[[#This Row],[Date_ Resolution]],11,11)&amp;" Jr")</f>
        <v>1 Jr</v>
      </c>
      <c r="R65" s="14" t="s">
        <v>23</v>
      </c>
    </row>
    <row r="66" spans="1:18" ht="30">
      <c r="A66" s="13">
        <v>56</v>
      </c>
      <c r="B66" s="7">
        <v>43112</v>
      </c>
      <c r="C66" s="8" t="s">
        <v>17</v>
      </c>
      <c r="D66" s="1" t="str">
        <f>IFERROR(VLOOKUP([1]!Tableau6[[#This Row],[Typologie ]],[1]!Tableau1[#Data],2,0),"")</f>
        <v>SRDHL</v>
      </c>
      <c r="E66" s="8"/>
      <c r="F66" s="8"/>
      <c r="G66" s="8" t="s">
        <v>25</v>
      </c>
      <c r="H66" s="8" t="s">
        <v>26</v>
      </c>
      <c r="I66" s="8"/>
      <c r="J66" s="8"/>
      <c r="K66" s="8" t="s">
        <v>33</v>
      </c>
      <c r="L66" s="8" t="s">
        <v>34</v>
      </c>
      <c r="M66" s="8" t="s">
        <v>125</v>
      </c>
      <c r="N66" s="12"/>
      <c r="O66" s="12"/>
      <c r="P66" s="12"/>
      <c r="Q66" s="12" t="str">
        <f>IF([1]!Tableau6[[#This Row],[Date_ Resolution]]="","",NETWORKDAYS.INTL([1]!Tableau6[[#This Row],[Date ]],[1]!Tableau6[[#This Row],[Date_ Resolution]],11,11)&amp;" Jr")</f>
        <v/>
      </c>
      <c r="R66" s="14" t="s">
        <v>47</v>
      </c>
    </row>
    <row r="67" spans="1:18" ht="30">
      <c r="A67" s="13">
        <v>57</v>
      </c>
      <c r="B67" s="7">
        <v>43115</v>
      </c>
      <c r="C67" s="84" t="s">
        <v>187</v>
      </c>
      <c r="D67" s="1" t="str">
        <f>IFERROR(VLOOKUP([1]!Tableau6[[#This Row],[Typologie ]],[1]!Tableau1[#Data],2,0),"")</f>
        <v>SRAVK</v>
      </c>
      <c r="E67" s="8"/>
      <c r="F67" s="8"/>
      <c r="G67" s="8" t="s">
        <v>29</v>
      </c>
      <c r="H67" s="8" t="s">
        <v>36</v>
      </c>
      <c r="I67" s="8"/>
      <c r="J67" s="8"/>
      <c r="K67" s="8" t="s">
        <v>33</v>
      </c>
      <c r="L67" s="8" t="s">
        <v>34</v>
      </c>
      <c r="M67" s="8" t="s">
        <v>125</v>
      </c>
      <c r="N67" s="12"/>
      <c r="O67" s="8"/>
      <c r="P67" s="12"/>
      <c r="Q67" s="12" t="str">
        <f>IF([1]!Tableau6[[#This Row],[Date_ Resolution]]="","",NETWORKDAYS.INTL([1]!Tableau6[[#This Row],[Date ]],[1]!Tableau6[[#This Row],[Date_ Resolution]],11,11)&amp;" Jr")</f>
        <v/>
      </c>
      <c r="R67" s="14" t="s">
        <v>47</v>
      </c>
    </row>
    <row r="68" spans="1:18" ht="30">
      <c r="A68" s="13">
        <v>58</v>
      </c>
      <c r="B68" s="7">
        <v>43115</v>
      </c>
      <c r="C68" s="8" t="s">
        <v>61</v>
      </c>
      <c r="D68" s="1" t="str">
        <f>IFERROR(VLOOKUP([1]!Tableau6[[#This Row],[Typologie ]],[1]!Tableau1[#Data],2,0),"")</f>
        <v>RCFRO</v>
      </c>
      <c r="E68" s="8"/>
      <c r="F68" s="90"/>
      <c r="G68" s="8" t="s">
        <v>18</v>
      </c>
      <c r="H68" s="8" t="s">
        <v>45</v>
      </c>
      <c r="I68" s="8"/>
      <c r="J68" s="8"/>
      <c r="K68" s="8" t="s">
        <v>20</v>
      </c>
      <c r="L68" s="8" t="s">
        <v>27</v>
      </c>
      <c r="M68" s="8" t="s">
        <v>46</v>
      </c>
      <c r="N68" s="12"/>
      <c r="O68" s="8"/>
      <c r="P68" s="7">
        <v>43115</v>
      </c>
      <c r="Q68" s="8" t="str">
        <f>IF([1]!Tableau6[[#This Row],[Date_ Resolution]]="","",NETWORKDAYS.INTL([1]!Tableau6[[#This Row],[Date ]],[1]!Tableau6[[#This Row],[Date_ Resolution]],11,11)&amp;" Jr")</f>
        <v>1 Jr</v>
      </c>
      <c r="R68" s="14" t="s">
        <v>23</v>
      </c>
    </row>
    <row r="69" spans="1:18">
      <c r="A69" s="13"/>
      <c r="B69" s="7">
        <v>43115</v>
      </c>
      <c r="C69" s="8" t="s">
        <v>52</v>
      </c>
      <c r="D69" s="1" t="str">
        <f>IFERROR(VLOOKUP([1]!Tableau6[[#This Row],[Typologie ]],[1]!Tableau1[#Data],2,0),"")</f>
        <v>RCBAO</v>
      </c>
      <c r="E69" s="8"/>
      <c r="F69" s="8"/>
      <c r="G69" s="8" t="s">
        <v>29</v>
      </c>
      <c r="H69" s="8" t="s">
        <v>36</v>
      </c>
      <c r="I69" s="8"/>
      <c r="J69" s="8"/>
      <c r="K69" s="8" t="s">
        <v>33</v>
      </c>
      <c r="L69" s="8" t="s">
        <v>83</v>
      </c>
      <c r="M69" s="8" t="s">
        <v>22</v>
      </c>
      <c r="N69" s="8"/>
      <c r="O69" s="8"/>
      <c r="P69" s="7">
        <v>43115</v>
      </c>
      <c r="Q69" s="8" t="str">
        <f>IF([1]!Tableau6[[#This Row],[Date_ Resolution]]="","",NETWORKDAYS.INTL([1]!Tableau6[[#This Row],[Date ]],[1]!Tableau6[[#This Row],[Date_ Resolution]],11,11)&amp;" Jr")</f>
        <v>1 Jr</v>
      </c>
      <c r="R69" s="14" t="s">
        <v>23</v>
      </c>
    </row>
    <row r="70" spans="1:18">
      <c r="A70" s="13"/>
      <c r="B70" s="7">
        <v>43115</v>
      </c>
      <c r="C70" s="8" t="s">
        <v>52</v>
      </c>
      <c r="D70" s="1" t="str">
        <f>IFERROR(VLOOKUP([1]!Tableau6[[#This Row],[Typologie ]],[1]!Tableau1[#Data],2,0),"")</f>
        <v>RCBAO</v>
      </c>
      <c r="E70" s="8"/>
      <c r="F70" s="8"/>
      <c r="G70" s="8" t="s">
        <v>25</v>
      </c>
      <c r="H70" s="8" t="s">
        <v>26</v>
      </c>
      <c r="I70" s="8"/>
      <c r="J70" s="8"/>
      <c r="K70" s="8" t="s">
        <v>55</v>
      </c>
      <c r="L70" s="8" t="s">
        <v>71</v>
      </c>
      <c r="M70" s="8" t="s">
        <v>84</v>
      </c>
      <c r="N70" s="8"/>
      <c r="O70" s="8"/>
      <c r="P70" s="7">
        <v>43115</v>
      </c>
      <c r="Q70" s="8" t="str">
        <f>IF([1]!Tableau6[[#This Row],[Date_ Resolution]]="","",NETWORKDAYS.INTL([1]!Tableau6[[#This Row],[Date ]],[1]!Tableau6[[#This Row],[Date_ Resolution]],11,11)&amp;" Jr")</f>
        <v>1 Jr</v>
      </c>
      <c r="R70" s="14" t="s">
        <v>23</v>
      </c>
    </row>
    <row r="71" spans="1:18" ht="30">
      <c r="A71" s="13"/>
      <c r="B71" s="7">
        <v>43115</v>
      </c>
      <c r="C71" s="8" t="s">
        <v>52</v>
      </c>
      <c r="D71" s="1" t="str">
        <f>IFERROR(VLOOKUP([1]!Tableau6[[#This Row],[Typologie ]],[1]!Tableau1[#Data],2,0),"")</f>
        <v>RCBAO</v>
      </c>
      <c r="E71" s="8"/>
      <c r="F71" s="8"/>
      <c r="G71" s="8" t="s">
        <v>25</v>
      </c>
      <c r="H71" s="8" t="s">
        <v>26</v>
      </c>
      <c r="I71" s="8"/>
      <c r="J71" s="8"/>
      <c r="K71" s="8" t="s">
        <v>33</v>
      </c>
      <c r="L71" s="8" t="s">
        <v>34</v>
      </c>
      <c r="M71" s="8" t="s">
        <v>125</v>
      </c>
      <c r="N71" s="8"/>
      <c r="O71" s="8"/>
      <c r="P71" s="7">
        <v>43115</v>
      </c>
      <c r="Q71" s="8" t="str">
        <f>IF([1]!Tableau6[[#This Row],[Date_ Resolution]]="","",NETWORKDAYS.INTL([1]!Tableau6[[#This Row],[Date ]],[1]!Tableau6[[#This Row],[Date_ Resolution]],11,11)&amp;" Jr")</f>
        <v>1 Jr</v>
      </c>
      <c r="R71" s="14" t="s">
        <v>23</v>
      </c>
    </row>
    <row r="72" spans="1:18" ht="30">
      <c r="A72" s="13"/>
      <c r="B72" s="7">
        <v>43115</v>
      </c>
      <c r="C72" s="8" t="s">
        <v>52</v>
      </c>
      <c r="D72" s="1" t="str">
        <f>IFERROR(VLOOKUP([1]!Tableau6[[#This Row],[Typologie ]],[1]!Tableau1[#Data],2,0),"")</f>
        <v>RCBAO</v>
      </c>
      <c r="E72" s="8"/>
      <c r="F72" s="8"/>
      <c r="G72" s="8" t="s">
        <v>25</v>
      </c>
      <c r="H72" s="8" t="s">
        <v>26</v>
      </c>
      <c r="I72" s="8"/>
      <c r="J72" s="8"/>
      <c r="K72" s="8" t="s">
        <v>33</v>
      </c>
      <c r="L72" s="8" t="s">
        <v>34</v>
      </c>
      <c r="M72" s="8" t="s">
        <v>125</v>
      </c>
      <c r="N72" s="8"/>
      <c r="O72" s="8"/>
      <c r="P72" s="7">
        <v>43115</v>
      </c>
      <c r="Q72" s="8" t="str">
        <f>IF([1]!Tableau6[[#This Row],[Date_ Resolution]]="","",NETWORKDAYS.INTL([1]!Tableau6[[#This Row],[Date ]],[1]!Tableau6[[#This Row],[Date_ Resolution]],11,11)&amp;" Jr")</f>
        <v>1 Jr</v>
      </c>
      <c r="R72" s="14" t="s">
        <v>23</v>
      </c>
    </row>
    <row r="73" spans="1:18">
      <c r="A73" s="13"/>
      <c r="B73" s="7">
        <v>43115</v>
      </c>
      <c r="C73" s="8" t="s">
        <v>52</v>
      </c>
      <c r="D73" s="1" t="str">
        <f>IFERROR(VLOOKUP([1]!Tableau6[[#This Row],[Typologie ]],[1]!Tableau1[#Data],2,0),"")</f>
        <v>RCBAO</v>
      </c>
      <c r="E73" s="8"/>
      <c r="F73" s="8"/>
      <c r="G73" s="8"/>
      <c r="H73" s="8"/>
      <c r="I73" s="8"/>
      <c r="J73" s="8"/>
      <c r="K73" s="8" t="s">
        <v>55</v>
      </c>
      <c r="L73" s="8" t="s">
        <v>71</v>
      </c>
      <c r="M73" s="8" t="s">
        <v>84</v>
      </c>
      <c r="N73" s="8"/>
      <c r="O73" s="8"/>
      <c r="P73" s="7">
        <v>43115</v>
      </c>
      <c r="Q73" s="8" t="str">
        <f>IF([1]!Tableau6[[#This Row],[Date_ Resolution]]="","",NETWORKDAYS.INTL([1]!Tableau6[[#This Row],[Date ]],[1]!Tableau6[[#This Row],[Date_ Resolution]],11,11)&amp;" Jr")</f>
        <v>1 Jr</v>
      </c>
      <c r="R73" s="14" t="s">
        <v>23</v>
      </c>
    </row>
    <row r="74" spans="1:18" ht="30">
      <c r="A74" s="13"/>
      <c r="B74" s="7">
        <v>43115</v>
      </c>
      <c r="C74" s="8" t="s">
        <v>52</v>
      </c>
      <c r="D74" s="1" t="str">
        <f>IFERROR(VLOOKUP([1]!Tableau6[[#This Row],[Typologie ]],[1]!Tableau1[#Data],2,0),"")</f>
        <v>RCBAO</v>
      </c>
      <c r="E74" s="8"/>
      <c r="F74" s="8"/>
      <c r="G74" s="8" t="s">
        <v>25</v>
      </c>
      <c r="H74" s="8" t="s">
        <v>26</v>
      </c>
      <c r="I74" s="8"/>
      <c r="J74" s="8"/>
      <c r="K74" s="8" t="s">
        <v>55</v>
      </c>
      <c r="L74" s="8" t="s">
        <v>59</v>
      </c>
      <c r="M74" s="8" t="s">
        <v>105</v>
      </c>
      <c r="N74" s="8"/>
      <c r="O74" s="8"/>
      <c r="P74" s="7">
        <v>43115</v>
      </c>
      <c r="Q74" s="8" t="str">
        <f>IF([1]!Tableau6[[#This Row],[Date_ Resolution]]="","",NETWORKDAYS.INTL([1]!Tableau6[[#This Row],[Date ]],[1]!Tableau6[[#This Row],[Date_ Resolution]],11,11)&amp;" Jr")</f>
        <v>1 Jr</v>
      </c>
      <c r="R74" s="14" t="s">
        <v>23</v>
      </c>
    </row>
    <row r="75" spans="1:18">
      <c r="A75" s="13"/>
      <c r="B75" s="7">
        <v>43115</v>
      </c>
      <c r="C75" s="8" t="s">
        <v>52</v>
      </c>
      <c r="D75" s="1" t="str">
        <f>IFERROR(VLOOKUP([1]!Tableau6[[#This Row],[Typologie ]],[1]!Tableau1[#Data],2,0),"")</f>
        <v>RCBAO</v>
      </c>
      <c r="E75" s="8"/>
      <c r="F75" s="8"/>
      <c r="G75" s="8" t="s">
        <v>29</v>
      </c>
      <c r="H75" s="8" t="s">
        <v>36</v>
      </c>
      <c r="I75" s="8"/>
      <c r="J75" s="8"/>
      <c r="K75" s="8" t="s">
        <v>55</v>
      </c>
      <c r="L75" s="8" t="s">
        <v>76</v>
      </c>
      <c r="M75" s="8" t="s">
        <v>64</v>
      </c>
      <c r="N75" s="8"/>
      <c r="O75" s="8"/>
      <c r="P75" s="7">
        <v>43115</v>
      </c>
      <c r="Q75" s="8" t="str">
        <f>IF([1]!Tableau6[[#This Row],[Date_ Resolution]]="","",NETWORKDAYS.INTL([1]!Tableau6[[#This Row],[Date ]],[1]!Tableau6[[#This Row],[Date_ Resolution]],11,11)&amp;" Jr")</f>
        <v>1 Jr</v>
      </c>
      <c r="R75" s="14" t="s">
        <v>23</v>
      </c>
    </row>
    <row r="76" spans="1:18" ht="30">
      <c r="A76" s="13"/>
      <c r="B76" s="7">
        <v>43115</v>
      </c>
      <c r="C76" s="8" t="s">
        <v>52</v>
      </c>
      <c r="D76" s="1" t="str">
        <f>IFERROR(VLOOKUP([1]!Tableau6[[#This Row],[Typologie ]],[1]!Tableau1[#Data],2,0),"")</f>
        <v>RCBAO</v>
      </c>
      <c r="E76" s="8"/>
      <c r="F76" s="8"/>
      <c r="G76" s="8" t="s">
        <v>25</v>
      </c>
      <c r="H76" s="8" t="s">
        <v>26</v>
      </c>
      <c r="I76" s="8"/>
      <c r="J76" s="8"/>
      <c r="K76" s="8" t="s">
        <v>55</v>
      </c>
      <c r="L76" s="8" t="s">
        <v>71</v>
      </c>
      <c r="M76" s="8" t="s">
        <v>80</v>
      </c>
      <c r="N76" s="8"/>
      <c r="O76" s="8"/>
      <c r="P76" s="7">
        <v>43115</v>
      </c>
      <c r="Q76" s="8" t="str">
        <f>IF([1]!Tableau6[[#This Row],[Date_ Resolution]]="","",NETWORKDAYS.INTL([1]!Tableau6[[#This Row],[Date ]],[1]!Tableau6[[#This Row],[Date_ Resolution]],11,11)&amp;" Jr")</f>
        <v>1 Jr</v>
      </c>
      <c r="R76" s="14" t="s">
        <v>23</v>
      </c>
    </row>
    <row r="77" spans="1:18" ht="30">
      <c r="A77" s="13"/>
      <c r="B77" s="7">
        <v>43115</v>
      </c>
      <c r="C77" s="8" t="s">
        <v>52</v>
      </c>
      <c r="D77" s="1" t="str">
        <f>IFERROR(VLOOKUP([1]!Tableau6[[#This Row],[Typologie ]],[1]!Tableau1[#Data],2,0),"")</f>
        <v>RCBAO</v>
      </c>
      <c r="E77" s="8"/>
      <c r="F77" s="8"/>
      <c r="G77" s="8" t="s">
        <v>29</v>
      </c>
      <c r="H77" s="8" t="s">
        <v>54</v>
      </c>
      <c r="I77" s="8"/>
      <c r="J77" s="8"/>
      <c r="K77" s="8" t="s">
        <v>20</v>
      </c>
      <c r="L77" s="8" t="s">
        <v>108</v>
      </c>
      <c r="M77" s="8" t="s">
        <v>158</v>
      </c>
      <c r="N77" s="8"/>
      <c r="O77" s="81"/>
      <c r="P77" s="7">
        <v>43115</v>
      </c>
      <c r="Q77" s="8" t="str">
        <f>IF([1]!Tableau6[[#This Row],[Date_ Resolution]]="","",NETWORKDAYS.INTL([1]!Tableau6[[#This Row],[Date ]],[1]!Tableau6[[#This Row],[Date_ Resolution]],11,11)&amp;" Jr")</f>
        <v>1 Jr</v>
      </c>
      <c r="R77" s="14" t="s">
        <v>23</v>
      </c>
    </row>
    <row r="78" spans="1:18">
      <c r="A78" s="13"/>
      <c r="B78" s="7">
        <v>43115</v>
      </c>
      <c r="C78" s="8" t="s">
        <v>52</v>
      </c>
      <c r="D78" s="1" t="str">
        <f>IFERROR(VLOOKUP([1]!Tableau6[[#This Row],[Typologie ]],[1]!Tableau1[#Data],2,0),"")</f>
        <v>RCBAO</v>
      </c>
      <c r="E78" s="8"/>
      <c r="F78" s="8"/>
      <c r="G78" s="8" t="s">
        <v>29</v>
      </c>
      <c r="H78" s="8" t="s">
        <v>36</v>
      </c>
      <c r="I78" s="8"/>
      <c r="J78" s="8"/>
      <c r="K78" s="8" t="s">
        <v>55</v>
      </c>
      <c r="L78" s="8" t="s">
        <v>71</v>
      </c>
      <c r="M78" s="8" t="s">
        <v>84</v>
      </c>
      <c r="N78" s="8"/>
      <c r="O78" s="8"/>
      <c r="P78" s="7">
        <v>43115</v>
      </c>
      <c r="Q78" s="8" t="str">
        <f>IF([1]!Tableau6[[#This Row],[Date_ Resolution]]="","",NETWORKDAYS.INTL([1]!Tableau6[[#This Row],[Date ]],[1]!Tableau6[[#This Row],[Date_ Resolution]],11,11)&amp;" Jr")</f>
        <v>1 Jr</v>
      </c>
      <c r="R78" s="14" t="s">
        <v>23</v>
      </c>
    </row>
    <row r="79" spans="1:18" ht="30">
      <c r="A79" s="13"/>
      <c r="B79" s="7">
        <v>43115</v>
      </c>
      <c r="C79" s="8" t="s">
        <v>52</v>
      </c>
      <c r="D79" s="1" t="str">
        <f>IFERROR(VLOOKUP([1]!Tableau6[[#This Row],[Typologie ]],[1]!Tableau1[#Data],2,0),"")</f>
        <v>RCBAO</v>
      </c>
      <c r="E79" s="8"/>
      <c r="F79" s="8"/>
      <c r="G79" s="8"/>
      <c r="H79" s="8"/>
      <c r="I79" s="8"/>
      <c r="J79" s="8"/>
      <c r="K79" s="8" t="s">
        <v>55</v>
      </c>
      <c r="L79" s="8" t="s">
        <v>71</v>
      </c>
      <c r="M79" s="8" t="s">
        <v>77</v>
      </c>
      <c r="N79" s="8"/>
      <c r="O79" s="8"/>
      <c r="P79" s="7">
        <v>43115</v>
      </c>
      <c r="Q79" s="8" t="str">
        <f>IF([1]!Tableau6[[#This Row],[Date_ Resolution]]="","",NETWORKDAYS.INTL([1]!Tableau6[[#This Row],[Date ]],[1]!Tableau6[[#This Row],[Date_ Resolution]],11,11)&amp;" Jr")</f>
        <v>1 Jr</v>
      </c>
      <c r="R79" s="14" t="s">
        <v>23</v>
      </c>
    </row>
    <row r="80" spans="1:18">
      <c r="A80" s="13"/>
      <c r="B80" s="7">
        <v>43115</v>
      </c>
      <c r="C80" s="8" t="s">
        <v>52</v>
      </c>
      <c r="D80" s="1" t="str">
        <f>IFERROR(VLOOKUP([1]!Tableau6[[#This Row],[Typologie ]],[1]!Tableau1[#Data],2,0),"")</f>
        <v>RCBAO</v>
      </c>
      <c r="E80" s="8"/>
      <c r="F80" s="8"/>
      <c r="G80" s="8"/>
      <c r="H80" s="8"/>
      <c r="I80" s="8"/>
      <c r="J80" s="8"/>
      <c r="K80" s="8" t="s">
        <v>55</v>
      </c>
      <c r="L80" s="8" t="s">
        <v>71</v>
      </c>
      <c r="M80" s="8" t="s">
        <v>84</v>
      </c>
      <c r="N80" s="8"/>
      <c r="O80" s="8"/>
      <c r="P80" s="7">
        <v>43115</v>
      </c>
      <c r="Q80" s="8" t="str">
        <f>IF([1]!Tableau6[[#This Row],[Date_ Resolution]]="","",NETWORKDAYS.INTL([1]!Tableau6[[#This Row],[Date ]],[1]!Tableau6[[#This Row],[Date_ Resolution]],11,11)&amp;" Jr")</f>
        <v>1 Jr</v>
      </c>
      <c r="R80" s="14" t="s">
        <v>23</v>
      </c>
    </row>
    <row r="81" spans="1:18">
      <c r="A81" s="13"/>
      <c r="B81" s="7">
        <v>43115</v>
      </c>
      <c r="C81" s="8" t="s">
        <v>52</v>
      </c>
      <c r="D81" s="1" t="str">
        <f>IFERROR(VLOOKUP([1]!Tableau6[[#This Row],[Typologie ]],[1]!Tableau1[#Data],2,0),"")</f>
        <v>RCBAO</v>
      </c>
      <c r="E81" s="8"/>
      <c r="F81" s="8"/>
      <c r="G81" s="8"/>
      <c r="H81" s="8"/>
      <c r="I81" s="8"/>
      <c r="J81" s="8"/>
      <c r="K81" s="8" t="s">
        <v>55</v>
      </c>
      <c r="L81" s="8" t="s">
        <v>190</v>
      </c>
      <c r="M81" s="8"/>
      <c r="N81" s="8"/>
      <c r="O81" s="8"/>
      <c r="P81" s="7">
        <v>43115</v>
      </c>
      <c r="Q81" s="8" t="str">
        <f>IF([1]!Tableau6[[#This Row],[Date_ Resolution]]="","",NETWORKDAYS.INTL([1]!Tableau6[[#This Row],[Date ]],[1]!Tableau6[[#This Row],[Date_ Resolution]],11,11)&amp;" Jr")</f>
        <v>1 Jr</v>
      </c>
      <c r="R81" s="14" t="s">
        <v>23</v>
      </c>
    </row>
    <row r="82" spans="1:18">
      <c r="A82" s="13"/>
      <c r="B82" s="7">
        <v>43115</v>
      </c>
      <c r="C82" s="8" t="s">
        <v>52</v>
      </c>
      <c r="D82" s="1" t="str">
        <f>IFERROR(VLOOKUP([1]!Tableau6[[#This Row],[Typologie ]],[1]!Tableau1[#Data],2,0),"")</f>
        <v>RCBAO</v>
      </c>
      <c r="E82" s="8"/>
      <c r="F82" s="8"/>
      <c r="G82" s="8"/>
      <c r="H82" s="8"/>
      <c r="I82" s="8"/>
      <c r="J82" s="8"/>
      <c r="K82" s="8" t="s">
        <v>55</v>
      </c>
      <c r="L82" s="8" t="s">
        <v>190</v>
      </c>
      <c r="M82" s="8"/>
      <c r="N82" s="8"/>
      <c r="O82" s="8"/>
      <c r="P82" s="7">
        <v>43115</v>
      </c>
      <c r="Q82" s="8" t="str">
        <f>IF([1]!Tableau6[[#This Row],[Date_ Resolution]]="","",NETWORKDAYS.INTL([1]!Tableau6[[#This Row],[Date ]],[1]!Tableau6[[#This Row],[Date_ Resolution]],11,11)&amp;" Jr")</f>
        <v>1 Jr</v>
      </c>
      <c r="R82" s="14" t="s">
        <v>23</v>
      </c>
    </row>
    <row r="83" spans="1:18">
      <c r="A83" s="13"/>
      <c r="B83" s="7">
        <v>43115</v>
      </c>
      <c r="C83" s="8" t="s">
        <v>52</v>
      </c>
      <c r="D83" s="1" t="str">
        <f>IFERROR(VLOOKUP([1]!Tableau6[[#This Row],[Typologie ]],[1]!Tableau1[#Data],2,0),"")</f>
        <v>RCBAO</v>
      </c>
      <c r="E83" s="8"/>
      <c r="F83" s="8"/>
      <c r="G83" s="8"/>
      <c r="H83" s="8"/>
      <c r="I83" s="8"/>
      <c r="J83" s="8"/>
      <c r="K83" s="8" t="s">
        <v>55</v>
      </c>
      <c r="L83" s="8" t="s">
        <v>190</v>
      </c>
      <c r="M83" s="8"/>
      <c r="N83" s="8"/>
      <c r="O83" s="8"/>
      <c r="P83" s="7">
        <v>43115</v>
      </c>
      <c r="Q83" s="8" t="str">
        <f>IF([1]!Tableau6[[#This Row],[Date_ Resolution]]="","",NETWORKDAYS.INTL([1]!Tableau6[[#This Row],[Date ]],[1]!Tableau6[[#This Row],[Date_ Resolution]],11,11)&amp;" Jr")</f>
        <v>1 Jr</v>
      </c>
      <c r="R83" s="14" t="s">
        <v>23</v>
      </c>
    </row>
    <row r="84" spans="1:18" ht="30">
      <c r="A84" s="13"/>
      <c r="B84" s="7">
        <v>43115</v>
      </c>
      <c r="C84" s="8" t="s">
        <v>52</v>
      </c>
      <c r="D84" s="1" t="str">
        <f>IFERROR(VLOOKUP([1]!Tableau6[[#This Row],[Typologie ]],[1]!Tableau1[#Data],2,0),"")</f>
        <v>RCBAO</v>
      </c>
      <c r="E84" s="8"/>
      <c r="F84" s="8"/>
      <c r="G84" s="8" t="s">
        <v>25</v>
      </c>
      <c r="H84" s="8" t="s">
        <v>26</v>
      </c>
      <c r="I84" s="8"/>
      <c r="J84" s="8"/>
      <c r="K84" s="8" t="s">
        <v>33</v>
      </c>
      <c r="L84" s="8" t="s">
        <v>34</v>
      </c>
      <c r="M84" s="8" t="s">
        <v>125</v>
      </c>
      <c r="N84" s="8"/>
      <c r="O84" s="8"/>
      <c r="P84" s="7">
        <v>43115</v>
      </c>
      <c r="Q84" s="8" t="str">
        <f>IF([1]!Tableau6[[#This Row],[Date_ Resolution]]="","",NETWORKDAYS.INTL([1]!Tableau6[[#This Row],[Date ]],[1]!Tableau6[[#This Row],[Date_ Resolution]],11,11)&amp;" Jr")</f>
        <v>1 Jr</v>
      </c>
      <c r="R84" s="14" t="s">
        <v>23</v>
      </c>
    </row>
    <row r="85" spans="1:18" ht="30">
      <c r="A85" s="13"/>
      <c r="B85" s="7">
        <v>43115</v>
      </c>
      <c r="C85" s="8" t="s">
        <v>52</v>
      </c>
      <c r="D85" s="1" t="str">
        <f>IFERROR(VLOOKUP([1]!Tableau6[[#This Row],[Typologie ]],[1]!Tableau1[#Data],2,0),"")</f>
        <v>RCBAO</v>
      </c>
      <c r="E85" s="8"/>
      <c r="F85" s="8"/>
      <c r="G85" s="8" t="s">
        <v>25</v>
      </c>
      <c r="H85" s="8" t="s">
        <v>26</v>
      </c>
      <c r="I85" s="8"/>
      <c r="J85" s="8"/>
      <c r="K85" s="8" t="s">
        <v>55</v>
      </c>
      <c r="L85" s="8" t="s">
        <v>59</v>
      </c>
      <c r="M85" s="8" t="s">
        <v>105</v>
      </c>
      <c r="N85" s="8"/>
      <c r="O85" s="8"/>
      <c r="P85" s="7">
        <v>43115</v>
      </c>
      <c r="Q85" s="8" t="str">
        <f>IF([1]!Tableau6[[#This Row],[Date_ Resolution]]="","",NETWORKDAYS.INTL([1]!Tableau6[[#This Row],[Date ]],[1]!Tableau6[[#This Row],[Date_ Resolution]],11,11)&amp;" Jr")</f>
        <v>1 Jr</v>
      </c>
      <c r="R85" s="14" t="s">
        <v>23</v>
      </c>
    </row>
    <row r="86" spans="1:18" ht="30">
      <c r="A86" s="13"/>
      <c r="B86" s="7">
        <v>43115</v>
      </c>
      <c r="C86" s="8" t="s">
        <v>52</v>
      </c>
      <c r="D86" s="1" t="str">
        <f>IFERROR(VLOOKUP([1]!Tableau6[[#This Row],[Typologie ]],[1]!Tableau1[#Data],2,0),"")</f>
        <v>RCBAO</v>
      </c>
      <c r="E86" s="8"/>
      <c r="F86" s="8"/>
      <c r="G86" s="8" t="s">
        <v>25</v>
      </c>
      <c r="H86" s="8" t="s">
        <v>26</v>
      </c>
      <c r="I86" s="8"/>
      <c r="J86" s="8"/>
      <c r="K86" s="8" t="s">
        <v>55</v>
      </c>
      <c r="L86" s="8" t="s">
        <v>56</v>
      </c>
      <c r="M86" s="8" t="s">
        <v>98</v>
      </c>
      <c r="N86" s="8"/>
      <c r="O86" s="8"/>
      <c r="P86" s="7">
        <v>43115</v>
      </c>
      <c r="Q86" s="8" t="str">
        <f>IF([1]!Tableau6[[#This Row],[Date_ Resolution]]="","",NETWORKDAYS.INTL([1]!Tableau6[[#This Row],[Date ]],[1]!Tableau6[[#This Row],[Date_ Resolution]],11,11)&amp;" Jr")</f>
        <v>1 Jr</v>
      </c>
      <c r="R86" s="14" t="s">
        <v>23</v>
      </c>
    </row>
    <row r="87" spans="1:18">
      <c r="A87" s="13"/>
      <c r="B87" s="7">
        <v>43115</v>
      </c>
      <c r="C87" s="8" t="s">
        <v>52</v>
      </c>
      <c r="D87" s="1" t="str">
        <f>IFERROR(VLOOKUP([1]!Tableau6[[#This Row],[Typologie ]],[1]!Tableau1[#Data],2,0),"")</f>
        <v>RCBAO</v>
      </c>
      <c r="E87" s="8"/>
      <c r="F87" s="8"/>
      <c r="G87" s="8" t="s">
        <v>25</v>
      </c>
      <c r="H87" s="8" t="s">
        <v>26</v>
      </c>
      <c r="I87" s="8"/>
      <c r="J87" s="8"/>
      <c r="K87" s="8" t="s">
        <v>55</v>
      </c>
      <c r="L87" s="8" t="s">
        <v>68</v>
      </c>
      <c r="M87" s="8" t="s">
        <v>116</v>
      </c>
      <c r="N87" s="8"/>
      <c r="O87" s="8"/>
      <c r="P87" s="7">
        <v>43115</v>
      </c>
      <c r="Q87" s="8" t="str">
        <f>IF([1]!Tableau6[[#This Row],[Date_ Resolution]]="","",NETWORKDAYS.INTL([1]!Tableau6[[#This Row],[Date ]],[1]!Tableau6[[#This Row],[Date_ Resolution]],11,11)&amp;" Jr")</f>
        <v>1 Jr</v>
      </c>
      <c r="R87" s="14" t="s">
        <v>23</v>
      </c>
    </row>
    <row r="88" spans="1:18" ht="30">
      <c r="A88" s="13"/>
      <c r="B88" s="7">
        <v>43115</v>
      </c>
      <c r="C88" s="8" t="s">
        <v>52</v>
      </c>
      <c r="D88" s="1" t="str">
        <f>IFERROR(VLOOKUP([1]!Tableau6[[#This Row],[Typologie ]],[1]!Tableau1[#Data],2,0),"")</f>
        <v>RCBAO</v>
      </c>
      <c r="E88" s="8"/>
      <c r="F88" s="8"/>
      <c r="G88" s="8" t="s">
        <v>25</v>
      </c>
      <c r="H88" s="8" t="s">
        <v>26</v>
      </c>
      <c r="I88" s="8"/>
      <c r="J88" s="8"/>
      <c r="K88" s="8" t="s">
        <v>55</v>
      </c>
      <c r="L88" s="8" t="s">
        <v>59</v>
      </c>
      <c r="M88" s="8" t="s">
        <v>105</v>
      </c>
      <c r="N88" s="8"/>
      <c r="O88" s="8"/>
      <c r="P88" s="7">
        <v>43115</v>
      </c>
      <c r="Q88" s="8" t="str">
        <f>IF([1]!Tableau6[[#This Row],[Date_ Resolution]]="","",NETWORKDAYS.INTL([1]!Tableau6[[#This Row],[Date ]],[1]!Tableau6[[#This Row],[Date_ Resolution]],11,11)&amp;" Jr")</f>
        <v>1 Jr</v>
      </c>
      <c r="R88" s="14" t="s">
        <v>23</v>
      </c>
    </row>
    <row r="89" spans="1:18" ht="30">
      <c r="A89" s="13"/>
      <c r="B89" s="7">
        <v>43115</v>
      </c>
      <c r="C89" s="8" t="s">
        <v>52</v>
      </c>
      <c r="D89" s="1" t="str">
        <f>IFERROR(VLOOKUP([1]!Tableau6[[#This Row],[Typologie ]],[1]!Tableau1[#Data],2,0),"")</f>
        <v>RCBAO</v>
      </c>
      <c r="E89" s="8"/>
      <c r="F89" s="8"/>
      <c r="G89" s="8" t="s">
        <v>29</v>
      </c>
      <c r="H89" s="8" t="s">
        <v>36</v>
      </c>
      <c r="I89" s="8"/>
      <c r="J89" s="8"/>
      <c r="K89" s="8" t="s">
        <v>55</v>
      </c>
      <c r="L89" s="8" t="s">
        <v>59</v>
      </c>
      <c r="M89" s="8" t="s">
        <v>105</v>
      </c>
      <c r="N89" s="8"/>
      <c r="O89" s="8"/>
      <c r="P89" s="7">
        <v>43115</v>
      </c>
      <c r="Q89" s="8" t="str">
        <f>IF([1]!Tableau6[[#This Row],[Date_ Resolution]]="","",NETWORKDAYS.INTL([1]!Tableau6[[#This Row],[Date ]],[1]!Tableau6[[#This Row],[Date_ Resolution]],11,11)&amp;" Jr")</f>
        <v>1 Jr</v>
      </c>
      <c r="R89" s="14" t="s">
        <v>23</v>
      </c>
    </row>
    <row r="90" spans="1:18" ht="30">
      <c r="A90" s="13"/>
      <c r="B90" s="7">
        <v>43115</v>
      </c>
      <c r="C90" s="8" t="s">
        <v>52</v>
      </c>
      <c r="D90" s="1" t="str">
        <f>IFERROR(VLOOKUP([1]!Tableau6[[#This Row],[Typologie ]],[1]!Tableau1[#Data],2,0),"")</f>
        <v>RCBAO</v>
      </c>
      <c r="E90" s="8"/>
      <c r="F90" s="8"/>
      <c r="G90" s="8" t="s">
        <v>25</v>
      </c>
      <c r="H90" s="8" t="s">
        <v>26</v>
      </c>
      <c r="I90" s="8"/>
      <c r="J90" s="8"/>
      <c r="K90" s="8" t="s">
        <v>20</v>
      </c>
      <c r="L90" s="8" t="s">
        <v>100</v>
      </c>
      <c r="M90" s="8" t="s">
        <v>150</v>
      </c>
      <c r="N90" s="8"/>
      <c r="O90" s="8"/>
      <c r="P90" s="7">
        <v>43115</v>
      </c>
      <c r="Q90" s="8" t="str">
        <f>IF([1]!Tableau6[[#This Row],[Date_ Resolution]]="","",NETWORKDAYS.INTL([1]!Tableau6[[#This Row],[Date ]],[1]!Tableau6[[#This Row],[Date_ Resolution]],11,11)&amp;" Jr")</f>
        <v>1 Jr</v>
      </c>
      <c r="R90" s="14" t="s">
        <v>23</v>
      </c>
    </row>
    <row r="91" spans="1:18" ht="30">
      <c r="A91" s="13"/>
      <c r="B91" s="7">
        <v>43115</v>
      </c>
      <c r="C91" s="8" t="s">
        <v>52</v>
      </c>
      <c r="D91" s="1" t="str">
        <f>IFERROR(VLOOKUP([1]!Tableau6[[#This Row],[Typologie ]],[1]!Tableau1[#Data],2,0),"")</f>
        <v>RCBAO</v>
      </c>
      <c r="E91" s="8"/>
      <c r="F91" s="8"/>
      <c r="G91" s="8" t="s">
        <v>25</v>
      </c>
      <c r="H91" s="8" t="s">
        <v>26</v>
      </c>
      <c r="I91" s="8"/>
      <c r="J91" s="8"/>
      <c r="K91" s="8" t="s">
        <v>20</v>
      </c>
      <c r="L91" s="8" t="s">
        <v>100</v>
      </c>
      <c r="M91" s="8" t="s">
        <v>150</v>
      </c>
      <c r="N91" s="8"/>
      <c r="O91" s="8"/>
      <c r="P91" s="7">
        <v>43115</v>
      </c>
      <c r="Q91" s="8" t="str">
        <f>IF([1]!Tableau6[[#This Row],[Date_ Resolution]]="","",NETWORKDAYS.INTL([1]!Tableau6[[#This Row],[Date ]],[1]!Tableau6[[#This Row],[Date_ Resolution]],11,11)&amp;" Jr")</f>
        <v>1 Jr</v>
      </c>
      <c r="R91" s="14" t="s">
        <v>23</v>
      </c>
    </row>
    <row r="92" spans="1:18">
      <c r="A92" s="13">
        <v>59</v>
      </c>
      <c r="B92" s="7">
        <v>43116</v>
      </c>
      <c r="C92" s="8" t="s">
        <v>24</v>
      </c>
      <c r="D92" s="1" t="str">
        <f>IFERROR(VLOOKUP([1]!Tableau6[[#This Row],[Typologie ]],[1]!Tableau1[#Data],2,0),"")</f>
        <v>SRCSP</v>
      </c>
      <c r="E92" s="8"/>
      <c r="F92" s="8"/>
      <c r="G92" s="8" t="s">
        <v>29</v>
      </c>
      <c r="H92" s="8" t="s">
        <v>67</v>
      </c>
      <c r="I92" s="8"/>
      <c r="J92" s="8"/>
      <c r="K92" s="12" t="s">
        <v>33</v>
      </c>
      <c r="L92" s="12" t="s">
        <v>83</v>
      </c>
      <c r="M92" s="8" t="s">
        <v>6</v>
      </c>
      <c r="N92" s="12"/>
      <c r="O92" s="8"/>
      <c r="P92" s="12"/>
      <c r="Q92" s="12" t="str">
        <f>IF([1]!Tableau6[[#This Row],[Date_ Resolution]]="","",NETWORKDAYS.INTL([1]!Tableau6[[#This Row],[Date ]],[1]!Tableau6[[#This Row],[Date_ Resolution]],11,11)&amp;" Jr")</f>
        <v/>
      </c>
      <c r="R92" s="14" t="s">
        <v>47</v>
      </c>
    </row>
    <row r="93" spans="1:18" ht="30">
      <c r="A93" s="13">
        <v>60</v>
      </c>
      <c r="B93" s="7">
        <v>43116</v>
      </c>
      <c r="C93" s="8" t="s">
        <v>17</v>
      </c>
      <c r="D93" s="1" t="str">
        <f>IFERROR(VLOOKUP([1]!Tableau6[[#This Row],[Typologie ]],[1]!Tableau1[#Data],2,0),"")</f>
        <v>SRDHL</v>
      </c>
      <c r="E93" s="8"/>
      <c r="F93" s="8"/>
      <c r="G93" s="8" t="s">
        <v>29</v>
      </c>
      <c r="H93" s="8" t="s">
        <v>54</v>
      </c>
      <c r="I93" s="8"/>
      <c r="J93" s="8"/>
      <c r="K93" s="8" t="s">
        <v>33</v>
      </c>
      <c r="L93" s="8" t="s">
        <v>34</v>
      </c>
      <c r="M93" s="8" t="s">
        <v>125</v>
      </c>
      <c r="N93" s="12"/>
      <c r="O93" s="12"/>
      <c r="P93" s="7">
        <v>43116</v>
      </c>
      <c r="Q93" s="8" t="str">
        <f>IF([1]!Tableau6[[#This Row],[Date_ Resolution]]="","",NETWORKDAYS.INTL([1]!Tableau6[[#This Row],[Date ]],[1]!Tableau6[[#This Row],[Date_ Resolution]],11,11)&amp;" Jr")</f>
        <v>1 Jr</v>
      </c>
      <c r="R93" s="14" t="s">
        <v>23</v>
      </c>
    </row>
    <row r="94" spans="1:18" ht="30">
      <c r="A94" s="13"/>
      <c r="B94" s="7">
        <v>43116</v>
      </c>
      <c r="C94" s="8" t="s">
        <v>52</v>
      </c>
      <c r="D94" s="1" t="str">
        <f>IFERROR(VLOOKUP([1]!Tableau6[[#This Row],[Typologie ]],[1]!Tableau1[#Data],2,0),"")</f>
        <v>RCBAO</v>
      </c>
      <c r="E94" s="8"/>
      <c r="F94" s="8"/>
      <c r="G94" s="8" t="s">
        <v>191</v>
      </c>
      <c r="H94" s="8" t="s">
        <v>45</v>
      </c>
      <c r="I94" s="8"/>
      <c r="J94" s="8"/>
      <c r="K94" s="8" t="s">
        <v>20</v>
      </c>
      <c r="L94" s="12" t="s">
        <v>27</v>
      </c>
      <c r="M94" s="8" t="s">
        <v>138</v>
      </c>
      <c r="N94" s="92"/>
      <c r="O94" s="8"/>
      <c r="P94" s="7">
        <v>43116</v>
      </c>
      <c r="Q94" s="8" t="str">
        <f>IF([1]!Tableau6[[#This Row],[Date_ Resolution]]="","",NETWORKDAYS.INTL([1]!Tableau6[[#This Row],[Date ]],[1]!Tableau6[[#This Row],[Date_ Resolution]],11,11)&amp;" Jr")</f>
        <v>1 Jr</v>
      </c>
      <c r="R94" s="14" t="s">
        <v>23</v>
      </c>
    </row>
    <row r="95" spans="1:18" ht="30">
      <c r="A95" s="13"/>
      <c r="B95" s="7">
        <v>43116</v>
      </c>
      <c r="C95" s="8" t="s">
        <v>52</v>
      </c>
      <c r="D95" s="1" t="str">
        <f>IFERROR(VLOOKUP([1]!Tableau6[[#This Row],[Typologie ]],[1]!Tableau1[#Data],2,0),"")</f>
        <v>RCBAO</v>
      </c>
      <c r="E95" s="8"/>
      <c r="F95" s="8"/>
      <c r="G95" s="8" t="s">
        <v>191</v>
      </c>
      <c r="H95" s="8" t="s">
        <v>45</v>
      </c>
      <c r="I95" s="8"/>
      <c r="J95" s="8"/>
      <c r="K95" s="8" t="s">
        <v>20</v>
      </c>
      <c r="L95" s="12" t="s">
        <v>27</v>
      </c>
      <c r="M95" s="8" t="s">
        <v>138</v>
      </c>
      <c r="N95" s="92"/>
      <c r="O95" s="8"/>
      <c r="P95" s="7">
        <v>43116</v>
      </c>
      <c r="Q95" s="8" t="str">
        <f>IF([1]!Tableau6[[#This Row],[Date_ Resolution]]="","",NETWORKDAYS.INTL([1]!Tableau6[[#This Row],[Date ]],[1]!Tableau6[[#This Row],[Date_ Resolution]],11,11)&amp;" Jr")</f>
        <v>1 Jr</v>
      </c>
      <c r="R95" s="14" t="s">
        <v>23</v>
      </c>
    </row>
    <row r="96" spans="1:18" ht="30">
      <c r="A96" s="13"/>
      <c r="B96" s="7">
        <v>43116</v>
      </c>
      <c r="C96" s="8" t="s">
        <v>52</v>
      </c>
      <c r="D96" s="1" t="str">
        <f>IFERROR(VLOOKUP([1]!Tableau6[[#This Row],[Typologie ]],[1]!Tableau1[#Data],2,0),"")</f>
        <v>RCBAO</v>
      </c>
      <c r="E96" s="8"/>
      <c r="F96" s="8"/>
      <c r="G96" s="8" t="s">
        <v>191</v>
      </c>
      <c r="H96" s="8" t="s">
        <v>45</v>
      </c>
      <c r="I96" s="8"/>
      <c r="J96" s="8"/>
      <c r="K96" s="8" t="s">
        <v>20</v>
      </c>
      <c r="L96" s="12" t="s">
        <v>27</v>
      </c>
      <c r="M96" s="8" t="s">
        <v>138</v>
      </c>
      <c r="N96" s="92"/>
      <c r="O96" s="8"/>
      <c r="P96" s="7">
        <v>43116</v>
      </c>
      <c r="Q96" s="8" t="str">
        <f>IF([1]!Tableau6[[#This Row],[Date_ Resolution]]="","",NETWORKDAYS.INTL([1]!Tableau6[[#This Row],[Date ]],[1]!Tableau6[[#This Row],[Date_ Resolution]],11,11)&amp;" Jr")</f>
        <v>1 Jr</v>
      </c>
      <c r="R96" s="14" t="s">
        <v>23</v>
      </c>
    </row>
    <row r="97" spans="1:18" ht="30">
      <c r="A97" s="13"/>
      <c r="B97" s="7">
        <v>43116</v>
      </c>
      <c r="C97" s="8" t="s">
        <v>52</v>
      </c>
      <c r="D97" s="1" t="str">
        <f>IFERROR(VLOOKUP([1]!Tableau6[[#This Row],[Typologie ]],[1]!Tableau1[#Data],2,0),"")</f>
        <v>RCBAO</v>
      </c>
      <c r="E97" s="8"/>
      <c r="F97" s="8"/>
      <c r="G97" s="8" t="s">
        <v>191</v>
      </c>
      <c r="H97" s="8" t="s">
        <v>45</v>
      </c>
      <c r="I97" s="8"/>
      <c r="J97" s="8"/>
      <c r="K97" s="8" t="s">
        <v>20</v>
      </c>
      <c r="L97" s="12" t="s">
        <v>27</v>
      </c>
      <c r="M97" s="8" t="s">
        <v>138</v>
      </c>
      <c r="N97" s="92"/>
      <c r="O97" s="8"/>
      <c r="P97" s="7">
        <v>43116</v>
      </c>
      <c r="Q97" s="8" t="str">
        <f>IF([1]!Tableau6[[#This Row],[Date_ Resolution]]="","",NETWORKDAYS.INTL([1]!Tableau6[[#This Row],[Date ]],[1]!Tableau6[[#This Row],[Date_ Resolution]],11,11)&amp;" Jr")</f>
        <v>1 Jr</v>
      </c>
      <c r="R97" s="14" t="s">
        <v>23</v>
      </c>
    </row>
    <row r="98" spans="1:18" ht="30">
      <c r="A98" s="13"/>
      <c r="B98" s="7">
        <v>43116</v>
      </c>
      <c r="C98" s="8" t="s">
        <v>52</v>
      </c>
      <c r="D98" s="1" t="str">
        <f>IFERROR(VLOOKUP([1]!Tableau6[[#This Row],[Typologie ]],[1]!Tableau1[#Data],2,0),"")</f>
        <v>RCBAO</v>
      </c>
      <c r="E98" s="8"/>
      <c r="F98" s="8"/>
      <c r="G98" s="8" t="s">
        <v>191</v>
      </c>
      <c r="H98" s="8" t="s">
        <v>45</v>
      </c>
      <c r="I98" s="8"/>
      <c r="J98" s="8"/>
      <c r="K98" s="8" t="s">
        <v>20</v>
      </c>
      <c r="L98" s="12" t="s">
        <v>27</v>
      </c>
      <c r="M98" s="8" t="s">
        <v>138</v>
      </c>
      <c r="N98" s="92"/>
      <c r="O98" s="8"/>
      <c r="P98" s="7">
        <v>43116</v>
      </c>
      <c r="Q98" s="8" t="str">
        <f>IF([1]!Tableau6[[#This Row],[Date_ Resolution]]="","",NETWORKDAYS.INTL([1]!Tableau6[[#This Row],[Date ]],[1]!Tableau6[[#This Row],[Date_ Resolution]],11,11)&amp;" Jr")</f>
        <v>1 Jr</v>
      </c>
      <c r="R98" s="14" t="s">
        <v>23</v>
      </c>
    </row>
    <row r="99" spans="1:18">
      <c r="A99" s="13"/>
      <c r="B99" s="7">
        <v>43116</v>
      </c>
      <c r="C99" s="8" t="s">
        <v>52</v>
      </c>
      <c r="D99" s="1" t="str">
        <f>IFERROR(VLOOKUP([1]!Tableau6[[#This Row],[Typologie ]],[1]!Tableau1[#Data],2,0),"")</f>
        <v>RCBAO</v>
      </c>
      <c r="E99" s="8"/>
      <c r="F99" s="8"/>
      <c r="G99" s="8"/>
      <c r="H99" s="8"/>
      <c r="I99" s="8"/>
      <c r="J99" s="8"/>
      <c r="K99" s="8" t="s">
        <v>55</v>
      </c>
      <c r="L99" s="8" t="s">
        <v>190</v>
      </c>
      <c r="M99" s="8"/>
      <c r="N99" s="92"/>
      <c r="O99" s="8"/>
      <c r="P99" s="7">
        <v>43116</v>
      </c>
      <c r="Q99" s="8" t="str">
        <f>IF([1]!Tableau6[[#This Row],[Date_ Resolution]]="","",NETWORKDAYS.INTL([1]!Tableau6[[#This Row],[Date ]],[1]!Tableau6[[#This Row],[Date_ Resolution]],11,11)&amp;" Jr")</f>
        <v>1 Jr</v>
      </c>
      <c r="R99" s="14" t="s">
        <v>23</v>
      </c>
    </row>
    <row r="100" spans="1:18" ht="30">
      <c r="A100" s="13"/>
      <c r="B100" s="7">
        <v>43116</v>
      </c>
      <c r="C100" s="8" t="s">
        <v>52</v>
      </c>
      <c r="D100" s="1" t="str">
        <f>IFERROR(VLOOKUP([1]!Tableau6[[#This Row],[Typologie ]],[1]!Tableau1[#Data],2,0),"")</f>
        <v>RCBAO</v>
      </c>
      <c r="E100" s="8"/>
      <c r="F100" s="8"/>
      <c r="G100" s="8" t="s">
        <v>29</v>
      </c>
      <c r="H100" s="8" t="s">
        <v>30</v>
      </c>
      <c r="I100" s="8"/>
      <c r="J100" s="8"/>
      <c r="K100" s="8" t="s">
        <v>33</v>
      </c>
      <c r="L100" s="8" t="s">
        <v>34</v>
      </c>
      <c r="M100" s="8" t="s">
        <v>125</v>
      </c>
      <c r="N100" s="92"/>
      <c r="O100" s="8"/>
      <c r="P100" s="7">
        <v>43116</v>
      </c>
      <c r="Q100" s="8" t="str">
        <f>IF([1]!Tableau6[[#This Row],[Date_ Resolution]]="","",NETWORKDAYS.INTL([1]!Tableau6[[#This Row],[Date ]],[1]!Tableau6[[#This Row],[Date_ Resolution]],11,11)&amp;" Jr")</f>
        <v>1 Jr</v>
      </c>
      <c r="R100" s="14" t="s">
        <v>23</v>
      </c>
    </row>
    <row r="101" spans="1:18">
      <c r="A101" s="13"/>
      <c r="B101" s="7">
        <v>43116</v>
      </c>
      <c r="C101" s="8" t="s">
        <v>52</v>
      </c>
      <c r="D101" s="1" t="str">
        <f>IFERROR(VLOOKUP([1]!Tableau6[[#This Row],[Typologie ]],[1]!Tableau1[#Data],2,0),"")</f>
        <v>RCBAO</v>
      </c>
      <c r="E101" s="8"/>
      <c r="F101" s="8"/>
      <c r="G101" s="8" t="s">
        <v>25</v>
      </c>
      <c r="H101" s="8" t="s">
        <v>26</v>
      </c>
      <c r="I101" s="8"/>
      <c r="J101" s="8"/>
      <c r="K101" s="8" t="s">
        <v>20</v>
      </c>
      <c r="L101" s="8" t="s">
        <v>100</v>
      </c>
      <c r="M101" s="8" t="s">
        <v>148</v>
      </c>
      <c r="N101" s="92"/>
      <c r="O101" s="8"/>
      <c r="P101" s="7">
        <v>43116</v>
      </c>
      <c r="Q101" s="8" t="str">
        <f>IF([1]!Tableau6[[#This Row],[Date_ Resolution]]="","",NETWORKDAYS.INTL([1]!Tableau6[[#This Row],[Date ]],[1]!Tableau6[[#This Row],[Date_ Resolution]],11,11)&amp;" Jr")</f>
        <v>1 Jr</v>
      </c>
      <c r="R101" s="14" t="s">
        <v>23</v>
      </c>
    </row>
    <row r="102" spans="1:18">
      <c r="A102" s="13"/>
      <c r="B102" s="7">
        <v>43116</v>
      </c>
      <c r="C102" s="8" t="s">
        <v>52</v>
      </c>
      <c r="D102" s="1" t="str">
        <f>IFERROR(VLOOKUP([1]!Tableau6[[#This Row],[Typologie ]],[1]!Tableau1[#Data],2,0),"")</f>
        <v>RCBAO</v>
      </c>
      <c r="E102" s="8"/>
      <c r="F102" s="8"/>
      <c r="G102" s="8" t="s">
        <v>25</v>
      </c>
      <c r="H102" s="8" t="s">
        <v>26</v>
      </c>
      <c r="I102" s="8"/>
      <c r="J102" s="8"/>
      <c r="K102" s="8" t="s">
        <v>20</v>
      </c>
      <c r="L102" s="8" t="s">
        <v>100</v>
      </c>
      <c r="M102" s="8" t="s">
        <v>148</v>
      </c>
      <c r="N102" s="92"/>
      <c r="O102" s="8"/>
      <c r="P102" s="7">
        <v>43116</v>
      </c>
      <c r="Q102" s="8" t="str">
        <f>IF([1]!Tableau6[[#This Row],[Date_ Resolution]]="","",NETWORKDAYS.INTL([1]!Tableau6[[#This Row],[Date ]],[1]!Tableau6[[#This Row],[Date_ Resolution]],11,11)&amp;" Jr")</f>
        <v>1 Jr</v>
      </c>
      <c r="R102" s="14" t="s">
        <v>23</v>
      </c>
    </row>
    <row r="103" spans="1:18">
      <c r="A103" s="13"/>
      <c r="B103" s="7">
        <v>43116</v>
      </c>
      <c r="C103" s="8" t="s">
        <v>52</v>
      </c>
      <c r="D103" s="1" t="str">
        <f>IFERROR(VLOOKUP([1]!Tableau6[[#This Row],[Typologie ]],[1]!Tableau1[#Data],2,0),"")</f>
        <v>RCBAO</v>
      </c>
      <c r="E103" s="8"/>
      <c r="F103" s="8"/>
      <c r="G103" s="8"/>
      <c r="H103" s="8"/>
      <c r="I103" s="8"/>
      <c r="J103" s="8"/>
      <c r="K103" s="8" t="s">
        <v>33</v>
      </c>
      <c r="L103" s="8" t="s">
        <v>83</v>
      </c>
      <c r="M103" s="8" t="s">
        <v>6</v>
      </c>
      <c r="N103" s="92"/>
      <c r="O103" s="8"/>
      <c r="P103" s="7">
        <v>43116</v>
      </c>
      <c r="Q103" s="8" t="str">
        <f>IF([1]!Tableau6[[#This Row],[Date_ Resolution]]="","",NETWORKDAYS.INTL([1]!Tableau6[[#This Row],[Date ]],[1]!Tableau6[[#This Row],[Date_ Resolution]],11,11)&amp;" Jr")</f>
        <v>1 Jr</v>
      </c>
      <c r="R103" s="14" t="s">
        <v>23</v>
      </c>
    </row>
    <row r="104" spans="1:18" ht="30">
      <c r="A104" s="13"/>
      <c r="B104" s="7">
        <v>43116</v>
      </c>
      <c r="C104" s="8" t="s">
        <v>52</v>
      </c>
      <c r="D104" s="1" t="str">
        <f>IFERROR(VLOOKUP([1]!Tableau6[[#This Row],[Typologie ]],[1]!Tableau1[#Data],2,0),"")</f>
        <v>RCBAO</v>
      </c>
      <c r="E104" s="8"/>
      <c r="F104" s="8"/>
      <c r="G104" s="8" t="s">
        <v>29</v>
      </c>
      <c r="H104" s="8" t="s">
        <v>30</v>
      </c>
      <c r="I104" s="8"/>
      <c r="J104" s="8"/>
      <c r="K104" s="8" t="s">
        <v>55</v>
      </c>
      <c r="L104" s="8" t="s">
        <v>59</v>
      </c>
      <c r="M104" s="8" t="s">
        <v>105</v>
      </c>
      <c r="N104" s="92"/>
      <c r="O104" s="8"/>
      <c r="P104" s="7">
        <v>43116</v>
      </c>
      <c r="Q104" s="8" t="str">
        <f>IF([1]!Tableau6[[#This Row],[Date_ Resolution]]="","",NETWORKDAYS.INTL([1]!Tableau6[[#This Row],[Date ]],[1]!Tableau6[[#This Row],[Date_ Resolution]],11,11)&amp;" Jr")</f>
        <v>1 Jr</v>
      </c>
      <c r="R104" s="14" t="s">
        <v>23</v>
      </c>
    </row>
    <row r="105" spans="1:18" ht="30">
      <c r="A105" s="13"/>
      <c r="B105" s="7">
        <v>43116</v>
      </c>
      <c r="C105" s="8" t="s">
        <v>52</v>
      </c>
      <c r="D105" s="1" t="str">
        <f>IFERROR(VLOOKUP([1]!Tableau6[[#This Row],[Typologie ]],[1]!Tableau1[#Data],2,0),"")</f>
        <v>RCBAO</v>
      </c>
      <c r="E105" s="8"/>
      <c r="F105" s="8"/>
      <c r="G105" s="8" t="s">
        <v>25</v>
      </c>
      <c r="H105" s="8" t="s">
        <v>26</v>
      </c>
      <c r="I105" s="8"/>
      <c r="J105" s="8"/>
      <c r="K105" s="8" t="s">
        <v>33</v>
      </c>
      <c r="L105" s="8" t="s">
        <v>34</v>
      </c>
      <c r="M105" s="8" t="s">
        <v>125</v>
      </c>
      <c r="N105" s="92"/>
      <c r="O105" s="8"/>
      <c r="P105" s="7">
        <v>43116</v>
      </c>
      <c r="Q105" s="8" t="str">
        <f>IF([1]!Tableau6[[#This Row],[Date_ Resolution]]="","",NETWORKDAYS.INTL([1]!Tableau6[[#This Row],[Date ]],[1]!Tableau6[[#This Row],[Date_ Resolution]],11,11)&amp;" Jr")</f>
        <v>1 Jr</v>
      </c>
      <c r="R105" s="14" t="s">
        <v>23</v>
      </c>
    </row>
    <row r="106" spans="1:18">
      <c r="A106" s="13"/>
      <c r="B106" s="7">
        <v>43116</v>
      </c>
      <c r="C106" s="8" t="s">
        <v>52</v>
      </c>
      <c r="D106" s="1" t="str">
        <f>IFERROR(VLOOKUP([1]!Tableau6[[#This Row],[Typologie ]],[1]!Tableau1[#Data],2,0),"")</f>
        <v>RCBAO</v>
      </c>
      <c r="E106" s="8"/>
      <c r="F106" s="8"/>
      <c r="G106" s="8"/>
      <c r="H106" s="8"/>
      <c r="I106" s="8"/>
      <c r="J106" s="8"/>
      <c r="K106" s="8" t="s">
        <v>55</v>
      </c>
      <c r="L106" s="8" t="s">
        <v>190</v>
      </c>
      <c r="M106" s="8"/>
      <c r="N106" s="92"/>
      <c r="O106" s="8"/>
      <c r="P106" s="7">
        <v>43116</v>
      </c>
      <c r="Q106" s="8" t="str">
        <f>IF([1]!Tableau6[[#This Row],[Date_ Resolution]]="","",NETWORKDAYS.INTL([1]!Tableau6[[#This Row],[Date ]],[1]!Tableau6[[#This Row],[Date_ Resolution]],11,11)&amp;" Jr")</f>
        <v>1 Jr</v>
      </c>
      <c r="R106" s="14" t="s">
        <v>23</v>
      </c>
    </row>
    <row r="107" spans="1:18" ht="30">
      <c r="A107" s="13"/>
      <c r="B107" s="7">
        <v>43116</v>
      </c>
      <c r="C107" s="8" t="s">
        <v>52</v>
      </c>
      <c r="D107" s="1" t="str">
        <f>IFERROR(VLOOKUP([1]!Tableau6[[#This Row],[Typologie ]],[1]!Tableau1[#Data],2,0),"")</f>
        <v>RCBAO</v>
      </c>
      <c r="E107" s="8"/>
      <c r="F107" s="8"/>
      <c r="G107" s="8" t="s">
        <v>29</v>
      </c>
      <c r="H107" s="8" t="s">
        <v>36</v>
      </c>
      <c r="I107" s="8"/>
      <c r="J107" s="8"/>
      <c r="K107" s="8" t="s">
        <v>55</v>
      </c>
      <c r="L107" s="8" t="s">
        <v>71</v>
      </c>
      <c r="M107" s="8" t="s">
        <v>77</v>
      </c>
      <c r="N107" s="92"/>
      <c r="O107" s="8"/>
      <c r="P107" s="7">
        <v>43116</v>
      </c>
      <c r="Q107" s="8" t="str">
        <f>IF([1]!Tableau6[[#This Row],[Date_ Resolution]]="","",NETWORKDAYS.INTL([1]!Tableau6[[#This Row],[Date ]],[1]!Tableau6[[#This Row],[Date_ Resolution]],11,11)&amp;" Jr")</f>
        <v>1 Jr</v>
      </c>
      <c r="R107" s="14" t="s">
        <v>23</v>
      </c>
    </row>
    <row r="108" spans="1:18" ht="30">
      <c r="A108" s="13"/>
      <c r="B108" s="7">
        <v>43116</v>
      </c>
      <c r="C108" s="8" t="s">
        <v>52</v>
      </c>
      <c r="D108" s="1" t="str">
        <f>IFERROR(VLOOKUP([1]!Tableau6[[#This Row],[Typologie ]],[1]!Tableau1[#Data],2,0),"")</f>
        <v>RCBAO</v>
      </c>
      <c r="E108" s="8"/>
      <c r="F108" s="8"/>
      <c r="G108" s="8" t="s">
        <v>25</v>
      </c>
      <c r="H108" s="8" t="s">
        <v>26</v>
      </c>
      <c r="I108" s="8"/>
      <c r="J108" s="8"/>
      <c r="K108" s="8" t="s">
        <v>55</v>
      </c>
      <c r="L108" s="8" t="s">
        <v>71</v>
      </c>
      <c r="M108" s="8" t="s">
        <v>80</v>
      </c>
      <c r="N108" s="92"/>
      <c r="O108" s="8"/>
      <c r="P108" s="7">
        <v>43116</v>
      </c>
      <c r="Q108" s="8" t="str">
        <f>IF([1]!Tableau6[[#This Row],[Date_ Resolution]]="","",NETWORKDAYS.INTL([1]!Tableau6[[#This Row],[Date ]],[1]!Tableau6[[#This Row],[Date_ Resolution]],11,11)&amp;" Jr")</f>
        <v>1 Jr</v>
      </c>
      <c r="R108" s="14" t="s">
        <v>23</v>
      </c>
    </row>
    <row r="109" spans="1:18">
      <c r="A109" s="13"/>
      <c r="B109" s="7">
        <v>43116</v>
      </c>
      <c r="C109" s="8" t="s">
        <v>52</v>
      </c>
      <c r="D109" s="1" t="str">
        <f>IFERROR(VLOOKUP([1]!Tableau6[[#This Row],[Typologie ]],[1]!Tableau1[#Data],2,0),"")</f>
        <v>RCBAO</v>
      </c>
      <c r="E109" s="8"/>
      <c r="F109" s="8"/>
      <c r="G109" s="8"/>
      <c r="H109" s="8"/>
      <c r="I109" s="8"/>
      <c r="J109" s="8"/>
      <c r="K109" s="8" t="s">
        <v>55</v>
      </c>
      <c r="L109" s="8" t="s">
        <v>190</v>
      </c>
      <c r="M109" s="8"/>
      <c r="N109" s="92"/>
      <c r="O109" s="8"/>
      <c r="P109" s="7">
        <v>43116</v>
      </c>
      <c r="Q109" s="8" t="str">
        <f>IF([1]!Tableau6[[#This Row],[Date_ Resolution]]="","",NETWORKDAYS.INTL([1]!Tableau6[[#This Row],[Date ]],[1]!Tableau6[[#This Row],[Date_ Resolution]],11,11)&amp;" Jr")</f>
        <v>1 Jr</v>
      </c>
      <c r="R109" s="14" t="s">
        <v>23</v>
      </c>
    </row>
    <row r="110" spans="1:18">
      <c r="A110" s="13"/>
      <c r="B110" s="7">
        <v>43116</v>
      </c>
      <c r="C110" s="8" t="s">
        <v>52</v>
      </c>
      <c r="D110" s="1" t="str">
        <f>IFERROR(VLOOKUP([1]!Tableau6[[#This Row],[Typologie ]],[1]!Tableau1[#Data],2,0),"")</f>
        <v>RCBAO</v>
      </c>
      <c r="E110" s="8"/>
      <c r="F110" s="8"/>
      <c r="G110" s="8" t="s">
        <v>29</v>
      </c>
      <c r="H110" s="8" t="s">
        <v>54</v>
      </c>
      <c r="I110" s="8"/>
      <c r="J110" s="8"/>
      <c r="K110" s="8" t="s">
        <v>55</v>
      </c>
      <c r="L110" s="8" t="s">
        <v>63</v>
      </c>
      <c r="M110" s="8" t="s">
        <v>113</v>
      </c>
      <c r="N110" s="92"/>
      <c r="O110" s="8"/>
      <c r="P110" s="7">
        <v>43116</v>
      </c>
      <c r="Q110" s="8" t="str">
        <f>IF([1]!Tableau6[[#This Row],[Date_ Resolution]]="","",NETWORKDAYS.INTL([1]!Tableau6[[#This Row],[Date ]],[1]!Tableau6[[#This Row],[Date_ Resolution]],11,11)&amp;" Jr")</f>
        <v>1 Jr</v>
      </c>
      <c r="R110" s="14" t="s">
        <v>23</v>
      </c>
    </row>
    <row r="111" spans="1:18">
      <c r="A111" s="13"/>
      <c r="B111" s="7">
        <v>43116</v>
      </c>
      <c r="C111" s="8" t="s">
        <v>52</v>
      </c>
      <c r="D111" s="1" t="str">
        <f>IFERROR(VLOOKUP([1]!Tableau6[[#This Row],[Typologie ]],[1]!Tableau1[#Data],2,0),"")</f>
        <v>RCBAO</v>
      </c>
      <c r="E111" s="8"/>
      <c r="F111" s="8"/>
      <c r="G111" s="8" t="s">
        <v>29</v>
      </c>
      <c r="H111" s="8" t="s">
        <v>36</v>
      </c>
      <c r="I111" s="8"/>
      <c r="J111" s="8"/>
      <c r="K111" s="8" t="s">
        <v>55</v>
      </c>
      <c r="L111" s="8" t="s">
        <v>68</v>
      </c>
      <c r="M111" s="8" t="s">
        <v>119</v>
      </c>
      <c r="N111" s="92"/>
      <c r="O111" s="8"/>
      <c r="P111" s="7">
        <v>43116</v>
      </c>
      <c r="Q111" s="8" t="str">
        <f>IF([1]!Tableau6[[#This Row],[Date_ Resolution]]="","",NETWORKDAYS.INTL([1]!Tableau6[[#This Row],[Date ]],[1]!Tableau6[[#This Row],[Date_ Resolution]],11,11)&amp;" Jr")</f>
        <v>1 Jr</v>
      </c>
      <c r="R111" s="14" t="s">
        <v>23</v>
      </c>
    </row>
    <row r="112" spans="1:18">
      <c r="A112" s="13"/>
      <c r="B112" s="7">
        <v>43116</v>
      </c>
      <c r="C112" s="8" t="s">
        <v>52</v>
      </c>
      <c r="D112" s="1" t="str">
        <f>IFERROR(VLOOKUP([1]!Tableau6[[#This Row],[Typologie ]],[1]!Tableau1[#Data],2,0),"")</f>
        <v>RCBAO</v>
      </c>
      <c r="E112" s="8"/>
      <c r="F112" s="8"/>
      <c r="G112" s="8"/>
      <c r="H112" s="8"/>
      <c r="I112" s="8"/>
      <c r="J112" s="8"/>
      <c r="K112" s="8" t="s">
        <v>55</v>
      </c>
      <c r="L112" s="8" t="s">
        <v>190</v>
      </c>
      <c r="M112" s="8"/>
      <c r="N112" s="92"/>
      <c r="O112" s="8"/>
      <c r="P112" s="7">
        <v>43116</v>
      </c>
      <c r="Q112" s="8" t="str">
        <f>IF([1]!Tableau6[[#This Row],[Date_ Resolution]]="","",NETWORKDAYS.INTL([1]!Tableau6[[#This Row],[Date ]],[1]!Tableau6[[#This Row],[Date_ Resolution]],11,11)&amp;" Jr")</f>
        <v>1 Jr</v>
      </c>
      <c r="R112" s="14" t="s">
        <v>23</v>
      </c>
    </row>
    <row r="113" spans="1:18" ht="45">
      <c r="A113" s="13"/>
      <c r="B113" s="7">
        <v>43116</v>
      </c>
      <c r="C113" s="8" t="s">
        <v>52</v>
      </c>
      <c r="D113" s="1" t="str">
        <f>IFERROR(VLOOKUP([1]!Tableau6[[#This Row],[Typologie ]],[1]!Tableau1[#Data],2,0),"")</f>
        <v>RCBAO</v>
      </c>
      <c r="E113" s="8"/>
      <c r="F113" s="8"/>
      <c r="G113" s="8" t="s">
        <v>29</v>
      </c>
      <c r="H113" s="8" t="s">
        <v>36</v>
      </c>
      <c r="I113" s="8"/>
      <c r="J113" s="8"/>
      <c r="K113" s="8" t="s">
        <v>20</v>
      </c>
      <c r="L113" s="8" t="s">
        <v>27</v>
      </c>
      <c r="M113" s="8" t="s">
        <v>136</v>
      </c>
      <c r="N113" s="92"/>
      <c r="O113" s="8"/>
      <c r="P113" s="7">
        <v>43116</v>
      </c>
      <c r="Q113" s="8" t="str">
        <f>IF([1]!Tableau6[[#This Row],[Date_ Resolution]]="","",NETWORKDAYS.INTL([1]!Tableau6[[#This Row],[Date ]],[1]!Tableau6[[#This Row],[Date_ Resolution]],11,11)&amp;" Jr")</f>
        <v>1 Jr</v>
      </c>
      <c r="R113" s="14" t="s">
        <v>23</v>
      </c>
    </row>
    <row r="114" spans="1:18" ht="30">
      <c r="A114" s="13"/>
      <c r="B114" s="7">
        <v>43116</v>
      </c>
      <c r="C114" s="8" t="s">
        <v>52</v>
      </c>
      <c r="D114" s="1" t="str">
        <f>IFERROR(VLOOKUP([1]!Tableau6[[#This Row],[Typologie ]],[1]!Tableau1[#Data],2,0),"")</f>
        <v>RCBAO</v>
      </c>
      <c r="E114" s="8"/>
      <c r="F114" s="8"/>
      <c r="G114" s="8" t="s">
        <v>29</v>
      </c>
      <c r="H114" s="8"/>
      <c r="I114" s="8"/>
      <c r="J114" s="8"/>
      <c r="K114" s="8" t="s">
        <v>55</v>
      </c>
      <c r="L114" s="8" t="s">
        <v>71</v>
      </c>
      <c r="M114" s="8" t="s">
        <v>80</v>
      </c>
      <c r="N114" s="92"/>
      <c r="O114" s="8"/>
      <c r="P114" s="7">
        <v>43116</v>
      </c>
      <c r="Q114" s="8" t="str">
        <f>IF([1]!Tableau6[[#This Row],[Date_ Resolution]]="","",NETWORKDAYS.INTL([1]!Tableau6[[#This Row],[Date ]],[1]!Tableau6[[#This Row],[Date_ Resolution]],11,11)&amp;" Jr")</f>
        <v>1 Jr</v>
      </c>
      <c r="R114" s="14" t="s">
        <v>23</v>
      </c>
    </row>
    <row r="115" spans="1:18">
      <c r="A115" s="13"/>
      <c r="B115" s="7">
        <v>43116</v>
      </c>
      <c r="C115" s="8" t="s">
        <v>52</v>
      </c>
      <c r="D115" s="1" t="str">
        <f>IFERROR(VLOOKUP([1]!Tableau6[[#This Row],[Typologie ]],[1]!Tableau1[#Data],2,0),"")</f>
        <v>RCBAO</v>
      </c>
      <c r="E115" s="8"/>
      <c r="F115" s="8"/>
      <c r="G115" s="8" t="s">
        <v>29</v>
      </c>
      <c r="H115" s="8"/>
      <c r="I115" s="8"/>
      <c r="J115" s="8"/>
      <c r="K115" s="8" t="s">
        <v>55</v>
      </c>
      <c r="L115" s="8" t="s">
        <v>68</v>
      </c>
      <c r="M115" s="8" t="s">
        <v>116</v>
      </c>
      <c r="N115" s="92"/>
      <c r="O115" s="8"/>
      <c r="P115" s="7">
        <v>43116</v>
      </c>
      <c r="Q115" s="8" t="str">
        <f>IF([1]!Tableau6[[#This Row],[Date_ Resolution]]="","",NETWORKDAYS.INTL([1]!Tableau6[[#This Row],[Date ]],[1]!Tableau6[[#This Row],[Date_ Resolution]],11,11)&amp;" Jr")</f>
        <v>1 Jr</v>
      </c>
      <c r="R115" s="14" t="s">
        <v>23</v>
      </c>
    </row>
    <row r="116" spans="1:18" ht="30">
      <c r="A116" s="13"/>
      <c r="B116" s="7">
        <v>43116</v>
      </c>
      <c r="C116" s="8" t="s">
        <v>52</v>
      </c>
      <c r="D116" s="1" t="str">
        <f>IFERROR(VLOOKUP([1]!Tableau6[[#This Row],[Typologie ]],[1]!Tableau1[#Data],2,0),"")</f>
        <v>RCBAO</v>
      </c>
      <c r="E116" s="8"/>
      <c r="F116" s="8"/>
      <c r="G116" s="8" t="s">
        <v>29</v>
      </c>
      <c r="H116" s="8" t="s">
        <v>36</v>
      </c>
      <c r="I116" s="8"/>
      <c r="J116" s="8"/>
      <c r="K116" s="8" t="s">
        <v>33</v>
      </c>
      <c r="L116" s="8" t="s">
        <v>34</v>
      </c>
      <c r="M116" s="8" t="s">
        <v>125</v>
      </c>
      <c r="N116" s="92"/>
      <c r="O116" s="8"/>
      <c r="P116" s="7">
        <v>43116</v>
      </c>
      <c r="Q116" s="8" t="str">
        <f>IF([1]!Tableau6[[#This Row],[Date_ Resolution]]="","",NETWORKDAYS.INTL([1]!Tableau6[[#This Row],[Date ]],[1]!Tableau6[[#This Row],[Date_ Resolution]],11,11)&amp;" Jr")</f>
        <v>1 Jr</v>
      </c>
      <c r="R116" s="14" t="s">
        <v>23</v>
      </c>
    </row>
    <row r="117" spans="1:18">
      <c r="A117" s="13"/>
      <c r="B117" s="7">
        <v>43117</v>
      </c>
      <c r="C117" s="8" t="s">
        <v>52</v>
      </c>
      <c r="D117" s="1" t="str">
        <f>IFERROR(VLOOKUP([1]!Tableau6[[#This Row],[Typologie ]],[1]!Tableau1[#Data],2,0),"")</f>
        <v>RCBAO</v>
      </c>
      <c r="E117" s="8"/>
      <c r="F117" s="8"/>
      <c r="G117" s="8" t="s">
        <v>29</v>
      </c>
      <c r="H117" s="8" t="s">
        <v>54</v>
      </c>
      <c r="I117" s="8"/>
      <c r="J117" s="8"/>
      <c r="K117" s="12" t="s">
        <v>33</v>
      </c>
      <c r="L117" s="12" t="s">
        <v>34</v>
      </c>
      <c r="M117" s="8" t="s">
        <v>43</v>
      </c>
      <c r="N117" s="12"/>
      <c r="O117" s="12"/>
      <c r="P117" s="12"/>
      <c r="Q117" s="12" t="str">
        <f>IF([1]!Tableau6[[#This Row],[Date_ Resolution]]="","",NETWORKDAYS.INTL([1]!Tableau6[[#This Row],[Date ]],[1]!Tableau6[[#This Row],[Date_ Resolution]],11,11)&amp;" Jr")</f>
        <v/>
      </c>
      <c r="R117" s="14" t="s">
        <v>65</v>
      </c>
    </row>
    <row r="118" spans="1:18" ht="30">
      <c r="A118" s="93"/>
      <c r="B118" s="7">
        <v>43117</v>
      </c>
      <c r="C118" s="8" t="s">
        <v>52</v>
      </c>
      <c r="D118" s="1" t="str">
        <f>IFERROR(VLOOKUP([1]!Tableau6[[#This Row],[Typologie ]],[1]!Tableau1[#Data],2,0),"")</f>
        <v>RCBAO</v>
      </c>
      <c r="E118" s="12"/>
      <c r="F118" s="8"/>
      <c r="G118" s="8" t="s">
        <v>25</v>
      </c>
      <c r="H118" s="8" t="s">
        <v>26</v>
      </c>
      <c r="I118" s="8"/>
      <c r="J118" s="8"/>
      <c r="K118" s="8" t="s">
        <v>33</v>
      </c>
      <c r="L118" s="8" t="s">
        <v>34</v>
      </c>
      <c r="M118" s="8" t="s">
        <v>125</v>
      </c>
      <c r="N118" s="8"/>
      <c r="O118" s="8"/>
      <c r="P118" s="7">
        <v>43117</v>
      </c>
      <c r="Q118" s="8" t="str">
        <f>IF([1]!Tableau6[[#This Row],[Date_ Resolution]]="","",NETWORKDAYS.INTL([1]!Tableau6[[#This Row],[Date ]],[1]!Tableau6[[#This Row],[Date_ Resolution]],11,11)&amp;" Jr")</f>
        <v>1 Jr</v>
      </c>
      <c r="R118" s="14" t="s">
        <v>23</v>
      </c>
    </row>
    <row r="119" spans="1:18">
      <c r="A119" s="13"/>
      <c r="B119" s="7">
        <v>43117</v>
      </c>
      <c r="C119" s="8" t="s">
        <v>52</v>
      </c>
      <c r="D119" s="1" t="str">
        <f>IFERROR(VLOOKUP([1]!Tableau6[[#This Row],[Typologie ]],[1]!Tableau1[#Data],2,0),"")</f>
        <v>RCBAO</v>
      </c>
      <c r="E119" s="8"/>
      <c r="F119" s="8"/>
      <c r="G119" s="8" t="s">
        <v>18</v>
      </c>
      <c r="H119" s="8" t="s">
        <v>45</v>
      </c>
      <c r="I119" s="8"/>
      <c r="J119" s="8"/>
      <c r="K119" s="8" t="s">
        <v>55</v>
      </c>
      <c r="L119" s="8" t="s">
        <v>76</v>
      </c>
      <c r="M119" s="8" t="s">
        <v>60</v>
      </c>
      <c r="N119" s="8"/>
      <c r="O119" s="8"/>
      <c r="P119" s="7">
        <v>43117</v>
      </c>
      <c r="Q119" s="8" t="str">
        <f>IF([1]!Tableau6[[#This Row],[Date_ Resolution]]="","",NETWORKDAYS.INTL([1]!Tableau6[[#This Row],[Date ]],[1]!Tableau6[[#This Row],[Date_ Resolution]],11,11)&amp;" Jr")</f>
        <v>1 Jr</v>
      </c>
      <c r="R119" s="14" t="s">
        <v>23</v>
      </c>
    </row>
    <row r="120" spans="1:18" ht="45">
      <c r="A120" s="13"/>
      <c r="B120" s="7">
        <v>43117</v>
      </c>
      <c r="C120" s="8" t="s">
        <v>52</v>
      </c>
      <c r="D120" s="1" t="str">
        <f>IFERROR(VLOOKUP([1]!Tableau6[[#This Row],[Typologie ]],[1]!Tableau1[#Data],2,0),"")</f>
        <v>RCBAO</v>
      </c>
      <c r="E120" s="8"/>
      <c r="F120" s="8"/>
      <c r="G120" s="8" t="s">
        <v>29</v>
      </c>
      <c r="H120" s="8" t="s">
        <v>30</v>
      </c>
      <c r="I120" s="8"/>
      <c r="J120" s="8"/>
      <c r="K120" s="8" t="s">
        <v>55</v>
      </c>
      <c r="L120" s="8" t="s">
        <v>59</v>
      </c>
      <c r="M120" s="8" t="s">
        <v>103</v>
      </c>
      <c r="N120" s="8"/>
      <c r="O120" s="8"/>
      <c r="P120" s="7">
        <v>43117</v>
      </c>
      <c r="Q120" s="8" t="str">
        <f>IF([1]!Tableau6[[#This Row],[Date_ Resolution]]="","",NETWORKDAYS.INTL([1]!Tableau6[[#This Row],[Date ]],[1]!Tableau6[[#This Row],[Date_ Resolution]],11,11)&amp;" Jr")</f>
        <v>1 Jr</v>
      </c>
      <c r="R120" s="14" t="s">
        <v>23</v>
      </c>
    </row>
    <row r="121" spans="1:18" ht="30">
      <c r="A121" s="13"/>
      <c r="B121" s="7">
        <v>43117</v>
      </c>
      <c r="C121" s="8" t="s">
        <v>52</v>
      </c>
      <c r="D121" s="1" t="str">
        <f>IFERROR(VLOOKUP([1]!Tableau6[[#This Row],[Typologie ]],[1]!Tableau1[#Data],2,0),"")</f>
        <v>RCBAO</v>
      </c>
      <c r="E121" s="8"/>
      <c r="F121" s="8"/>
      <c r="G121" s="8" t="s">
        <v>29</v>
      </c>
      <c r="H121" s="8" t="s">
        <v>36</v>
      </c>
      <c r="I121" s="8"/>
      <c r="J121" s="8"/>
      <c r="K121" s="8" t="s">
        <v>55</v>
      </c>
      <c r="L121" s="8" t="s">
        <v>59</v>
      </c>
      <c r="M121" s="8" t="s">
        <v>105</v>
      </c>
      <c r="N121" s="8"/>
      <c r="O121" s="8"/>
      <c r="P121" s="7">
        <v>43117</v>
      </c>
      <c r="Q121" s="8" t="str">
        <f>IF([1]!Tableau6[[#This Row],[Date_ Resolution]]="","",NETWORKDAYS.INTL([1]!Tableau6[[#This Row],[Date ]],[1]!Tableau6[[#This Row],[Date_ Resolution]],11,11)&amp;" Jr")</f>
        <v>1 Jr</v>
      </c>
      <c r="R121" s="14" t="s">
        <v>23</v>
      </c>
    </row>
    <row r="122" spans="1:18">
      <c r="A122" s="13"/>
      <c r="B122" s="7">
        <v>43117</v>
      </c>
      <c r="C122" s="8" t="s">
        <v>52</v>
      </c>
      <c r="D122" s="1" t="str">
        <f>IFERROR(VLOOKUP([1]!Tableau6[[#This Row],[Typologie ]],[1]!Tableau1[#Data],2,0),"")</f>
        <v>RCBAO</v>
      </c>
      <c r="E122" s="8"/>
      <c r="F122" s="94"/>
      <c r="G122" s="8"/>
      <c r="H122" s="8"/>
      <c r="I122" s="8"/>
      <c r="J122" s="8"/>
      <c r="K122" s="8" t="s">
        <v>55</v>
      </c>
      <c r="L122" s="8" t="s">
        <v>68</v>
      </c>
      <c r="M122" s="8" t="s">
        <v>116</v>
      </c>
      <c r="N122" s="8"/>
      <c r="O122" s="8"/>
      <c r="P122" s="7">
        <v>43117</v>
      </c>
      <c r="Q122" s="8" t="str">
        <f>IF([1]!Tableau6[[#This Row],[Date_ Resolution]]="","",NETWORKDAYS.INTL([1]!Tableau6[[#This Row],[Date ]],[1]!Tableau6[[#This Row],[Date_ Resolution]],11,11)&amp;" Jr")</f>
        <v>1 Jr</v>
      </c>
      <c r="R122" s="14" t="s">
        <v>23</v>
      </c>
    </row>
    <row r="123" spans="1:18" ht="30">
      <c r="A123" s="13"/>
      <c r="B123" s="7">
        <v>43117</v>
      </c>
      <c r="C123" s="8" t="s">
        <v>52</v>
      </c>
      <c r="D123" s="1" t="str">
        <f>IFERROR(VLOOKUP([1]!Tableau6[[#This Row],[Typologie ]],[1]!Tableau1[#Data],2,0),"")</f>
        <v>RCBAO</v>
      </c>
      <c r="E123" s="8"/>
      <c r="F123" s="8"/>
      <c r="G123" s="8" t="s">
        <v>29</v>
      </c>
      <c r="H123" s="8" t="s">
        <v>36</v>
      </c>
      <c r="I123" s="8"/>
      <c r="J123" s="8"/>
      <c r="K123" s="8" t="s">
        <v>55</v>
      </c>
      <c r="L123" s="8" t="s">
        <v>59</v>
      </c>
      <c r="M123" s="8" t="s">
        <v>105</v>
      </c>
      <c r="N123" s="8"/>
      <c r="O123" s="8"/>
      <c r="P123" s="7">
        <v>43117</v>
      </c>
      <c r="Q123" s="8" t="str">
        <f>IF([1]!Tableau6[[#This Row],[Date_ Resolution]]="","",NETWORKDAYS.INTL([1]!Tableau6[[#This Row],[Date ]],[1]!Tableau6[[#This Row],[Date_ Resolution]],11,11)&amp;" Jr")</f>
        <v>1 Jr</v>
      </c>
      <c r="R123" s="14" t="s">
        <v>23</v>
      </c>
    </row>
    <row r="124" spans="1:18" ht="30">
      <c r="A124" s="13"/>
      <c r="B124" s="7">
        <v>43117</v>
      </c>
      <c r="C124" s="8" t="s">
        <v>52</v>
      </c>
      <c r="D124" s="1" t="str">
        <f>IFERROR(VLOOKUP([1]!Tableau6[[#This Row],[Typologie ]],[1]!Tableau1[#Data],2,0),"")</f>
        <v>RCBAO</v>
      </c>
      <c r="E124" s="8"/>
      <c r="F124" s="8"/>
      <c r="G124" s="8" t="s">
        <v>29</v>
      </c>
      <c r="H124" s="8" t="s">
        <v>30</v>
      </c>
      <c r="I124" s="8"/>
      <c r="J124" s="8"/>
      <c r="K124" s="8" t="s">
        <v>33</v>
      </c>
      <c r="L124" s="8" t="s">
        <v>34</v>
      </c>
      <c r="M124" s="8" t="s">
        <v>125</v>
      </c>
      <c r="N124" s="8"/>
      <c r="O124" s="8"/>
      <c r="P124" s="7">
        <v>43117</v>
      </c>
      <c r="Q124" s="8" t="str">
        <f>IF([1]!Tableau6[[#This Row],[Date_ Resolution]]="","",NETWORKDAYS.INTL([1]!Tableau6[[#This Row],[Date ]],[1]!Tableau6[[#This Row],[Date_ Resolution]],11,11)&amp;" Jr")</f>
        <v>1 Jr</v>
      </c>
      <c r="R124" s="14" t="s">
        <v>23</v>
      </c>
    </row>
    <row r="125" spans="1:18" ht="30">
      <c r="A125" s="13"/>
      <c r="B125" s="7">
        <v>43117</v>
      </c>
      <c r="C125" s="8" t="s">
        <v>52</v>
      </c>
      <c r="D125" s="1" t="str">
        <f>IFERROR(VLOOKUP([1]!Tableau6[[#This Row],[Typologie ]],[1]!Tableau1[#Data],2,0),"")</f>
        <v>RCBAO</v>
      </c>
      <c r="E125" s="8"/>
      <c r="F125" s="8"/>
      <c r="G125" s="8" t="s">
        <v>25</v>
      </c>
      <c r="H125" s="8" t="s">
        <v>26</v>
      </c>
      <c r="I125" s="8"/>
      <c r="J125" s="8"/>
      <c r="K125" s="8" t="s">
        <v>55</v>
      </c>
      <c r="L125" s="8" t="s">
        <v>71</v>
      </c>
      <c r="M125" s="8" t="s">
        <v>87</v>
      </c>
      <c r="N125" s="8"/>
      <c r="O125" s="8"/>
      <c r="P125" s="7">
        <v>43117</v>
      </c>
      <c r="Q125" s="8" t="str">
        <f>IF([1]!Tableau6[[#This Row],[Date_ Resolution]]="","",NETWORKDAYS.INTL([1]!Tableau6[[#This Row],[Date ]],[1]!Tableau6[[#This Row],[Date_ Resolution]],11,11)&amp;" Jr")</f>
        <v>1 Jr</v>
      </c>
      <c r="R125" s="14" t="s">
        <v>23</v>
      </c>
    </row>
    <row r="126" spans="1:18">
      <c r="A126" s="13"/>
      <c r="B126" s="7">
        <v>43117</v>
      </c>
      <c r="C126" s="8" t="s">
        <v>52</v>
      </c>
      <c r="D126" s="1" t="str">
        <f>IFERROR(VLOOKUP([1]!Tableau6[[#This Row],[Typologie ]],[1]!Tableau1[#Data],2,0),"")</f>
        <v>RCBAO</v>
      </c>
      <c r="E126" s="8"/>
      <c r="F126" s="8"/>
      <c r="G126" s="8"/>
      <c r="H126" s="8"/>
      <c r="I126" s="8"/>
      <c r="J126" s="8"/>
      <c r="K126" s="8" t="s">
        <v>55</v>
      </c>
      <c r="L126" s="8" t="s">
        <v>71</v>
      </c>
      <c r="M126" s="8" t="s">
        <v>84</v>
      </c>
      <c r="N126" s="8"/>
      <c r="O126" s="8"/>
      <c r="P126" s="7">
        <v>43117</v>
      </c>
      <c r="Q126" s="8" t="str">
        <f>IF([1]!Tableau6[[#This Row],[Date_ Resolution]]="","",NETWORKDAYS.INTL([1]!Tableau6[[#This Row],[Date ]],[1]!Tableau6[[#This Row],[Date_ Resolution]],11,11)&amp;" Jr")</f>
        <v>1 Jr</v>
      </c>
      <c r="R126" s="14" t="s">
        <v>23</v>
      </c>
    </row>
    <row r="127" spans="1:18">
      <c r="A127" s="13"/>
      <c r="B127" s="7">
        <v>43117</v>
      </c>
      <c r="C127" s="8" t="s">
        <v>52</v>
      </c>
      <c r="D127" s="1" t="str">
        <f>IFERROR(VLOOKUP([1]!Tableau6[[#This Row],[Typologie ]],[1]!Tableau1[#Data],2,0),"")</f>
        <v>RCBAO</v>
      </c>
      <c r="E127" s="8"/>
      <c r="F127" s="8"/>
      <c r="G127" s="8" t="s">
        <v>29</v>
      </c>
      <c r="H127" s="8" t="s">
        <v>30</v>
      </c>
      <c r="I127" s="8"/>
      <c r="J127" s="8"/>
      <c r="K127" s="8" t="s">
        <v>55</v>
      </c>
      <c r="L127" s="8" t="s">
        <v>71</v>
      </c>
      <c r="M127" s="8" t="s">
        <v>84</v>
      </c>
      <c r="N127" s="8"/>
      <c r="O127" s="8"/>
      <c r="P127" s="7">
        <v>43117</v>
      </c>
      <c r="Q127" s="8" t="str">
        <f>IF([1]!Tableau6[[#This Row],[Date_ Resolution]]="","",NETWORKDAYS.INTL([1]!Tableau6[[#This Row],[Date ]],[1]!Tableau6[[#This Row],[Date_ Resolution]],11,11)&amp;" Jr")</f>
        <v>1 Jr</v>
      </c>
      <c r="R127" s="14" t="s">
        <v>23</v>
      </c>
    </row>
    <row r="128" spans="1:18">
      <c r="A128" s="13"/>
      <c r="B128" s="7">
        <v>43117</v>
      </c>
      <c r="C128" s="8" t="s">
        <v>52</v>
      </c>
      <c r="D128" s="1" t="str">
        <f>IFERROR(VLOOKUP([1]!Tableau6[[#This Row],[Typologie ]],[1]!Tableau1[#Data],2,0),"")</f>
        <v>RCBAO</v>
      </c>
      <c r="E128" s="8"/>
      <c r="F128" s="8"/>
      <c r="G128" s="8"/>
      <c r="H128" s="8"/>
      <c r="I128" s="8"/>
      <c r="J128" s="8"/>
      <c r="K128" s="8" t="s">
        <v>55</v>
      </c>
      <c r="L128" s="8" t="s">
        <v>190</v>
      </c>
      <c r="M128" s="8"/>
      <c r="N128" s="8"/>
      <c r="O128" s="8"/>
      <c r="P128" s="7">
        <v>43117</v>
      </c>
      <c r="Q128" s="8" t="str">
        <f>IF([1]!Tableau6[[#This Row],[Date_ Resolution]]="","",NETWORKDAYS.INTL([1]!Tableau6[[#This Row],[Date ]],[1]!Tableau6[[#This Row],[Date_ Resolution]],11,11)&amp;" Jr")</f>
        <v>1 Jr</v>
      </c>
      <c r="R128" s="14" t="s">
        <v>23</v>
      </c>
    </row>
    <row r="129" spans="1:18" ht="30">
      <c r="A129" s="13"/>
      <c r="B129" s="7">
        <v>43117</v>
      </c>
      <c r="C129" s="8" t="s">
        <v>52</v>
      </c>
      <c r="D129" s="1" t="str">
        <f>IFERROR(VLOOKUP([1]!Tableau6[[#This Row],[Typologie ]],[1]!Tableau1[#Data],2,0),"")</f>
        <v>RCBAO</v>
      </c>
      <c r="E129" s="8"/>
      <c r="F129" s="8"/>
      <c r="G129" s="8" t="s">
        <v>29</v>
      </c>
      <c r="H129" s="8" t="s">
        <v>30</v>
      </c>
      <c r="I129" s="8"/>
      <c r="J129" s="8"/>
      <c r="K129" s="8" t="s">
        <v>55</v>
      </c>
      <c r="L129" s="8" t="s">
        <v>74</v>
      </c>
      <c r="M129" s="8" t="s">
        <v>107</v>
      </c>
      <c r="N129" s="8"/>
      <c r="O129" s="8"/>
      <c r="P129" s="7">
        <v>43117</v>
      </c>
      <c r="Q129" s="8" t="str">
        <f>IF([1]!Tableau6[[#This Row],[Date_ Resolution]]="","",NETWORKDAYS.INTL([1]!Tableau6[[#This Row],[Date ]],[1]!Tableau6[[#This Row],[Date_ Resolution]],11,11)&amp;" Jr")</f>
        <v>1 Jr</v>
      </c>
      <c r="R129" s="14" t="s">
        <v>23</v>
      </c>
    </row>
    <row r="130" spans="1:18" ht="30">
      <c r="A130" s="13"/>
      <c r="B130" s="7">
        <v>43117</v>
      </c>
      <c r="C130" s="8" t="s">
        <v>52</v>
      </c>
      <c r="D130" s="1" t="str">
        <f>IFERROR(VLOOKUP([1]!Tableau6[[#This Row],[Typologie ]],[1]!Tableau1[#Data],2,0),"")</f>
        <v>RCBAO</v>
      </c>
      <c r="E130" s="8"/>
      <c r="F130" s="8"/>
      <c r="G130" s="8" t="s">
        <v>25</v>
      </c>
      <c r="H130" s="8" t="s">
        <v>26</v>
      </c>
      <c r="I130" s="8"/>
      <c r="J130" s="8"/>
      <c r="K130" s="8" t="s">
        <v>55</v>
      </c>
      <c r="L130" s="8" t="s">
        <v>71</v>
      </c>
      <c r="M130" s="8" t="s">
        <v>87</v>
      </c>
      <c r="N130" s="8"/>
      <c r="O130" s="8"/>
      <c r="P130" s="7">
        <v>43117</v>
      </c>
      <c r="Q130" s="8" t="str">
        <f>IF([1]!Tableau6[[#This Row],[Date_ Resolution]]="","",NETWORKDAYS.INTL([1]!Tableau6[[#This Row],[Date ]],[1]!Tableau6[[#This Row],[Date_ Resolution]],11,11)&amp;" Jr")</f>
        <v>1 Jr</v>
      </c>
      <c r="R130" s="14" t="s">
        <v>23</v>
      </c>
    </row>
    <row r="131" spans="1:18">
      <c r="A131" s="13"/>
      <c r="B131" s="7">
        <v>43117</v>
      </c>
      <c r="C131" s="8" t="s">
        <v>52</v>
      </c>
      <c r="D131" s="1" t="str">
        <f>IFERROR(VLOOKUP([1]!Tableau6[[#This Row],[Typologie ]],[1]!Tableau1[#Data],2,0),"")</f>
        <v>RCBAO</v>
      </c>
      <c r="E131" s="8"/>
      <c r="F131" s="8"/>
      <c r="G131" s="8"/>
      <c r="H131" s="8"/>
      <c r="I131" s="8"/>
      <c r="J131" s="8"/>
      <c r="K131" s="8" t="s">
        <v>55</v>
      </c>
      <c r="L131" s="8" t="s">
        <v>190</v>
      </c>
      <c r="M131" s="8"/>
      <c r="N131" s="8"/>
      <c r="O131" s="8"/>
      <c r="P131" s="7">
        <v>43117</v>
      </c>
      <c r="Q131" s="8" t="str">
        <f>IF([1]!Tableau6[[#This Row],[Date_ Resolution]]="","",NETWORKDAYS.INTL([1]!Tableau6[[#This Row],[Date ]],[1]!Tableau6[[#This Row],[Date_ Resolution]],11,11)&amp;" Jr")</f>
        <v>1 Jr</v>
      </c>
      <c r="R131" s="14" t="s">
        <v>23</v>
      </c>
    </row>
    <row r="132" spans="1:18">
      <c r="A132" s="13"/>
      <c r="B132" s="7">
        <v>43117</v>
      </c>
      <c r="C132" s="8" t="s">
        <v>52</v>
      </c>
      <c r="D132" s="1" t="str">
        <f>IFERROR(VLOOKUP([1]!Tableau6[[#This Row],[Typologie ]],[1]!Tableau1[#Data],2,0),"")</f>
        <v>RCBAO</v>
      </c>
      <c r="E132" s="8"/>
      <c r="F132" s="8"/>
      <c r="G132" s="8"/>
      <c r="H132" s="8"/>
      <c r="I132" s="8"/>
      <c r="J132" s="8"/>
      <c r="K132" s="8" t="s">
        <v>55</v>
      </c>
      <c r="L132" s="8" t="s">
        <v>190</v>
      </c>
      <c r="M132" s="8"/>
      <c r="N132" s="8"/>
      <c r="O132" s="8"/>
      <c r="P132" s="7">
        <v>43117</v>
      </c>
      <c r="Q132" s="8" t="str">
        <f>IF([1]!Tableau6[[#This Row],[Date_ Resolution]]="","",NETWORKDAYS.INTL([1]!Tableau6[[#This Row],[Date ]],[1]!Tableau6[[#This Row],[Date_ Resolution]],11,11)&amp;" Jr")</f>
        <v>1 Jr</v>
      </c>
      <c r="R132" s="14" t="s">
        <v>23</v>
      </c>
    </row>
    <row r="133" spans="1:18" ht="30">
      <c r="A133" s="13"/>
      <c r="B133" s="7">
        <v>43117</v>
      </c>
      <c r="C133" s="8" t="s">
        <v>52</v>
      </c>
      <c r="D133" s="1" t="str">
        <f>IFERROR(VLOOKUP([1]!Tableau6[[#This Row],[Typologie ]],[1]!Tableau1[#Data],2,0),"")</f>
        <v>RCBAO</v>
      </c>
      <c r="E133" s="8"/>
      <c r="F133" s="8"/>
      <c r="G133" s="8" t="s">
        <v>29</v>
      </c>
      <c r="H133" s="8" t="s">
        <v>36</v>
      </c>
      <c r="I133" s="8"/>
      <c r="J133" s="8"/>
      <c r="K133" s="8" t="s">
        <v>55</v>
      </c>
      <c r="L133" s="8" t="s">
        <v>71</v>
      </c>
      <c r="M133" s="8" t="s">
        <v>87</v>
      </c>
      <c r="N133" s="8"/>
      <c r="O133" s="8"/>
      <c r="P133" s="7">
        <v>43117</v>
      </c>
      <c r="Q133" s="8" t="str">
        <f>IF([1]!Tableau6[[#This Row],[Date_ Resolution]]="","",NETWORKDAYS.INTL([1]!Tableau6[[#This Row],[Date ]],[1]!Tableau6[[#This Row],[Date_ Resolution]],11,11)&amp;" Jr")</f>
        <v>1 Jr</v>
      </c>
      <c r="R133" s="14" t="s">
        <v>23</v>
      </c>
    </row>
    <row r="134" spans="1:18">
      <c r="A134" s="13"/>
      <c r="B134" s="7">
        <v>43117</v>
      </c>
      <c r="C134" s="8" t="s">
        <v>52</v>
      </c>
      <c r="D134" s="1" t="str">
        <f>IFERROR(VLOOKUP([1]!Tableau6[[#This Row],[Typologie ]],[1]!Tableau1[#Data],2,0),"")</f>
        <v>RCBAO</v>
      </c>
      <c r="E134" s="8"/>
      <c r="F134" s="8"/>
      <c r="G134" s="8" t="s">
        <v>29</v>
      </c>
      <c r="H134" s="8" t="s">
        <v>36</v>
      </c>
      <c r="I134" s="8"/>
      <c r="J134" s="8"/>
      <c r="K134" s="8" t="s">
        <v>20</v>
      </c>
      <c r="L134" s="8" t="s">
        <v>100</v>
      </c>
      <c r="M134" s="8" t="s">
        <v>148</v>
      </c>
      <c r="N134" s="8"/>
      <c r="O134" s="8"/>
      <c r="P134" s="7">
        <v>43117</v>
      </c>
      <c r="Q134" s="8" t="str">
        <f>IF([1]!Tableau6[[#This Row],[Date_ Resolution]]="","",NETWORKDAYS.INTL([1]!Tableau6[[#This Row],[Date ]],[1]!Tableau6[[#This Row],[Date_ Resolution]],11,11)&amp;" Jr")</f>
        <v>1 Jr</v>
      </c>
      <c r="R134" s="14" t="s">
        <v>23</v>
      </c>
    </row>
    <row r="135" spans="1:18">
      <c r="A135" s="13"/>
      <c r="B135" s="7">
        <v>43117</v>
      </c>
      <c r="C135" s="8" t="s">
        <v>52</v>
      </c>
      <c r="D135" s="1" t="str">
        <f>IFERROR(VLOOKUP([1]!Tableau6[[#This Row],[Typologie ]],[1]!Tableau1[#Data],2,0),"")</f>
        <v>RCBAO</v>
      </c>
      <c r="E135" s="8"/>
      <c r="F135" s="8"/>
      <c r="G135" s="8"/>
      <c r="H135" s="8"/>
      <c r="I135" s="8"/>
      <c r="J135" s="8"/>
      <c r="K135" s="8" t="s">
        <v>55</v>
      </c>
      <c r="L135" s="8" t="s">
        <v>190</v>
      </c>
      <c r="M135" s="8"/>
      <c r="N135" s="8"/>
      <c r="O135" s="8"/>
      <c r="P135" s="7">
        <v>43117</v>
      </c>
      <c r="Q135" s="8" t="str">
        <f>IF([1]!Tableau6[[#This Row],[Date_ Resolution]]="","",NETWORKDAYS.INTL([1]!Tableau6[[#This Row],[Date ]],[1]!Tableau6[[#This Row],[Date_ Resolution]],11,11)&amp;" Jr")</f>
        <v>1 Jr</v>
      </c>
      <c r="R135" s="14" t="s">
        <v>23</v>
      </c>
    </row>
    <row r="136" spans="1:18" ht="30">
      <c r="A136" s="13"/>
      <c r="B136" s="7">
        <v>43118</v>
      </c>
      <c r="C136" s="8" t="s">
        <v>52</v>
      </c>
      <c r="D136" s="1" t="str">
        <f>IFERROR(VLOOKUP([1]!Tableau6[[#This Row],[Typologie ]],[1]!Tableau1[#Data],2,0),"")</f>
        <v>RCBAO</v>
      </c>
      <c r="E136" s="8"/>
      <c r="F136" s="8"/>
      <c r="G136" s="8" t="s">
        <v>29</v>
      </c>
      <c r="H136" s="8" t="s">
        <v>30</v>
      </c>
      <c r="I136" s="8"/>
      <c r="J136" s="8"/>
      <c r="K136" s="8" t="s">
        <v>55</v>
      </c>
      <c r="L136" s="8" t="s">
        <v>71</v>
      </c>
      <c r="M136" s="8" t="s">
        <v>77</v>
      </c>
      <c r="N136" s="8"/>
      <c r="O136" s="8"/>
      <c r="P136" s="7">
        <v>43118</v>
      </c>
      <c r="Q136" s="8" t="str">
        <f>IF([1]!Tableau6[[#This Row],[Date_ Resolution]]="","",NETWORKDAYS.INTL([1]!Tableau6[[#This Row],[Date ]],[1]!Tableau6[[#This Row],[Date_ Resolution]],11,11)&amp;" Jr")</f>
        <v>1 Jr</v>
      </c>
      <c r="R136" s="14" t="s">
        <v>23</v>
      </c>
    </row>
    <row r="137" spans="1:18">
      <c r="A137" s="13"/>
      <c r="B137" s="7">
        <v>43118</v>
      </c>
      <c r="C137" s="8" t="s">
        <v>52</v>
      </c>
      <c r="D137" s="1" t="str">
        <f>IFERROR(VLOOKUP([1]!Tableau6[[#This Row],[Typologie ]],[1]!Tableau1[#Data],2,0),"")</f>
        <v>RCBAO</v>
      </c>
      <c r="E137" s="8"/>
      <c r="F137" s="8"/>
      <c r="G137" s="8"/>
      <c r="H137" s="8"/>
      <c r="I137" s="8"/>
      <c r="J137" s="8"/>
      <c r="K137" s="8" t="s">
        <v>55</v>
      </c>
      <c r="L137" s="8" t="s">
        <v>192</v>
      </c>
      <c r="M137" s="8"/>
      <c r="N137" s="8"/>
      <c r="O137" s="8"/>
      <c r="P137" s="7">
        <v>43118</v>
      </c>
      <c r="Q137" s="8" t="str">
        <f>IF([1]!Tableau6[[#This Row],[Date_ Resolution]]="","",NETWORKDAYS.INTL([1]!Tableau6[[#This Row],[Date ]],[1]!Tableau6[[#This Row],[Date_ Resolution]],11,11)&amp;" Jr")</f>
        <v>1 Jr</v>
      </c>
      <c r="R137" s="14" t="s">
        <v>23</v>
      </c>
    </row>
    <row r="138" spans="1:18" ht="30">
      <c r="A138" s="13"/>
      <c r="B138" s="7">
        <v>43118</v>
      </c>
      <c r="C138" s="8" t="s">
        <v>52</v>
      </c>
      <c r="D138" s="1" t="str">
        <f>IFERROR(VLOOKUP([1]!Tableau6[[#This Row],[Typologie ]],[1]!Tableau1[#Data],2,0),"")</f>
        <v>RCBAO</v>
      </c>
      <c r="E138" s="8"/>
      <c r="F138" s="8"/>
      <c r="G138" s="8" t="s">
        <v>29</v>
      </c>
      <c r="H138" s="8" t="s">
        <v>36</v>
      </c>
      <c r="I138" s="8"/>
      <c r="J138" s="8"/>
      <c r="K138" s="8" t="s">
        <v>33</v>
      </c>
      <c r="L138" s="8" t="s">
        <v>34</v>
      </c>
      <c r="M138" s="8" t="s">
        <v>125</v>
      </c>
      <c r="N138" s="8"/>
      <c r="O138" s="8"/>
      <c r="P138" s="7">
        <v>43118</v>
      </c>
      <c r="Q138" s="8" t="str">
        <f>IF([1]!Tableau6[[#This Row],[Date_ Resolution]]="","",NETWORKDAYS.INTL([1]!Tableau6[[#This Row],[Date ]],[1]!Tableau6[[#This Row],[Date_ Resolution]],11,11)&amp;" Jr")</f>
        <v>1 Jr</v>
      </c>
      <c r="R138" s="14" t="s">
        <v>193</v>
      </c>
    </row>
    <row r="139" spans="1:18">
      <c r="A139" s="13"/>
      <c r="B139" s="7">
        <v>43118</v>
      </c>
      <c r="C139" s="8" t="s">
        <v>52</v>
      </c>
      <c r="D139" s="1" t="str">
        <f>IFERROR(VLOOKUP([1]!Tableau6[[#This Row],[Typologie ]],[1]!Tableau1[#Data],2,0),"")</f>
        <v>RCBAO</v>
      </c>
      <c r="E139" s="8"/>
      <c r="F139" s="8"/>
      <c r="G139" s="8"/>
      <c r="H139" s="8"/>
      <c r="I139" s="8"/>
      <c r="J139" s="8"/>
      <c r="K139" s="8" t="s">
        <v>55</v>
      </c>
      <c r="L139" s="8" t="s">
        <v>190</v>
      </c>
      <c r="M139" s="8"/>
      <c r="N139" s="8"/>
      <c r="O139" s="8"/>
      <c r="P139" s="7">
        <v>43118</v>
      </c>
      <c r="Q139" s="8" t="str">
        <f>IF([1]!Tableau6[[#This Row],[Date_ Resolution]]="","",NETWORKDAYS.INTL([1]!Tableau6[[#This Row],[Date ]],[1]!Tableau6[[#This Row],[Date_ Resolution]],11,11)&amp;" Jr")</f>
        <v>1 Jr</v>
      </c>
      <c r="R139" s="14" t="s">
        <v>23</v>
      </c>
    </row>
    <row r="140" spans="1:18" ht="30">
      <c r="A140" s="13"/>
      <c r="B140" s="7">
        <v>43118</v>
      </c>
      <c r="C140" s="8" t="s">
        <v>52</v>
      </c>
      <c r="D140" s="1" t="str">
        <f>IFERROR(VLOOKUP([1]!Tableau6[[#This Row],[Typologie ]],[1]!Tableau1[#Data],2,0),"")</f>
        <v>RCBAO</v>
      </c>
      <c r="E140" s="8"/>
      <c r="F140" s="8"/>
      <c r="G140" s="8" t="s">
        <v>29</v>
      </c>
      <c r="H140" s="8" t="s">
        <v>36</v>
      </c>
      <c r="I140" s="8"/>
      <c r="J140" s="8"/>
      <c r="K140" s="8" t="s">
        <v>33</v>
      </c>
      <c r="L140" s="8" t="s">
        <v>34</v>
      </c>
      <c r="M140" s="8" t="s">
        <v>125</v>
      </c>
      <c r="N140" s="8"/>
      <c r="O140" s="8"/>
      <c r="P140" s="7">
        <v>43118</v>
      </c>
      <c r="Q140" s="8" t="str">
        <f>IF([1]!Tableau6[[#This Row],[Date_ Resolution]]="","",NETWORKDAYS.INTL([1]!Tableau6[[#This Row],[Date ]],[1]!Tableau6[[#This Row],[Date_ Resolution]],11,11)&amp;" Jr")</f>
        <v>1 Jr</v>
      </c>
      <c r="R140" s="14" t="s">
        <v>23</v>
      </c>
    </row>
    <row r="141" spans="1:18">
      <c r="A141" s="13"/>
      <c r="B141" s="7">
        <v>43118</v>
      </c>
      <c r="C141" s="8" t="s">
        <v>52</v>
      </c>
      <c r="D141" s="1" t="str">
        <f>IFERROR(VLOOKUP([1]!Tableau6[[#This Row],[Typologie ]],[1]!Tableau1[#Data],2,0),"")</f>
        <v>RCBAO</v>
      </c>
      <c r="E141" s="8"/>
      <c r="F141" s="8"/>
      <c r="G141" s="8" t="s">
        <v>29</v>
      </c>
      <c r="H141" s="8" t="s">
        <v>36</v>
      </c>
      <c r="I141" s="8"/>
      <c r="J141" s="8"/>
      <c r="K141" s="8" t="s">
        <v>33</v>
      </c>
      <c r="L141" s="8" t="s">
        <v>37</v>
      </c>
      <c r="M141" s="8" t="s">
        <v>130</v>
      </c>
      <c r="N141" s="8"/>
      <c r="O141" s="8"/>
      <c r="P141" s="7"/>
      <c r="Q141" s="8" t="str">
        <f>IF([1]!Tableau6[[#This Row],[Date_ Resolution]]="","",NETWORKDAYS.INTL([1]!Tableau6[[#This Row],[Date ]],[1]!Tableau6[[#This Row],[Date_ Resolution]],11,11)&amp;" Jr")</f>
        <v/>
      </c>
      <c r="R141" s="14" t="s">
        <v>47</v>
      </c>
    </row>
    <row r="142" spans="1:18">
      <c r="A142" s="13"/>
      <c r="B142" s="7">
        <v>43118</v>
      </c>
      <c r="C142" s="8" t="s">
        <v>52</v>
      </c>
      <c r="D142" s="1" t="str">
        <f>IFERROR(VLOOKUP([1]!Tableau6[[#This Row],[Typologie ]],[1]!Tableau1[#Data],2,0),"")</f>
        <v>RCBAO</v>
      </c>
      <c r="E142" s="8"/>
      <c r="F142" s="8"/>
      <c r="G142" s="8" t="s">
        <v>29</v>
      </c>
      <c r="H142" s="8" t="s">
        <v>54</v>
      </c>
      <c r="I142" s="8"/>
      <c r="J142" s="8"/>
      <c r="K142" s="8" t="s">
        <v>55</v>
      </c>
      <c r="L142" s="8" t="s">
        <v>68</v>
      </c>
      <c r="M142" s="8" t="s">
        <v>116</v>
      </c>
      <c r="N142" s="8"/>
      <c r="O142" s="8"/>
      <c r="P142" s="7">
        <v>43118</v>
      </c>
      <c r="Q142" s="8" t="str">
        <f>IF([1]!Tableau6[[#This Row],[Date_ Resolution]]="","",NETWORKDAYS.INTL([1]!Tableau6[[#This Row],[Date ]],[1]!Tableau6[[#This Row],[Date_ Resolution]],11,11)&amp;" Jr")</f>
        <v>1 Jr</v>
      </c>
      <c r="R142" s="14" t="s">
        <v>23</v>
      </c>
    </row>
    <row r="143" spans="1:18" ht="30">
      <c r="A143" s="13"/>
      <c r="B143" s="7">
        <v>43118</v>
      </c>
      <c r="C143" s="8" t="s">
        <v>52</v>
      </c>
      <c r="D143" s="1" t="str">
        <f>IFERROR(VLOOKUP([1]!Tableau6[[#This Row],[Typologie ]],[1]!Tableau1[#Data],2,0),"")</f>
        <v>RCBAO</v>
      </c>
      <c r="E143" s="8"/>
      <c r="F143" s="8"/>
      <c r="G143" s="8" t="s">
        <v>25</v>
      </c>
      <c r="H143" s="8" t="s">
        <v>26</v>
      </c>
      <c r="I143" s="8"/>
      <c r="J143" s="8"/>
      <c r="K143" s="8" t="s">
        <v>55</v>
      </c>
      <c r="L143" s="8" t="s">
        <v>59</v>
      </c>
      <c r="M143" s="8" t="s">
        <v>105</v>
      </c>
      <c r="N143" s="8"/>
      <c r="O143" s="8"/>
      <c r="P143" s="7">
        <v>43118</v>
      </c>
      <c r="Q143" s="8" t="str">
        <f>IF([1]!Tableau6[[#This Row],[Date_ Resolution]]="","",NETWORKDAYS.INTL([1]!Tableau6[[#This Row],[Date ]],[1]!Tableau6[[#This Row],[Date_ Resolution]],11,11)&amp;" Jr")</f>
        <v>1 Jr</v>
      </c>
      <c r="R143" s="14" t="s">
        <v>23</v>
      </c>
    </row>
    <row r="144" spans="1:18">
      <c r="A144" s="13"/>
      <c r="B144" s="7">
        <v>43118</v>
      </c>
      <c r="C144" s="8" t="s">
        <v>52</v>
      </c>
      <c r="D144" s="1" t="str">
        <f>IFERROR(VLOOKUP([1]!Tableau6[[#This Row],[Typologie ]],[1]!Tableau1[#Data],2,0),"")</f>
        <v>RCBAO</v>
      </c>
      <c r="E144" s="8"/>
      <c r="F144" s="8"/>
      <c r="G144" s="8"/>
      <c r="H144" s="8"/>
      <c r="I144" s="8"/>
      <c r="J144" s="8"/>
      <c r="K144" s="8" t="s">
        <v>55</v>
      </c>
      <c r="L144" s="8" t="s">
        <v>190</v>
      </c>
      <c r="M144" s="8"/>
      <c r="N144" s="8"/>
      <c r="O144" s="8"/>
      <c r="P144" s="7">
        <v>43118</v>
      </c>
      <c r="Q144" s="8" t="str">
        <f>IF([1]!Tableau6[[#This Row],[Date_ Resolution]]="","",NETWORKDAYS.INTL([1]!Tableau6[[#This Row],[Date ]],[1]!Tableau6[[#This Row],[Date_ Resolution]],11,11)&amp;" Jr")</f>
        <v>1 Jr</v>
      </c>
      <c r="R144" s="14" t="s">
        <v>23</v>
      </c>
    </row>
    <row r="145" spans="1:18">
      <c r="A145" s="13"/>
      <c r="B145" s="7">
        <v>43118</v>
      </c>
      <c r="C145" s="8" t="s">
        <v>52</v>
      </c>
      <c r="D145" s="1" t="str">
        <f>IFERROR(VLOOKUP([1]!Tableau6[[#This Row],[Typologie ]],[1]!Tableau1[#Data],2,0),"")</f>
        <v>RCBAO</v>
      </c>
      <c r="E145" s="8"/>
      <c r="F145" s="8"/>
      <c r="G145" s="8" t="s">
        <v>29</v>
      </c>
      <c r="H145" s="8" t="s">
        <v>36</v>
      </c>
      <c r="I145" s="8"/>
      <c r="J145" s="8"/>
      <c r="K145" s="8" t="s">
        <v>33</v>
      </c>
      <c r="L145" s="8" t="s">
        <v>37</v>
      </c>
      <c r="M145" s="8" t="s">
        <v>130</v>
      </c>
      <c r="N145" s="8"/>
      <c r="O145" s="8"/>
      <c r="P145" s="7"/>
      <c r="Q145" s="8" t="str">
        <f>IF([1]!Tableau6[[#This Row],[Date_ Resolution]]="","",NETWORKDAYS.INTL([1]!Tableau6[[#This Row],[Date ]],[1]!Tableau6[[#This Row],[Date_ Resolution]],11,11)&amp;" Jr")</f>
        <v/>
      </c>
      <c r="R145" s="14" t="s">
        <v>47</v>
      </c>
    </row>
    <row r="146" spans="1:18">
      <c r="A146" s="13"/>
      <c r="B146" s="7">
        <v>43118</v>
      </c>
      <c r="C146" s="8" t="s">
        <v>52</v>
      </c>
      <c r="D146" s="1" t="str">
        <f>IFERROR(VLOOKUP([1]!Tableau6[[#This Row],[Typologie ]],[1]!Tableau1[#Data],2,0),"")</f>
        <v>RCBAO</v>
      </c>
      <c r="E146" s="8"/>
      <c r="F146" s="8"/>
      <c r="G146" s="8" t="s">
        <v>29</v>
      </c>
      <c r="H146" s="8" t="s">
        <v>36</v>
      </c>
      <c r="I146" s="8"/>
      <c r="J146" s="8"/>
      <c r="K146" s="8" t="s">
        <v>33</v>
      </c>
      <c r="L146" s="8" t="s">
        <v>37</v>
      </c>
      <c r="M146" s="8" t="s">
        <v>130</v>
      </c>
      <c r="N146" s="8"/>
      <c r="O146" s="8"/>
      <c r="P146" s="7"/>
      <c r="Q146" s="8" t="str">
        <f>IF([1]!Tableau6[[#This Row],[Date_ Resolution]]="","",NETWORKDAYS.INTL([1]!Tableau6[[#This Row],[Date ]],[1]!Tableau6[[#This Row],[Date_ Resolution]],11,11)&amp;" Jr")</f>
        <v/>
      </c>
      <c r="R146" s="14" t="s">
        <v>47</v>
      </c>
    </row>
    <row r="147" spans="1:18">
      <c r="A147" s="13"/>
      <c r="B147" s="7">
        <v>43118</v>
      </c>
      <c r="C147" s="8" t="s">
        <v>52</v>
      </c>
      <c r="D147" s="1" t="str">
        <f>IFERROR(VLOOKUP([1]!Tableau6[[#This Row],[Typologie ]],[1]!Tableau1[#Data],2,0),"")</f>
        <v>RCBAO</v>
      </c>
      <c r="E147" s="8"/>
      <c r="F147" s="8"/>
      <c r="G147" s="8" t="s">
        <v>29</v>
      </c>
      <c r="H147" s="8" t="s">
        <v>36</v>
      </c>
      <c r="I147" s="8"/>
      <c r="J147" s="8"/>
      <c r="K147" s="8" t="s">
        <v>33</v>
      </c>
      <c r="L147" s="8" t="s">
        <v>37</v>
      </c>
      <c r="M147" s="8" t="s">
        <v>130</v>
      </c>
      <c r="N147" s="8"/>
      <c r="O147" s="8"/>
      <c r="P147" s="7"/>
      <c r="Q147" s="8" t="str">
        <f>IF([1]!Tableau6[[#This Row],[Date_ Resolution]]="","",NETWORKDAYS.INTL([1]!Tableau6[[#This Row],[Date ]],[1]!Tableau6[[#This Row],[Date_ Resolution]],11,11)&amp;" Jr")</f>
        <v/>
      </c>
      <c r="R147" s="14" t="s">
        <v>47</v>
      </c>
    </row>
    <row r="148" spans="1:18">
      <c r="A148" s="13"/>
      <c r="B148" s="7">
        <v>43118</v>
      </c>
      <c r="C148" s="8" t="s">
        <v>52</v>
      </c>
      <c r="D148" s="1" t="str">
        <f>IFERROR(VLOOKUP([1]!Tableau6[[#This Row],[Typologie ]],[1]!Tableau1[#Data],2,0),"")</f>
        <v>RCBAO</v>
      </c>
      <c r="E148" s="8"/>
      <c r="F148" s="8"/>
      <c r="G148" s="8" t="s">
        <v>29</v>
      </c>
      <c r="H148" s="8" t="s">
        <v>36</v>
      </c>
      <c r="I148" s="8"/>
      <c r="J148" s="8"/>
      <c r="K148" s="8" t="s">
        <v>33</v>
      </c>
      <c r="L148" s="8" t="s">
        <v>37</v>
      </c>
      <c r="M148" s="8" t="s">
        <v>130</v>
      </c>
      <c r="N148" s="8"/>
      <c r="O148" s="8"/>
      <c r="P148" s="7"/>
      <c r="Q148" s="8" t="str">
        <f>IF([1]!Tableau6[[#This Row],[Date_ Resolution]]="","",NETWORKDAYS.INTL([1]!Tableau6[[#This Row],[Date ]],[1]!Tableau6[[#This Row],[Date_ Resolution]],11,11)&amp;" Jr")</f>
        <v/>
      </c>
      <c r="R148" s="14" t="s">
        <v>47</v>
      </c>
    </row>
    <row r="149" spans="1:18">
      <c r="A149" s="13"/>
      <c r="B149" s="7">
        <v>43118</v>
      </c>
      <c r="C149" s="8" t="s">
        <v>52</v>
      </c>
      <c r="D149" s="1" t="str">
        <f>IFERROR(VLOOKUP([1]!Tableau6[[#This Row],[Typologie ]],[1]!Tableau1[#Data],2,0),"")</f>
        <v>RCBAO</v>
      </c>
      <c r="E149" s="8"/>
      <c r="F149" s="8"/>
      <c r="G149" s="8" t="s">
        <v>29</v>
      </c>
      <c r="H149" s="8" t="s">
        <v>36</v>
      </c>
      <c r="I149" s="8"/>
      <c r="J149" s="8"/>
      <c r="K149" s="8" t="s">
        <v>55</v>
      </c>
      <c r="L149" s="8" t="s">
        <v>76</v>
      </c>
      <c r="M149" s="8" t="s">
        <v>60</v>
      </c>
      <c r="N149" s="8"/>
      <c r="O149" s="8"/>
      <c r="P149" s="7">
        <v>43118</v>
      </c>
      <c r="Q149" s="8" t="str">
        <f>IF([1]!Tableau6[[#This Row],[Date_ Resolution]]="","",NETWORKDAYS.INTL([1]!Tableau6[[#This Row],[Date ]],[1]!Tableau6[[#This Row],[Date_ Resolution]],11,11)&amp;" Jr")</f>
        <v>1 Jr</v>
      </c>
      <c r="R149" s="14" t="s">
        <v>23</v>
      </c>
    </row>
    <row r="150" spans="1:18">
      <c r="A150" s="13"/>
      <c r="B150" s="7">
        <v>43118</v>
      </c>
      <c r="C150" s="8" t="s">
        <v>52</v>
      </c>
      <c r="D150" s="1" t="str">
        <f>IFERROR(VLOOKUP([1]!Tableau6[[#This Row],[Typologie ]],[1]!Tableau1[#Data],2,0),"")</f>
        <v>RCBAO</v>
      </c>
      <c r="E150" s="8"/>
      <c r="F150" s="8"/>
      <c r="G150" s="8"/>
      <c r="H150" s="8"/>
      <c r="I150" s="8"/>
      <c r="J150" s="8"/>
      <c r="K150" s="8" t="s">
        <v>55</v>
      </c>
      <c r="L150" s="8" t="s">
        <v>190</v>
      </c>
      <c r="M150" s="8"/>
      <c r="N150" s="8"/>
      <c r="O150" s="8"/>
      <c r="P150" s="7">
        <v>43118</v>
      </c>
      <c r="Q150" s="8" t="str">
        <f>IF([1]!Tableau6[[#This Row],[Date_ Resolution]]="","",NETWORKDAYS.INTL([1]!Tableau6[[#This Row],[Date ]],[1]!Tableau6[[#This Row],[Date_ Resolution]],11,11)&amp;" Jr")</f>
        <v>1 Jr</v>
      </c>
      <c r="R150" s="14" t="s">
        <v>23</v>
      </c>
    </row>
    <row r="151" spans="1:18">
      <c r="A151" s="93"/>
      <c r="B151" s="7">
        <v>43118</v>
      </c>
      <c r="C151" s="8" t="s">
        <v>52</v>
      </c>
      <c r="D151" s="1" t="str">
        <f>IFERROR(VLOOKUP([1]!Tableau6[[#This Row],[Typologie ]],[1]!Tableau1[#Data],2,0),"")</f>
        <v>RCBAO</v>
      </c>
      <c r="E151" s="8"/>
      <c r="F151" s="8"/>
      <c r="G151" s="8"/>
      <c r="H151" s="8"/>
      <c r="I151" s="8"/>
      <c r="J151" s="8"/>
      <c r="K151" s="8" t="s">
        <v>55</v>
      </c>
      <c r="L151" s="8" t="s">
        <v>190</v>
      </c>
      <c r="M151" s="8"/>
      <c r="N151" s="8"/>
      <c r="O151" s="8"/>
      <c r="P151" s="7">
        <v>43118</v>
      </c>
      <c r="Q151" s="8" t="str">
        <f>IF([1]!Tableau6[[#This Row],[Date_ Resolution]]="","",NETWORKDAYS.INTL([1]!Tableau6[[#This Row],[Date ]],[1]!Tableau6[[#This Row],[Date_ Resolution]],11,11)&amp;" Jr")</f>
        <v>1 Jr</v>
      </c>
      <c r="R151" s="14" t="s">
        <v>23</v>
      </c>
    </row>
    <row r="152" spans="1:18" ht="45">
      <c r="A152" s="93"/>
      <c r="B152" s="7">
        <v>43118</v>
      </c>
      <c r="C152" s="8" t="s">
        <v>52</v>
      </c>
      <c r="D152" s="1" t="str">
        <f>IFERROR(VLOOKUP([1]!Tableau6[[#This Row],[Typologie ]],[1]!Tableau1[#Data],2,0),"")</f>
        <v>RCBAO</v>
      </c>
      <c r="E152" s="8"/>
      <c r="F152" s="8"/>
      <c r="G152" s="8" t="s">
        <v>25</v>
      </c>
      <c r="H152" s="8" t="s">
        <v>26</v>
      </c>
      <c r="I152" s="8"/>
      <c r="J152" s="8"/>
      <c r="K152" s="8" t="s">
        <v>55</v>
      </c>
      <c r="L152" s="8" t="s">
        <v>59</v>
      </c>
      <c r="M152" s="8" t="s">
        <v>103</v>
      </c>
      <c r="N152" s="8"/>
      <c r="O152" s="8"/>
      <c r="P152" s="7">
        <v>43118</v>
      </c>
      <c r="Q152" s="8" t="str">
        <f>IF([1]!Tableau6[[#This Row],[Date_ Resolution]]="","",NETWORKDAYS.INTL([1]!Tableau6[[#This Row],[Date ]],[1]!Tableau6[[#This Row],[Date_ Resolution]],11,11)&amp;" Jr")</f>
        <v>1 Jr</v>
      </c>
      <c r="R152" s="14" t="s">
        <v>23</v>
      </c>
    </row>
    <row r="153" spans="1:18">
      <c r="A153" s="93"/>
      <c r="B153" s="7">
        <v>43118</v>
      </c>
      <c r="C153" s="8" t="s">
        <v>52</v>
      </c>
      <c r="D153" s="1" t="str">
        <f>IFERROR(VLOOKUP([1]!Tableau6[[#This Row],[Typologie ]],[1]!Tableau1[#Data],2,0),"")</f>
        <v>RCBAO</v>
      </c>
      <c r="E153" s="8"/>
      <c r="F153" s="8"/>
      <c r="G153" s="8" t="s">
        <v>29</v>
      </c>
      <c r="H153" s="8" t="s">
        <v>36</v>
      </c>
      <c r="I153" s="8"/>
      <c r="J153" s="8"/>
      <c r="K153" s="8" t="s">
        <v>55</v>
      </c>
      <c r="L153" s="8" t="s">
        <v>63</v>
      </c>
      <c r="M153" s="8" t="s">
        <v>113</v>
      </c>
      <c r="N153" s="8"/>
      <c r="O153" s="8"/>
      <c r="P153" s="7">
        <v>43118</v>
      </c>
      <c r="Q153" s="8" t="str">
        <f>IF([1]!Tableau6[[#This Row],[Date_ Resolution]]="","",NETWORKDAYS.INTL([1]!Tableau6[[#This Row],[Date ]],[1]!Tableau6[[#This Row],[Date_ Resolution]],11,11)&amp;" Jr")</f>
        <v>1 Jr</v>
      </c>
      <c r="R153" s="14" t="s">
        <v>23</v>
      </c>
    </row>
    <row r="154" spans="1:18">
      <c r="A154" s="93"/>
      <c r="B154" s="7">
        <v>43118</v>
      </c>
      <c r="C154" s="8" t="s">
        <v>52</v>
      </c>
      <c r="D154" s="1" t="str">
        <f>IFERROR(VLOOKUP([1]!Tableau6[[#This Row],[Typologie ]],[1]!Tableau1[#Data],2,0),"")</f>
        <v>RCBAO</v>
      </c>
      <c r="E154" s="8"/>
      <c r="F154" s="8"/>
      <c r="G154" s="8"/>
      <c r="H154" s="8"/>
      <c r="I154" s="8"/>
      <c r="J154" s="8"/>
      <c r="K154" s="8" t="s">
        <v>55</v>
      </c>
      <c r="L154" s="8" t="s">
        <v>190</v>
      </c>
      <c r="M154" s="8"/>
      <c r="N154" s="8"/>
      <c r="O154" s="8"/>
      <c r="P154" s="7">
        <v>43118</v>
      </c>
      <c r="Q154" s="8" t="str">
        <f>IF([1]!Tableau6[[#This Row],[Date_ Resolution]]="","",NETWORKDAYS.INTL([1]!Tableau6[[#This Row],[Date ]],[1]!Tableau6[[#This Row],[Date_ Resolution]],11,11)&amp;" Jr")</f>
        <v>1 Jr</v>
      </c>
      <c r="R154" s="14" t="s">
        <v>23</v>
      </c>
    </row>
    <row r="155" spans="1:18" ht="30">
      <c r="A155" s="91"/>
      <c r="B155" s="86">
        <v>43118</v>
      </c>
      <c r="C155" s="89" t="s">
        <v>17</v>
      </c>
      <c r="D155" s="88" t="str">
        <f>IFERROR(VLOOKUP([1]!Tableau6[[#This Row],[Typologie ]],[1]!Tableau1[#Data],2,0),"")</f>
        <v>SRDHL</v>
      </c>
      <c r="E155" s="89"/>
      <c r="F155" s="89"/>
      <c r="G155" s="89" t="s">
        <v>25</v>
      </c>
      <c r="H155" s="89" t="s">
        <v>26</v>
      </c>
      <c r="I155" s="89"/>
      <c r="J155" s="95"/>
      <c r="K155" s="95" t="s">
        <v>33</v>
      </c>
      <c r="L155" s="95" t="s">
        <v>34</v>
      </c>
      <c r="M155" s="95" t="s">
        <v>35</v>
      </c>
      <c r="N155" s="95"/>
      <c r="O155" s="95"/>
      <c r="P155" s="95"/>
      <c r="Q155" s="95" t="str">
        <f>IF([1]!Tableau6[[#This Row],[Date_ Resolution]]="","",NETWORKDAYS.INTL([1]!Tableau6[[#This Row],[Date ]],[1]!Tableau6[[#This Row],[Date_ Resolution]],11,11)&amp;" Jr")</f>
        <v/>
      </c>
      <c r="R155" s="96" t="s">
        <v>47</v>
      </c>
    </row>
    <row r="156" spans="1:18">
      <c r="A156" s="13"/>
      <c r="B156" s="7">
        <v>43119</v>
      </c>
      <c r="C156" s="8" t="s">
        <v>52</v>
      </c>
      <c r="D156" s="1" t="str">
        <f>IFERROR(VLOOKUP([1]!Tableau6[[#This Row],[Typologie ]],[1]!Tableau1[#Data],2,0),"")</f>
        <v>RCBAO</v>
      </c>
      <c r="E156" s="8"/>
      <c r="F156" s="8"/>
      <c r="G156" s="8"/>
      <c r="H156" s="8"/>
      <c r="I156" s="8"/>
      <c r="J156" s="8"/>
      <c r="K156" s="8" t="s">
        <v>55</v>
      </c>
      <c r="L156" s="8" t="s">
        <v>190</v>
      </c>
      <c r="M156" s="8"/>
      <c r="N156" s="8"/>
      <c r="O156" s="8"/>
      <c r="P156" s="7">
        <v>43119</v>
      </c>
      <c r="Q156" s="8" t="str">
        <f>IF([1]!Tableau6[[#This Row],[Date_ Resolution]]="","",NETWORKDAYS.INTL([1]!Tableau6[[#This Row],[Date ]],[1]!Tableau6[[#This Row],[Date_ Resolution]],11,11)&amp;" Jr")</f>
        <v>1 Jr</v>
      </c>
      <c r="R156" s="14" t="s">
        <v>23</v>
      </c>
    </row>
    <row r="157" spans="1:18" ht="45">
      <c r="A157" s="13"/>
      <c r="B157" s="7">
        <v>43120</v>
      </c>
      <c r="C157" s="8" t="s">
        <v>52</v>
      </c>
      <c r="D157" s="1" t="str">
        <f>IFERROR(VLOOKUP([1]!Tableau6[[#This Row],[Typologie ]],[1]!Tableau1[#Data],2,0),"")</f>
        <v>RCBAO</v>
      </c>
      <c r="E157" s="8"/>
      <c r="F157" s="8"/>
      <c r="G157" s="8" t="s">
        <v>29</v>
      </c>
      <c r="H157" s="8" t="s">
        <v>36</v>
      </c>
      <c r="I157" s="8"/>
      <c r="J157" s="8"/>
      <c r="K157" s="8" t="s">
        <v>55</v>
      </c>
      <c r="L157" s="8" t="s">
        <v>59</v>
      </c>
      <c r="M157" s="8" t="s">
        <v>103</v>
      </c>
      <c r="N157" s="8"/>
      <c r="O157" s="8"/>
      <c r="P157" s="7">
        <v>43120</v>
      </c>
      <c r="Q157" s="8" t="str">
        <f>IF([1]!Tableau6[[#This Row],[Date_ Resolution]]="","",NETWORKDAYS.INTL([1]!Tableau6[[#This Row],[Date ]],[1]!Tableau6[[#This Row],[Date_ Resolution]],11,11)&amp;" Jr")</f>
        <v>1 Jr</v>
      </c>
      <c r="R157" s="14" t="s">
        <v>23</v>
      </c>
    </row>
    <row r="158" spans="1:18" ht="45">
      <c r="A158" s="13"/>
      <c r="B158" s="7">
        <v>43120</v>
      </c>
      <c r="C158" s="8" t="s">
        <v>52</v>
      </c>
      <c r="D158" s="1" t="str">
        <f>IFERROR(VLOOKUP([1]!Tableau6[[#This Row],[Typologie ]],[1]!Tableau1[#Data],2,0),"")</f>
        <v>RCBAO</v>
      </c>
      <c r="E158" s="8"/>
      <c r="F158" s="8"/>
      <c r="G158" s="8" t="s">
        <v>29</v>
      </c>
      <c r="H158" s="8" t="s">
        <v>36</v>
      </c>
      <c r="I158" s="8"/>
      <c r="J158" s="8"/>
      <c r="K158" s="8" t="s">
        <v>20</v>
      </c>
      <c r="L158" s="8" t="s">
        <v>27</v>
      </c>
      <c r="M158" s="8" t="s">
        <v>136</v>
      </c>
      <c r="N158" s="8"/>
      <c r="O158" s="8"/>
      <c r="P158" s="7">
        <v>43120</v>
      </c>
      <c r="Q158" s="8" t="str">
        <f>IF([1]!Tableau6[[#This Row],[Date_ Resolution]]="","",NETWORKDAYS.INTL([1]!Tableau6[[#This Row],[Date ]],[1]!Tableau6[[#This Row],[Date_ Resolution]],11,11)&amp;" Jr")</f>
        <v>1 Jr</v>
      </c>
      <c r="R158" s="14" t="s">
        <v>23</v>
      </c>
    </row>
    <row r="159" spans="1:18">
      <c r="A159" s="13"/>
      <c r="B159" s="7">
        <v>43120</v>
      </c>
      <c r="C159" s="8" t="s">
        <v>52</v>
      </c>
      <c r="D159" s="1" t="str">
        <f>IFERROR(VLOOKUP([1]!Tableau6[[#This Row],[Typologie ]],[1]!Tableau1[#Data],2,0),"")</f>
        <v>RCBAO</v>
      </c>
      <c r="E159" s="8"/>
      <c r="F159" s="8"/>
      <c r="G159" s="8" t="s">
        <v>29</v>
      </c>
      <c r="H159" s="8" t="s">
        <v>36</v>
      </c>
      <c r="I159" s="8"/>
      <c r="J159" s="8"/>
      <c r="K159" s="8" t="s">
        <v>20</v>
      </c>
      <c r="L159" s="8" t="s">
        <v>27</v>
      </c>
      <c r="M159" s="8" t="s">
        <v>141</v>
      </c>
      <c r="N159" s="8"/>
      <c r="O159" s="8"/>
      <c r="P159" s="7">
        <v>43120</v>
      </c>
      <c r="Q159" s="8" t="str">
        <f>IF([1]!Tableau6[[#This Row],[Date_ Resolution]]="","",NETWORKDAYS.INTL([1]!Tableau6[[#This Row],[Date ]],[1]!Tableau6[[#This Row],[Date_ Resolution]],11,11)&amp;" Jr")</f>
        <v>1 Jr</v>
      </c>
      <c r="R159" s="14" t="s">
        <v>23</v>
      </c>
    </row>
    <row r="160" spans="1:18" ht="30">
      <c r="A160" s="13"/>
      <c r="B160" s="7">
        <v>43120</v>
      </c>
      <c r="C160" s="8" t="s">
        <v>52</v>
      </c>
      <c r="D160" s="1" t="str">
        <f>IFERROR(VLOOKUP([1]!Tableau6[[#This Row],[Typologie ]],[1]!Tableau1[#Data],2,0),"")</f>
        <v>RCBAO</v>
      </c>
      <c r="E160" s="8"/>
      <c r="F160" s="8"/>
      <c r="G160" s="8"/>
      <c r="H160" s="8"/>
      <c r="I160" s="8"/>
      <c r="J160" s="8"/>
      <c r="K160" s="8" t="s">
        <v>55</v>
      </c>
      <c r="L160" s="8" t="s">
        <v>71</v>
      </c>
      <c r="M160" s="8" t="s">
        <v>87</v>
      </c>
      <c r="N160" s="8"/>
      <c r="O160" s="8"/>
      <c r="P160" s="7">
        <v>43120</v>
      </c>
      <c r="Q160" s="8" t="str">
        <f>IF([1]!Tableau6[[#This Row],[Date_ Resolution]]="","",NETWORKDAYS.INTL([1]!Tableau6[[#This Row],[Date ]],[1]!Tableau6[[#This Row],[Date_ Resolution]],11,11)&amp;" Jr")</f>
        <v>1 Jr</v>
      </c>
      <c r="R160" s="14" t="s">
        <v>23</v>
      </c>
    </row>
    <row r="161" spans="1:18" ht="45">
      <c r="A161" s="13"/>
      <c r="B161" s="7">
        <v>43120</v>
      </c>
      <c r="C161" s="8" t="s">
        <v>52</v>
      </c>
      <c r="D161" s="1" t="str">
        <f>IFERROR(VLOOKUP([1]!Tableau6[[#This Row],[Typologie ]],[1]!Tableau1[#Data],2,0),"")</f>
        <v>RCBAO</v>
      </c>
      <c r="E161" s="8"/>
      <c r="F161" s="8"/>
      <c r="G161" s="8" t="s">
        <v>29</v>
      </c>
      <c r="H161" s="8" t="s">
        <v>36</v>
      </c>
      <c r="I161" s="8"/>
      <c r="J161" s="8"/>
      <c r="K161" s="8" t="s">
        <v>20</v>
      </c>
      <c r="L161" s="8" t="s">
        <v>104</v>
      </c>
      <c r="M161" s="8" t="s">
        <v>161</v>
      </c>
      <c r="N161" s="8"/>
      <c r="O161" s="8"/>
      <c r="P161" s="7">
        <v>43120</v>
      </c>
      <c r="Q161" s="8" t="str">
        <f>IF([1]!Tableau6[[#This Row],[Date_ Resolution]]="","",NETWORKDAYS.INTL([1]!Tableau6[[#This Row],[Date ]],[1]!Tableau6[[#This Row],[Date_ Resolution]],11,11)&amp;" Jr")</f>
        <v>1 Jr</v>
      </c>
      <c r="R161" s="14" t="s">
        <v>23</v>
      </c>
    </row>
    <row r="162" spans="1:18" ht="30">
      <c r="A162" s="13"/>
      <c r="B162" s="7">
        <v>43120</v>
      </c>
      <c r="C162" s="8" t="s">
        <v>52</v>
      </c>
      <c r="D162" s="1" t="str">
        <f>IFERROR(VLOOKUP([1]!Tableau6[[#This Row],[Typologie ]],[1]!Tableau1[#Data],2,0),"")</f>
        <v>RCBAO</v>
      </c>
      <c r="E162" s="8"/>
      <c r="F162" s="8"/>
      <c r="G162" s="8" t="s">
        <v>25</v>
      </c>
      <c r="H162" s="8" t="s">
        <v>26</v>
      </c>
      <c r="I162" s="8"/>
      <c r="J162" s="8"/>
      <c r="K162" s="8" t="s">
        <v>55</v>
      </c>
      <c r="L162" s="8" t="s">
        <v>59</v>
      </c>
      <c r="M162" s="8" t="s">
        <v>105</v>
      </c>
      <c r="N162" s="8"/>
      <c r="O162" s="8"/>
      <c r="P162" s="7">
        <v>43120</v>
      </c>
      <c r="Q162" s="8" t="str">
        <f>IF([1]!Tableau6[[#This Row],[Date_ Resolution]]="","",NETWORKDAYS.INTL([1]!Tableau6[[#This Row],[Date ]],[1]!Tableau6[[#This Row],[Date_ Resolution]],11,11)&amp;" Jr")</f>
        <v>1 Jr</v>
      </c>
      <c r="R162" s="14" t="s">
        <v>23</v>
      </c>
    </row>
    <row r="163" spans="1:18" ht="30">
      <c r="A163" s="13"/>
      <c r="B163" s="7">
        <v>43120</v>
      </c>
      <c r="C163" s="8" t="s">
        <v>52</v>
      </c>
      <c r="D163" s="1" t="str">
        <f>IFERROR(VLOOKUP([1]!Tableau6[[#This Row],[Typologie ]],[1]!Tableau1[#Data],2,0),"")</f>
        <v>RCBAO</v>
      </c>
      <c r="E163" s="8"/>
      <c r="F163" s="8"/>
      <c r="G163" s="8" t="s">
        <v>29</v>
      </c>
      <c r="H163" s="8" t="s">
        <v>36</v>
      </c>
      <c r="I163" s="8"/>
      <c r="J163" s="8"/>
      <c r="K163" s="8" t="s">
        <v>55</v>
      </c>
      <c r="L163" s="8" t="s">
        <v>74</v>
      </c>
      <c r="M163" s="8" t="s">
        <v>107</v>
      </c>
      <c r="N163" s="8"/>
      <c r="O163" s="8"/>
      <c r="P163" s="7">
        <v>43120</v>
      </c>
      <c r="Q163" s="8" t="str">
        <f>IF([1]!Tableau6[[#This Row],[Date_ Resolution]]="","",NETWORKDAYS.INTL([1]!Tableau6[[#This Row],[Date ]],[1]!Tableau6[[#This Row],[Date_ Resolution]],11,11)&amp;" Jr")</f>
        <v>1 Jr</v>
      </c>
      <c r="R163" s="14" t="s">
        <v>23</v>
      </c>
    </row>
    <row r="164" spans="1:18" ht="45">
      <c r="A164" s="13"/>
      <c r="B164" s="7">
        <v>43120</v>
      </c>
      <c r="C164" s="8" t="s">
        <v>52</v>
      </c>
      <c r="D164" s="1" t="str">
        <f>IFERROR(VLOOKUP([1]!Tableau6[[#This Row],[Typologie ]],[1]!Tableau1[#Data],2,0),"")</f>
        <v>RCBAO</v>
      </c>
      <c r="E164" s="8"/>
      <c r="F164" s="8"/>
      <c r="G164" s="8" t="s">
        <v>29</v>
      </c>
      <c r="H164" s="8" t="s">
        <v>36</v>
      </c>
      <c r="I164" s="8"/>
      <c r="J164" s="8"/>
      <c r="K164" s="8" t="s">
        <v>55</v>
      </c>
      <c r="L164" s="8" t="s">
        <v>59</v>
      </c>
      <c r="M164" s="8" t="s">
        <v>103</v>
      </c>
      <c r="N164" s="8"/>
      <c r="O164" s="8"/>
      <c r="P164" s="7">
        <v>43120</v>
      </c>
      <c r="Q164" s="8" t="str">
        <f>IF([1]!Tableau6[[#This Row],[Date_ Resolution]]="","",NETWORKDAYS.INTL([1]!Tableau6[[#This Row],[Date ]],[1]!Tableau6[[#This Row],[Date_ Resolution]],11,11)&amp;" Jr")</f>
        <v>1 Jr</v>
      </c>
      <c r="R164" s="14" t="s">
        <v>23</v>
      </c>
    </row>
    <row r="165" spans="1:18" ht="45">
      <c r="A165" s="13"/>
      <c r="B165" s="7">
        <v>43120</v>
      </c>
      <c r="C165" s="8" t="s">
        <v>52</v>
      </c>
      <c r="D165" s="1" t="str">
        <f>IFERROR(VLOOKUP([1]!Tableau6[[#This Row],[Typologie ]],[1]!Tableau1[#Data],2,0),"")</f>
        <v>RCBAO</v>
      </c>
      <c r="E165" s="8"/>
      <c r="F165" s="8"/>
      <c r="G165" s="8" t="s">
        <v>29</v>
      </c>
      <c r="H165" s="8" t="s">
        <v>36</v>
      </c>
      <c r="I165" s="8"/>
      <c r="J165" s="8"/>
      <c r="K165" s="8" t="s">
        <v>55</v>
      </c>
      <c r="L165" s="8" t="s">
        <v>59</v>
      </c>
      <c r="M165" s="8" t="s">
        <v>103</v>
      </c>
      <c r="N165" s="8"/>
      <c r="O165" s="8"/>
      <c r="P165" s="7">
        <v>43120</v>
      </c>
      <c r="Q165" s="8" t="str">
        <f>IF([1]!Tableau6[[#This Row],[Date_ Resolution]]="","",NETWORKDAYS.INTL([1]!Tableau6[[#This Row],[Date ]],[1]!Tableau6[[#This Row],[Date_ Resolution]],11,11)&amp;" Jr")</f>
        <v>1 Jr</v>
      </c>
      <c r="R165" s="14" t="s">
        <v>23</v>
      </c>
    </row>
    <row r="166" spans="1:18" ht="45">
      <c r="A166" s="13"/>
      <c r="B166" s="7">
        <v>43120</v>
      </c>
      <c r="C166" s="8" t="s">
        <v>52</v>
      </c>
      <c r="D166" s="1" t="str">
        <f>IFERROR(VLOOKUP([1]!Tableau6[[#This Row],[Typologie ]],[1]!Tableau1[#Data],2,0),"")</f>
        <v>RCBAO</v>
      </c>
      <c r="E166" s="8"/>
      <c r="F166" s="8"/>
      <c r="G166" s="8" t="s">
        <v>29</v>
      </c>
      <c r="H166" s="8" t="s">
        <v>36</v>
      </c>
      <c r="I166" s="8"/>
      <c r="J166" s="8"/>
      <c r="K166" s="8" t="s">
        <v>55</v>
      </c>
      <c r="L166" s="8" t="s">
        <v>59</v>
      </c>
      <c r="M166" s="8" t="s">
        <v>103</v>
      </c>
      <c r="N166" s="8"/>
      <c r="O166" s="8"/>
      <c r="P166" s="7">
        <v>43120</v>
      </c>
      <c r="Q166" s="8" t="str">
        <f>IF([1]!Tableau6[[#This Row],[Date_ Resolution]]="","",NETWORKDAYS.INTL([1]!Tableau6[[#This Row],[Date ]],[1]!Tableau6[[#This Row],[Date_ Resolution]],11,11)&amp;" Jr")</f>
        <v>1 Jr</v>
      </c>
      <c r="R166" s="14" t="s">
        <v>23</v>
      </c>
    </row>
    <row r="167" spans="1:18">
      <c r="A167" s="13"/>
      <c r="B167" s="7">
        <v>43120</v>
      </c>
      <c r="C167" s="8" t="s">
        <v>52</v>
      </c>
      <c r="D167" s="1" t="str">
        <f>IFERROR(VLOOKUP([1]!Tableau6[[#This Row],[Typologie ]],[1]!Tableau1[#Data],2,0),"")</f>
        <v>RCBAO</v>
      </c>
      <c r="E167" s="8"/>
      <c r="F167" s="8"/>
      <c r="G167" s="8"/>
      <c r="H167" s="8"/>
      <c r="I167" s="8"/>
      <c r="J167" s="8"/>
      <c r="K167" s="8" t="s">
        <v>55</v>
      </c>
      <c r="L167" s="8" t="s">
        <v>68</v>
      </c>
      <c r="M167" s="8" t="s">
        <v>116</v>
      </c>
      <c r="N167" s="8"/>
      <c r="O167" s="8"/>
      <c r="P167" s="7">
        <v>43120</v>
      </c>
      <c r="Q167" s="8" t="str">
        <f>IF([1]!Tableau6[[#This Row],[Date_ Resolution]]="","",NETWORKDAYS.INTL([1]!Tableau6[[#This Row],[Date ]],[1]!Tableau6[[#This Row],[Date_ Resolution]],11,11)&amp;" Jr")</f>
        <v>1 Jr</v>
      </c>
      <c r="R167" s="14" t="s">
        <v>23</v>
      </c>
    </row>
    <row r="168" spans="1:18" ht="45">
      <c r="A168" s="13"/>
      <c r="B168" s="7">
        <v>43120</v>
      </c>
      <c r="C168" s="8" t="s">
        <v>52</v>
      </c>
      <c r="D168" s="1" t="str">
        <f>IFERROR(VLOOKUP([1]!Tableau6[[#This Row],[Typologie ]],[1]!Tableau1[#Data],2,0),"")</f>
        <v>RCBAO</v>
      </c>
      <c r="E168" s="8"/>
      <c r="F168" s="8"/>
      <c r="G168" s="8" t="s">
        <v>29</v>
      </c>
      <c r="H168" s="8" t="s">
        <v>36</v>
      </c>
      <c r="I168" s="8"/>
      <c r="J168" s="8"/>
      <c r="K168" s="8" t="s">
        <v>55</v>
      </c>
      <c r="L168" s="8" t="s">
        <v>59</v>
      </c>
      <c r="M168" s="8" t="s">
        <v>103</v>
      </c>
      <c r="N168" s="8"/>
      <c r="O168" s="8"/>
      <c r="P168" s="7">
        <v>43120</v>
      </c>
      <c r="Q168" s="8" t="str">
        <f>IF([1]!Tableau6[[#This Row],[Date_ Resolution]]="","",NETWORKDAYS.INTL([1]!Tableau6[[#This Row],[Date ]],[1]!Tableau6[[#This Row],[Date_ Resolution]],11,11)&amp;" Jr")</f>
        <v>1 Jr</v>
      </c>
      <c r="R168" s="14" t="s">
        <v>23</v>
      </c>
    </row>
    <row r="169" spans="1:18" ht="30">
      <c r="A169" s="91"/>
      <c r="B169" s="86">
        <v>43120</v>
      </c>
      <c r="C169" s="8" t="s">
        <v>52</v>
      </c>
      <c r="D169" s="88" t="str">
        <f>IFERROR(VLOOKUP([1]!Tableau6[[#This Row],[Typologie ]],[1]!Tableau1[#Data],2,0),"")</f>
        <v>RCBAO</v>
      </c>
      <c r="E169" s="89"/>
      <c r="F169" s="89"/>
      <c r="G169" s="89" t="s">
        <v>29</v>
      </c>
      <c r="H169" s="89" t="s">
        <v>36</v>
      </c>
      <c r="I169" s="89"/>
      <c r="J169" s="89"/>
      <c r="K169" s="89" t="s">
        <v>55</v>
      </c>
      <c r="L169" s="89" t="s">
        <v>71</v>
      </c>
      <c r="M169" s="89" t="s">
        <v>77</v>
      </c>
      <c r="N169" s="89"/>
      <c r="O169" s="89"/>
      <c r="P169" s="86">
        <v>43120</v>
      </c>
      <c r="Q169" s="89" t="str">
        <f>IF([1]!Tableau6[[#This Row],[Date_ Resolution]]="","",NETWORKDAYS.INTL([1]!Tableau6[[#This Row],[Date ]],[1]!Tableau6[[#This Row],[Date_ Resolution]],11,11)&amp;" Jr")</f>
        <v>1 Jr</v>
      </c>
      <c r="R169" s="14" t="s">
        <v>23</v>
      </c>
    </row>
    <row r="170" spans="1:18">
      <c r="A170" s="91"/>
      <c r="B170" s="86">
        <v>43123</v>
      </c>
      <c r="C170" s="8" t="s">
        <v>24</v>
      </c>
      <c r="D170" s="1" t="s">
        <v>75</v>
      </c>
      <c r="E170" s="8"/>
      <c r="F170" s="8"/>
      <c r="G170" s="8" t="s">
        <v>29</v>
      </c>
      <c r="H170" s="8" t="s">
        <v>67</v>
      </c>
      <c r="I170" s="8"/>
      <c r="J170" s="8"/>
      <c r="K170" s="12" t="s">
        <v>55</v>
      </c>
      <c r="L170" s="89"/>
      <c r="M170" s="89"/>
      <c r="N170" s="95"/>
      <c r="O170" s="95"/>
      <c r="P170" s="86"/>
      <c r="Q170" s="89" t="e">
        <f>IF([1]!Tableau6[[#This Row],[Date_ Resolution]]="","",NETWORKDAYS.INTL([1]!Tableau6[[#This Row],[Date ]],[1]!Tableau6[[#This Row],[Date_ Resolution]],11,11)&amp;" Jr")</f>
        <v>#REF!</v>
      </c>
      <c r="R170" s="96"/>
    </row>
  </sheetData>
  <mergeCells count="7">
    <mergeCell ref="A2:E2"/>
    <mergeCell ref="A5:E5"/>
    <mergeCell ref="A8:P8"/>
    <mergeCell ref="A6:E6"/>
    <mergeCell ref="A7:E7"/>
    <mergeCell ref="A3:E3"/>
    <mergeCell ref="A4:E4"/>
  </mergeCells>
  <dataValidations count="2">
    <dataValidation type="list" allowBlank="1" showInputMessage="1" showErrorMessage="1" sqref="M43:M44 M32:M40 M12:M21 M47:M49 L11:L117 L119:L150 H11:H117 L155:M155 M51:M117 H155 H119:H150 H170">
      <formula1>INDIRECT(G11)</formula1>
    </dataValidation>
    <dataValidation type="list" allowBlank="1" showInputMessage="1" showErrorMessage="1" sqref="M22:M28 M50">
      <formula1>$M$92:$M$120</formula1>
    </dataValidation>
  </dataValidations>
  <pageMargins left="0.70866141732283472" right="0.70866141732283472" top="0.74803149606299213" bottom="0.74803149606299213" header="0.31496062992125984" footer="0.31496062992125984"/>
  <pageSetup paperSize="9" scale="92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'Don''t delete'!$E$3:$E$5</xm:f>
          </x14:formula1>
          <xm:sqref>G11:G170</xm:sqref>
        </x14:dataValidation>
        <x14:dataValidation type="list" allowBlank="1" showInputMessage="1" showErrorMessage="1">
          <x14:formula1>
            <xm:f>'Don''t delete'!$I$3:$I$5</xm:f>
          </x14:formula1>
          <xm:sqref>K11:K170</xm:sqref>
        </x14:dataValidation>
        <x14:dataValidation type="list" allowBlank="1" showInputMessage="1" showErrorMessage="1">
          <x14:formula1>
            <xm:f>'Don''t delete'!$B$3:$B$14</xm:f>
          </x14:formula1>
          <xm:sqref>C11:C170</xm:sqref>
        </x14:dataValidation>
        <x14:dataValidation type="list" allowBlank="1" showInputMessage="1" showErrorMessage="1">
          <x14:formula1>
            <xm:f>'[1]Don''t delete'!#REF!</xm:f>
          </x14:formula1>
          <xm:sqref>R11:R117 R119:R169</xm:sqref>
        </x14:dataValidation>
        <x14:dataValidation type="list" allowBlank="1" showInputMessage="1" showErrorMessage="1">
          <x14:formula1>
            <xm:f>'[1]Don''t delete'!#REF!</xm:f>
          </x14:formula1>
          <xm:sqref>M31</xm:sqref>
        </x14:dataValidation>
        <x14:dataValidation type="list" allowBlank="1" showInputMessage="1" showErrorMessage="1">
          <x14:formula1>
            <xm:f>'[1]Don''t delete'!#REF!</xm:f>
          </x14:formula1>
          <xm:sqref>M45</xm:sqref>
        </x14:dataValidation>
        <x14:dataValidation type="list" allowBlank="1" showInputMessage="1" showErrorMessage="1">
          <x14:formula1>
            <xm:f>'[1]Don''t delete'!#REF!</xm:f>
          </x14:formula1>
          <xm:sqref>M11</xm:sqref>
        </x14:dataValidation>
        <x14:dataValidation type="list" allowBlank="1" showInputMessage="1" showErrorMessage="1">
          <x14:formula1>
            <xm:f>'[1]Don''t delete'!#REF!</xm:f>
          </x14:formula1>
          <xm:sqref>M41:M42 M46 M29:M30</xm:sqref>
        </x14:dataValidation>
        <x14:dataValidation type="list" allowBlank="1" showInputMessage="1" showErrorMessage="1">
          <x14:formula1>
            <xm:f>'Don''t delete'!$C$3:$C$14</xm:f>
          </x14:formula1>
          <xm:sqref>D11:D170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O129"/>
  <sheetViews>
    <sheetView workbookViewId="0">
      <selection activeCell="B24" sqref="B24"/>
    </sheetView>
  </sheetViews>
  <sheetFormatPr baseColWidth="10" defaultColWidth="11" defaultRowHeight="15"/>
  <cols>
    <col min="1" max="1" width="11" style="18"/>
    <col min="2" max="2" width="24.125" style="18" bestFit="1" customWidth="1"/>
    <col min="3" max="3" width="24.125" style="18" customWidth="1"/>
    <col min="4" max="4" width="6" style="18" customWidth="1"/>
    <col min="5" max="5" width="11" style="18"/>
    <col min="6" max="6" width="6" style="18" customWidth="1"/>
    <col min="7" max="7" width="13.125" style="18" bestFit="1" customWidth="1"/>
    <col min="8" max="8" width="6" style="18" customWidth="1"/>
    <col min="9" max="9" width="17.875" style="18" bestFit="1" customWidth="1"/>
    <col min="10" max="10" width="6" style="18" customWidth="1"/>
    <col min="11" max="11" width="23" style="18" bestFit="1" customWidth="1"/>
    <col min="12" max="12" width="6" style="18" customWidth="1"/>
    <col min="13" max="13" width="42.875" style="18" bestFit="1" customWidth="1"/>
    <col min="14" max="14" width="6" style="18" customWidth="1"/>
    <col min="15" max="16384" width="11" style="18"/>
  </cols>
  <sheetData>
    <row r="2" spans="2:15" ht="15.75" thickBot="1">
      <c r="B2" s="15" t="s">
        <v>48</v>
      </c>
      <c r="C2" s="15" t="s">
        <v>49</v>
      </c>
      <c r="D2" s="16"/>
      <c r="E2" s="16" t="s">
        <v>5</v>
      </c>
      <c r="F2" s="16"/>
      <c r="G2" s="16" t="s">
        <v>50</v>
      </c>
      <c r="H2" s="16"/>
      <c r="I2" s="15" t="s">
        <v>51</v>
      </c>
      <c r="J2" s="16"/>
      <c r="K2" s="17" t="s">
        <v>10</v>
      </c>
      <c r="L2" s="16"/>
      <c r="M2" s="15" t="s">
        <v>11</v>
      </c>
      <c r="N2" s="16"/>
      <c r="O2" s="15" t="s">
        <v>16</v>
      </c>
    </row>
    <row r="3" spans="2:15" ht="15.75" thickBot="1">
      <c r="B3" s="16" t="s">
        <v>52</v>
      </c>
      <c r="C3" s="16" t="s">
        <v>53</v>
      </c>
      <c r="D3" s="16"/>
      <c r="E3" s="16" t="s">
        <v>29</v>
      </c>
      <c r="F3" s="16"/>
      <c r="G3" s="19" t="s">
        <v>54</v>
      </c>
      <c r="H3" s="16"/>
      <c r="I3" s="16" t="s">
        <v>55</v>
      </c>
      <c r="J3" s="16"/>
      <c r="K3" s="20" t="s">
        <v>56</v>
      </c>
      <c r="L3" s="16"/>
      <c r="M3" s="21" t="s">
        <v>57</v>
      </c>
      <c r="N3" s="16"/>
      <c r="O3" s="16" t="s">
        <v>47</v>
      </c>
    </row>
    <row r="4" spans="2:15" ht="15.75" thickBot="1">
      <c r="B4" s="16" t="s">
        <v>196</v>
      </c>
      <c r="C4" s="16" t="s">
        <v>58</v>
      </c>
      <c r="D4" s="16"/>
      <c r="E4" s="16" t="s">
        <v>18</v>
      </c>
      <c r="F4" s="16"/>
      <c r="G4" s="19" t="s">
        <v>30</v>
      </c>
      <c r="H4" s="16"/>
      <c r="I4" s="16" t="s">
        <v>20</v>
      </c>
      <c r="J4" s="16"/>
      <c r="K4" s="22" t="s">
        <v>59</v>
      </c>
      <c r="L4" s="16"/>
      <c r="M4" s="21" t="s">
        <v>60</v>
      </c>
      <c r="N4" s="16"/>
      <c r="O4" s="16" t="s">
        <v>23</v>
      </c>
    </row>
    <row r="5" spans="2:15" ht="15.75" thickBot="1">
      <c r="B5" s="16" t="s">
        <v>61</v>
      </c>
      <c r="C5" s="16" t="s">
        <v>62</v>
      </c>
      <c r="D5" s="16"/>
      <c r="E5" s="16" t="s">
        <v>25</v>
      </c>
      <c r="F5" s="16"/>
      <c r="G5" s="19" t="s">
        <v>36</v>
      </c>
      <c r="H5" s="16"/>
      <c r="I5" s="16" t="s">
        <v>33</v>
      </c>
      <c r="J5" s="16"/>
      <c r="K5" s="23" t="s">
        <v>63</v>
      </c>
      <c r="L5" s="16"/>
      <c r="M5" s="21" t="s">
        <v>64</v>
      </c>
      <c r="N5" s="16"/>
      <c r="O5" s="16" t="s">
        <v>65</v>
      </c>
    </row>
    <row r="6" spans="2:15" ht="15.75" thickBot="1">
      <c r="B6" s="16" t="s">
        <v>182</v>
      </c>
      <c r="C6" s="16" t="s">
        <v>66</v>
      </c>
      <c r="D6" s="16"/>
      <c r="E6" s="16"/>
      <c r="F6" s="16"/>
      <c r="G6" s="19" t="s">
        <v>67</v>
      </c>
      <c r="H6" s="16"/>
      <c r="I6" s="16"/>
      <c r="J6" s="16"/>
      <c r="K6" s="76" t="s">
        <v>68</v>
      </c>
      <c r="L6" s="16"/>
      <c r="M6" s="21" t="s">
        <v>69</v>
      </c>
      <c r="N6" s="16"/>
      <c r="O6" s="16"/>
    </row>
    <row r="7" spans="2:15" ht="15.75" thickBot="1">
      <c r="B7" s="16" t="s">
        <v>183</v>
      </c>
      <c r="C7" s="16" t="s">
        <v>70</v>
      </c>
      <c r="D7" s="16"/>
      <c r="E7" s="16"/>
      <c r="F7" s="16"/>
      <c r="G7" s="16"/>
      <c r="H7" s="16"/>
      <c r="I7" s="16"/>
      <c r="J7" s="16"/>
      <c r="K7" s="25" t="s">
        <v>71</v>
      </c>
      <c r="L7" s="16"/>
      <c r="M7" s="21" t="s">
        <v>72</v>
      </c>
      <c r="N7" s="16"/>
      <c r="O7" s="16"/>
    </row>
    <row r="8" spans="2:15" ht="15.75" thickBot="1">
      <c r="B8" s="16" t="s">
        <v>184</v>
      </c>
      <c r="C8" s="16" t="s">
        <v>73</v>
      </c>
      <c r="D8" s="16"/>
      <c r="E8" s="16"/>
      <c r="F8" s="16"/>
      <c r="G8" s="19" t="s">
        <v>26</v>
      </c>
      <c r="H8" s="16"/>
      <c r="I8" s="16"/>
      <c r="J8" s="16"/>
      <c r="K8" s="24" t="s">
        <v>74</v>
      </c>
      <c r="L8" s="16"/>
      <c r="M8" s="26"/>
      <c r="N8" s="16"/>
      <c r="O8" s="16"/>
    </row>
    <row r="9" spans="2:15" ht="15.75" thickBot="1">
      <c r="B9" s="16" t="s">
        <v>24</v>
      </c>
      <c r="C9" s="16" t="s">
        <v>75</v>
      </c>
      <c r="D9" s="16"/>
      <c r="E9" s="16"/>
      <c r="F9" s="16"/>
      <c r="G9" s="16"/>
      <c r="H9" s="16"/>
      <c r="I9" s="16"/>
      <c r="J9" s="16"/>
      <c r="K9" s="24" t="s">
        <v>76</v>
      </c>
      <c r="L9" s="16"/>
      <c r="M9" s="27" t="s">
        <v>77</v>
      </c>
      <c r="N9" s="16"/>
      <c r="O9" s="16"/>
    </row>
    <row r="10" spans="2:15" ht="15.75" thickBot="1">
      <c r="B10" s="16" t="s">
        <v>78</v>
      </c>
      <c r="C10" s="16" t="s">
        <v>79</v>
      </c>
      <c r="D10" s="16"/>
      <c r="E10" s="16"/>
      <c r="F10" s="16"/>
      <c r="G10" s="19" t="s">
        <v>45</v>
      </c>
      <c r="H10" s="16"/>
      <c r="I10" s="16"/>
      <c r="J10" s="16"/>
      <c r="L10" s="16"/>
      <c r="M10" s="28" t="s">
        <v>80</v>
      </c>
      <c r="N10" s="16"/>
      <c r="O10" s="16"/>
    </row>
    <row r="11" spans="2:15" ht="15.75" thickBot="1">
      <c r="B11" s="16" t="s">
        <v>81</v>
      </c>
      <c r="C11" s="16" t="s">
        <v>82</v>
      </c>
      <c r="D11" s="16"/>
      <c r="E11" s="16"/>
      <c r="F11" s="16"/>
      <c r="G11" s="19" t="s">
        <v>19</v>
      </c>
      <c r="H11" s="16"/>
      <c r="I11" s="16"/>
      <c r="J11" s="16"/>
      <c r="K11" s="29" t="s">
        <v>83</v>
      </c>
      <c r="L11" s="16"/>
      <c r="M11" s="28" t="s">
        <v>84</v>
      </c>
      <c r="N11" s="16"/>
      <c r="O11" s="16"/>
    </row>
    <row r="12" spans="2:15" ht="15.75" thickBot="1">
      <c r="B12" s="16" t="s">
        <v>17</v>
      </c>
      <c r="C12" s="16" t="s">
        <v>85</v>
      </c>
      <c r="D12" s="16"/>
      <c r="E12" s="16"/>
      <c r="F12" s="16"/>
      <c r="G12" s="19" t="s">
        <v>86</v>
      </c>
      <c r="H12" s="16"/>
      <c r="I12" s="16"/>
      <c r="J12" s="16"/>
      <c r="K12" s="30" t="s">
        <v>37</v>
      </c>
      <c r="L12" s="16"/>
      <c r="M12" s="31" t="s">
        <v>87</v>
      </c>
      <c r="N12" s="16"/>
      <c r="O12" s="16"/>
    </row>
    <row r="13" spans="2:15" ht="15.75" thickBot="1">
      <c r="B13" s="16" t="s">
        <v>88</v>
      </c>
      <c r="C13" s="16" t="s">
        <v>89</v>
      </c>
      <c r="K13" s="32" t="s">
        <v>90</v>
      </c>
      <c r="M13" s="31" t="s">
        <v>91</v>
      </c>
      <c r="O13" s="16"/>
    </row>
    <row r="14" spans="2:15" ht="15.75" thickBot="1">
      <c r="B14" s="16" t="s">
        <v>187</v>
      </c>
      <c r="C14" s="16" t="s">
        <v>92</v>
      </c>
      <c r="K14" s="33" t="s">
        <v>34</v>
      </c>
      <c r="M14" s="34" t="s">
        <v>93</v>
      </c>
    </row>
    <row r="15" spans="2:15" ht="15.75" thickBot="1">
      <c r="K15" s="32" t="s">
        <v>94</v>
      </c>
      <c r="M15" s="26"/>
    </row>
    <row r="16" spans="2:15" ht="15.75" thickBot="1">
      <c r="K16" s="33" t="s">
        <v>40</v>
      </c>
      <c r="M16" s="35" t="s">
        <v>95</v>
      </c>
    </row>
    <row r="17" spans="11:13" ht="15.75" thickBot="1">
      <c r="M17" s="21" t="s">
        <v>96</v>
      </c>
    </row>
    <row r="18" spans="11:13" ht="15.75" thickBot="1">
      <c r="K18" s="36" t="s">
        <v>97</v>
      </c>
      <c r="M18" s="2" t="s">
        <v>98</v>
      </c>
    </row>
    <row r="19" spans="11:13" ht="15.75" thickBot="1">
      <c r="K19" s="36" t="s">
        <v>99</v>
      </c>
      <c r="M19" s="26"/>
    </row>
    <row r="20" spans="11:13" ht="15.75" thickBot="1">
      <c r="K20" s="37" t="s">
        <v>100</v>
      </c>
      <c r="M20" s="28" t="s">
        <v>101</v>
      </c>
    </row>
    <row r="21" spans="11:13" ht="15.75" thickBot="1">
      <c r="K21" s="37" t="s">
        <v>102</v>
      </c>
      <c r="M21" s="28" t="s">
        <v>103</v>
      </c>
    </row>
    <row r="22" spans="11:13" ht="15.75" thickBot="1">
      <c r="K22" s="36" t="s">
        <v>104</v>
      </c>
      <c r="M22" s="34" t="s">
        <v>105</v>
      </c>
    </row>
    <row r="23" spans="11:13" ht="15.75" thickBot="1">
      <c r="K23" s="38" t="s">
        <v>106</v>
      </c>
      <c r="M23" s="39"/>
    </row>
    <row r="24" spans="11:13" ht="15.75" thickBot="1">
      <c r="K24" s="40" t="s">
        <v>27</v>
      </c>
      <c r="M24" s="41" t="s">
        <v>107</v>
      </c>
    </row>
    <row r="25" spans="11:13" ht="15.75" thickBot="1">
      <c r="K25" s="36" t="s">
        <v>108</v>
      </c>
      <c r="M25" s="42"/>
    </row>
    <row r="26" spans="11:13" ht="15.75" thickBot="1">
      <c r="K26" s="40" t="s">
        <v>109</v>
      </c>
      <c r="M26" s="26"/>
    </row>
    <row r="27" spans="11:13" ht="15.75" thickBot="1">
      <c r="K27" s="40" t="s">
        <v>110</v>
      </c>
      <c r="M27" s="27" t="s">
        <v>111</v>
      </c>
    </row>
    <row r="28" spans="11:13" ht="15.75" thickBot="1">
      <c r="K28" s="43" t="s">
        <v>176</v>
      </c>
      <c r="M28" s="28" t="s">
        <v>112</v>
      </c>
    </row>
    <row r="29" spans="11:13">
      <c r="K29" s="37" t="s">
        <v>21</v>
      </c>
      <c r="M29" s="31" t="s">
        <v>113</v>
      </c>
    </row>
    <row r="30" spans="11:13" ht="15.75" thickBot="1">
      <c r="K30" s="40" t="s">
        <v>31</v>
      </c>
      <c r="M30" s="34" t="s">
        <v>114</v>
      </c>
    </row>
    <row r="31" spans="11:13" ht="15.75" thickBot="1">
      <c r="K31" s="66" t="s">
        <v>115</v>
      </c>
      <c r="M31" s="26"/>
    </row>
    <row r="32" spans="11:13">
      <c r="M32" s="44" t="s">
        <v>116</v>
      </c>
    </row>
    <row r="33" spans="13:13">
      <c r="M33" s="45" t="s">
        <v>117</v>
      </c>
    </row>
    <row r="34" spans="13:13">
      <c r="M34" s="45" t="s">
        <v>118</v>
      </c>
    </row>
    <row r="35" spans="13:13">
      <c r="M35" s="45" t="s">
        <v>119</v>
      </c>
    </row>
    <row r="37" spans="13:13">
      <c r="M37" s="46" t="s">
        <v>120</v>
      </c>
    </row>
    <row r="38" spans="13:13">
      <c r="M38" s="46" t="s">
        <v>121</v>
      </c>
    </row>
    <row r="39" spans="13:13">
      <c r="M39" s="46" t="s">
        <v>122</v>
      </c>
    </row>
    <row r="41" spans="13:13">
      <c r="M41" s="46" t="s">
        <v>120</v>
      </c>
    </row>
    <row r="42" spans="13:13">
      <c r="M42" s="46" t="s">
        <v>121</v>
      </c>
    </row>
    <row r="43" spans="13:13">
      <c r="M43" s="46" t="s">
        <v>122</v>
      </c>
    </row>
    <row r="44" spans="13:13" ht="15.75" thickBot="1"/>
    <row r="45" spans="13:13">
      <c r="M45" s="47" t="s">
        <v>123</v>
      </c>
    </row>
    <row r="46" spans="13:13">
      <c r="M46" s="48" t="s">
        <v>6</v>
      </c>
    </row>
    <row r="47" spans="13:13" ht="15.75" thickBot="1">
      <c r="M47" s="49" t="s">
        <v>124</v>
      </c>
    </row>
    <row r="49" spans="13:13">
      <c r="M49" s="50" t="s">
        <v>125</v>
      </c>
    </row>
    <row r="50" spans="13:13">
      <c r="M50" s="50" t="s">
        <v>126</v>
      </c>
    </row>
    <row r="51" spans="13:13">
      <c r="M51" s="50" t="s">
        <v>127</v>
      </c>
    </row>
    <row r="52" spans="13:13">
      <c r="M52" s="50" t="s">
        <v>128</v>
      </c>
    </row>
    <row r="53" spans="13:13">
      <c r="M53" s="50" t="s">
        <v>129</v>
      </c>
    </row>
    <row r="54" spans="13:13">
      <c r="M54" s="51" t="s">
        <v>44</v>
      </c>
    </row>
    <row r="55" spans="13:13">
      <c r="M55" s="52" t="s">
        <v>35</v>
      </c>
    </row>
    <row r="56" spans="13:13">
      <c r="M56" s="65" t="s">
        <v>43</v>
      </c>
    </row>
    <row r="57" spans="13:13" ht="15.75" thickBot="1">
      <c r="M57" s="39"/>
    </row>
    <row r="58" spans="13:13" ht="15.75" thickBot="1">
      <c r="M58" s="53" t="s">
        <v>41</v>
      </c>
    </row>
    <row r="59" spans="13:13" ht="15.75" thickBot="1"/>
    <row r="60" spans="13:13" ht="15.75" thickBot="1">
      <c r="M60" s="53" t="s">
        <v>130</v>
      </c>
    </row>
    <row r="61" spans="13:13" ht="15.75" thickBot="1">
      <c r="M61" s="53" t="s">
        <v>131</v>
      </c>
    </row>
    <row r="62" spans="13:13" ht="15.75" thickBot="1">
      <c r="M62" s="53" t="s">
        <v>132</v>
      </c>
    </row>
    <row r="63" spans="13:13" ht="15.75" thickBot="1">
      <c r="M63" s="53" t="s">
        <v>38</v>
      </c>
    </row>
    <row r="64" spans="13:13" ht="15.75" thickBot="1">
      <c r="M64" s="53" t="s">
        <v>133</v>
      </c>
    </row>
    <row r="66" spans="13:13">
      <c r="M66" s="54" t="s">
        <v>32</v>
      </c>
    </row>
    <row r="67" spans="13:13">
      <c r="M67" s="55" t="s">
        <v>134</v>
      </c>
    </row>
    <row r="69" spans="13:13">
      <c r="M69" s="55" t="s">
        <v>135</v>
      </c>
    </row>
    <row r="70" spans="13:13">
      <c r="M70" s="55" t="s">
        <v>136</v>
      </c>
    </row>
    <row r="71" spans="13:13">
      <c r="M71" s="55" t="s">
        <v>137</v>
      </c>
    </row>
    <row r="72" spans="13:13">
      <c r="M72" s="56" t="s">
        <v>138</v>
      </c>
    </row>
    <row r="73" spans="13:13">
      <c r="M73" s="56" t="s">
        <v>139</v>
      </c>
    </row>
    <row r="74" spans="13:13">
      <c r="M74" s="55" t="s">
        <v>46</v>
      </c>
    </row>
    <row r="75" spans="13:13">
      <c r="M75" s="55" t="s">
        <v>140</v>
      </c>
    </row>
    <row r="76" spans="13:13">
      <c r="M76" s="55" t="s">
        <v>28</v>
      </c>
    </row>
    <row r="77" spans="13:13">
      <c r="M77" s="56" t="s">
        <v>141</v>
      </c>
    </row>
    <row r="78" spans="13:13">
      <c r="M78" s="55" t="s">
        <v>142</v>
      </c>
    </row>
    <row r="79" spans="13:13">
      <c r="M79" s="63" t="s">
        <v>42</v>
      </c>
    </row>
    <row r="80" spans="13:13">
      <c r="M80" s="64" t="s">
        <v>39</v>
      </c>
    </row>
    <row r="81" spans="13:13">
      <c r="M81" s="54" t="s">
        <v>143</v>
      </c>
    </row>
    <row r="82" spans="13:13">
      <c r="M82" s="54" t="s">
        <v>144</v>
      </c>
    </row>
    <row r="83" spans="13:13">
      <c r="M83" s="54" t="s">
        <v>145</v>
      </c>
    </row>
    <row r="84" spans="13:13">
      <c r="M84" s="54" t="s">
        <v>146</v>
      </c>
    </row>
    <row r="85" spans="13:13">
      <c r="M85" s="54" t="s">
        <v>147</v>
      </c>
    </row>
    <row r="86" spans="13:13" ht="15.75" thickBot="1"/>
    <row r="87" spans="13:13">
      <c r="M87" s="57" t="s">
        <v>148</v>
      </c>
    </row>
    <row r="88" spans="13:13">
      <c r="M88" s="55" t="s">
        <v>149</v>
      </c>
    </row>
    <row r="89" spans="13:13">
      <c r="M89" s="58" t="s">
        <v>150</v>
      </c>
    </row>
    <row r="90" spans="13:13" ht="15.75" thickBot="1">
      <c r="M90" s="59" t="s">
        <v>151</v>
      </c>
    </row>
    <row r="91" spans="13:13" ht="15.75" thickBot="1"/>
    <row r="92" spans="13:13">
      <c r="M92" s="60" t="s">
        <v>152</v>
      </c>
    </row>
    <row r="93" spans="13:13">
      <c r="M93" s="61" t="s">
        <v>153</v>
      </c>
    </row>
    <row r="94" spans="13:13" ht="15.75" thickBot="1">
      <c r="M94" s="62" t="s">
        <v>154</v>
      </c>
    </row>
    <row r="96" spans="13:13">
      <c r="M96" s="54" t="s">
        <v>155</v>
      </c>
    </row>
    <row r="97" spans="13:13">
      <c r="M97" s="54" t="s">
        <v>156</v>
      </c>
    </row>
    <row r="98" spans="13:13">
      <c r="M98" s="54" t="s">
        <v>157</v>
      </c>
    </row>
    <row r="99" spans="13:13">
      <c r="M99" s="54" t="s">
        <v>158</v>
      </c>
    </row>
    <row r="101" spans="13:13">
      <c r="M101" s="54" t="s">
        <v>159</v>
      </c>
    </row>
    <row r="102" spans="13:13">
      <c r="M102" s="54" t="s">
        <v>160</v>
      </c>
    </row>
    <row r="103" spans="13:13">
      <c r="M103" s="54" t="s">
        <v>161</v>
      </c>
    </row>
    <row r="104" spans="13:13">
      <c r="M104" s="54" t="s">
        <v>162</v>
      </c>
    </row>
    <row r="106" spans="13:13">
      <c r="M106" s="54" t="s">
        <v>163</v>
      </c>
    </row>
    <row r="107" spans="13:13">
      <c r="M107" s="54" t="s">
        <v>164</v>
      </c>
    </row>
    <row r="108" spans="13:13">
      <c r="M108" s="54" t="s">
        <v>165</v>
      </c>
    </row>
    <row r="109" spans="13:13">
      <c r="M109" s="54" t="s">
        <v>166</v>
      </c>
    </row>
    <row r="111" spans="13:13">
      <c r="M111" s="54" t="s">
        <v>163</v>
      </c>
    </row>
    <row r="112" spans="13:13">
      <c r="M112" s="54" t="s">
        <v>164</v>
      </c>
    </row>
    <row r="113" spans="13:13">
      <c r="M113" s="54" t="s">
        <v>167</v>
      </c>
    </row>
    <row r="114" spans="13:13">
      <c r="M114" s="54" t="s">
        <v>168</v>
      </c>
    </row>
    <row r="116" spans="13:13">
      <c r="M116" s="54" t="s">
        <v>169</v>
      </c>
    </row>
    <row r="117" spans="13:13">
      <c r="M117" s="54" t="s">
        <v>170</v>
      </c>
    </row>
    <row r="118" spans="13:13">
      <c r="M118" s="54" t="s">
        <v>171</v>
      </c>
    </row>
    <row r="119" spans="13:13">
      <c r="M119" s="54" t="s">
        <v>172</v>
      </c>
    </row>
    <row r="121" spans="13:13">
      <c r="M121" s="54" t="s">
        <v>173</v>
      </c>
    </row>
    <row r="122" spans="13:13">
      <c r="M122" s="54" t="s">
        <v>169</v>
      </c>
    </row>
    <row r="123" spans="13:13">
      <c r="M123" s="54" t="s">
        <v>170</v>
      </c>
    </row>
    <row r="124" spans="13:13">
      <c r="M124" s="54" t="s">
        <v>174</v>
      </c>
    </row>
    <row r="125" spans="13:13">
      <c r="M125" s="67" t="s">
        <v>22</v>
      </c>
    </row>
    <row r="126" spans="13:13">
      <c r="M126" s="70"/>
    </row>
    <row r="127" spans="13:13">
      <c r="M127" s="54" t="s">
        <v>175</v>
      </c>
    </row>
    <row r="129" spans="13:13">
      <c r="M129" s="54" t="s">
        <v>114</v>
      </c>
    </row>
  </sheetData>
  <sortState ref="M33:M35">
    <sortCondition ref="M32"/>
  </sortState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32</vt:i4>
      </vt:variant>
    </vt:vector>
  </HeadingPairs>
  <TitlesOfParts>
    <vt:vector size="35" baseType="lpstr">
      <vt:lpstr>TDB Reclamations</vt:lpstr>
      <vt:lpstr>Réclamations</vt:lpstr>
      <vt:lpstr>Don't delete</vt:lpstr>
      <vt:lpstr>Batterie</vt:lpstr>
      <vt:lpstr>Cdma</vt:lpstr>
      <vt:lpstr>Configuration</vt:lpstr>
      <vt:lpstr>Couverture</vt:lpstr>
      <vt:lpstr>Details_Compte</vt:lpstr>
      <vt:lpstr>Détails_Prix</vt:lpstr>
      <vt:lpstr>Facture</vt:lpstr>
      <vt:lpstr>Informations</vt:lpstr>
      <vt:lpstr>Login_indisponible</vt:lpstr>
      <vt:lpstr>Lte</vt:lpstr>
      <vt:lpstr>Outage</vt:lpstr>
      <vt:lpstr>Plaintes</vt:lpstr>
      <vt:lpstr>Points_de_vente</vt:lpstr>
      <vt:lpstr>Problème_activation</vt:lpstr>
      <vt:lpstr>Problème_appel</vt:lpstr>
      <vt:lpstr>Problème_Compte</vt:lpstr>
      <vt:lpstr>Problème_Connexion</vt:lpstr>
      <vt:lpstr>Problème_Recharge</vt:lpstr>
      <vt:lpstr>Problème_SMS</vt:lpstr>
      <vt:lpstr>Problème_volume_données</vt:lpstr>
      <vt:lpstr>Produits_Services</vt:lpstr>
      <vt:lpstr>Promotion</vt:lpstr>
      <vt:lpstr>Service_Client</vt:lpstr>
      <vt:lpstr>Shorts_codes</vt:lpstr>
      <vt:lpstr>Sim_Bloqué</vt:lpstr>
      <vt:lpstr>Sim_Inactive</vt:lpstr>
      <vt:lpstr>Support_Technique</vt:lpstr>
      <vt:lpstr>Téléphone_bloqué</vt:lpstr>
      <vt:lpstr>Téléphone_ou_SIM_égarée</vt:lpstr>
      <vt:lpstr>Test</vt:lpstr>
      <vt:lpstr>Vitesse</vt:lpstr>
      <vt:lpstr>Wimax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DELL</dc:creator>
  <cp:keywords/>
  <dc:description/>
  <cp:lastModifiedBy>Utilisateur Windows</cp:lastModifiedBy>
  <cp:revision/>
  <dcterms:created xsi:type="dcterms:W3CDTF">2017-09-19T07:31:25Z</dcterms:created>
  <dcterms:modified xsi:type="dcterms:W3CDTF">2018-01-23T17:16:25Z</dcterms:modified>
  <cp:category/>
  <cp:contentStatus/>
</cp:coreProperties>
</file>